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showInkAnnotation="0" autoCompressPictures="0"/>
  <mc:AlternateContent xmlns:mc="http://schemas.openxmlformats.org/markup-compatibility/2006">
    <mc:Choice Requires="x15">
      <x15ac:absPath xmlns:x15ac="http://schemas.microsoft.com/office/spreadsheetml/2010/11/ac" url="W:\Regulation Planning and Performance\Economic Regulation\Water Plan\2024-29 Price Submission\NCC\"/>
    </mc:Choice>
  </mc:AlternateContent>
  <xr:revisionPtr revIDLastSave="0" documentId="13_ncr:1_{0C4272BB-CBDD-4B57-990C-6C3D422B91DF}" xr6:coauthVersionLast="47" xr6:coauthVersionMax="47" xr10:uidLastSave="{00000000-0000-0000-0000-000000000000}"/>
  <bookViews>
    <workbookView xWindow="-120" yWindow="-120" windowWidth="29040" windowHeight="15840" tabRatio="801" xr2:uid="{00000000-000D-0000-FFFF-FFFF00000000}"/>
  </bookViews>
  <sheets>
    <sheet name="Summary of NCCS - 20 year model" sheetId="8" r:id="rId1"/>
    <sheet name="Notes &amp; Assumptions" sheetId="2" r:id="rId2"/>
    <sheet name="Key assumptions" sheetId="52" r:id="rId3"/>
    <sheet name="Customer numbers" sheetId="33" r:id="rId4"/>
    <sheet name="Historical growth capex" sheetId="34" r:id="rId5"/>
    <sheet name="Forecast capex" sheetId="84" r:id="rId6"/>
    <sheet name="Renewal capex" sheetId="54" state="hidden" r:id="rId7"/>
    <sheet name="Net infill water capex 05-06" sheetId="73" state="hidden" r:id="rId8"/>
    <sheet name="Net infill capex water - 13-14" sheetId="77" r:id="rId9"/>
    <sheet name="Net infill sewerage capex 05-06" sheetId="75" state="hidden" r:id="rId10"/>
    <sheet name="Net infill sewerage capex 13-14" sheetId="79" r:id="rId11"/>
    <sheet name="Community Sewerage" sheetId="47" r:id="rId12"/>
    <sheet name="Bulk charges" sheetId="35" r:id="rId13"/>
    <sheet name="YVW tariffs" sheetId="32" r:id="rId14"/>
    <sheet name="20 Infill Water - base" sheetId="48" state="hidden" r:id="rId15"/>
    <sheet name="Infill water with renewal 05-06" sheetId="74" state="hidden" r:id="rId16"/>
    <sheet name="Infill water with renewal 13-14" sheetId="78" state="hidden" r:id="rId17"/>
    <sheet name="20 Infill Sewer - base" sheetId="49" state="hidden" r:id="rId18"/>
    <sheet name="Infill sewerage - renewals 0506" sheetId="76" state="hidden" r:id="rId19"/>
    <sheet name="Infill sewerage - renewals 1314" sheetId="80" state="hidden" r:id="rId20"/>
    <sheet name="Infill+EN+G - water" sheetId="82" r:id="rId21"/>
    <sheet name="Infill+EN+G - sewerage" sheetId="83" r:id="rId22"/>
    <sheet name="Infill+EN+G - recycled water" sheetId="85" r:id="rId23"/>
    <sheet name="20 New UGB Water" sheetId="14" r:id="rId24"/>
    <sheet name="20 Greenvale Water" sheetId="16" state="hidden" r:id="rId25"/>
    <sheet name="20 Epping North Water" sheetId="21" state="hidden" r:id="rId26"/>
    <sheet name="20 New UGB Sewer" sheetId="11" r:id="rId27"/>
    <sheet name="20 Greenvale Sewer" sheetId="13" state="hidden" r:id="rId28"/>
    <sheet name="20 Epping North Sewer" sheetId="25" state="hidden" r:id="rId29"/>
    <sheet name="20 New UGB RW" sheetId="4" r:id="rId30"/>
    <sheet name="20 Greenvale RW" sheetId="10" state="hidden" r:id="rId31"/>
    <sheet name="20 Epping North RW" sheetId="29" state="hidden" r:id="rId32"/>
    <sheet name="20 Infill recycled water" sheetId="46" state="hidden" r:id="rId33"/>
  </sheets>
  <externalReferences>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s>
  <definedNames>
    <definedName name="_xlnm.Print_Titles" localSheetId="0">'Summary of NCCS - 20 year model'!$A:$C</definedName>
  </definedNames>
  <calcPr calcId="191029" iterate="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I111" i="85" l="1"/>
  <c r="J111" i="85"/>
  <c r="K111" i="85"/>
  <c r="L111" i="85"/>
  <c r="M111" i="85"/>
  <c r="N111" i="85"/>
  <c r="O111" i="85"/>
  <c r="P111" i="85"/>
  <c r="Q111" i="85"/>
  <c r="R111" i="85"/>
  <c r="S111" i="85"/>
  <c r="T111" i="85"/>
  <c r="U111" i="85"/>
  <c r="V111" i="85"/>
  <c r="H111" i="85"/>
  <c r="I90" i="85"/>
  <c r="J90" i="85"/>
  <c r="J93" i="85" s="1"/>
  <c r="K90" i="85"/>
  <c r="L90" i="85"/>
  <c r="M90" i="85"/>
  <c r="N90" i="85"/>
  <c r="O90" i="85"/>
  <c r="O93" i="85" s="1"/>
  <c r="P90" i="85"/>
  <c r="Q90" i="85"/>
  <c r="R90" i="85"/>
  <c r="R93" i="85" s="1"/>
  <c r="S90" i="85"/>
  <c r="T90" i="85"/>
  <c r="U90" i="85"/>
  <c r="V90" i="85"/>
  <c r="H90" i="85"/>
  <c r="W37" i="85"/>
  <c r="X37" i="85"/>
  <c r="Y37" i="85"/>
  <c r="Z37" i="85"/>
  <c r="AA37" i="85"/>
  <c r="H37" i="85"/>
  <c r="I21" i="85"/>
  <c r="J21" i="85"/>
  <c r="K21" i="85"/>
  <c r="L21" i="85"/>
  <c r="M21" i="85"/>
  <c r="N21" i="85"/>
  <c r="O21" i="85"/>
  <c r="P21" i="85"/>
  <c r="Q21" i="85"/>
  <c r="R21" i="85"/>
  <c r="S21" i="85"/>
  <c r="T21" i="85"/>
  <c r="U21" i="85"/>
  <c r="V21" i="85"/>
  <c r="W21" i="85"/>
  <c r="X21" i="85"/>
  <c r="X29" i="85" s="1"/>
  <c r="Y21" i="85"/>
  <c r="Z21" i="85"/>
  <c r="AA21" i="85"/>
  <c r="H21" i="85"/>
  <c r="G21" i="85"/>
  <c r="A320" i="85"/>
  <c r="N302" i="85"/>
  <c r="A283" i="85"/>
  <c r="P241" i="85"/>
  <c r="G241" i="85"/>
  <c r="G240" i="85"/>
  <c r="G274" i="85" s="1"/>
  <c r="G239" i="85"/>
  <c r="G305" i="85" s="1"/>
  <c r="G237" i="85"/>
  <c r="AA236" i="85"/>
  <c r="Z236" i="85"/>
  <c r="Y236" i="85"/>
  <c r="X236" i="85"/>
  <c r="W236" i="85"/>
  <c r="V236" i="85"/>
  <c r="U236" i="85"/>
  <c r="U302" i="85" s="1"/>
  <c r="T236" i="85"/>
  <c r="S236" i="85"/>
  <c r="R236" i="85"/>
  <c r="Q236" i="85"/>
  <c r="P236" i="85"/>
  <c r="O236" i="85"/>
  <c r="N236" i="85"/>
  <c r="N270" i="85" s="1"/>
  <c r="M236" i="85"/>
  <c r="M302" i="85" s="1"/>
  <c r="L236" i="85"/>
  <c r="K236" i="85"/>
  <c r="J236" i="85"/>
  <c r="I236" i="85"/>
  <c r="H236" i="85"/>
  <c r="G236" i="85"/>
  <c r="Z227" i="85"/>
  <c r="Y227" i="85"/>
  <c r="R227" i="85"/>
  <c r="Q227" i="85"/>
  <c r="J227" i="85"/>
  <c r="I227" i="85"/>
  <c r="G227" i="85"/>
  <c r="G293" i="85" s="1"/>
  <c r="G225" i="85"/>
  <c r="G224" i="85"/>
  <c r="G223" i="85"/>
  <c r="AA214" i="85"/>
  <c r="AA241" i="85" s="1"/>
  <c r="Z214" i="85"/>
  <c r="Z241" i="85" s="1"/>
  <c r="Y214" i="85"/>
  <c r="Y241" i="85" s="1"/>
  <c r="X214" i="85"/>
  <c r="X241" i="85" s="1"/>
  <c r="W214" i="85"/>
  <c r="W241" i="85" s="1"/>
  <c r="V214" i="85"/>
  <c r="V241" i="85" s="1"/>
  <c r="U214" i="85"/>
  <c r="U241" i="85" s="1"/>
  <c r="T214" i="85"/>
  <c r="T241" i="85" s="1"/>
  <c r="S214" i="85"/>
  <c r="S241" i="85" s="1"/>
  <c r="S307" i="85" s="1"/>
  <c r="R214" i="85"/>
  <c r="R241" i="85" s="1"/>
  <c r="Q214" i="85"/>
  <c r="Q241" i="85" s="1"/>
  <c r="P214" i="85"/>
  <c r="O214" i="85"/>
  <c r="O241" i="85" s="1"/>
  <c r="N214" i="85"/>
  <c r="N241" i="85" s="1"/>
  <c r="M214" i="85"/>
  <c r="M241" i="85" s="1"/>
  <c r="L214" i="85"/>
  <c r="L241" i="85" s="1"/>
  <c r="K214" i="85"/>
  <c r="K241" i="85" s="1"/>
  <c r="J214" i="85"/>
  <c r="J241" i="85" s="1"/>
  <c r="J275" i="85" s="1"/>
  <c r="I214" i="85"/>
  <c r="I241" i="85" s="1"/>
  <c r="H214" i="85"/>
  <c r="H241" i="85" s="1"/>
  <c r="A213" i="85"/>
  <c r="A212" i="85"/>
  <c r="A211" i="85"/>
  <c r="A210" i="85"/>
  <c r="AA207" i="85"/>
  <c r="AA240" i="85" s="1"/>
  <c r="Z207" i="85"/>
  <c r="Z240" i="85" s="1"/>
  <c r="Y207" i="85"/>
  <c r="Y240" i="85" s="1"/>
  <c r="X207" i="85"/>
  <c r="X240" i="85" s="1"/>
  <c r="W207" i="85"/>
  <c r="W240" i="85" s="1"/>
  <c r="V207" i="85"/>
  <c r="V227" i="85" s="1"/>
  <c r="U207" i="85"/>
  <c r="U240" i="85" s="1"/>
  <c r="T207" i="85"/>
  <c r="T227" i="85" s="1"/>
  <c r="S207" i="85"/>
  <c r="S240" i="85" s="1"/>
  <c r="R207" i="85"/>
  <c r="R240" i="85" s="1"/>
  <c r="R306" i="85" s="1"/>
  <c r="Q207" i="85"/>
  <c r="Q240" i="85" s="1"/>
  <c r="P207" i="85"/>
  <c r="P240" i="85" s="1"/>
  <c r="O207" i="85"/>
  <c r="O240" i="85" s="1"/>
  <c r="N207" i="85"/>
  <c r="N227" i="85" s="1"/>
  <c r="M207" i="85"/>
  <c r="M240" i="85" s="1"/>
  <c r="L207" i="85"/>
  <c r="L227" i="85" s="1"/>
  <c r="K207" i="85"/>
  <c r="K240" i="85" s="1"/>
  <c r="J207" i="85"/>
  <c r="J240" i="85" s="1"/>
  <c r="I207" i="85"/>
  <c r="I240" i="85" s="1"/>
  <c r="H207" i="85"/>
  <c r="H240" i="85" s="1"/>
  <c r="A206" i="85"/>
  <c r="A205" i="85"/>
  <c r="A204" i="85"/>
  <c r="A203" i="85"/>
  <c r="A198" i="85"/>
  <c r="A197" i="85"/>
  <c r="A194" i="85"/>
  <c r="G193" i="85"/>
  <c r="A193" i="85"/>
  <c r="G192" i="85"/>
  <c r="A192" i="85"/>
  <c r="A191" i="85"/>
  <c r="A186" i="85"/>
  <c r="A185" i="85"/>
  <c r="A184" i="85"/>
  <c r="C183" i="85"/>
  <c r="A165" i="85"/>
  <c r="A164" i="85"/>
  <c r="H163" i="85"/>
  <c r="H161" i="85"/>
  <c r="A160" i="85"/>
  <c r="A158" i="85"/>
  <c r="AA156" i="85"/>
  <c r="Z156" i="85"/>
  <c r="Y156" i="85"/>
  <c r="X156" i="85"/>
  <c r="W156" i="85"/>
  <c r="R156" i="85"/>
  <c r="Q156" i="85"/>
  <c r="P156" i="85"/>
  <c r="O156" i="85"/>
  <c r="N156" i="85"/>
  <c r="M156" i="85"/>
  <c r="L156" i="85"/>
  <c r="K156" i="85"/>
  <c r="J156" i="85"/>
  <c r="I156" i="85"/>
  <c r="H156" i="85"/>
  <c r="A155" i="85"/>
  <c r="H154" i="85"/>
  <c r="H162" i="85" s="1"/>
  <c r="V153" i="85"/>
  <c r="V156" i="85" s="1"/>
  <c r="U153" i="85"/>
  <c r="U156" i="85" s="1"/>
  <c r="T153" i="85"/>
  <c r="T156" i="85" s="1"/>
  <c r="S153" i="85"/>
  <c r="S156" i="85" s="1"/>
  <c r="R153" i="85"/>
  <c r="A153" i="85"/>
  <c r="A144" i="85"/>
  <c r="A143" i="85"/>
  <c r="A139" i="85"/>
  <c r="A137" i="85"/>
  <c r="AA135" i="85"/>
  <c r="Z135" i="85"/>
  <c r="Y135" i="85"/>
  <c r="X135" i="85"/>
  <c r="W135" i="85"/>
  <c r="U135" i="85"/>
  <c r="Q135" i="85"/>
  <c r="P135" i="85"/>
  <c r="O135" i="85"/>
  <c r="N135" i="85"/>
  <c r="M135" i="85"/>
  <c r="L135" i="85"/>
  <c r="K135" i="85"/>
  <c r="J135" i="85"/>
  <c r="I135" i="85"/>
  <c r="H135" i="85"/>
  <c r="A134" i="85"/>
  <c r="H133" i="85"/>
  <c r="H142" i="85" s="1"/>
  <c r="V132" i="85"/>
  <c r="V135" i="85" s="1"/>
  <c r="U132" i="85"/>
  <c r="T132" i="85"/>
  <c r="T135" i="85" s="1"/>
  <c r="S132" i="85"/>
  <c r="S135" i="85" s="1"/>
  <c r="R132" i="85"/>
  <c r="R135" i="85" s="1"/>
  <c r="A132" i="85"/>
  <c r="A123" i="85"/>
  <c r="L122" i="85"/>
  <c r="K122" i="85"/>
  <c r="J122" i="85"/>
  <c r="I122" i="85"/>
  <c r="H122" i="85"/>
  <c r="A122" i="85"/>
  <c r="I116" i="85"/>
  <c r="J116" i="85" s="1"/>
  <c r="K116" i="85" s="1"/>
  <c r="L116" i="85" s="1"/>
  <c r="M116" i="85" s="1"/>
  <c r="N116" i="85" s="1"/>
  <c r="O116" i="85" s="1"/>
  <c r="P116" i="85" s="1"/>
  <c r="Q116" i="85" s="1"/>
  <c r="R116" i="85" s="1"/>
  <c r="S116" i="85" s="1"/>
  <c r="T116" i="85" s="1"/>
  <c r="U116" i="85" s="1"/>
  <c r="V116" i="85" s="1"/>
  <c r="W116" i="85" s="1"/>
  <c r="X116" i="85" s="1"/>
  <c r="Y116" i="85" s="1"/>
  <c r="Z116" i="85" s="1"/>
  <c r="AA116" i="85" s="1"/>
  <c r="A116" i="85"/>
  <c r="AA114" i="85"/>
  <c r="Z114" i="85"/>
  <c r="Y114" i="85"/>
  <c r="X114" i="85"/>
  <c r="W114" i="85"/>
  <c r="H114" i="85"/>
  <c r="A113" i="85"/>
  <c r="H112" i="85"/>
  <c r="H115" i="85" s="1"/>
  <c r="I112" i="85"/>
  <c r="A111" i="85"/>
  <c r="G103" i="85"/>
  <c r="G124" i="85" s="1"/>
  <c r="A102" i="85"/>
  <c r="L101" i="85"/>
  <c r="K101" i="85"/>
  <c r="J101" i="85"/>
  <c r="I101" i="85"/>
  <c r="H101" i="85"/>
  <c r="A101" i="85"/>
  <c r="I95" i="85"/>
  <c r="J95" i="85" s="1"/>
  <c r="K95" i="85" s="1"/>
  <c r="L95" i="85" s="1"/>
  <c r="M95" i="85" s="1"/>
  <c r="N95" i="85" s="1"/>
  <c r="O95" i="85" s="1"/>
  <c r="P95" i="85" s="1"/>
  <c r="Q95" i="85" s="1"/>
  <c r="R95" i="85" s="1"/>
  <c r="S95" i="85" s="1"/>
  <c r="T95" i="85" s="1"/>
  <c r="U95" i="85" s="1"/>
  <c r="V95" i="85" s="1"/>
  <c r="W95" i="85" s="1"/>
  <c r="X95" i="85" s="1"/>
  <c r="Y95" i="85" s="1"/>
  <c r="Z95" i="85" s="1"/>
  <c r="AA95" i="85" s="1"/>
  <c r="H95" i="85"/>
  <c r="A95" i="85"/>
  <c r="AA93" i="85"/>
  <c r="AA174" i="85" s="1"/>
  <c r="AA217" i="85" s="1"/>
  <c r="Z93" i="85"/>
  <c r="Z174" i="85" s="1"/>
  <c r="Z217" i="85" s="1"/>
  <c r="Y93" i="85"/>
  <c r="Y174" i="85" s="1"/>
  <c r="Y217" i="85" s="1"/>
  <c r="X93" i="85"/>
  <c r="X174" i="85" s="1"/>
  <c r="X217" i="85" s="1"/>
  <c r="W93" i="85"/>
  <c r="W174" i="85" s="1"/>
  <c r="W217" i="85" s="1"/>
  <c r="A92" i="85"/>
  <c r="V93" i="85"/>
  <c r="U93" i="85"/>
  <c r="T93" i="85"/>
  <c r="S93" i="85"/>
  <c r="Q93" i="85"/>
  <c r="P93" i="85"/>
  <c r="N93" i="85"/>
  <c r="L93" i="85"/>
  <c r="K93" i="85"/>
  <c r="I93" i="85"/>
  <c r="H93" i="85"/>
  <c r="H174" i="85" s="1"/>
  <c r="H217" i="85" s="1"/>
  <c r="A90" i="85"/>
  <c r="C87" i="85"/>
  <c r="AA80" i="85"/>
  <c r="Z80" i="85"/>
  <c r="Y80" i="85"/>
  <c r="X80" i="85"/>
  <c r="W80" i="85"/>
  <c r="V80" i="85"/>
  <c r="U80" i="85"/>
  <c r="T80" i="85"/>
  <c r="S80" i="85"/>
  <c r="R80" i="85"/>
  <c r="Q80" i="85"/>
  <c r="P80" i="85"/>
  <c r="O80" i="85"/>
  <c r="N80" i="85"/>
  <c r="M80" i="85"/>
  <c r="L80" i="85"/>
  <c r="K80" i="85"/>
  <c r="J80" i="85"/>
  <c r="I80" i="85"/>
  <c r="H80" i="85"/>
  <c r="G80" i="85"/>
  <c r="AA79" i="85"/>
  <c r="Z79" i="85"/>
  <c r="Y79" i="85"/>
  <c r="X79" i="85"/>
  <c r="W79" i="85"/>
  <c r="V79" i="85"/>
  <c r="U79" i="85"/>
  <c r="T79" i="85"/>
  <c r="S79" i="85"/>
  <c r="R79" i="85"/>
  <c r="Q79" i="85"/>
  <c r="P79" i="85"/>
  <c r="O79" i="85"/>
  <c r="N79" i="85"/>
  <c r="M79" i="85"/>
  <c r="L79" i="85"/>
  <c r="K79" i="85"/>
  <c r="J79" i="85"/>
  <c r="I79" i="85"/>
  <c r="H79" i="85"/>
  <c r="G79" i="85"/>
  <c r="AA78" i="85"/>
  <c r="Z78" i="85"/>
  <c r="Y78" i="85"/>
  <c r="X78" i="85"/>
  <c r="W78" i="85"/>
  <c r="V78" i="85"/>
  <c r="U78" i="85"/>
  <c r="T78" i="85"/>
  <c r="S78" i="85"/>
  <c r="R78" i="85"/>
  <c r="Q78" i="85"/>
  <c r="P78" i="85"/>
  <c r="O78" i="85"/>
  <c r="N78" i="85"/>
  <c r="M78" i="85"/>
  <c r="L78" i="85"/>
  <c r="K78" i="85"/>
  <c r="J78" i="85"/>
  <c r="I78" i="85"/>
  <c r="H78" i="85"/>
  <c r="G78" i="85"/>
  <c r="U82" i="85" s="1"/>
  <c r="AA75" i="85"/>
  <c r="Z75" i="85"/>
  <c r="Y75" i="85"/>
  <c r="X75" i="85"/>
  <c r="W75" i="85"/>
  <c r="V75" i="85"/>
  <c r="U75" i="85"/>
  <c r="T75" i="85"/>
  <c r="S75" i="85"/>
  <c r="R75" i="85"/>
  <c r="Q75" i="85"/>
  <c r="P75" i="85"/>
  <c r="O75" i="85"/>
  <c r="N75" i="85"/>
  <c r="M75" i="85"/>
  <c r="L75" i="85"/>
  <c r="K75" i="85"/>
  <c r="J75" i="85"/>
  <c r="I75" i="85"/>
  <c r="H75" i="85"/>
  <c r="G75" i="85"/>
  <c r="E73" i="85"/>
  <c r="E80" i="85" s="1"/>
  <c r="E72" i="85"/>
  <c r="E79" i="85" s="1"/>
  <c r="E71" i="85"/>
  <c r="E78" i="85" s="1"/>
  <c r="A70" i="85"/>
  <c r="AA66" i="85"/>
  <c r="Z66" i="85"/>
  <c r="Y66" i="85"/>
  <c r="X66" i="85"/>
  <c r="W66" i="85"/>
  <c r="V66" i="85"/>
  <c r="U66" i="85"/>
  <c r="T66" i="85"/>
  <c r="S66" i="85"/>
  <c r="R66" i="85"/>
  <c r="Q66" i="85"/>
  <c r="P66" i="85"/>
  <c r="O66" i="85"/>
  <c r="N66" i="85"/>
  <c r="M66" i="85"/>
  <c r="L66" i="85"/>
  <c r="K66" i="85"/>
  <c r="J66" i="85"/>
  <c r="I66" i="85"/>
  <c r="H66" i="85"/>
  <c r="G66" i="85"/>
  <c r="AA65" i="85"/>
  <c r="Z65" i="85"/>
  <c r="Y65" i="85"/>
  <c r="X65" i="85"/>
  <c r="W65" i="85"/>
  <c r="V65" i="85"/>
  <c r="U65" i="85"/>
  <c r="T65" i="85"/>
  <c r="S65" i="85"/>
  <c r="R65" i="85"/>
  <c r="Q65" i="85"/>
  <c r="P65" i="85"/>
  <c r="O65" i="85"/>
  <c r="N65" i="85"/>
  <c r="M65" i="85"/>
  <c r="L65" i="85"/>
  <c r="K65" i="85"/>
  <c r="J65" i="85"/>
  <c r="I65" i="85"/>
  <c r="H65" i="85"/>
  <c r="G65" i="85"/>
  <c r="AA64" i="85"/>
  <c r="Z64" i="85"/>
  <c r="Y64" i="85"/>
  <c r="X64" i="85"/>
  <c r="W64" i="85"/>
  <c r="V64" i="85"/>
  <c r="U64" i="85"/>
  <c r="T64" i="85"/>
  <c r="S64" i="85"/>
  <c r="R64" i="85"/>
  <c r="Q64" i="85"/>
  <c r="P64" i="85"/>
  <c r="O64" i="85"/>
  <c r="N64" i="85"/>
  <c r="M64" i="85"/>
  <c r="L64" i="85"/>
  <c r="K64" i="85"/>
  <c r="J64" i="85"/>
  <c r="I64" i="85"/>
  <c r="H64" i="85"/>
  <c r="G64" i="85"/>
  <c r="U68" i="85" s="1"/>
  <c r="U85" i="85" s="1"/>
  <c r="AA61" i="85"/>
  <c r="AA84" i="85" s="1"/>
  <c r="AA235" i="85" s="1"/>
  <c r="Z61" i="85"/>
  <c r="Z84" i="85" s="1"/>
  <c r="Z235" i="85" s="1"/>
  <c r="Y61" i="85"/>
  <c r="Y84" i="85" s="1"/>
  <c r="Y235" i="85" s="1"/>
  <c r="X61" i="85"/>
  <c r="X84" i="85" s="1"/>
  <c r="X235" i="85" s="1"/>
  <c r="W61" i="85"/>
  <c r="W84" i="85" s="1"/>
  <c r="W235" i="85" s="1"/>
  <c r="V61" i="85"/>
  <c r="V84" i="85" s="1"/>
  <c r="V235" i="85" s="1"/>
  <c r="U61" i="85"/>
  <c r="U84" i="85" s="1"/>
  <c r="U235" i="85" s="1"/>
  <c r="T61" i="85"/>
  <c r="T84" i="85" s="1"/>
  <c r="T235" i="85" s="1"/>
  <c r="S61" i="85"/>
  <c r="S84" i="85" s="1"/>
  <c r="S235" i="85" s="1"/>
  <c r="R61" i="85"/>
  <c r="R84" i="85" s="1"/>
  <c r="R235" i="85" s="1"/>
  <c r="Q61" i="85"/>
  <c r="Q84" i="85" s="1"/>
  <c r="Q235" i="85" s="1"/>
  <c r="P61" i="85"/>
  <c r="P84" i="85" s="1"/>
  <c r="P235" i="85" s="1"/>
  <c r="O61" i="85"/>
  <c r="O84" i="85" s="1"/>
  <c r="O235" i="85" s="1"/>
  <c r="N61" i="85"/>
  <c r="N84" i="85" s="1"/>
  <c r="N235" i="85" s="1"/>
  <c r="M61" i="85"/>
  <c r="M84" i="85" s="1"/>
  <c r="M235" i="85" s="1"/>
  <c r="L61" i="85"/>
  <c r="L84" i="85" s="1"/>
  <c r="L235" i="85" s="1"/>
  <c r="K61" i="85"/>
  <c r="K84" i="85" s="1"/>
  <c r="K235" i="85" s="1"/>
  <c r="J61" i="85"/>
  <c r="J84" i="85" s="1"/>
  <c r="J235" i="85" s="1"/>
  <c r="I61" i="85"/>
  <c r="I84" i="85" s="1"/>
  <c r="I235" i="85" s="1"/>
  <c r="H61" i="85"/>
  <c r="H84" i="85" s="1"/>
  <c r="H235" i="85" s="1"/>
  <c r="G61" i="85"/>
  <c r="G84" i="85" s="1"/>
  <c r="G235" i="85" s="1"/>
  <c r="E59" i="85"/>
  <c r="E66" i="85" s="1"/>
  <c r="E58" i="85"/>
  <c r="E65" i="85" s="1"/>
  <c r="E57" i="85"/>
  <c r="E64" i="85" s="1"/>
  <c r="A56" i="85"/>
  <c r="A52" i="85"/>
  <c r="AA48" i="85"/>
  <c r="Z48" i="85"/>
  <c r="Y48" i="85"/>
  <c r="X48" i="85"/>
  <c r="W48" i="85"/>
  <c r="V48" i="85"/>
  <c r="U48" i="85"/>
  <c r="T48" i="85"/>
  <c r="S48" i="85"/>
  <c r="R48" i="85"/>
  <c r="Q48" i="85"/>
  <c r="P48" i="85"/>
  <c r="O48" i="85"/>
  <c r="N48" i="85"/>
  <c r="M48" i="85"/>
  <c r="L48" i="85"/>
  <c r="K48" i="85"/>
  <c r="J48" i="85"/>
  <c r="I48" i="85"/>
  <c r="H48" i="85"/>
  <c r="G48" i="85"/>
  <c r="AA47" i="85"/>
  <c r="Z47" i="85"/>
  <c r="Y47" i="85"/>
  <c r="X47" i="85"/>
  <c r="W47" i="85"/>
  <c r="V47" i="85"/>
  <c r="U47" i="85"/>
  <c r="T47" i="85"/>
  <c r="S47" i="85"/>
  <c r="R47" i="85"/>
  <c r="Q47" i="85"/>
  <c r="P47" i="85"/>
  <c r="O47" i="85"/>
  <c r="N47" i="85"/>
  <c r="M47" i="85"/>
  <c r="L47" i="85"/>
  <c r="K47" i="85"/>
  <c r="J47" i="85"/>
  <c r="I47" i="85"/>
  <c r="H47" i="85"/>
  <c r="G47" i="85"/>
  <c r="E47" i="85"/>
  <c r="AA46" i="85"/>
  <c r="Z46" i="85"/>
  <c r="Y46" i="85"/>
  <c r="X46" i="85"/>
  <c r="W46" i="85"/>
  <c r="V46" i="85"/>
  <c r="U46" i="85"/>
  <c r="T46" i="85"/>
  <c r="S46" i="85"/>
  <c r="R46" i="85"/>
  <c r="Q46" i="85"/>
  <c r="P46" i="85"/>
  <c r="O46" i="85"/>
  <c r="N46" i="85"/>
  <c r="M46" i="85"/>
  <c r="L46" i="85"/>
  <c r="K46" i="85"/>
  <c r="J46" i="85"/>
  <c r="I46" i="85"/>
  <c r="H46" i="85"/>
  <c r="G46" i="85"/>
  <c r="G45" i="85"/>
  <c r="G50" i="85" s="1"/>
  <c r="E45" i="85"/>
  <c r="G42" i="85"/>
  <c r="G222" i="85" s="1"/>
  <c r="E40" i="85"/>
  <c r="E48" i="85" s="1"/>
  <c r="E39" i="85"/>
  <c r="E38" i="85"/>
  <c r="E46" i="85" s="1"/>
  <c r="E37" i="85"/>
  <c r="A36" i="85"/>
  <c r="AA32" i="85"/>
  <c r="Z32" i="85"/>
  <c r="Y32" i="85"/>
  <c r="X32" i="85"/>
  <c r="W32" i="85"/>
  <c r="V32" i="85"/>
  <c r="U32" i="85"/>
  <c r="T32" i="85"/>
  <c r="S32" i="85"/>
  <c r="R32" i="85"/>
  <c r="Q32" i="85"/>
  <c r="P32" i="85"/>
  <c r="O32" i="85"/>
  <c r="N32" i="85"/>
  <c r="M32" i="85"/>
  <c r="L32" i="85"/>
  <c r="K32" i="85"/>
  <c r="J32" i="85"/>
  <c r="I32" i="85"/>
  <c r="H32" i="85"/>
  <c r="G32" i="85"/>
  <c r="E32" i="85"/>
  <c r="AA31" i="85"/>
  <c r="Z31" i="85"/>
  <c r="Y31" i="85"/>
  <c r="X31" i="85"/>
  <c r="W31" i="85"/>
  <c r="V31" i="85"/>
  <c r="U31" i="85"/>
  <c r="T31" i="85"/>
  <c r="S31" i="85"/>
  <c r="R31" i="85"/>
  <c r="Q31" i="85"/>
  <c r="P31" i="85"/>
  <c r="O31" i="85"/>
  <c r="N31" i="85"/>
  <c r="M31" i="85"/>
  <c r="L31" i="85"/>
  <c r="K31" i="85"/>
  <c r="J31" i="85"/>
  <c r="I31" i="85"/>
  <c r="H31" i="85"/>
  <c r="G31" i="85"/>
  <c r="AA30" i="85"/>
  <c r="Z30" i="85"/>
  <c r="Y30" i="85"/>
  <c r="X30" i="85"/>
  <c r="W30" i="85"/>
  <c r="V30" i="85"/>
  <c r="U30" i="85"/>
  <c r="T30" i="85"/>
  <c r="S30" i="85"/>
  <c r="R30" i="85"/>
  <c r="Q30" i="85"/>
  <c r="P30" i="85"/>
  <c r="O30" i="85"/>
  <c r="N30" i="85"/>
  <c r="M30" i="85"/>
  <c r="L30" i="85"/>
  <c r="K30" i="85"/>
  <c r="J30" i="85"/>
  <c r="I30" i="85"/>
  <c r="H30" i="85"/>
  <c r="G30" i="85"/>
  <c r="AA29" i="85"/>
  <c r="Z29" i="85"/>
  <c r="Y29" i="85"/>
  <c r="W29" i="85"/>
  <c r="AA26" i="85"/>
  <c r="AA234" i="85" s="1"/>
  <c r="Z26" i="85"/>
  <c r="Z234" i="85" s="1"/>
  <c r="Y26" i="85"/>
  <c r="Y234" i="85" s="1"/>
  <c r="W26" i="85"/>
  <c r="W234" i="85" s="1"/>
  <c r="E23" i="85"/>
  <c r="E31" i="85" s="1"/>
  <c r="E22" i="85"/>
  <c r="E30" i="85" s="1"/>
  <c r="R29" i="85"/>
  <c r="G29" i="85"/>
  <c r="E21" i="85"/>
  <c r="E29" i="85" s="1"/>
  <c r="A20" i="85"/>
  <c r="A18" i="85"/>
  <c r="G15" i="85"/>
  <c r="A15" i="85"/>
  <c r="G14" i="85"/>
  <c r="A14" i="85"/>
  <c r="A10" i="85"/>
  <c r="A9" i="85"/>
  <c r="A8" i="85"/>
  <c r="A7" i="85"/>
  <c r="A4" i="85"/>
  <c r="S21" i="25"/>
  <c r="T21" i="25"/>
  <c r="U21" i="25"/>
  <c r="V21" i="25"/>
  <c r="R21" i="25"/>
  <c r="S21" i="11"/>
  <c r="T21" i="11"/>
  <c r="U21" i="11"/>
  <c r="V21" i="11"/>
  <c r="R21" i="11"/>
  <c r="H120" i="85" l="1"/>
  <c r="I37" i="85"/>
  <c r="M93" i="85"/>
  <c r="X26" i="85"/>
  <c r="X234" i="85" s="1"/>
  <c r="H193" i="85"/>
  <c r="I193" i="85" s="1"/>
  <c r="J193" i="85" s="1"/>
  <c r="K193" i="85" s="1"/>
  <c r="L193" i="85" s="1"/>
  <c r="M193" i="85" s="1"/>
  <c r="N193" i="85" s="1"/>
  <c r="O193" i="85" s="1"/>
  <c r="P193" i="85" s="1"/>
  <c r="Q193" i="85" s="1"/>
  <c r="R193" i="85" s="1"/>
  <c r="S193" i="85" s="1"/>
  <c r="T193" i="85" s="1"/>
  <c r="U193" i="85" s="1"/>
  <c r="V193" i="85" s="1"/>
  <c r="W193" i="85" s="1"/>
  <c r="X193" i="85" s="1"/>
  <c r="Y193" i="85" s="1"/>
  <c r="Z193" i="85" s="1"/>
  <c r="AA193" i="85" s="1"/>
  <c r="H185" i="85"/>
  <c r="H167" i="85"/>
  <c r="I167" i="85" s="1"/>
  <c r="J167" i="85" s="1"/>
  <c r="K167" i="85" s="1"/>
  <c r="L167" i="85" s="1"/>
  <c r="M167" i="85" s="1"/>
  <c r="N167" i="85" s="1"/>
  <c r="O167" i="85" s="1"/>
  <c r="P167" i="85" s="1"/>
  <c r="Q167" i="85" s="1"/>
  <c r="R167" i="85" s="1"/>
  <c r="S167" i="85" s="1"/>
  <c r="T167" i="85" s="1"/>
  <c r="U167" i="85" s="1"/>
  <c r="V167" i="85" s="1"/>
  <c r="W167" i="85" s="1"/>
  <c r="X167" i="85" s="1"/>
  <c r="Y167" i="85" s="1"/>
  <c r="Z167" i="85" s="1"/>
  <c r="AA167" i="85" s="1"/>
  <c r="H165" i="85"/>
  <c r="I165" i="85" s="1"/>
  <c r="J165" i="85" s="1"/>
  <c r="K165" i="85" s="1"/>
  <c r="L165" i="85" s="1"/>
  <c r="M165" i="85" s="1"/>
  <c r="N165" i="85" s="1"/>
  <c r="O165" i="85" s="1"/>
  <c r="P165" i="85" s="1"/>
  <c r="Q165" i="85" s="1"/>
  <c r="R165" i="85" s="1"/>
  <c r="S165" i="85" s="1"/>
  <c r="T165" i="85" s="1"/>
  <c r="U165" i="85" s="1"/>
  <c r="V165" i="85" s="1"/>
  <c r="W165" i="85" s="1"/>
  <c r="X165" i="85" s="1"/>
  <c r="Y165" i="85" s="1"/>
  <c r="Z165" i="85" s="1"/>
  <c r="AA165" i="85" s="1"/>
  <c r="H126" i="85"/>
  <c r="I126" i="85" s="1"/>
  <c r="J126" i="85" s="1"/>
  <c r="K126" i="85" s="1"/>
  <c r="L126" i="85" s="1"/>
  <c r="M126" i="85" s="1"/>
  <c r="N126" i="85" s="1"/>
  <c r="O126" i="85" s="1"/>
  <c r="P126" i="85" s="1"/>
  <c r="Q126" i="85" s="1"/>
  <c r="R126" i="85" s="1"/>
  <c r="S126" i="85" s="1"/>
  <c r="T126" i="85" s="1"/>
  <c r="U126" i="85" s="1"/>
  <c r="V126" i="85" s="1"/>
  <c r="W126" i="85" s="1"/>
  <c r="X126" i="85" s="1"/>
  <c r="Y126" i="85" s="1"/>
  <c r="Z126" i="85" s="1"/>
  <c r="AA126" i="85" s="1"/>
  <c r="H146" i="85"/>
  <c r="I146" i="85" s="1"/>
  <c r="J146" i="85" s="1"/>
  <c r="K146" i="85" s="1"/>
  <c r="L146" i="85" s="1"/>
  <c r="M146" i="85" s="1"/>
  <c r="N146" i="85" s="1"/>
  <c r="O146" i="85" s="1"/>
  <c r="P146" i="85" s="1"/>
  <c r="Q146" i="85" s="1"/>
  <c r="R146" i="85" s="1"/>
  <c r="S146" i="85" s="1"/>
  <c r="T146" i="85" s="1"/>
  <c r="U146" i="85" s="1"/>
  <c r="V146" i="85" s="1"/>
  <c r="W146" i="85" s="1"/>
  <c r="X146" i="85" s="1"/>
  <c r="Y146" i="85" s="1"/>
  <c r="Z146" i="85" s="1"/>
  <c r="AA146" i="85" s="1"/>
  <c r="H144" i="85"/>
  <c r="I144" i="85" s="1"/>
  <c r="J144" i="85" s="1"/>
  <c r="K144" i="85" s="1"/>
  <c r="L144" i="85" s="1"/>
  <c r="M144" i="85" s="1"/>
  <c r="N144" i="85" s="1"/>
  <c r="O144" i="85" s="1"/>
  <c r="P144" i="85" s="1"/>
  <c r="Q144" i="85" s="1"/>
  <c r="R144" i="85" s="1"/>
  <c r="S144" i="85" s="1"/>
  <c r="T144" i="85" s="1"/>
  <c r="U144" i="85" s="1"/>
  <c r="V144" i="85" s="1"/>
  <c r="W144" i="85" s="1"/>
  <c r="X144" i="85" s="1"/>
  <c r="Y144" i="85" s="1"/>
  <c r="Z144" i="85" s="1"/>
  <c r="AA144" i="85" s="1"/>
  <c r="H168" i="85"/>
  <c r="I168" i="85" s="1"/>
  <c r="J168" i="85" s="1"/>
  <c r="K168" i="85" s="1"/>
  <c r="L168" i="85" s="1"/>
  <c r="M168" i="85" s="1"/>
  <c r="N168" i="85" s="1"/>
  <c r="O168" i="85" s="1"/>
  <c r="P168" i="85" s="1"/>
  <c r="Q168" i="85" s="1"/>
  <c r="R168" i="85" s="1"/>
  <c r="S168" i="85" s="1"/>
  <c r="T168" i="85" s="1"/>
  <c r="U168" i="85" s="1"/>
  <c r="V168" i="85" s="1"/>
  <c r="W168" i="85" s="1"/>
  <c r="X168" i="85" s="1"/>
  <c r="Y168" i="85" s="1"/>
  <c r="Z168" i="85" s="1"/>
  <c r="AA168" i="85" s="1"/>
  <c r="H166" i="85"/>
  <c r="I166" i="85" s="1"/>
  <c r="J166" i="85" s="1"/>
  <c r="K166" i="85" s="1"/>
  <c r="L166" i="85" s="1"/>
  <c r="M166" i="85" s="1"/>
  <c r="N166" i="85" s="1"/>
  <c r="O166" i="85" s="1"/>
  <c r="P166" i="85" s="1"/>
  <c r="Q166" i="85" s="1"/>
  <c r="R166" i="85" s="1"/>
  <c r="S166" i="85" s="1"/>
  <c r="T166" i="85" s="1"/>
  <c r="U166" i="85" s="1"/>
  <c r="V166" i="85" s="1"/>
  <c r="W166" i="85" s="1"/>
  <c r="X166" i="85" s="1"/>
  <c r="Y166" i="85" s="1"/>
  <c r="Z166" i="85" s="1"/>
  <c r="AA166" i="85" s="1"/>
  <c r="H147" i="85"/>
  <c r="I147" i="85" s="1"/>
  <c r="J147" i="85" s="1"/>
  <c r="K147" i="85" s="1"/>
  <c r="L147" i="85" s="1"/>
  <c r="M147" i="85" s="1"/>
  <c r="N147" i="85" s="1"/>
  <c r="O147" i="85" s="1"/>
  <c r="P147" i="85" s="1"/>
  <c r="Q147" i="85" s="1"/>
  <c r="R147" i="85" s="1"/>
  <c r="S147" i="85" s="1"/>
  <c r="T147" i="85" s="1"/>
  <c r="U147" i="85" s="1"/>
  <c r="V147" i="85" s="1"/>
  <c r="W147" i="85" s="1"/>
  <c r="X147" i="85" s="1"/>
  <c r="Y147" i="85" s="1"/>
  <c r="Z147" i="85" s="1"/>
  <c r="AA147" i="85" s="1"/>
  <c r="H145" i="85"/>
  <c r="I145" i="85" s="1"/>
  <c r="J145" i="85" s="1"/>
  <c r="K145" i="85" s="1"/>
  <c r="L145" i="85" s="1"/>
  <c r="M145" i="85" s="1"/>
  <c r="N145" i="85" s="1"/>
  <c r="O145" i="85" s="1"/>
  <c r="P145" i="85" s="1"/>
  <c r="Q145" i="85" s="1"/>
  <c r="R145" i="85" s="1"/>
  <c r="S145" i="85" s="1"/>
  <c r="T145" i="85" s="1"/>
  <c r="U145" i="85" s="1"/>
  <c r="V145" i="85" s="1"/>
  <c r="W145" i="85" s="1"/>
  <c r="X145" i="85" s="1"/>
  <c r="Y145" i="85" s="1"/>
  <c r="Z145" i="85" s="1"/>
  <c r="AA145" i="85" s="1"/>
  <c r="H123" i="85"/>
  <c r="I123" i="85" s="1"/>
  <c r="J123" i="85" s="1"/>
  <c r="K123" i="85" s="1"/>
  <c r="L123" i="85" s="1"/>
  <c r="M123" i="85" s="1"/>
  <c r="N123" i="85" s="1"/>
  <c r="O123" i="85" s="1"/>
  <c r="P123" i="85" s="1"/>
  <c r="Q123" i="85" s="1"/>
  <c r="R123" i="85" s="1"/>
  <c r="S123" i="85" s="1"/>
  <c r="T123" i="85" s="1"/>
  <c r="U123" i="85" s="1"/>
  <c r="V123" i="85" s="1"/>
  <c r="W123" i="85" s="1"/>
  <c r="X123" i="85" s="1"/>
  <c r="Y123" i="85" s="1"/>
  <c r="Z123" i="85" s="1"/>
  <c r="AA123" i="85" s="1"/>
  <c r="H104" i="85"/>
  <c r="I104" i="85" s="1"/>
  <c r="J104" i="85" s="1"/>
  <c r="K104" i="85" s="1"/>
  <c r="L104" i="85" s="1"/>
  <c r="M104" i="85" s="1"/>
  <c r="N104" i="85" s="1"/>
  <c r="O104" i="85" s="1"/>
  <c r="P104" i="85" s="1"/>
  <c r="Q104" i="85" s="1"/>
  <c r="R104" i="85" s="1"/>
  <c r="S104" i="85" s="1"/>
  <c r="T104" i="85" s="1"/>
  <c r="U104" i="85" s="1"/>
  <c r="V104" i="85" s="1"/>
  <c r="W104" i="85" s="1"/>
  <c r="X104" i="85" s="1"/>
  <c r="Y104" i="85" s="1"/>
  <c r="Z104" i="85" s="1"/>
  <c r="AA104" i="85" s="1"/>
  <c r="H102" i="85"/>
  <c r="I102" i="85" s="1"/>
  <c r="J102" i="85" s="1"/>
  <c r="K102" i="85" s="1"/>
  <c r="L102" i="85" s="1"/>
  <c r="M102" i="85" s="1"/>
  <c r="N102" i="85" s="1"/>
  <c r="O102" i="85" s="1"/>
  <c r="P102" i="85" s="1"/>
  <c r="Q102" i="85" s="1"/>
  <c r="R102" i="85" s="1"/>
  <c r="S102" i="85" s="1"/>
  <c r="T102" i="85" s="1"/>
  <c r="U102" i="85" s="1"/>
  <c r="V102" i="85" s="1"/>
  <c r="W102" i="85" s="1"/>
  <c r="X102" i="85" s="1"/>
  <c r="Y102" i="85" s="1"/>
  <c r="Z102" i="85" s="1"/>
  <c r="AA102" i="85" s="1"/>
  <c r="H105" i="85"/>
  <c r="I105" i="85" s="1"/>
  <c r="J105" i="85" s="1"/>
  <c r="K105" i="85" s="1"/>
  <c r="L105" i="85" s="1"/>
  <c r="M105" i="85" s="1"/>
  <c r="N105" i="85" s="1"/>
  <c r="O105" i="85" s="1"/>
  <c r="P105" i="85" s="1"/>
  <c r="Q105" i="85" s="1"/>
  <c r="R105" i="85" s="1"/>
  <c r="S105" i="85" s="1"/>
  <c r="T105" i="85" s="1"/>
  <c r="U105" i="85" s="1"/>
  <c r="V105" i="85" s="1"/>
  <c r="W105" i="85" s="1"/>
  <c r="X105" i="85" s="1"/>
  <c r="Y105" i="85" s="1"/>
  <c r="Z105" i="85" s="1"/>
  <c r="AA105" i="85" s="1"/>
  <c r="H125" i="85"/>
  <c r="I125" i="85" s="1"/>
  <c r="J125" i="85" s="1"/>
  <c r="K125" i="85" s="1"/>
  <c r="L125" i="85" s="1"/>
  <c r="M125" i="85" s="1"/>
  <c r="N125" i="85" s="1"/>
  <c r="O125" i="85" s="1"/>
  <c r="P125" i="85" s="1"/>
  <c r="Q125" i="85" s="1"/>
  <c r="R125" i="85" s="1"/>
  <c r="S125" i="85" s="1"/>
  <c r="T125" i="85" s="1"/>
  <c r="U125" i="85" s="1"/>
  <c r="V125" i="85" s="1"/>
  <c r="W125" i="85" s="1"/>
  <c r="X125" i="85" s="1"/>
  <c r="Y125" i="85" s="1"/>
  <c r="Z125" i="85" s="1"/>
  <c r="AA125" i="85" s="1"/>
  <c r="I301" i="85"/>
  <c r="I269" i="85"/>
  <c r="Q301" i="85"/>
  <c r="Q269" i="85"/>
  <c r="Y301" i="85"/>
  <c r="Y269" i="85"/>
  <c r="Y300" i="85"/>
  <c r="Y268" i="85"/>
  <c r="H301" i="85"/>
  <c r="H269" i="85"/>
  <c r="P301" i="85"/>
  <c r="P269" i="85"/>
  <c r="X301" i="85"/>
  <c r="X269" i="85"/>
  <c r="I121" i="85"/>
  <c r="I120" i="85"/>
  <c r="I119" i="85"/>
  <c r="I115" i="85"/>
  <c r="G26" i="85"/>
  <c r="G234" i="85" s="1"/>
  <c r="AA300" i="85"/>
  <c r="AA268" i="85"/>
  <c r="J301" i="85"/>
  <c r="J269" i="85"/>
  <c r="R301" i="85"/>
  <c r="R269" i="85"/>
  <c r="Z301" i="85"/>
  <c r="Z269" i="85"/>
  <c r="K269" i="85"/>
  <c r="K301" i="85"/>
  <c r="S301" i="85"/>
  <c r="S269" i="85"/>
  <c r="AA301" i="85"/>
  <c r="AA269" i="85"/>
  <c r="G16" i="85"/>
  <c r="R26" i="85"/>
  <c r="R234" i="85" s="1"/>
  <c r="L269" i="85"/>
  <c r="L301" i="85"/>
  <c r="T301" i="85"/>
  <c r="T269" i="85"/>
  <c r="U301" i="85"/>
  <c r="U269" i="85"/>
  <c r="M301" i="85"/>
  <c r="M269" i="85"/>
  <c r="W300" i="85"/>
  <c r="W268" i="85"/>
  <c r="N301" i="85"/>
  <c r="N269" i="85"/>
  <c r="V301" i="85"/>
  <c r="V269" i="85"/>
  <c r="I174" i="85"/>
  <c r="I217" i="85" s="1"/>
  <c r="H124" i="85"/>
  <c r="I124" i="85" s="1"/>
  <c r="J124" i="85" s="1"/>
  <c r="K124" i="85" s="1"/>
  <c r="L124" i="85" s="1"/>
  <c r="M124" i="85" s="1"/>
  <c r="N124" i="85" s="1"/>
  <c r="O124" i="85" s="1"/>
  <c r="P124" i="85" s="1"/>
  <c r="Q124" i="85" s="1"/>
  <c r="R124" i="85" s="1"/>
  <c r="S124" i="85" s="1"/>
  <c r="T124" i="85" s="1"/>
  <c r="U124" i="85" s="1"/>
  <c r="V124" i="85" s="1"/>
  <c r="W124" i="85" s="1"/>
  <c r="X124" i="85" s="1"/>
  <c r="Y124" i="85" s="1"/>
  <c r="Z124" i="85" s="1"/>
  <c r="AA124" i="85" s="1"/>
  <c r="G34" i="85"/>
  <c r="X300" i="85"/>
  <c r="X268" i="85"/>
  <c r="G301" i="85"/>
  <c r="G269" i="85"/>
  <c r="O301" i="85"/>
  <c r="O269" i="85"/>
  <c r="W301" i="85"/>
  <c r="W269" i="85"/>
  <c r="N68" i="85"/>
  <c r="N85" i="85" s="1"/>
  <c r="V68" i="85"/>
  <c r="V85" i="85" s="1"/>
  <c r="N82" i="85"/>
  <c r="V82" i="85"/>
  <c r="G68" i="85"/>
  <c r="O68" i="85"/>
  <c r="W68" i="85"/>
  <c r="G82" i="85"/>
  <c r="O82" i="85"/>
  <c r="W82" i="85"/>
  <c r="H91" i="85"/>
  <c r="J112" i="85"/>
  <c r="L261" i="85"/>
  <c r="L293" i="85"/>
  <c r="T261" i="85"/>
  <c r="T293" i="85"/>
  <c r="H68" i="85"/>
  <c r="P68" i="85"/>
  <c r="X68" i="85"/>
  <c r="H82" i="85"/>
  <c r="P82" i="85"/>
  <c r="X82" i="85"/>
  <c r="Z300" i="85"/>
  <c r="Z268" i="85"/>
  <c r="G288" i="85"/>
  <c r="G256" i="85"/>
  <c r="I68" i="85"/>
  <c r="I85" i="85" s="1"/>
  <c r="Q68" i="85"/>
  <c r="Y68" i="85"/>
  <c r="I82" i="85"/>
  <c r="Q82" i="85"/>
  <c r="Y82" i="85"/>
  <c r="H103" i="85"/>
  <c r="I103" i="85" s="1"/>
  <c r="J103" i="85" s="1"/>
  <c r="K103" i="85" s="1"/>
  <c r="L103" i="85" s="1"/>
  <c r="M103" i="85" s="1"/>
  <c r="N103" i="85" s="1"/>
  <c r="O103" i="85" s="1"/>
  <c r="P103" i="85" s="1"/>
  <c r="Q103" i="85" s="1"/>
  <c r="R103" i="85" s="1"/>
  <c r="S103" i="85" s="1"/>
  <c r="T103" i="85" s="1"/>
  <c r="U103" i="85" s="1"/>
  <c r="V103" i="85" s="1"/>
  <c r="W103" i="85" s="1"/>
  <c r="X103" i="85" s="1"/>
  <c r="Y103" i="85" s="1"/>
  <c r="Z103" i="85" s="1"/>
  <c r="AA103" i="85" s="1"/>
  <c r="J68" i="85"/>
  <c r="R68" i="85"/>
  <c r="Z68" i="85"/>
  <c r="J82" i="85"/>
  <c r="R82" i="85"/>
  <c r="Z82" i="85"/>
  <c r="I114" i="85"/>
  <c r="K68" i="85"/>
  <c r="S68" i="85"/>
  <c r="AA68" i="85"/>
  <c r="K82" i="85"/>
  <c r="S82" i="85"/>
  <c r="AA82" i="85"/>
  <c r="L68" i="85"/>
  <c r="T68" i="85"/>
  <c r="L82" i="85"/>
  <c r="T82" i="85"/>
  <c r="H121" i="85"/>
  <c r="H119" i="85"/>
  <c r="M68" i="85"/>
  <c r="M82" i="85"/>
  <c r="H170" i="85"/>
  <c r="I133" i="85"/>
  <c r="H136" i="85"/>
  <c r="H150" i="85"/>
  <c r="H141" i="85"/>
  <c r="I154" i="85"/>
  <c r="H157" i="85"/>
  <c r="H171" i="85"/>
  <c r="H192" i="85"/>
  <c r="N293" i="85"/>
  <c r="N261" i="85"/>
  <c r="V293" i="85"/>
  <c r="V261" i="85"/>
  <c r="N307" i="85"/>
  <c r="N275" i="85"/>
  <c r="V307" i="85"/>
  <c r="AB307" i="85" s="1"/>
  <c r="V275" i="85"/>
  <c r="AB275" i="85" s="1"/>
  <c r="AB241" i="85"/>
  <c r="H275" i="85"/>
  <c r="H307" i="85"/>
  <c r="X275" i="85"/>
  <c r="X307" i="85"/>
  <c r="H140" i="85"/>
  <c r="H149" i="85" s="1"/>
  <c r="L307" i="85"/>
  <c r="L275" i="85"/>
  <c r="T307" i="85"/>
  <c r="T275" i="85"/>
  <c r="G290" i="85"/>
  <c r="G238" i="85"/>
  <c r="G258" i="85"/>
  <c r="H227" i="85"/>
  <c r="P227" i="85"/>
  <c r="X227" i="85"/>
  <c r="K302" i="85"/>
  <c r="K270" i="85"/>
  <c r="S302" i="85"/>
  <c r="S270" i="85"/>
  <c r="AA302" i="85"/>
  <c r="AA270" i="85"/>
  <c r="M306" i="85"/>
  <c r="M274" i="85"/>
  <c r="U306" i="85"/>
  <c r="U274" i="85"/>
  <c r="M307" i="85"/>
  <c r="M275" i="85"/>
  <c r="U307" i="85"/>
  <c r="U275" i="85"/>
  <c r="I293" i="85"/>
  <c r="I261" i="85"/>
  <c r="Q293" i="85"/>
  <c r="Q261" i="85"/>
  <c r="Y293" i="85"/>
  <c r="Y261" i="85"/>
  <c r="L302" i="85"/>
  <c r="L270" i="85"/>
  <c r="T302" i="85"/>
  <c r="T270" i="85"/>
  <c r="G303" i="85"/>
  <c r="G271" i="85"/>
  <c r="L240" i="85"/>
  <c r="P275" i="85"/>
  <c r="P307" i="85"/>
  <c r="J293" i="85"/>
  <c r="J261" i="85"/>
  <c r="R293" i="85"/>
  <c r="R261" i="85"/>
  <c r="Z293" i="85"/>
  <c r="Z261" i="85"/>
  <c r="N240" i="85"/>
  <c r="R274" i="85"/>
  <c r="J307" i="85"/>
  <c r="O274" i="85"/>
  <c r="O306" i="85"/>
  <c r="W274" i="85"/>
  <c r="W306" i="85"/>
  <c r="O307" i="85"/>
  <c r="O275" i="85"/>
  <c r="W307" i="85"/>
  <c r="W275" i="85"/>
  <c r="G289" i="85"/>
  <c r="G257" i="85"/>
  <c r="K227" i="85"/>
  <c r="S227" i="85"/>
  <c r="AA227" i="85"/>
  <c r="V302" i="85"/>
  <c r="V270" i="85"/>
  <c r="T240" i="85"/>
  <c r="S275" i="85"/>
  <c r="H274" i="85"/>
  <c r="H306" i="85"/>
  <c r="P274" i="85"/>
  <c r="P306" i="85"/>
  <c r="X306" i="85"/>
  <c r="X274" i="85"/>
  <c r="G302" i="85"/>
  <c r="G270" i="85"/>
  <c r="O270" i="85"/>
  <c r="O302" i="85"/>
  <c r="W302" i="85"/>
  <c r="W270" i="85"/>
  <c r="V240" i="85"/>
  <c r="M270" i="85"/>
  <c r="I306" i="85"/>
  <c r="I274" i="85"/>
  <c r="Q306" i="85"/>
  <c r="Q274" i="85"/>
  <c r="Y306" i="85"/>
  <c r="Y274" i="85"/>
  <c r="I275" i="85"/>
  <c r="I307" i="85"/>
  <c r="Q275" i="85"/>
  <c r="Q307" i="85"/>
  <c r="Y275" i="85"/>
  <c r="Y307" i="85"/>
  <c r="G259" i="85"/>
  <c r="G291" i="85"/>
  <c r="M227" i="85"/>
  <c r="U227" i="85"/>
  <c r="H302" i="85"/>
  <c r="H270" i="85"/>
  <c r="P302" i="85"/>
  <c r="P270" i="85"/>
  <c r="X302" i="85"/>
  <c r="X270" i="85"/>
  <c r="U270" i="85"/>
  <c r="J306" i="85"/>
  <c r="J274" i="85"/>
  <c r="Z306" i="85"/>
  <c r="Z274" i="85"/>
  <c r="R307" i="85"/>
  <c r="R275" i="85"/>
  <c r="Z307" i="85"/>
  <c r="Z275" i="85"/>
  <c r="I302" i="85"/>
  <c r="I270" i="85"/>
  <c r="Q302" i="85"/>
  <c r="Q270" i="85"/>
  <c r="Y302" i="85"/>
  <c r="Y270" i="85"/>
  <c r="G261" i="85"/>
  <c r="K306" i="85"/>
  <c r="K274" i="85"/>
  <c r="S306" i="85"/>
  <c r="S274" i="85"/>
  <c r="AA306" i="85"/>
  <c r="AA274" i="85"/>
  <c r="K307" i="85"/>
  <c r="K275" i="85"/>
  <c r="AA307" i="85"/>
  <c r="AA275" i="85"/>
  <c r="O227" i="85"/>
  <c r="W227" i="85"/>
  <c r="J302" i="85"/>
  <c r="J270" i="85"/>
  <c r="R302" i="85"/>
  <c r="R270" i="85"/>
  <c r="Z302" i="85"/>
  <c r="Z270" i="85"/>
  <c r="G307" i="85"/>
  <c r="G275" i="85"/>
  <c r="G273" i="85"/>
  <c r="G306" i="85"/>
  <c r="D8" i="35"/>
  <c r="E8" i="35"/>
  <c r="F8" i="35"/>
  <c r="G8" i="35"/>
  <c r="C8" i="35"/>
  <c r="D16" i="35"/>
  <c r="E16" i="35"/>
  <c r="F16" i="35"/>
  <c r="G16" i="35"/>
  <c r="C16" i="35"/>
  <c r="D12" i="35"/>
  <c r="E12" i="35"/>
  <c r="F12" i="35"/>
  <c r="G12" i="35"/>
  <c r="C12" i="35"/>
  <c r="I129" i="85" l="1"/>
  <c r="J37" i="85"/>
  <c r="J45" i="85" s="1"/>
  <c r="H129" i="85"/>
  <c r="J121" i="85"/>
  <c r="J119" i="85"/>
  <c r="J120" i="85"/>
  <c r="J129" i="85" s="1"/>
  <c r="J115" i="85"/>
  <c r="S261" i="85"/>
  <c r="S293" i="85"/>
  <c r="AA42" i="85"/>
  <c r="AA222" i="85" s="1"/>
  <c r="AA45" i="85"/>
  <c r="AA85" i="85"/>
  <c r="K261" i="85"/>
  <c r="K293" i="85"/>
  <c r="I142" i="85"/>
  <c r="I150" i="85" s="1"/>
  <c r="I140" i="85"/>
  <c r="I141" i="85"/>
  <c r="J133" i="85"/>
  <c r="I136" i="85"/>
  <c r="Y42" i="85"/>
  <c r="Y222" i="85" s="1"/>
  <c r="Y45" i="85"/>
  <c r="J42" i="85"/>
  <c r="J222" i="85" s="1"/>
  <c r="W293" i="85"/>
  <c r="W261" i="85"/>
  <c r="P293" i="85"/>
  <c r="P261" i="85"/>
  <c r="T85" i="85"/>
  <c r="S85" i="85"/>
  <c r="Z85" i="85"/>
  <c r="W85" i="85"/>
  <c r="U26" i="85"/>
  <c r="U234" i="85" s="1"/>
  <c r="U29" i="85"/>
  <c r="G300" i="85"/>
  <c r="G268" i="85"/>
  <c r="O293" i="85"/>
  <c r="O261" i="85"/>
  <c r="T306" i="85"/>
  <c r="T274" i="85"/>
  <c r="H293" i="85"/>
  <c r="H261" i="85"/>
  <c r="M85" i="85"/>
  <c r="L85" i="85"/>
  <c r="K85" i="85"/>
  <c r="R85" i="85"/>
  <c r="X85" i="85"/>
  <c r="O85" i="85"/>
  <c r="V26" i="85"/>
  <c r="V234" i="85" s="1"/>
  <c r="V29" i="85"/>
  <c r="R300" i="85"/>
  <c r="R268" i="85"/>
  <c r="Z42" i="85"/>
  <c r="Z222" i="85" s="1"/>
  <c r="Z45" i="85"/>
  <c r="I185" i="85"/>
  <c r="X293" i="85"/>
  <c r="X261" i="85"/>
  <c r="I162" i="85"/>
  <c r="I171" i="85"/>
  <c r="I157" i="85"/>
  <c r="J154" i="85"/>
  <c r="I163" i="85"/>
  <c r="I161" i="85"/>
  <c r="I170" i="85" s="1"/>
  <c r="J85" i="85"/>
  <c r="Y85" i="85"/>
  <c r="P85" i="85"/>
  <c r="G85" i="85"/>
  <c r="S29" i="85"/>
  <c r="S26" i="85"/>
  <c r="S234" i="85" s="1"/>
  <c r="H45" i="85"/>
  <c r="H42" i="85"/>
  <c r="H222" i="85" s="1"/>
  <c r="W42" i="85"/>
  <c r="W222" i="85" s="1"/>
  <c r="W45" i="85"/>
  <c r="I192" i="85"/>
  <c r="U261" i="85"/>
  <c r="U293" i="85"/>
  <c r="M261" i="85"/>
  <c r="M293" i="85"/>
  <c r="V274" i="85"/>
  <c r="AB274" i="85" s="1"/>
  <c r="V306" i="85"/>
  <c r="AB306" i="85" s="1"/>
  <c r="AB240" i="85"/>
  <c r="N274" i="85"/>
  <c r="N306" i="85"/>
  <c r="G304" i="85"/>
  <c r="G272" i="85"/>
  <c r="H128" i="85"/>
  <c r="Q85" i="85"/>
  <c r="H85" i="85"/>
  <c r="J114" i="85"/>
  <c r="J174" i="85" s="1"/>
  <c r="J217" i="85" s="1"/>
  <c r="X45" i="85"/>
  <c r="X42" i="85"/>
  <c r="X222" i="85" s="1"/>
  <c r="G226" i="85"/>
  <c r="AA293" i="85"/>
  <c r="AA261" i="85"/>
  <c r="L306" i="85"/>
  <c r="L274" i="85"/>
  <c r="H99" i="85"/>
  <c r="H100" i="85"/>
  <c r="H98" i="85"/>
  <c r="H107" i="85" s="1"/>
  <c r="H176" i="85" s="1"/>
  <c r="H179" i="85" s="1"/>
  <c r="H94" i="85"/>
  <c r="H175" i="85" s="1"/>
  <c r="I91" i="85"/>
  <c r="T26" i="85"/>
  <c r="T234" i="85" s="1"/>
  <c r="T29" i="85"/>
  <c r="I128" i="85"/>
  <c r="I42" i="85"/>
  <c r="I222" i="85" s="1"/>
  <c r="I45" i="85"/>
  <c r="D32" i="54"/>
  <c r="E32" i="54"/>
  <c r="F32" i="54"/>
  <c r="G32" i="54"/>
  <c r="H32" i="54"/>
  <c r="I32" i="54"/>
  <c r="J32" i="54"/>
  <c r="K32" i="54"/>
  <c r="L32" i="54"/>
  <c r="M32" i="54"/>
  <c r="N32" i="54"/>
  <c r="O32" i="54"/>
  <c r="P32" i="54"/>
  <c r="Q32" i="54"/>
  <c r="D33" i="54"/>
  <c r="E33" i="54"/>
  <c r="F33" i="54"/>
  <c r="G33" i="54"/>
  <c r="H33" i="54"/>
  <c r="I33" i="54"/>
  <c r="J33" i="54"/>
  <c r="K33" i="54"/>
  <c r="L33" i="54"/>
  <c r="M33" i="54"/>
  <c r="N33" i="54"/>
  <c r="O33" i="54"/>
  <c r="P33" i="54"/>
  <c r="Q33" i="54"/>
  <c r="D34" i="54"/>
  <c r="E34" i="54"/>
  <c r="F34" i="54"/>
  <c r="G34" i="54"/>
  <c r="H34" i="54"/>
  <c r="I34" i="54"/>
  <c r="J34" i="54"/>
  <c r="K34" i="54"/>
  <c r="L34" i="54"/>
  <c r="M34" i="54"/>
  <c r="N34" i="54"/>
  <c r="O34" i="54"/>
  <c r="P34" i="54"/>
  <c r="Q34" i="54"/>
  <c r="D35" i="54"/>
  <c r="E35" i="54"/>
  <c r="F35" i="54"/>
  <c r="G35" i="54"/>
  <c r="H35" i="54"/>
  <c r="I35" i="54"/>
  <c r="J35" i="54"/>
  <c r="K35" i="54"/>
  <c r="L35" i="54"/>
  <c r="M35" i="54"/>
  <c r="N35" i="54"/>
  <c r="O35" i="54"/>
  <c r="P35" i="54"/>
  <c r="Q35" i="54"/>
  <c r="D36" i="54"/>
  <c r="E36" i="54"/>
  <c r="F36" i="54"/>
  <c r="G36" i="54"/>
  <c r="H36" i="54"/>
  <c r="I36" i="54"/>
  <c r="J36" i="54"/>
  <c r="K36" i="54"/>
  <c r="L36" i="54"/>
  <c r="M36" i="54"/>
  <c r="N36" i="54"/>
  <c r="O36" i="54"/>
  <c r="P36" i="54"/>
  <c r="Q36" i="54"/>
  <c r="D37" i="54"/>
  <c r="E37" i="54"/>
  <c r="F37" i="54"/>
  <c r="G37" i="54"/>
  <c r="H37" i="54"/>
  <c r="I37" i="54"/>
  <c r="J37" i="54"/>
  <c r="K37" i="54"/>
  <c r="L37" i="54"/>
  <c r="M37" i="54"/>
  <c r="N37" i="54"/>
  <c r="O37" i="54"/>
  <c r="P37" i="54"/>
  <c r="Q37" i="54"/>
  <c r="C33" i="54"/>
  <c r="C34" i="54"/>
  <c r="C35" i="54"/>
  <c r="C36" i="54"/>
  <c r="C37" i="54"/>
  <c r="C32" i="54"/>
  <c r="D21" i="54"/>
  <c r="E21" i="54"/>
  <c r="F21" i="54"/>
  <c r="G21" i="54"/>
  <c r="H21" i="54"/>
  <c r="I21" i="54"/>
  <c r="J21" i="54"/>
  <c r="K21" i="54"/>
  <c r="K42" i="54" s="1"/>
  <c r="L21" i="54"/>
  <c r="M21" i="54"/>
  <c r="N21" i="54"/>
  <c r="O21" i="54"/>
  <c r="P21" i="54"/>
  <c r="Q21" i="54"/>
  <c r="D22" i="54"/>
  <c r="E22" i="54"/>
  <c r="F22" i="54"/>
  <c r="G22" i="54"/>
  <c r="H22" i="54"/>
  <c r="I22" i="54"/>
  <c r="J22" i="54"/>
  <c r="K22" i="54"/>
  <c r="L22" i="54"/>
  <c r="M22" i="54"/>
  <c r="M42" i="54" s="1"/>
  <c r="N22" i="54"/>
  <c r="O22" i="54"/>
  <c r="P22" i="54"/>
  <c r="Q22" i="54"/>
  <c r="D23" i="54"/>
  <c r="E23" i="54"/>
  <c r="F23" i="54"/>
  <c r="G23" i="54"/>
  <c r="H23" i="54"/>
  <c r="I23" i="54"/>
  <c r="J23" i="54"/>
  <c r="K23" i="54"/>
  <c r="L23" i="54"/>
  <c r="M23" i="54"/>
  <c r="N23" i="54"/>
  <c r="O23" i="54"/>
  <c r="P23" i="54"/>
  <c r="Q23" i="54"/>
  <c r="D24" i="54"/>
  <c r="E24" i="54"/>
  <c r="F24" i="54"/>
  <c r="G24" i="54"/>
  <c r="H24" i="54"/>
  <c r="I24" i="54"/>
  <c r="J24" i="54"/>
  <c r="K24" i="54"/>
  <c r="L24" i="54"/>
  <c r="M24" i="54"/>
  <c r="N24" i="54"/>
  <c r="O24" i="54"/>
  <c r="P24" i="54"/>
  <c r="Q24" i="54"/>
  <c r="Q42" i="54" s="1"/>
  <c r="D25" i="54"/>
  <c r="E25" i="54"/>
  <c r="F25" i="54"/>
  <c r="G25" i="54"/>
  <c r="H25" i="54"/>
  <c r="I25" i="54"/>
  <c r="J25" i="54"/>
  <c r="K25" i="54"/>
  <c r="L25" i="54"/>
  <c r="M25" i="54"/>
  <c r="N25" i="54"/>
  <c r="O25" i="54"/>
  <c r="P25" i="54"/>
  <c r="Q25" i="54"/>
  <c r="D26" i="54"/>
  <c r="E26" i="54"/>
  <c r="F26" i="54"/>
  <c r="G26" i="54"/>
  <c r="H26" i="54"/>
  <c r="I26" i="54"/>
  <c r="J26" i="54"/>
  <c r="K26" i="54"/>
  <c r="L26" i="54"/>
  <c r="M26" i="54"/>
  <c r="N26" i="54"/>
  <c r="O26" i="54"/>
  <c r="P26" i="54"/>
  <c r="Q26" i="54"/>
  <c r="D27" i="54"/>
  <c r="E27" i="54"/>
  <c r="F27" i="54"/>
  <c r="G27" i="54"/>
  <c r="H27" i="54"/>
  <c r="I27" i="54"/>
  <c r="J27" i="54"/>
  <c r="K27" i="54"/>
  <c r="L27" i="54"/>
  <c r="M27" i="54"/>
  <c r="N27" i="54"/>
  <c r="O27" i="54"/>
  <c r="P27" i="54"/>
  <c r="Q27" i="54"/>
  <c r="D28" i="54"/>
  <c r="E28" i="54"/>
  <c r="F28" i="54"/>
  <c r="G28" i="54"/>
  <c r="H28" i="54"/>
  <c r="I28" i="54"/>
  <c r="J28" i="54"/>
  <c r="K28" i="54"/>
  <c r="L28" i="54"/>
  <c r="M28" i="54"/>
  <c r="N28" i="54"/>
  <c r="O28" i="54"/>
  <c r="P28" i="54"/>
  <c r="Q28" i="54"/>
  <c r="D29" i="54"/>
  <c r="E29" i="54"/>
  <c r="F29" i="54"/>
  <c r="G29" i="54"/>
  <c r="H29" i="54"/>
  <c r="I29" i="54"/>
  <c r="J29" i="54"/>
  <c r="K29" i="54"/>
  <c r="L29" i="54"/>
  <c r="M29" i="54"/>
  <c r="N29" i="54"/>
  <c r="O29" i="54"/>
  <c r="P29" i="54"/>
  <c r="Q29" i="54"/>
  <c r="C22" i="54"/>
  <c r="C23" i="54"/>
  <c r="C24" i="54"/>
  <c r="C25" i="54"/>
  <c r="C26" i="54"/>
  <c r="C27" i="54"/>
  <c r="C28" i="54"/>
  <c r="C29" i="54"/>
  <c r="C21" i="54"/>
  <c r="D8" i="54"/>
  <c r="E8" i="54"/>
  <c r="F8" i="54"/>
  <c r="G8" i="54"/>
  <c r="H8" i="54"/>
  <c r="I8" i="54"/>
  <c r="J8" i="54"/>
  <c r="K8" i="54"/>
  <c r="L8" i="54"/>
  <c r="M8" i="54"/>
  <c r="N8" i="54"/>
  <c r="O8" i="54"/>
  <c r="P8" i="54"/>
  <c r="Q8" i="54"/>
  <c r="D9" i="54"/>
  <c r="E9" i="54"/>
  <c r="F9" i="54"/>
  <c r="G9" i="54"/>
  <c r="H9" i="54"/>
  <c r="I9" i="54"/>
  <c r="J9" i="54"/>
  <c r="K9" i="54"/>
  <c r="L9" i="54"/>
  <c r="M9" i="54"/>
  <c r="N9" i="54"/>
  <c r="O9" i="54"/>
  <c r="P9" i="54"/>
  <c r="Q9" i="54"/>
  <c r="D10" i="54"/>
  <c r="E10" i="54"/>
  <c r="F10" i="54"/>
  <c r="G10" i="54"/>
  <c r="H10" i="54"/>
  <c r="I10" i="54"/>
  <c r="J10" i="54"/>
  <c r="K10" i="54"/>
  <c r="L10" i="54"/>
  <c r="M10" i="54"/>
  <c r="N10" i="54"/>
  <c r="O10" i="54"/>
  <c r="P10" i="54"/>
  <c r="Q10" i="54"/>
  <c r="D11" i="54"/>
  <c r="E11" i="54"/>
  <c r="F11" i="54"/>
  <c r="G11" i="54"/>
  <c r="H11" i="54"/>
  <c r="I11" i="54"/>
  <c r="J11" i="54"/>
  <c r="K11" i="54"/>
  <c r="L11" i="54"/>
  <c r="M11" i="54"/>
  <c r="N11" i="54"/>
  <c r="O11" i="54"/>
  <c r="P11" i="54"/>
  <c r="Q11" i="54"/>
  <c r="D12" i="54"/>
  <c r="E12" i="54"/>
  <c r="F12" i="54"/>
  <c r="G12" i="54"/>
  <c r="H12" i="54"/>
  <c r="I12" i="54"/>
  <c r="J12" i="54"/>
  <c r="K12" i="54"/>
  <c r="L12" i="54"/>
  <c r="M12" i="54"/>
  <c r="N12" i="54"/>
  <c r="O12" i="54"/>
  <c r="P12" i="54"/>
  <c r="Q12" i="54"/>
  <c r="D13" i="54"/>
  <c r="E13" i="54"/>
  <c r="F13" i="54"/>
  <c r="G13" i="54"/>
  <c r="H13" i="54"/>
  <c r="I13" i="54"/>
  <c r="J13" i="54"/>
  <c r="K13" i="54"/>
  <c r="L13" i="54"/>
  <c r="M13" i="54"/>
  <c r="N13" i="54"/>
  <c r="O13" i="54"/>
  <c r="P13" i="54"/>
  <c r="Q13" i="54"/>
  <c r="D14" i="54"/>
  <c r="E14" i="54"/>
  <c r="F14" i="54"/>
  <c r="G14" i="54"/>
  <c r="H14" i="54"/>
  <c r="I14" i="54"/>
  <c r="J14" i="54"/>
  <c r="K14" i="54"/>
  <c r="L14" i="54"/>
  <c r="M14" i="54"/>
  <c r="N14" i="54"/>
  <c r="O14" i="54"/>
  <c r="P14" i="54"/>
  <c r="Q14" i="54"/>
  <c r="D15" i="54"/>
  <c r="E15" i="54"/>
  <c r="F15" i="54"/>
  <c r="G15" i="54"/>
  <c r="H15" i="54"/>
  <c r="I15" i="54"/>
  <c r="J15" i="54"/>
  <c r="K15" i="54"/>
  <c r="L15" i="54"/>
  <c r="M15" i="54"/>
  <c r="N15" i="54"/>
  <c r="O15" i="54"/>
  <c r="P15" i="54"/>
  <c r="Q15" i="54"/>
  <c r="D16" i="54"/>
  <c r="E16" i="54"/>
  <c r="F16" i="54"/>
  <c r="G16" i="54"/>
  <c r="H16" i="54"/>
  <c r="I16" i="54"/>
  <c r="J16" i="54"/>
  <c r="K16" i="54"/>
  <c r="L16" i="54"/>
  <c r="M16" i="54"/>
  <c r="N16" i="54"/>
  <c r="O16" i="54"/>
  <c r="P16" i="54"/>
  <c r="Q16" i="54"/>
  <c r="D17" i="54"/>
  <c r="E17" i="54"/>
  <c r="F17" i="54"/>
  <c r="G17" i="54"/>
  <c r="H17" i="54"/>
  <c r="I17" i="54"/>
  <c r="J17" i="54"/>
  <c r="K17" i="54"/>
  <c r="L17" i="54"/>
  <c r="M17" i="54"/>
  <c r="N17" i="54"/>
  <c r="O17" i="54"/>
  <c r="P17" i="54"/>
  <c r="Q17" i="54"/>
  <c r="D18" i="54"/>
  <c r="E18" i="54"/>
  <c r="F18" i="54"/>
  <c r="G18" i="54"/>
  <c r="H18" i="54"/>
  <c r="I18" i="54"/>
  <c r="J18" i="54"/>
  <c r="K18" i="54"/>
  <c r="L18" i="54"/>
  <c r="M18" i="54"/>
  <c r="N18" i="54"/>
  <c r="O18" i="54"/>
  <c r="P18" i="54"/>
  <c r="Q18" i="54"/>
  <c r="C9" i="54"/>
  <c r="C10" i="54"/>
  <c r="C11" i="54"/>
  <c r="C12" i="54"/>
  <c r="C13" i="54"/>
  <c r="C14" i="54"/>
  <c r="C15" i="54"/>
  <c r="C16" i="54"/>
  <c r="C17" i="54"/>
  <c r="C18" i="54"/>
  <c r="C8" i="54"/>
  <c r="J42" i="54"/>
  <c r="L42" i="54"/>
  <c r="N42" i="54"/>
  <c r="O42" i="54"/>
  <c r="P42" i="54"/>
  <c r="I42" i="54"/>
  <c r="H42" i="54"/>
  <c r="E3" i="47"/>
  <c r="F3" i="47"/>
  <c r="G3" i="47"/>
  <c r="H3" i="47"/>
  <c r="I3" i="47"/>
  <c r="J3" i="47"/>
  <c r="K3" i="47"/>
  <c r="L3" i="47"/>
  <c r="M3" i="47"/>
  <c r="N3" i="47"/>
  <c r="O3" i="47"/>
  <c r="P3" i="47"/>
  <c r="Q3" i="47"/>
  <c r="R3" i="47"/>
  <c r="S3" i="47"/>
  <c r="T3" i="47" s="1"/>
  <c r="U3" i="47" s="1"/>
  <c r="V3" i="47" s="1"/>
  <c r="W3" i="47" s="1"/>
  <c r="D3" i="47"/>
  <c r="K112" i="85" l="1"/>
  <c r="K37" i="85"/>
  <c r="K121" i="85"/>
  <c r="K119" i="85"/>
  <c r="K120" i="85"/>
  <c r="K115" i="85"/>
  <c r="S300" i="85"/>
  <c r="S268" i="85"/>
  <c r="H200" i="85"/>
  <c r="H187" i="85"/>
  <c r="H224" i="85" s="1"/>
  <c r="V300" i="85"/>
  <c r="V268" i="85"/>
  <c r="Y288" i="85"/>
  <c r="Y256" i="85"/>
  <c r="H108" i="85"/>
  <c r="H177" i="85" s="1"/>
  <c r="J185" i="85"/>
  <c r="W288" i="85"/>
  <c r="W256" i="85"/>
  <c r="J162" i="85"/>
  <c r="J157" i="85"/>
  <c r="K154" i="85"/>
  <c r="J163" i="85"/>
  <c r="J161" i="85"/>
  <c r="J170" i="85" s="1"/>
  <c r="U300" i="85"/>
  <c r="U268" i="85"/>
  <c r="I288" i="85"/>
  <c r="I256" i="85"/>
  <c r="J192" i="85"/>
  <c r="T300" i="85"/>
  <c r="T268" i="85"/>
  <c r="G292" i="85"/>
  <c r="G260" i="85"/>
  <c r="G230" i="85"/>
  <c r="G231" i="85" s="1"/>
  <c r="G242" i="85" s="1"/>
  <c r="Z288" i="85"/>
  <c r="Z256" i="85"/>
  <c r="J141" i="85"/>
  <c r="J136" i="85"/>
  <c r="K133" i="85"/>
  <c r="J142" i="85"/>
  <c r="J140" i="85"/>
  <c r="J149" i="85" s="1"/>
  <c r="X288" i="85"/>
  <c r="X256" i="85"/>
  <c r="I100" i="85"/>
  <c r="I98" i="85"/>
  <c r="I94" i="85"/>
  <c r="I175" i="85" s="1"/>
  <c r="J91" i="85"/>
  <c r="I99" i="85"/>
  <c r="H288" i="85"/>
  <c r="H256" i="85"/>
  <c r="J288" i="85"/>
  <c r="J256" i="85"/>
  <c r="AA288" i="85"/>
  <c r="AA256" i="85"/>
  <c r="J128" i="85"/>
  <c r="K114" i="85"/>
  <c r="K174" i="85" s="1"/>
  <c r="K217" i="85" s="1"/>
  <c r="L37" i="85"/>
  <c r="J50" i="85"/>
  <c r="I50" i="85"/>
  <c r="H50" i="85"/>
  <c r="I149" i="85"/>
  <c r="S21" i="46"/>
  <c r="T21" i="46"/>
  <c r="U21" i="46"/>
  <c r="V21" i="46"/>
  <c r="R21" i="46"/>
  <c r="S21" i="29"/>
  <c r="T21" i="29"/>
  <c r="U21" i="29"/>
  <c r="V21" i="29"/>
  <c r="R21" i="29"/>
  <c r="S21" i="10"/>
  <c r="T21" i="10"/>
  <c r="U21" i="10"/>
  <c r="V21" i="10"/>
  <c r="R21" i="10"/>
  <c r="S21" i="13"/>
  <c r="T21" i="13"/>
  <c r="U21" i="13"/>
  <c r="V21" i="13"/>
  <c r="R21" i="13"/>
  <c r="I21" i="13"/>
  <c r="J21" i="13"/>
  <c r="Q21" i="13"/>
  <c r="H21" i="13"/>
  <c r="J61" i="84"/>
  <c r="S21" i="16"/>
  <c r="T21" i="16"/>
  <c r="U21" i="16"/>
  <c r="V21" i="16"/>
  <c r="R21" i="16"/>
  <c r="S21" i="21"/>
  <c r="T21" i="21"/>
  <c r="U21" i="21"/>
  <c r="V21" i="21"/>
  <c r="R21" i="21"/>
  <c r="K93" i="84"/>
  <c r="K99" i="84" s="1"/>
  <c r="L93" i="84"/>
  <c r="L99" i="84" s="1"/>
  <c r="M93" i="84"/>
  <c r="M99" i="84" s="1"/>
  <c r="N93" i="84"/>
  <c r="N99" i="84" s="1"/>
  <c r="O93" i="84"/>
  <c r="O99" i="84" s="1"/>
  <c r="P93" i="84"/>
  <c r="P99" i="84" s="1"/>
  <c r="Q93" i="84"/>
  <c r="Q99" i="84" s="1"/>
  <c r="R93" i="84"/>
  <c r="R99" i="84" s="1"/>
  <c r="S93" i="84"/>
  <c r="S99" i="84" s="1"/>
  <c r="K94" i="84"/>
  <c r="K100" i="84" s="1"/>
  <c r="I21" i="29" s="1"/>
  <c r="L94" i="84"/>
  <c r="L100" i="84" s="1"/>
  <c r="J21" i="29" s="1"/>
  <c r="M94" i="84"/>
  <c r="M100" i="84" s="1"/>
  <c r="K21" i="29" s="1"/>
  <c r="N94" i="84"/>
  <c r="N100" i="84" s="1"/>
  <c r="L21" i="29" s="1"/>
  <c r="O94" i="84"/>
  <c r="O100" i="84" s="1"/>
  <c r="M21" i="29" s="1"/>
  <c r="P94" i="84"/>
  <c r="P100" i="84" s="1"/>
  <c r="N21" i="29" s="1"/>
  <c r="Q94" i="84"/>
  <c r="Q100" i="84" s="1"/>
  <c r="O21" i="29" s="1"/>
  <c r="R94" i="84"/>
  <c r="R100" i="84" s="1"/>
  <c r="P21" i="29" s="1"/>
  <c r="S94" i="84"/>
  <c r="S100" i="84" s="1"/>
  <c r="Q21" i="29" s="1"/>
  <c r="K95" i="84"/>
  <c r="K101" i="84" s="1"/>
  <c r="I21" i="10" s="1"/>
  <c r="L95" i="84"/>
  <c r="L101" i="84" s="1"/>
  <c r="J21" i="10" s="1"/>
  <c r="M95" i="84"/>
  <c r="M101" i="84" s="1"/>
  <c r="K21" i="10" s="1"/>
  <c r="N95" i="84"/>
  <c r="N101" i="84" s="1"/>
  <c r="L21" i="10" s="1"/>
  <c r="O95" i="84"/>
  <c r="O101" i="84" s="1"/>
  <c r="M21" i="10" s="1"/>
  <c r="P95" i="84"/>
  <c r="P101" i="84" s="1"/>
  <c r="N21" i="10" s="1"/>
  <c r="Q95" i="84"/>
  <c r="Q101" i="84" s="1"/>
  <c r="O21" i="10" s="1"/>
  <c r="R95" i="84"/>
  <c r="R101" i="84" s="1"/>
  <c r="P21" i="10" s="1"/>
  <c r="S95" i="84"/>
  <c r="S101" i="84" s="1"/>
  <c r="Q21" i="10" s="1"/>
  <c r="K96" i="84"/>
  <c r="K102" i="84" s="1"/>
  <c r="L96" i="84"/>
  <c r="L102" i="84" s="1"/>
  <c r="M96" i="84"/>
  <c r="M102" i="84" s="1"/>
  <c r="N96" i="84"/>
  <c r="N102" i="84" s="1"/>
  <c r="O96" i="84"/>
  <c r="O102" i="84" s="1"/>
  <c r="P96" i="84"/>
  <c r="P102" i="84" s="1"/>
  <c r="Q96" i="84"/>
  <c r="Q102" i="84" s="1"/>
  <c r="R96" i="84"/>
  <c r="R102" i="84" s="1"/>
  <c r="S96" i="84"/>
  <c r="S102" i="84" s="1"/>
  <c r="J94" i="84"/>
  <c r="J100" i="84" s="1"/>
  <c r="H21" i="29" s="1"/>
  <c r="J95" i="84"/>
  <c r="J101" i="84" s="1"/>
  <c r="H21" i="10" s="1"/>
  <c r="J96" i="84"/>
  <c r="J102" i="84" s="1"/>
  <c r="J93" i="84"/>
  <c r="J99" i="84" s="1"/>
  <c r="M86" i="84"/>
  <c r="N86" i="84"/>
  <c r="L21" i="11" s="1"/>
  <c r="O86" i="84"/>
  <c r="M21" i="11" s="1"/>
  <c r="L87" i="84"/>
  <c r="J21" i="25" s="1"/>
  <c r="M87" i="84"/>
  <c r="K21" i="25" s="1"/>
  <c r="N87" i="84"/>
  <c r="L21" i="25" s="1"/>
  <c r="K88" i="84"/>
  <c r="L88" i="84"/>
  <c r="M88" i="84"/>
  <c r="K21" i="13" s="1"/>
  <c r="S88" i="84"/>
  <c r="K89" i="84"/>
  <c r="I21" i="49" s="1"/>
  <c r="L89" i="84"/>
  <c r="J21" i="49" s="1"/>
  <c r="R89" i="84"/>
  <c r="P21" i="49" s="1"/>
  <c r="S89" i="84"/>
  <c r="Q21" i="49" s="1"/>
  <c r="J87" i="84"/>
  <c r="H21" i="25" s="1"/>
  <c r="J88" i="84"/>
  <c r="J89" i="84"/>
  <c r="H21" i="49" s="1"/>
  <c r="K80" i="84"/>
  <c r="K86" i="84" s="1"/>
  <c r="L80" i="84"/>
  <c r="L86" i="84" s="1"/>
  <c r="M80" i="84"/>
  <c r="N80" i="84"/>
  <c r="O80" i="84"/>
  <c r="P80" i="84"/>
  <c r="P86" i="84" s="1"/>
  <c r="N21" i="11" s="1"/>
  <c r="Q80" i="84"/>
  <c r="Q86" i="84" s="1"/>
  <c r="R80" i="84"/>
  <c r="R86" i="84" s="1"/>
  <c r="S80" i="84"/>
  <c r="S86" i="84" s="1"/>
  <c r="K81" i="84"/>
  <c r="K87" i="84" s="1"/>
  <c r="I21" i="25" s="1"/>
  <c r="L81" i="84"/>
  <c r="M81" i="84"/>
  <c r="N81" i="84"/>
  <c r="O81" i="84"/>
  <c r="O87" i="84" s="1"/>
  <c r="M21" i="25" s="1"/>
  <c r="P81" i="84"/>
  <c r="P87" i="84" s="1"/>
  <c r="Q81" i="84"/>
  <c r="Q87" i="84" s="1"/>
  <c r="O21" i="25" s="1"/>
  <c r="R81" i="84"/>
  <c r="R87" i="84" s="1"/>
  <c r="P21" i="25" s="1"/>
  <c r="S81" i="84"/>
  <c r="S87" i="84" s="1"/>
  <c r="Q21" i="25" s="1"/>
  <c r="K82" i="84"/>
  <c r="L82" i="84"/>
  <c r="M82" i="84"/>
  <c r="N82" i="84"/>
  <c r="N88" i="84" s="1"/>
  <c r="L21" i="13" s="1"/>
  <c r="O82" i="84"/>
  <c r="O88" i="84" s="1"/>
  <c r="P82" i="84"/>
  <c r="P88" i="84" s="1"/>
  <c r="N21" i="13" s="1"/>
  <c r="Q82" i="84"/>
  <c r="Q88" i="84" s="1"/>
  <c r="O21" i="13" s="1"/>
  <c r="R82" i="84"/>
  <c r="R88" i="84" s="1"/>
  <c r="P21" i="13" s="1"/>
  <c r="S82" i="84"/>
  <c r="K83" i="84"/>
  <c r="L83" i="84"/>
  <c r="M83" i="84"/>
  <c r="M89" i="84" s="1"/>
  <c r="K21" i="49" s="1"/>
  <c r="N83" i="84"/>
  <c r="N89" i="84" s="1"/>
  <c r="O83" i="84"/>
  <c r="O89" i="84" s="1"/>
  <c r="M21" i="49" s="1"/>
  <c r="P83" i="84"/>
  <c r="P89" i="84" s="1"/>
  <c r="N21" i="49" s="1"/>
  <c r="Q83" i="84"/>
  <c r="Q89" i="84" s="1"/>
  <c r="O21" i="49" s="1"/>
  <c r="R83" i="84"/>
  <c r="S83" i="84"/>
  <c r="J81" i="84"/>
  <c r="J82" i="84"/>
  <c r="J83" i="84"/>
  <c r="J80" i="84"/>
  <c r="J86" i="84" s="1"/>
  <c r="K128" i="85" l="1"/>
  <c r="I108" i="85"/>
  <c r="I177" i="85" s="1"/>
  <c r="I237" i="85" s="1"/>
  <c r="K21" i="46"/>
  <c r="J21" i="46"/>
  <c r="Q21" i="46"/>
  <c r="I21" i="46"/>
  <c r="H21" i="46"/>
  <c r="P21" i="46"/>
  <c r="O21" i="46"/>
  <c r="N21" i="46"/>
  <c r="L21" i="46"/>
  <c r="M21" i="46"/>
  <c r="L114" i="85"/>
  <c r="L174" i="85" s="1"/>
  <c r="L217" i="85" s="1"/>
  <c r="M37" i="85"/>
  <c r="I107" i="85"/>
  <c r="I176" i="85" s="1"/>
  <c r="J171" i="85"/>
  <c r="H290" i="85"/>
  <c r="H258" i="85"/>
  <c r="H238" i="85"/>
  <c r="K141" i="85"/>
  <c r="K136" i="85"/>
  <c r="L133" i="85"/>
  <c r="K142" i="85"/>
  <c r="K140" i="85"/>
  <c r="K149" i="85" s="1"/>
  <c r="H239" i="85"/>
  <c r="H225" i="85"/>
  <c r="L112" i="85"/>
  <c r="H223" i="85"/>
  <c r="H181" i="85"/>
  <c r="H237" i="85"/>
  <c r="H180" i="85"/>
  <c r="K42" i="85"/>
  <c r="K222" i="85" s="1"/>
  <c r="K45" i="85"/>
  <c r="I223" i="85"/>
  <c r="J150" i="85"/>
  <c r="K185" i="85"/>
  <c r="K192" i="85"/>
  <c r="J100" i="85"/>
  <c r="J98" i="85"/>
  <c r="J94" i="85"/>
  <c r="J175" i="85" s="1"/>
  <c r="K91" i="85"/>
  <c r="J99" i="85"/>
  <c r="G243" i="85"/>
  <c r="G244" i="85" s="1"/>
  <c r="K157" i="85"/>
  <c r="L154" i="85"/>
  <c r="K163" i="85"/>
  <c r="K161" i="85"/>
  <c r="K170" i="85" s="1"/>
  <c r="K162" i="85"/>
  <c r="K129" i="85"/>
  <c r="N90" i="84"/>
  <c r="L21" i="49"/>
  <c r="Q90" i="84"/>
  <c r="O21" i="11"/>
  <c r="M21" i="4"/>
  <c r="O103" i="84"/>
  <c r="L90" i="84"/>
  <c r="J21" i="11"/>
  <c r="K21" i="4"/>
  <c r="M103" i="84"/>
  <c r="Q21" i="11"/>
  <c r="S90" i="84"/>
  <c r="I21" i="11"/>
  <c r="K90" i="84"/>
  <c r="L103" i="84"/>
  <c r="J21" i="4"/>
  <c r="H21" i="11"/>
  <c r="J90" i="84"/>
  <c r="P21" i="11"/>
  <c r="R90" i="84"/>
  <c r="M90" i="84"/>
  <c r="S103" i="84"/>
  <c r="Q21" i="4"/>
  <c r="I21" i="4"/>
  <c r="K103" i="84"/>
  <c r="O90" i="84"/>
  <c r="M21" i="13"/>
  <c r="H21" i="4"/>
  <c r="J103" i="84"/>
  <c r="Q103" i="84"/>
  <c r="O21" i="4"/>
  <c r="L21" i="4"/>
  <c r="N103" i="84"/>
  <c r="P90" i="84"/>
  <c r="N21" i="25"/>
  <c r="R103" i="84"/>
  <c r="P21" i="4"/>
  <c r="P103" i="84"/>
  <c r="N21" i="4"/>
  <c r="K21" i="11"/>
  <c r="K67" i="84"/>
  <c r="L67" i="84"/>
  <c r="M67" i="84"/>
  <c r="N67" i="84"/>
  <c r="O67" i="84"/>
  <c r="P67" i="84"/>
  <c r="Q67" i="84"/>
  <c r="R67" i="84"/>
  <c r="S67" i="84"/>
  <c r="K68" i="84"/>
  <c r="L68" i="84"/>
  <c r="M68" i="84"/>
  <c r="N68" i="84"/>
  <c r="O68" i="84"/>
  <c r="P68" i="84"/>
  <c r="Q68" i="84"/>
  <c r="R68" i="84"/>
  <c r="S68" i="84"/>
  <c r="K69" i="84"/>
  <c r="L69" i="84"/>
  <c r="M69" i="84"/>
  <c r="N69" i="84"/>
  <c r="O69" i="84"/>
  <c r="P69" i="84"/>
  <c r="Q69" i="84"/>
  <c r="R69" i="84"/>
  <c r="S69" i="84"/>
  <c r="K70" i="84"/>
  <c r="L70" i="84"/>
  <c r="M70" i="84"/>
  <c r="N70" i="84"/>
  <c r="O70" i="84"/>
  <c r="P70" i="84"/>
  <c r="Q70" i="84"/>
  <c r="R70" i="84"/>
  <c r="S70" i="84"/>
  <c r="K71" i="84"/>
  <c r="L71" i="84"/>
  <c r="M71" i="84"/>
  <c r="N71" i="84"/>
  <c r="O71" i="84"/>
  <c r="P71" i="84"/>
  <c r="Q71" i="84"/>
  <c r="R71" i="84"/>
  <c r="S71" i="84"/>
  <c r="J71" i="84"/>
  <c r="J68" i="84"/>
  <c r="J69" i="84"/>
  <c r="J70" i="84"/>
  <c r="J67" i="84"/>
  <c r="J73" i="84" s="1"/>
  <c r="H21" i="14" s="1"/>
  <c r="I180" i="85" l="1"/>
  <c r="J108" i="85"/>
  <c r="J177" i="85" s="1"/>
  <c r="J180" i="85" s="1"/>
  <c r="I26" i="85"/>
  <c r="I234" i="85" s="1"/>
  <c r="I29" i="85"/>
  <c r="Q26" i="85"/>
  <c r="Q234" i="85" s="1"/>
  <c r="Q29" i="85"/>
  <c r="O29" i="85"/>
  <c r="O26" i="85"/>
  <c r="O234" i="85" s="1"/>
  <c r="M26" i="85"/>
  <c r="M234" i="85" s="1"/>
  <c r="M29" i="85"/>
  <c r="P29" i="85"/>
  <c r="P26" i="85"/>
  <c r="P234" i="85" s="1"/>
  <c r="J29" i="85"/>
  <c r="J26" i="85"/>
  <c r="J234" i="85" s="1"/>
  <c r="L29" i="85"/>
  <c r="L26" i="85"/>
  <c r="L234" i="85" s="1"/>
  <c r="H29" i="85"/>
  <c r="H26" i="85"/>
  <c r="H234" i="85" s="1"/>
  <c r="K29" i="85"/>
  <c r="K26" i="85"/>
  <c r="K234" i="85" s="1"/>
  <c r="N29" i="85"/>
  <c r="N26" i="85"/>
  <c r="N234" i="85" s="1"/>
  <c r="J223" i="85"/>
  <c r="J237" i="85"/>
  <c r="I257" i="85"/>
  <c r="I289" i="85"/>
  <c r="K50" i="85"/>
  <c r="H257" i="85"/>
  <c r="H289" i="85"/>
  <c r="K288" i="85"/>
  <c r="K256" i="85"/>
  <c r="L120" i="85"/>
  <c r="L121" i="85"/>
  <c r="L115" i="85"/>
  <c r="M112" i="85"/>
  <c r="L119" i="85"/>
  <c r="I179" i="85"/>
  <c r="I187" i="85"/>
  <c r="I224" i="85" s="1"/>
  <c r="L192" i="85"/>
  <c r="H304" i="85"/>
  <c r="H272" i="85"/>
  <c r="L171" i="85"/>
  <c r="L157" i="85"/>
  <c r="M154" i="85"/>
  <c r="L163" i="85"/>
  <c r="L161" i="85"/>
  <c r="L162" i="85"/>
  <c r="L185" i="85"/>
  <c r="L141" i="85"/>
  <c r="L136" i="85"/>
  <c r="M133" i="85"/>
  <c r="L142" i="85"/>
  <c r="L140" i="85"/>
  <c r="L149" i="85" s="1"/>
  <c r="L45" i="85"/>
  <c r="L42" i="85"/>
  <c r="L222" i="85" s="1"/>
  <c r="J107" i="85"/>
  <c r="J176" i="85" s="1"/>
  <c r="J200" i="85" s="1"/>
  <c r="I271" i="85"/>
  <c r="I303" i="85"/>
  <c r="H291" i="85"/>
  <c r="H259" i="85"/>
  <c r="N37" i="85"/>
  <c r="M114" i="85"/>
  <c r="M174" i="85" s="1"/>
  <c r="M217" i="85" s="1"/>
  <c r="K100" i="85"/>
  <c r="K98" i="85"/>
  <c r="K94" i="85"/>
  <c r="K175" i="85" s="1"/>
  <c r="L91" i="85"/>
  <c r="K99" i="85"/>
  <c r="K171" i="85"/>
  <c r="I181" i="85"/>
  <c r="H271" i="85"/>
  <c r="H303" i="85"/>
  <c r="H305" i="85"/>
  <c r="H273" i="85"/>
  <c r="K150" i="85"/>
  <c r="I200" i="85"/>
  <c r="E125" i="34"/>
  <c r="D125" i="34"/>
  <c r="E124" i="34"/>
  <c r="D124" i="34"/>
  <c r="E123" i="34"/>
  <c r="D123" i="34"/>
  <c r="E122" i="34"/>
  <c r="D122" i="34"/>
  <c r="E121" i="34"/>
  <c r="D121" i="34"/>
  <c r="S62" i="84"/>
  <c r="R62" i="84"/>
  <c r="Q62" i="84"/>
  <c r="P62" i="84"/>
  <c r="O62" i="84"/>
  <c r="N62" i="84"/>
  <c r="M62" i="84"/>
  <c r="L62" i="84"/>
  <c r="K62" i="84"/>
  <c r="J62" i="84"/>
  <c r="S61" i="84"/>
  <c r="R61" i="84"/>
  <c r="Q61" i="84"/>
  <c r="P61" i="84"/>
  <c r="O61" i="84"/>
  <c r="N61" i="84"/>
  <c r="M61" i="84"/>
  <c r="L61" i="84"/>
  <c r="K61" i="84"/>
  <c r="S60" i="84"/>
  <c r="R60" i="84"/>
  <c r="Q60" i="84"/>
  <c r="P60" i="84"/>
  <c r="O60" i="84"/>
  <c r="N60" i="84"/>
  <c r="M60" i="84"/>
  <c r="L60" i="84"/>
  <c r="K60" i="84"/>
  <c r="J60" i="84"/>
  <c r="K34" i="85" l="1"/>
  <c r="K226" i="85" s="1"/>
  <c r="I34" i="85"/>
  <c r="I226" i="85" s="1"/>
  <c r="W34" i="85"/>
  <c r="V34" i="85"/>
  <c r="M34" i="85"/>
  <c r="S34" i="85"/>
  <c r="Y34" i="85"/>
  <c r="H34" i="85"/>
  <c r="H226" i="85" s="1"/>
  <c r="N34" i="85"/>
  <c r="J34" i="85"/>
  <c r="J226" i="85" s="1"/>
  <c r="P34" i="85"/>
  <c r="L34" i="85"/>
  <c r="X34" i="85"/>
  <c r="Q34" i="85"/>
  <c r="T34" i="85"/>
  <c r="Z34" i="85"/>
  <c r="R34" i="85"/>
  <c r="U34" i="85"/>
  <c r="AA34" i="85"/>
  <c r="O34" i="85"/>
  <c r="M300" i="85"/>
  <c r="M268" i="85"/>
  <c r="H300" i="85"/>
  <c r="H268" i="85"/>
  <c r="L300" i="85"/>
  <c r="L268" i="85"/>
  <c r="O268" i="85"/>
  <c r="O300" i="85"/>
  <c r="N268" i="85"/>
  <c r="N300" i="85"/>
  <c r="J300" i="85"/>
  <c r="J268" i="85"/>
  <c r="Q300" i="85"/>
  <c r="Q268" i="85"/>
  <c r="K300" i="85"/>
  <c r="K268" i="85"/>
  <c r="P300" i="85"/>
  <c r="P268" i="85"/>
  <c r="I268" i="85"/>
  <c r="I300" i="85"/>
  <c r="J239" i="85"/>
  <c r="J225" i="85"/>
  <c r="L100" i="85"/>
  <c r="L98" i="85"/>
  <c r="L94" i="85"/>
  <c r="L175" i="85" s="1"/>
  <c r="M91" i="85"/>
  <c r="L99" i="85"/>
  <c r="M185" i="85"/>
  <c r="M120" i="85"/>
  <c r="M121" i="85"/>
  <c r="M119" i="85"/>
  <c r="M115" i="85"/>
  <c r="N112" i="85"/>
  <c r="L128" i="85"/>
  <c r="K107" i="85"/>
  <c r="K176" i="85" s="1"/>
  <c r="K200" i="85" s="1"/>
  <c r="M141" i="85"/>
  <c r="M136" i="85"/>
  <c r="N133" i="85"/>
  <c r="M142" i="85"/>
  <c r="M140" i="85"/>
  <c r="M192" i="85"/>
  <c r="L170" i="85"/>
  <c r="L50" i="85"/>
  <c r="L226" i="85" s="1"/>
  <c r="O37" i="85"/>
  <c r="N114" i="85"/>
  <c r="N174" i="85" s="1"/>
  <c r="N217" i="85" s="1"/>
  <c r="K108" i="85"/>
  <c r="K177" i="85" s="1"/>
  <c r="L150" i="85"/>
  <c r="I290" i="85"/>
  <c r="I258" i="85"/>
  <c r="I238" i="85"/>
  <c r="L129" i="85"/>
  <c r="M45" i="85"/>
  <c r="M50" i="85" s="1"/>
  <c r="M42" i="85"/>
  <c r="M222" i="85" s="1"/>
  <c r="J271" i="85"/>
  <c r="J303" i="85"/>
  <c r="J179" i="85"/>
  <c r="J187" i="85"/>
  <c r="J224" i="85" s="1"/>
  <c r="M163" i="85"/>
  <c r="M161" i="85"/>
  <c r="M162" i="85"/>
  <c r="M157" i="85"/>
  <c r="N154" i="85"/>
  <c r="I239" i="85"/>
  <c r="I225" i="85"/>
  <c r="L256" i="85"/>
  <c r="L288" i="85"/>
  <c r="J181" i="85"/>
  <c r="J289" i="85"/>
  <c r="J257" i="85"/>
  <c r="S63" i="84"/>
  <c r="S73" i="84"/>
  <c r="Q21" i="14" s="1"/>
  <c r="S74" i="84"/>
  <c r="Q21" i="21" s="1"/>
  <c r="S75" i="84"/>
  <c r="Q21" i="16" s="1"/>
  <c r="S76" i="84"/>
  <c r="Q21" i="48" s="1"/>
  <c r="S77" i="84"/>
  <c r="S105" i="84" s="1"/>
  <c r="T60" i="84"/>
  <c r="J77" i="84"/>
  <c r="J75" i="84"/>
  <c r="H21" i="16" s="1"/>
  <c r="J74" i="84"/>
  <c r="H21" i="21" s="1"/>
  <c r="J76" i="84"/>
  <c r="H21" i="48" s="1"/>
  <c r="R74" i="84"/>
  <c r="P21" i="21" s="1"/>
  <c r="R75" i="84"/>
  <c r="P21" i="16" s="1"/>
  <c r="R76" i="84"/>
  <c r="P21" i="48" s="1"/>
  <c r="R77" i="84"/>
  <c r="R105" i="84" s="1"/>
  <c r="R73" i="84"/>
  <c r="P21" i="14" s="1"/>
  <c r="L63" i="84"/>
  <c r="L73" i="84"/>
  <c r="J21" i="14" s="1"/>
  <c r="L74" i="84"/>
  <c r="J21" i="21" s="1"/>
  <c r="L75" i="84"/>
  <c r="J21" i="16" s="1"/>
  <c r="L76" i="84"/>
  <c r="J21" i="48" s="1"/>
  <c r="L77" i="84"/>
  <c r="L105" i="84" s="1"/>
  <c r="M63" i="84"/>
  <c r="M77" i="84"/>
  <c r="M105" i="84" s="1"/>
  <c r="M73" i="84"/>
  <c r="K21" i="14" s="1"/>
  <c r="M74" i="84"/>
  <c r="K21" i="21" s="1"/>
  <c r="M75" i="84"/>
  <c r="K21" i="16" s="1"/>
  <c r="M76" i="84"/>
  <c r="K21" i="48" s="1"/>
  <c r="K63" i="84"/>
  <c r="K73" i="84"/>
  <c r="I21" i="14" s="1"/>
  <c r="K74" i="84"/>
  <c r="I21" i="21" s="1"/>
  <c r="K75" i="84"/>
  <c r="I21" i="16" s="1"/>
  <c r="K76" i="84"/>
  <c r="I21" i="48" s="1"/>
  <c r="K77" i="84"/>
  <c r="K105" i="84" s="1"/>
  <c r="N63" i="84"/>
  <c r="N77" i="84"/>
  <c r="N105" i="84" s="1"/>
  <c r="N76" i="84"/>
  <c r="L21" i="48" s="1"/>
  <c r="N73" i="84"/>
  <c r="L21" i="14" s="1"/>
  <c r="N74" i="84"/>
  <c r="L21" i="21" s="1"/>
  <c r="N75" i="84"/>
  <c r="L21" i="16" s="1"/>
  <c r="T62" i="84"/>
  <c r="T61" i="84"/>
  <c r="O63" i="84"/>
  <c r="O77" i="84"/>
  <c r="O105" i="84" s="1"/>
  <c r="O76" i="84"/>
  <c r="M21" i="48" s="1"/>
  <c r="O75" i="84"/>
  <c r="M21" i="16" s="1"/>
  <c r="O73" i="84"/>
  <c r="M21" i="14" s="1"/>
  <c r="O74" i="84"/>
  <c r="M21" i="21" s="1"/>
  <c r="P63" i="84"/>
  <c r="P76" i="84"/>
  <c r="N21" i="48" s="1"/>
  <c r="P75" i="84"/>
  <c r="N21" i="16" s="1"/>
  <c r="P77" i="84"/>
  <c r="P105" i="84" s="1"/>
  <c r="P74" i="84"/>
  <c r="N21" i="21" s="1"/>
  <c r="P73" i="84"/>
  <c r="N21" i="14" s="1"/>
  <c r="J63" i="84"/>
  <c r="Q63" i="84"/>
  <c r="Q75" i="84"/>
  <c r="O21" i="16" s="1"/>
  <c r="Q76" i="84"/>
  <c r="O21" i="48" s="1"/>
  <c r="Q77" i="84"/>
  <c r="Q105" i="84" s="1"/>
  <c r="Q74" i="84"/>
  <c r="O21" i="21" s="1"/>
  <c r="Q73" i="84"/>
  <c r="O21" i="14" s="1"/>
  <c r="R63" i="84"/>
  <c r="M128" i="85" l="1"/>
  <c r="L108" i="85"/>
  <c r="L177" i="85" s="1"/>
  <c r="L237" i="85" s="1"/>
  <c r="K260" i="85"/>
  <c r="K292" i="85"/>
  <c r="M226" i="85"/>
  <c r="M260" i="85" s="1"/>
  <c r="H292" i="85"/>
  <c r="H260" i="85"/>
  <c r="H264" i="85" s="1"/>
  <c r="H265" i="85" s="1"/>
  <c r="H276" i="85" s="1"/>
  <c r="H277" i="85" s="1"/>
  <c r="H278" i="85" s="1"/>
  <c r="J292" i="85"/>
  <c r="J260" i="85"/>
  <c r="I260" i="85"/>
  <c r="I292" i="85"/>
  <c r="L180" i="85"/>
  <c r="L223" i="85"/>
  <c r="K239" i="85"/>
  <c r="K225" i="85"/>
  <c r="K223" i="85"/>
  <c r="K181" i="85"/>
  <c r="K237" i="85"/>
  <c r="K180" i="85"/>
  <c r="M149" i="85"/>
  <c r="M170" i="85"/>
  <c r="M129" i="85"/>
  <c r="M256" i="85"/>
  <c r="M288" i="85"/>
  <c r="P37" i="85"/>
  <c r="O114" i="85"/>
  <c r="O174" i="85" s="1"/>
  <c r="O217" i="85" s="1"/>
  <c r="N136" i="85"/>
  <c r="O133" i="85"/>
  <c r="N142" i="85"/>
  <c r="N140" i="85"/>
  <c r="N149" i="85" s="1"/>
  <c r="N141" i="85"/>
  <c r="N163" i="85"/>
  <c r="N161" i="85"/>
  <c r="N162" i="85"/>
  <c r="N171" i="85"/>
  <c r="N157" i="85"/>
  <c r="O154" i="85"/>
  <c r="N192" i="85"/>
  <c r="N42" i="85"/>
  <c r="N222" i="85" s="1"/>
  <c r="N45" i="85"/>
  <c r="I291" i="85"/>
  <c r="I259" i="85"/>
  <c r="M171" i="85"/>
  <c r="L292" i="85"/>
  <c r="L260" i="85"/>
  <c r="N185" i="85"/>
  <c r="K179" i="85"/>
  <c r="K187" i="85"/>
  <c r="K224" i="85" s="1"/>
  <c r="I304" i="85"/>
  <c r="I272" i="85"/>
  <c r="L107" i="85"/>
  <c r="L176" i="85" s="1"/>
  <c r="I305" i="85"/>
  <c r="I273" i="85"/>
  <c r="J258" i="85"/>
  <c r="J290" i="85"/>
  <c r="J238" i="85"/>
  <c r="M150" i="85"/>
  <c r="J291" i="85"/>
  <c r="J259" i="85"/>
  <c r="N120" i="85"/>
  <c r="N121" i="85"/>
  <c r="N115" i="85"/>
  <c r="O112" i="85"/>
  <c r="N119" i="85"/>
  <c r="J305" i="85"/>
  <c r="J273" i="85"/>
  <c r="M94" i="85"/>
  <c r="M175" i="85" s="1"/>
  <c r="N91" i="85"/>
  <c r="M99" i="85"/>
  <c r="M100" i="85"/>
  <c r="M98" i="85"/>
  <c r="J105" i="84"/>
  <c r="T63" i="84"/>
  <c r="U50" i="34"/>
  <c r="U57" i="34" s="1"/>
  <c r="N129" i="85" l="1"/>
  <c r="M292" i="85"/>
  <c r="M108" i="85"/>
  <c r="M177" i="85" s="1"/>
  <c r="M237" i="85" s="1"/>
  <c r="J264" i="85"/>
  <c r="J265" i="85" s="1"/>
  <c r="J276" i="85" s="1"/>
  <c r="J277" i="85" s="1"/>
  <c r="I264" i="85"/>
  <c r="I265" i="85" s="1"/>
  <c r="I276" i="85" s="1"/>
  <c r="I277" i="85" s="1"/>
  <c r="I278" i="85" s="1"/>
  <c r="K291" i="85"/>
  <c r="K259" i="85"/>
  <c r="K305" i="85"/>
  <c r="K273" i="85"/>
  <c r="M107" i="85"/>
  <c r="M176" i="85" s="1"/>
  <c r="N128" i="85"/>
  <c r="L179" i="85"/>
  <c r="L187" i="85"/>
  <c r="L224" i="85" s="1"/>
  <c r="L200" i="85"/>
  <c r="N50" i="85"/>
  <c r="N226" i="85" s="1"/>
  <c r="L181" i="85"/>
  <c r="O136" i="85"/>
  <c r="P133" i="85"/>
  <c r="O142" i="85"/>
  <c r="O140" i="85"/>
  <c r="O141" i="85"/>
  <c r="O120" i="85"/>
  <c r="O115" i="85"/>
  <c r="P112" i="85"/>
  <c r="O121" i="85"/>
  <c r="O119" i="85"/>
  <c r="N256" i="85"/>
  <c r="N288" i="85"/>
  <c r="N170" i="85"/>
  <c r="N150" i="85"/>
  <c r="L289" i="85"/>
  <c r="L257" i="85"/>
  <c r="O162" i="85"/>
  <c r="O157" i="85"/>
  <c r="P154" i="85"/>
  <c r="O163" i="85"/>
  <c r="O161" i="85"/>
  <c r="O171" i="85" s="1"/>
  <c r="O185" i="85"/>
  <c r="O42" i="85"/>
  <c r="O222" i="85" s="1"/>
  <c r="O45" i="85"/>
  <c r="K303" i="85"/>
  <c r="K271" i="85"/>
  <c r="K258" i="85"/>
  <c r="K238" i="85"/>
  <c r="K290" i="85"/>
  <c r="J272" i="85"/>
  <c r="J304" i="85"/>
  <c r="O192" i="85"/>
  <c r="L303" i="85"/>
  <c r="L271" i="85"/>
  <c r="N99" i="85"/>
  <c r="N100" i="85"/>
  <c r="N98" i="85"/>
  <c r="N94" i="85"/>
  <c r="N175" i="85" s="1"/>
  <c r="O91" i="85"/>
  <c r="P114" i="85"/>
  <c r="P174" i="85" s="1"/>
  <c r="P217" i="85" s="1"/>
  <c r="Q37" i="85"/>
  <c r="K289" i="85"/>
  <c r="K257" i="85"/>
  <c r="K264" i="85" s="1"/>
  <c r="K265" i="85" s="1"/>
  <c r="K276" i="85" s="1"/>
  <c r="K277" i="85" s="1"/>
  <c r="W37" i="83"/>
  <c r="X37" i="83"/>
  <c r="Y37" i="83"/>
  <c r="Z37" i="83"/>
  <c r="AA37" i="83"/>
  <c r="W37" i="82"/>
  <c r="X37" i="82"/>
  <c r="Y37" i="82"/>
  <c r="Z37" i="82"/>
  <c r="AA37" i="82"/>
  <c r="M181" i="85" l="1"/>
  <c r="O128" i="85"/>
  <c r="M200" i="85"/>
  <c r="M225" i="85" s="1"/>
  <c r="M223" i="85"/>
  <c r="M289" i="85" s="1"/>
  <c r="M180" i="85"/>
  <c r="J278" i="85"/>
  <c r="Q114" i="85"/>
  <c r="Q174" i="85" s="1"/>
  <c r="Q217" i="85" s="1"/>
  <c r="R37" i="85"/>
  <c r="O288" i="85"/>
  <c r="O256" i="85"/>
  <c r="L239" i="85"/>
  <c r="L225" i="85"/>
  <c r="O99" i="85"/>
  <c r="O100" i="85"/>
  <c r="O98" i="85"/>
  <c r="O94" i="85"/>
  <c r="O175" i="85" s="1"/>
  <c r="P91" i="85"/>
  <c r="M239" i="85"/>
  <c r="P185" i="85"/>
  <c r="O149" i="85"/>
  <c r="L258" i="85"/>
  <c r="L290" i="85"/>
  <c r="L238" i="85"/>
  <c r="N107" i="85"/>
  <c r="N176" i="85" s="1"/>
  <c r="P121" i="85"/>
  <c r="P119" i="85"/>
  <c r="P120" i="85"/>
  <c r="P115" i="85"/>
  <c r="Q112" i="85"/>
  <c r="P142" i="85"/>
  <c r="P140" i="85"/>
  <c r="P141" i="85"/>
  <c r="P150" i="85"/>
  <c r="P136" i="85"/>
  <c r="Q133" i="85"/>
  <c r="P192" i="85"/>
  <c r="O170" i="85"/>
  <c r="M179" i="85"/>
  <c r="M187" i="85"/>
  <c r="M224" i="85" s="1"/>
  <c r="N108" i="85"/>
  <c r="N177" i="85" s="1"/>
  <c r="O150" i="85"/>
  <c r="N292" i="85"/>
  <c r="N260" i="85"/>
  <c r="K272" i="85"/>
  <c r="K278" i="85" s="1"/>
  <c r="K304" i="85"/>
  <c r="P45" i="85"/>
  <c r="P50" i="85" s="1"/>
  <c r="P226" i="85" s="1"/>
  <c r="P42" i="85"/>
  <c r="P222" i="85" s="1"/>
  <c r="P162" i="85"/>
  <c r="P157" i="85"/>
  <c r="Q154" i="85"/>
  <c r="P163" i="85"/>
  <c r="P161" i="85"/>
  <c r="P170" i="85" s="1"/>
  <c r="O129" i="85"/>
  <c r="O50" i="85"/>
  <c r="O226" i="85" s="1"/>
  <c r="M303" i="85"/>
  <c r="M271" i="85"/>
  <c r="M50" i="34"/>
  <c r="E50" i="34"/>
  <c r="E51" i="34"/>
  <c r="F35" i="34"/>
  <c r="E30" i="34"/>
  <c r="A320" i="83"/>
  <c r="A283" i="83"/>
  <c r="G241" i="83"/>
  <c r="Z240" i="83"/>
  <c r="O240" i="83"/>
  <c r="G240" i="83"/>
  <c r="G239" i="83"/>
  <c r="G305" i="83" s="1"/>
  <c r="G237" i="83"/>
  <c r="AA236" i="83"/>
  <c r="Z236" i="83"/>
  <c r="Y236" i="83"/>
  <c r="X236" i="83"/>
  <c r="W236" i="83"/>
  <c r="V236" i="83"/>
  <c r="V270" i="83" s="1"/>
  <c r="U236" i="83"/>
  <c r="T236" i="83"/>
  <c r="S236" i="83"/>
  <c r="S302" i="83" s="1"/>
  <c r="R236" i="83"/>
  <c r="Q236" i="83"/>
  <c r="P236" i="83"/>
  <c r="O236" i="83"/>
  <c r="N236" i="83"/>
  <c r="M236" i="83"/>
  <c r="L236" i="83"/>
  <c r="K236" i="83"/>
  <c r="K302" i="83" s="1"/>
  <c r="J236" i="83"/>
  <c r="I236" i="83"/>
  <c r="H236" i="83"/>
  <c r="G236" i="83"/>
  <c r="I227" i="83"/>
  <c r="G227" i="83"/>
  <c r="G225" i="83"/>
  <c r="G291" i="83" s="1"/>
  <c r="G224" i="83"/>
  <c r="G238" i="83" s="1"/>
  <c r="G223" i="83"/>
  <c r="A213" i="83"/>
  <c r="A212" i="83"/>
  <c r="A211" i="83"/>
  <c r="A210" i="83"/>
  <c r="AA207" i="83"/>
  <c r="AA240" i="83" s="1"/>
  <c r="Z207" i="83"/>
  <c r="Z227" i="83" s="1"/>
  <c r="Y207" i="83"/>
  <c r="Y240" i="83" s="1"/>
  <c r="X207" i="83"/>
  <c r="X240" i="83" s="1"/>
  <c r="W207" i="83"/>
  <c r="W240" i="83" s="1"/>
  <c r="V207" i="83"/>
  <c r="V240" i="83" s="1"/>
  <c r="U207" i="83"/>
  <c r="U240" i="83" s="1"/>
  <c r="T207" i="83"/>
  <c r="S207" i="83"/>
  <c r="S240" i="83" s="1"/>
  <c r="R207" i="83"/>
  <c r="R240" i="83" s="1"/>
  <c r="Q207" i="83"/>
  <c r="Q240" i="83" s="1"/>
  <c r="P207" i="83"/>
  <c r="O207" i="83"/>
  <c r="O227" i="83" s="1"/>
  <c r="N207" i="83"/>
  <c r="N240" i="83" s="1"/>
  <c r="M207" i="83"/>
  <c r="M240" i="83" s="1"/>
  <c r="L207" i="83"/>
  <c r="K207" i="83"/>
  <c r="K240" i="83" s="1"/>
  <c r="J207" i="83"/>
  <c r="J240" i="83" s="1"/>
  <c r="I207" i="83"/>
  <c r="I240" i="83" s="1"/>
  <c r="H207" i="83"/>
  <c r="A206" i="83"/>
  <c r="A205" i="83"/>
  <c r="A204" i="83"/>
  <c r="A203" i="83"/>
  <c r="A198" i="83"/>
  <c r="A197" i="83"/>
  <c r="A194" i="83"/>
  <c r="A193" i="83"/>
  <c r="G192" i="83"/>
  <c r="A192" i="83"/>
  <c r="A191" i="83"/>
  <c r="A186" i="83"/>
  <c r="G185" i="83"/>
  <c r="A185" i="83"/>
  <c r="J184" i="83"/>
  <c r="I184" i="83"/>
  <c r="H184" i="83"/>
  <c r="A184" i="83"/>
  <c r="C183" i="83"/>
  <c r="A165" i="83"/>
  <c r="A164" i="83"/>
  <c r="A160" i="83"/>
  <c r="A158" i="83"/>
  <c r="AA156" i="83"/>
  <c r="Z156" i="83"/>
  <c r="Y156" i="83"/>
  <c r="X156" i="83"/>
  <c r="W156" i="83"/>
  <c r="V156" i="83"/>
  <c r="U156" i="83"/>
  <c r="T156" i="83"/>
  <c r="S156" i="83"/>
  <c r="Q156" i="83"/>
  <c r="P156" i="83"/>
  <c r="O156" i="83"/>
  <c r="N156" i="83"/>
  <c r="M156" i="83"/>
  <c r="L156" i="83"/>
  <c r="K156" i="83"/>
  <c r="J156" i="83"/>
  <c r="I156" i="83"/>
  <c r="H156" i="83"/>
  <c r="A155" i="83"/>
  <c r="H154" i="83"/>
  <c r="V153" i="83"/>
  <c r="U153" i="83"/>
  <c r="T153" i="83"/>
  <c r="S153" i="83"/>
  <c r="R153" i="83"/>
  <c r="R156" i="83" s="1"/>
  <c r="A153" i="83"/>
  <c r="H144" i="83"/>
  <c r="I144" i="83" s="1"/>
  <c r="J144" i="83" s="1"/>
  <c r="K144" i="83" s="1"/>
  <c r="L144" i="83" s="1"/>
  <c r="M144" i="83" s="1"/>
  <c r="N144" i="83" s="1"/>
  <c r="O144" i="83" s="1"/>
  <c r="P144" i="83" s="1"/>
  <c r="Q144" i="83" s="1"/>
  <c r="R144" i="83" s="1"/>
  <c r="S144" i="83" s="1"/>
  <c r="T144" i="83" s="1"/>
  <c r="U144" i="83" s="1"/>
  <c r="V144" i="83" s="1"/>
  <c r="W144" i="83" s="1"/>
  <c r="X144" i="83" s="1"/>
  <c r="Y144" i="83" s="1"/>
  <c r="Z144" i="83" s="1"/>
  <c r="AA144" i="83" s="1"/>
  <c r="A144" i="83"/>
  <c r="A143" i="83"/>
  <c r="A139" i="83"/>
  <c r="A137" i="83"/>
  <c r="AA135" i="83"/>
  <c r="Z135" i="83"/>
  <c r="Y135" i="83"/>
  <c r="X135" i="83"/>
  <c r="W135" i="83"/>
  <c r="Q135" i="83"/>
  <c r="P135" i="83"/>
  <c r="O135" i="83"/>
  <c r="N135" i="83"/>
  <c r="M135" i="83"/>
  <c r="L135" i="83"/>
  <c r="K135" i="83"/>
  <c r="J135" i="83"/>
  <c r="I135" i="83"/>
  <c r="H135" i="83"/>
  <c r="A134" i="83"/>
  <c r="H133" i="83"/>
  <c r="V132" i="83"/>
  <c r="V135" i="83" s="1"/>
  <c r="U132" i="83"/>
  <c r="U135" i="83" s="1"/>
  <c r="T132" i="83"/>
  <c r="T135" i="83" s="1"/>
  <c r="S132" i="83"/>
  <c r="S135" i="83" s="1"/>
  <c r="R132" i="83"/>
  <c r="R135" i="83" s="1"/>
  <c r="A132" i="83"/>
  <c r="I124" i="83"/>
  <c r="J124" i="83" s="1"/>
  <c r="K124" i="83" s="1"/>
  <c r="L124" i="83" s="1"/>
  <c r="M124" i="83" s="1"/>
  <c r="N124" i="83" s="1"/>
  <c r="O124" i="83" s="1"/>
  <c r="P124" i="83" s="1"/>
  <c r="Q124" i="83" s="1"/>
  <c r="R124" i="83" s="1"/>
  <c r="S124" i="83" s="1"/>
  <c r="T124" i="83" s="1"/>
  <c r="U124" i="83" s="1"/>
  <c r="V124" i="83" s="1"/>
  <c r="W124" i="83" s="1"/>
  <c r="X124" i="83" s="1"/>
  <c r="Y124" i="83" s="1"/>
  <c r="Z124" i="83" s="1"/>
  <c r="AA124" i="83" s="1"/>
  <c r="G124" i="83"/>
  <c r="H124" i="83" s="1"/>
  <c r="G123" i="83"/>
  <c r="H123" i="83" s="1"/>
  <c r="I123" i="83" s="1"/>
  <c r="J123" i="83" s="1"/>
  <c r="K123" i="83" s="1"/>
  <c r="L123" i="83" s="1"/>
  <c r="M123" i="83" s="1"/>
  <c r="N123" i="83" s="1"/>
  <c r="O123" i="83" s="1"/>
  <c r="P123" i="83" s="1"/>
  <c r="Q123" i="83" s="1"/>
  <c r="R123" i="83" s="1"/>
  <c r="S123" i="83" s="1"/>
  <c r="T123" i="83" s="1"/>
  <c r="U123" i="83" s="1"/>
  <c r="V123" i="83" s="1"/>
  <c r="W123" i="83" s="1"/>
  <c r="X123" i="83" s="1"/>
  <c r="Y123" i="83" s="1"/>
  <c r="Z123" i="83" s="1"/>
  <c r="AA123" i="83" s="1"/>
  <c r="A123" i="83"/>
  <c r="A122" i="83"/>
  <c r="K116" i="83"/>
  <c r="L116" i="83" s="1"/>
  <c r="M116" i="83" s="1"/>
  <c r="N116" i="83" s="1"/>
  <c r="O116" i="83" s="1"/>
  <c r="P116" i="83" s="1"/>
  <c r="Q116" i="83" s="1"/>
  <c r="R116" i="83" s="1"/>
  <c r="S116" i="83" s="1"/>
  <c r="T116" i="83" s="1"/>
  <c r="U116" i="83" s="1"/>
  <c r="V116" i="83" s="1"/>
  <c r="W116" i="83" s="1"/>
  <c r="X116" i="83" s="1"/>
  <c r="Y116" i="83" s="1"/>
  <c r="Z116" i="83" s="1"/>
  <c r="AA116" i="83" s="1"/>
  <c r="H116" i="83"/>
  <c r="I116" i="83" s="1"/>
  <c r="J116" i="83" s="1"/>
  <c r="A116" i="83"/>
  <c r="AA114" i="83"/>
  <c r="Z114" i="83"/>
  <c r="Y114" i="83"/>
  <c r="X114" i="83"/>
  <c r="W114" i="83"/>
  <c r="A113" i="83"/>
  <c r="G112" i="83"/>
  <c r="A111" i="83"/>
  <c r="G103" i="83"/>
  <c r="H103" i="83" s="1"/>
  <c r="I103" i="83" s="1"/>
  <c r="J103" i="83" s="1"/>
  <c r="K103" i="83" s="1"/>
  <c r="L103" i="83" s="1"/>
  <c r="M103" i="83" s="1"/>
  <c r="N103" i="83" s="1"/>
  <c r="O103" i="83" s="1"/>
  <c r="P103" i="83" s="1"/>
  <c r="Q103" i="83" s="1"/>
  <c r="R103" i="83" s="1"/>
  <c r="S103" i="83" s="1"/>
  <c r="T103" i="83" s="1"/>
  <c r="U103" i="83" s="1"/>
  <c r="V103" i="83" s="1"/>
  <c r="W103" i="83" s="1"/>
  <c r="X103" i="83" s="1"/>
  <c r="Y103" i="83" s="1"/>
  <c r="Z103" i="83" s="1"/>
  <c r="AA103" i="83" s="1"/>
  <c r="G102" i="83"/>
  <c r="H102" i="83" s="1"/>
  <c r="I102" i="83" s="1"/>
  <c r="J102" i="83" s="1"/>
  <c r="K102" i="83" s="1"/>
  <c r="L102" i="83" s="1"/>
  <c r="M102" i="83" s="1"/>
  <c r="N102" i="83" s="1"/>
  <c r="O102" i="83" s="1"/>
  <c r="P102" i="83" s="1"/>
  <c r="Q102" i="83" s="1"/>
  <c r="R102" i="83" s="1"/>
  <c r="S102" i="83" s="1"/>
  <c r="T102" i="83" s="1"/>
  <c r="U102" i="83" s="1"/>
  <c r="V102" i="83" s="1"/>
  <c r="W102" i="83" s="1"/>
  <c r="X102" i="83" s="1"/>
  <c r="Y102" i="83" s="1"/>
  <c r="Z102" i="83" s="1"/>
  <c r="AA102" i="83" s="1"/>
  <c r="A102" i="83"/>
  <c r="I101" i="83"/>
  <c r="I122" i="83" s="1"/>
  <c r="H101" i="83"/>
  <c r="H122" i="83" s="1"/>
  <c r="A101" i="83"/>
  <c r="I95" i="83"/>
  <c r="J95" i="83" s="1"/>
  <c r="K95" i="83" s="1"/>
  <c r="L95" i="83" s="1"/>
  <c r="M95" i="83" s="1"/>
  <c r="N95" i="83" s="1"/>
  <c r="O95" i="83" s="1"/>
  <c r="P95" i="83" s="1"/>
  <c r="Q95" i="83" s="1"/>
  <c r="R95" i="83" s="1"/>
  <c r="S95" i="83" s="1"/>
  <c r="T95" i="83" s="1"/>
  <c r="U95" i="83" s="1"/>
  <c r="V95" i="83" s="1"/>
  <c r="W95" i="83" s="1"/>
  <c r="X95" i="83" s="1"/>
  <c r="Y95" i="83" s="1"/>
  <c r="Z95" i="83" s="1"/>
  <c r="AA95" i="83" s="1"/>
  <c r="H95" i="83"/>
  <c r="A95" i="83"/>
  <c r="AA93" i="83"/>
  <c r="Z93" i="83"/>
  <c r="Y93" i="83"/>
  <c r="Y174" i="83" s="1"/>
  <c r="Y217" i="83" s="1"/>
  <c r="X93" i="83"/>
  <c r="W93" i="83"/>
  <c r="A92" i="83"/>
  <c r="G91" i="83"/>
  <c r="A90" i="83"/>
  <c r="C87" i="83"/>
  <c r="Z84" i="83"/>
  <c r="Z235" i="83" s="1"/>
  <c r="U84" i="83"/>
  <c r="U235" i="83" s="1"/>
  <c r="R84" i="83"/>
  <c r="R235" i="83" s="1"/>
  <c r="M84" i="83"/>
  <c r="M235" i="83" s="1"/>
  <c r="J84" i="83"/>
  <c r="J235" i="83" s="1"/>
  <c r="AA80" i="83"/>
  <c r="Z80" i="83"/>
  <c r="Y80" i="83"/>
  <c r="X80" i="83"/>
  <c r="W80" i="83"/>
  <c r="V80" i="83"/>
  <c r="U80" i="83"/>
  <c r="T80" i="83"/>
  <c r="S80" i="83"/>
  <c r="R80" i="83"/>
  <c r="Q80" i="83"/>
  <c r="P80" i="83"/>
  <c r="O80" i="83"/>
  <c r="N80" i="83"/>
  <c r="M80" i="83"/>
  <c r="L80" i="83"/>
  <c r="K80" i="83"/>
  <c r="J80" i="83"/>
  <c r="I80" i="83"/>
  <c r="H80" i="83"/>
  <c r="G80" i="83"/>
  <c r="G82" i="83" s="1"/>
  <c r="AA79" i="83"/>
  <c r="Z79" i="83"/>
  <c r="Y79" i="83"/>
  <c r="X79" i="83"/>
  <c r="W79" i="83"/>
  <c r="V79" i="83"/>
  <c r="U79" i="83"/>
  <c r="T79" i="83"/>
  <c r="S79" i="83"/>
  <c r="R79" i="83"/>
  <c r="Q79" i="83"/>
  <c r="P79" i="83"/>
  <c r="O79" i="83"/>
  <c r="N79" i="83"/>
  <c r="M79" i="83"/>
  <c r="L79" i="83"/>
  <c r="K79" i="83"/>
  <c r="J79" i="83"/>
  <c r="I79" i="83"/>
  <c r="H79" i="83"/>
  <c r="G79" i="83"/>
  <c r="AA78" i="83"/>
  <c r="Z78" i="83"/>
  <c r="Y78" i="83"/>
  <c r="X78" i="83"/>
  <c r="W78" i="83"/>
  <c r="V78" i="83"/>
  <c r="U78" i="83"/>
  <c r="T78" i="83"/>
  <c r="S78" i="83"/>
  <c r="R78" i="83"/>
  <c r="Q78" i="83"/>
  <c r="P78" i="83"/>
  <c r="O78" i="83"/>
  <c r="N78" i="83"/>
  <c r="M78" i="83"/>
  <c r="L78" i="83"/>
  <c r="K78" i="83"/>
  <c r="R82" i="83" s="1"/>
  <c r="J78" i="83"/>
  <c r="I78" i="83"/>
  <c r="H78" i="83"/>
  <c r="W82" i="83" s="1"/>
  <c r="G78" i="83"/>
  <c r="V82" i="83" s="1"/>
  <c r="AA75" i="83"/>
  <c r="Z75" i="83"/>
  <c r="Y75" i="83"/>
  <c r="X75" i="83"/>
  <c r="W75" i="83"/>
  <c r="V75" i="83"/>
  <c r="U75" i="83"/>
  <c r="T75" i="83"/>
  <c r="S75" i="83"/>
  <c r="R75" i="83"/>
  <c r="Q75" i="83"/>
  <c r="P75" i="83"/>
  <c r="O75" i="83"/>
  <c r="N75" i="83"/>
  <c r="M75" i="83"/>
  <c r="L75" i="83"/>
  <c r="K75" i="83"/>
  <c r="J75" i="83"/>
  <c r="I75" i="83"/>
  <c r="H75" i="83"/>
  <c r="G75" i="83"/>
  <c r="E73" i="83"/>
  <c r="E80" i="83" s="1"/>
  <c r="E72" i="83"/>
  <c r="E79" i="83" s="1"/>
  <c r="E71" i="83"/>
  <c r="E78" i="83" s="1"/>
  <c r="A70" i="83"/>
  <c r="AA66" i="83"/>
  <c r="Z66" i="83"/>
  <c r="Y66" i="83"/>
  <c r="X66" i="83"/>
  <c r="W66" i="83"/>
  <c r="V66" i="83"/>
  <c r="U66" i="83"/>
  <c r="T66" i="83"/>
  <c r="S66" i="83"/>
  <c r="R66" i="83"/>
  <c r="Q66" i="83"/>
  <c r="P66" i="83"/>
  <c r="O66" i="83"/>
  <c r="N66" i="83"/>
  <c r="M66" i="83"/>
  <c r="L66" i="83"/>
  <c r="K66" i="83"/>
  <c r="J66" i="83"/>
  <c r="I66" i="83"/>
  <c r="H66" i="83"/>
  <c r="G66" i="83"/>
  <c r="G68" i="83" s="1"/>
  <c r="G85" i="83" s="1"/>
  <c r="AA65" i="83"/>
  <c r="Z65" i="83"/>
  <c r="Y65" i="83"/>
  <c r="X65" i="83"/>
  <c r="W65" i="83"/>
  <c r="V65" i="83"/>
  <c r="U65" i="83"/>
  <c r="T65" i="83"/>
  <c r="S65" i="83"/>
  <c r="R65" i="83"/>
  <c r="Q65" i="83"/>
  <c r="P65" i="83"/>
  <c r="O65" i="83"/>
  <c r="N65" i="83"/>
  <c r="M65" i="83"/>
  <c r="L65" i="83"/>
  <c r="K65" i="83"/>
  <c r="J65" i="83"/>
  <c r="I65" i="83"/>
  <c r="H65" i="83"/>
  <c r="G65" i="83"/>
  <c r="AA64" i="83"/>
  <c r="Z64" i="83"/>
  <c r="Y64" i="83"/>
  <c r="X64" i="83"/>
  <c r="W64" i="83"/>
  <c r="V64" i="83"/>
  <c r="U64" i="83"/>
  <c r="T64" i="83"/>
  <c r="S64" i="83"/>
  <c r="R64" i="83"/>
  <c r="Q64" i="83"/>
  <c r="P64" i="83"/>
  <c r="O64" i="83"/>
  <c r="N64" i="83"/>
  <c r="M64" i="83"/>
  <c r="L64" i="83"/>
  <c r="K64" i="83"/>
  <c r="R68" i="83" s="1"/>
  <c r="R85" i="83" s="1"/>
  <c r="J64" i="83"/>
  <c r="I64" i="83"/>
  <c r="H64" i="83"/>
  <c r="W68" i="83" s="1"/>
  <c r="W85" i="83" s="1"/>
  <c r="G64" i="83"/>
  <c r="V68" i="83" s="1"/>
  <c r="V85" i="83" s="1"/>
  <c r="AA61" i="83"/>
  <c r="AA84" i="83" s="1"/>
  <c r="AA235" i="83" s="1"/>
  <c r="Z61" i="83"/>
  <c r="Y61" i="83"/>
  <c r="Y84" i="83" s="1"/>
  <c r="Y235" i="83" s="1"/>
  <c r="X61" i="83"/>
  <c r="X84" i="83" s="1"/>
  <c r="X235" i="83" s="1"/>
  <c r="W61" i="83"/>
  <c r="W84" i="83" s="1"/>
  <c r="W235" i="83" s="1"/>
  <c r="V61" i="83"/>
  <c r="V84" i="83" s="1"/>
  <c r="V235" i="83" s="1"/>
  <c r="U61" i="83"/>
  <c r="T61" i="83"/>
  <c r="T84" i="83" s="1"/>
  <c r="T235" i="83" s="1"/>
  <c r="S61" i="83"/>
  <c r="S84" i="83" s="1"/>
  <c r="S235" i="83" s="1"/>
  <c r="R61" i="83"/>
  <c r="Q61" i="83"/>
  <c r="Q84" i="83" s="1"/>
  <c r="Q235" i="83" s="1"/>
  <c r="P61" i="83"/>
  <c r="P84" i="83" s="1"/>
  <c r="P235" i="83" s="1"/>
  <c r="O61" i="83"/>
  <c r="O84" i="83" s="1"/>
  <c r="O235" i="83" s="1"/>
  <c r="N61" i="83"/>
  <c r="N84" i="83" s="1"/>
  <c r="N235" i="83" s="1"/>
  <c r="M61" i="83"/>
  <c r="L61" i="83"/>
  <c r="L84" i="83" s="1"/>
  <c r="L235" i="83" s="1"/>
  <c r="K61" i="83"/>
  <c r="K84" i="83" s="1"/>
  <c r="K235" i="83" s="1"/>
  <c r="J61" i="83"/>
  <c r="I61" i="83"/>
  <c r="I84" i="83" s="1"/>
  <c r="I235" i="83" s="1"/>
  <c r="H61" i="83"/>
  <c r="H84" i="83" s="1"/>
  <c r="H235" i="83" s="1"/>
  <c r="G61" i="83"/>
  <c r="G84" i="83" s="1"/>
  <c r="G235" i="83" s="1"/>
  <c r="E59" i="83"/>
  <c r="E66" i="83" s="1"/>
  <c r="E58" i="83"/>
  <c r="E65" i="83" s="1"/>
  <c r="E57" i="83"/>
  <c r="E64" i="83" s="1"/>
  <c r="A56" i="83"/>
  <c r="A52" i="83"/>
  <c r="AA48" i="83"/>
  <c r="Z48" i="83"/>
  <c r="Y48" i="83"/>
  <c r="X48" i="83"/>
  <c r="W48" i="83"/>
  <c r="V48" i="83"/>
  <c r="U48" i="83"/>
  <c r="T48" i="83"/>
  <c r="S48" i="83"/>
  <c r="R48" i="83"/>
  <c r="Q48" i="83"/>
  <c r="P48" i="83"/>
  <c r="O48" i="83"/>
  <c r="N48" i="83"/>
  <c r="M48" i="83"/>
  <c r="L48" i="83"/>
  <c r="K48" i="83"/>
  <c r="J48" i="83"/>
  <c r="I48" i="83"/>
  <c r="H48" i="83"/>
  <c r="G48" i="83"/>
  <c r="AA47" i="83"/>
  <c r="Z47" i="83"/>
  <c r="Y47" i="83"/>
  <c r="X47" i="83"/>
  <c r="W47" i="83"/>
  <c r="V47" i="83"/>
  <c r="U47" i="83"/>
  <c r="T47" i="83"/>
  <c r="S47" i="83"/>
  <c r="R47" i="83"/>
  <c r="Q47" i="83"/>
  <c r="P47" i="83"/>
  <c r="O47" i="83"/>
  <c r="N47" i="83"/>
  <c r="M47" i="83"/>
  <c r="L47" i="83"/>
  <c r="K47" i="83"/>
  <c r="J47" i="83"/>
  <c r="I47" i="83"/>
  <c r="H47" i="83"/>
  <c r="G47" i="83"/>
  <c r="E47" i="83"/>
  <c r="AA46" i="83"/>
  <c r="Z46" i="83"/>
  <c r="Y46" i="83"/>
  <c r="X46" i="83"/>
  <c r="W46" i="83"/>
  <c r="V46" i="83"/>
  <c r="U46" i="83"/>
  <c r="T46" i="83"/>
  <c r="S46" i="83"/>
  <c r="R46" i="83"/>
  <c r="Q46" i="83"/>
  <c r="P46" i="83"/>
  <c r="O46" i="83"/>
  <c r="N46" i="83"/>
  <c r="M46" i="83"/>
  <c r="L46" i="83"/>
  <c r="K46" i="83"/>
  <c r="J46" i="83"/>
  <c r="I46" i="83"/>
  <c r="H46" i="83"/>
  <c r="G46" i="83"/>
  <c r="Z45" i="83"/>
  <c r="G45" i="83"/>
  <c r="E45" i="83"/>
  <c r="G42" i="83"/>
  <c r="G222" i="83" s="1"/>
  <c r="E40" i="83"/>
  <c r="E48" i="83" s="1"/>
  <c r="E39" i="83"/>
  <c r="E38" i="83"/>
  <c r="E46" i="83" s="1"/>
  <c r="Z42" i="83"/>
  <c r="Z222" i="83" s="1"/>
  <c r="Y42" i="83"/>
  <c r="Y222" i="83" s="1"/>
  <c r="X42" i="83"/>
  <c r="X222" i="83" s="1"/>
  <c r="E37" i="83"/>
  <c r="A36" i="83"/>
  <c r="AA32" i="83"/>
  <c r="Z32" i="83"/>
  <c r="Y32" i="83"/>
  <c r="X32" i="83"/>
  <c r="W32" i="83"/>
  <c r="V32" i="83"/>
  <c r="U32" i="83"/>
  <c r="T32" i="83"/>
  <c r="S32" i="83"/>
  <c r="R32" i="83"/>
  <c r="Q32" i="83"/>
  <c r="P32" i="83"/>
  <c r="O32" i="83"/>
  <c r="N32" i="83"/>
  <c r="M32" i="83"/>
  <c r="L32" i="83"/>
  <c r="K32" i="83"/>
  <c r="J32" i="83"/>
  <c r="I32" i="83"/>
  <c r="H32" i="83"/>
  <c r="G32" i="83"/>
  <c r="E32" i="83"/>
  <c r="AA31" i="83"/>
  <c r="Z31" i="83"/>
  <c r="Y31" i="83"/>
  <c r="X31" i="83"/>
  <c r="W31" i="83"/>
  <c r="V31" i="83"/>
  <c r="U31" i="83"/>
  <c r="T31" i="83"/>
  <c r="S31" i="83"/>
  <c r="R31" i="83"/>
  <c r="Q31" i="83"/>
  <c r="P31" i="83"/>
  <c r="O31" i="83"/>
  <c r="N31" i="83"/>
  <c r="M31" i="83"/>
  <c r="L31" i="83"/>
  <c r="K31" i="83"/>
  <c r="J31" i="83"/>
  <c r="I31" i="83"/>
  <c r="H31" i="83"/>
  <c r="G31" i="83"/>
  <c r="E31" i="83"/>
  <c r="AA30" i="83"/>
  <c r="Z30" i="83"/>
  <c r="Y30" i="83"/>
  <c r="X30" i="83"/>
  <c r="W30" i="83"/>
  <c r="V30" i="83"/>
  <c r="U30" i="83"/>
  <c r="T30" i="83"/>
  <c r="S30" i="83"/>
  <c r="R30" i="83"/>
  <c r="Q30" i="83"/>
  <c r="P30" i="83"/>
  <c r="O30" i="83"/>
  <c r="N30" i="83"/>
  <c r="M30" i="83"/>
  <c r="L30" i="83"/>
  <c r="K30" i="83"/>
  <c r="J30" i="83"/>
  <c r="I30" i="83"/>
  <c r="H30" i="83"/>
  <c r="G30" i="83"/>
  <c r="E23" i="83"/>
  <c r="E22" i="83"/>
  <c r="E30" i="83" s="1"/>
  <c r="E21" i="83"/>
  <c r="E29" i="83" s="1"/>
  <c r="A20" i="83"/>
  <c r="A18" i="83"/>
  <c r="G15" i="83"/>
  <c r="A15" i="83"/>
  <c r="G14" i="83"/>
  <c r="A14" i="83"/>
  <c r="A10" i="83"/>
  <c r="A9" i="83"/>
  <c r="A8" i="83"/>
  <c r="A7" i="83"/>
  <c r="A4" i="83"/>
  <c r="A320" i="82"/>
  <c r="A283" i="82"/>
  <c r="T270" i="82"/>
  <c r="G241" i="82"/>
  <c r="U240" i="82"/>
  <c r="T240" i="82"/>
  <c r="G240" i="82"/>
  <c r="G239" i="82"/>
  <c r="G237" i="82"/>
  <c r="AA236" i="82"/>
  <c r="Z236" i="82"/>
  <c r="Y236" i="82"/>
  <c r="Y302" i="82" s="1"/>
  <c r="X236" i="82"/>
  <c r="W236" i="82"/>
  <c r="W302" i="82" s="1"/>
  <c r="V236" i="82"/>
  <c r="U236" i="82"/>
  <c r="U302" i="82" s="1"/>
  <c r="T236" i="82"/>
  <c r="T302" i="82" s="1"/>
  <c r="S236" i="82"/>
  <c r="R236" i="82"/>
  <c r="R302" i="82" s="1"/>
  <c r="Q236" i="82"/>
  <c r="Q302" i="82" s="1"/>
  <c r="P236" i="82"/>
  <c r="O236" i="82"/>
  <c r="O302" i="82" s="1"/>
  <c r="N236" i="82"/>
  <c r="N302" i="82" s="1"/>
  <c r="M236" i="82"/>
  <c r="M302" i="82" s="1"/>
  <c r="L236" i="82"/>
  <c r="L302" i="82" s="1"/>
  <c r="K236" i="82"/>
  <c r="J236" i="82"/>
  <c r="J302" i="82" s="1"/>
  <c r="I236" i="82"/>
  <c r="I302" i="82" s="1"/>
  <c r="H236" i="82"/>
  <c r="G236" i="82"/>
  <c r="G302" i="82" s="1"/>
  <c r="M227" i="82"/>
  <c r="G227" i="82"/>
  <c r="G293" i="82" s="1"/>
  <c r="G225" i="82"/>
  <c r="G291" i="82" s="1"/>
  <c r="G224" i="82"/>
  <c r="G223" i="82"/>
  <c r="G257" i="82" s="1"/>
  <c r="A213" i="82"/>
  <c r="A212" i="82"/>
  <c r="A211" i="82"/>
  <c r="A210" i="82"/>
  <c r="AA207" i="82"/>
  <c r="Z207" i="82"/>
  <c r="Y207" i="82"/>
  <c r="X207" i="82"/>
  <c r="W207" i="82"/>
  <c r="V207" i="82"/>
  <c r="U207" i="82"/>
  <c r="U227" i="82" s="1"/>
  <c r="T207" i="82"/>
  <c r="T227" i="82" s="1"/>
  <c r="S207" i="82"/>
  <c r="R207" i="82"/>
  <c r="Q207" i="82"/>
  <c r="P207" i="82"/>
  <c r="P240" i="82" s="1"/>
  <c r="O207" i="82"/>
  <c r="N207" i="82"/>
  <c r="M207" i="82"/>
  <c r="M240" i="82" s="1"/>
  <c r="L207" i="82"/>
  <c r="L227" i="82" s="1"/>
  <c r="K207" i="82"/>
  <c r="J207" i="82"/>
  <c r="I207" i="82"/>
  <c r="H207" i="82"/>
  <c r="A206" i="82"/>
  <c r="A205" i="82"/>
  <c r="A204" i="82"/>
  <c r="A203" i="82"/>
  <c r="A198" i="82"/>
  <c r="A197" i="82"/>
  <c r="A194" i="82"/>
  <c r="A193" i="82"/>
  <c r="G192" i="82"/>
  <c r="A192" i="82"/>
  <c r="A191" i="82"/>
  <c r="A186" i="82"/>
  <c r="G185" i="82"/>
  <c r="A185" i="82"/>
  <c r="J184" i="82"/>
  <c r="I184" i="82"/>
  <c r="H184" i="82"/>
  <c r="A184" i="82"/>
  <c r="C183" i="82"/>
  <c r="A165" i="82"/>
  <c r="A164" i="82"/>
  <c r="H162" i="82"/>
  <c r="A160" i="82"/>
  <c r="A158" i="82"/>
  <c r="AA156" i="82"/>
  <c r="Z156" i="82"/>
  <c r="Y156" i="82"/>
  <c r="X156" i="82"/>
  <c r="W156" i="82"/>
  <c r="V156" i="82"/>
  <c r="U156" i="82"/>
  <c r="Q156" i="82"/>
  <c r="P156" i="82"/>
  <c r="O156" i="82"/>
  <c r="N156" i="82"/>
  <c r="M156" i="82"/>
  <c r="L156" i="82"/>
  <c r="K156" i="82"/>
  <c r="J156" i="82"/>
  <c r="I156" i="82"/>
  <c r="H156" i="82"/>
  <c r="A155" i="82"/>
  <c r="H154" i="82"/>
  <c r="V153" i="82"/>
  <c r="U153" i="82"/>
  <c r="T153" i="82"/>
  <c r="T156" i="82" s="1"/>
  <c r="S153" i="82"/>
  <c r="S156" i="82" s="1"/>
  <c r="R153" i="82"/>
  <c r="R156" i="82" s="1"/>
  <c r="A153" i="82"/>
  <c r="A144" i="82"/>
  <c r="A143" i="82"/>
  <c r="A139" i="82"/>
  <c r="A137" i="82"/>
  <c r="AA135" i="82"/>
  <c r="Z135" i="82"/>
  <c r="Y135" i="82"/>
  <c r="X135" i="82"/>
  <c r="W135" i="82"/>
  <c r="S135" i="82"/>
  <c r="R135" i="82"/>
  <c r="Q135" i="82"/>
  <c r="P135" i="82"/>
  <c r="O135" i="82"/>
  <c r="N135" i="82"/>
  <c r="M135" i="82"/>
  <c r="L135" i="82"/>
  <c r="K135" i="82"/>
  <c r="J135" i="82"/>
  <c r="I135" i="82"/>
  <c r="H135" i="82"/>
  <c r="A134" i="82"/>
  <c r="H133" i="82"/>
  <c r="V132" i="82"/>
  <c r="V135" i="82" s="1"/>
  <c r="U132" i="82"/>
  <c r="U135" i="82" s="1"/>
  <c r="T132" i="82"/>
  <c r="T135" i="82" s="1"/>
  <c r="S132" i="82"/>
  <c r="R132" i="82"/>
  <c r="A132" i="82"/>
  <c r="G124" i="82"/>
  <c r="G123" i="82"/>
  <c r="A123" i="82"/>
  <c r="L122" i="82"/>
  <c r="K122" i="82"/>
  <c r="J122" i="82"/>
  <c r="I122" i="82"/>
  <c r="H122" i="82"/>
  <c r="A122" i="82"/>
  <c r="H116" i="82"/>
  <c r="I116" i="82" s="1"/>
  <c r="J116" i="82" s="1"/>
  <c r="K116" i="82" s="1"/>
  <c r="L116" i="82" s="1"/>
  <c r="M116" i="82" s="1"/>
  <c r="N116" i="82" s="1"/>
  <c r="O116" i="82" s="1"/>
  <c r="P116" i="82" s="1"/>
  <c r="Q116" i="82" s="1"/>
  <c r="R116" i="82" s="1"/>
  <c r="S116" i="82" s="1"/>
  <c r="T116" i="82" s="1"/>
  <c r="U116" i="82" s="1"/>
  <c r="V116" i="82" s="1"/>
  <c r="W116" i="82" s="1"/>
  <c r="X116" i="82" s="1"/>
  <c r="Y116" i="82" s="1"/>
  <c r="Z116" i="82" s="1"/>
  <c r="AA116" i="82" s="1"/>
  <c r="A116" i="82"/>
  <c r="AA114" i="82"/>
  <c r="Z114" i="82"/>
  <c r="Y114" i="82"/>
  <c r="X114" i="82"/>
  <c r="W114" i="82"/>
  <c r="A113" i="82"/>
  <c r="G112" i="82"/>
  <c r="A111" i="82"/>
  <c r="G105" i="82"/>
  <c r="H105" i="82" s="1"/>
  <c r="G104" i="82"/>
  <c r="H104" i="82" s="1"/>
  <c r="H103" i="82"/>
  <c r="I103" i="82" s="1"/>
  <c r="J103" i="82" s="1"/>
  <c r="K103" i="82" s="1"/>
  <c r="L103" i="82" s="1"/>
  <c r="M103" i="82" s="1"/>
  <c r="N103" i="82" s="1"/>
  <c r="O103" i="82" s="1"/>
  <c r="P103" i="82" s="1"/>
  <c r="Q103" i="82" s="1"/>
  <c r="R103" i="82" s="1"/>
  <c r="S103" i="82" s="1"/>
  <c r="T103" i="82" s="1"/>
  <c r="U103" i="82" s="1"/>
  <c r="V103" i="82" s="1"/>
  <c r="W103" i="82" s="1"/>
  <c r="X103" i="82" s="1"/>
  <c r="Y103" i="82" s="1"/>
  <c r="Z103" i="82" s="1"/>
  <c r="AA103" i="82" s="1"/>
  <c r="G103" i="82"/>
  <c r="G102" i="82"/>
  <c r="A102" i="82"/>
  <c r="I101" i="82"/>
  <c r="H101" i="82"/>
  <c r="A101" i="82"/>
  <c r="H95" i="82"/>
  <c r="I95" i="82" s="1"/>
  <c r="J95" i="82" s="1"/>
  <c r="K95" i="82" s="1"/>
  <c r="L95" i="82" s="1"/>
  <c r="M95" i="82" s="1"/>
  <c r="N95" i="82" s="1"/>
  <c r="O95" i="82" s="1"/>
  <c r="P95" i="82" s="1"/>
  <c r="Q95" i="82" s="1"/>
  <c r="R95" i="82" s="1"/>
  <c r="S95" i="82" s="1"/>
  <c r="T95" i="82" s="1"/>
  <c r="U95" i="82" s="1"/>
  <c r="V95" i="82" s="1"/>
  <c r="W95" i="82" s="1"/>
  <c r="X95" i="82" s="1"/>
  <c r="Y95" i="82" s="1"/>
  <c r="Z95" i="82" s="1"/>
  <c r="AA95" i="82" s="1"/>
  <c r="A95" i="82"/>
  <c r="AA93" i="82"/>
  <c r="AA174" i="82" s="1"/>
  <c r="AA217" i="82" s="1"/>
  <c r="Z93" i="82"/>
  <c r="Z174" i="82" s="1"/>
  <c r="Z217" i="82" s="1"/>
  <c r="Y93" i="82"/>
  <c r="Y174" i="82" s="1"/>
  <c r="Y217" i="82" s="1"/>
  <c r="X93" i="82"/>
  <c r="X174" i="82" s="1"/>
  <c r="X217" i="82" s="1"/>
  <c r="W93" i="82"/>
  <c r="A92" i="82"/>
  <c r="G91" i="82"/>
  <c r="A90" i="82"/>
  <c r="C87" i="82"/>
  <c r="U84" i="82"/>
  <c r="U235" i="82" s="1"/>
  <c r="T84" i="82"/>
  <c r="T235" i="82" s="1"/>
  <c r="M84" i="82"/>
  <c r="M235" i="82" s="1"/>
  <c r="L84" i="82"/>
  <c r="L235" i="82" s="1"/>
  <c r="I82" i="82"/>
  <c r="AA80" i="82"/>
  <c r="Z80" i="82"/>
  <c r="Y80" i="82"/>
  <c r="X80" i="82"/>
  <c r="W80" i="82"/>
  <c r="V80" i="82"/>
  <c r="U80" i="82"/>
  <c r="T80" i="82"/>
  <c r="S80" i="82"/>
  <c r="R80" i="82"/>
  <c r="Q80" i="82"/>
  <c r="P80" i="82"/>
  <c r="O80" i="82"/>
  <c r="N80" i="82"/>
  <c r="M80" i="82"/>
  <c r="L80" i="82"/>
  <c r="K80" i="82"/>
  <c r="J80" i="82"/>
  <c r="I80" i="82"/>
  <c r="H80" i="82"/>
  <c r="G80" i="82"/>
  <c r="E80" i="82"/>
  <c r="AA79" i="82"/>
  <c r="Z79" i="82"/>
  <c r="Y79" i="82"/>
  <c r="X79" i="82"/>
  <c r="W79" i="82"/>
  <c r="V79" i="82"/>
  <c r="U79" i="82"/>
  <c r="T79" i="82"/>
  <c r="S79" i="82"/>
  <c r="R79" i="82"/>
  <c r="Q79" i="82"/>
  <c r="P79" i="82"/>
  <c r="O79" i="82"/>
  <c r="N79" i="82"/>
  <c r="M79" i="82"/>
  <c r="L79" i="82"/>
  <c r="K79" i="82"/>
  <c r="J79" i="82"/>
  <c r="I79" i="82"/>
  <c r="H79" i="82"/>
  <c r="G79" i="82"/>
  <c r="AA78" i="82"/>
  <c r="Z78" i="82"/>
  <c r="Y78" i="82"/>
  <c r="X78" i="82"/>
  <c r="W78" i="82"/>
  <c r="V78" i="82"/>
  <c r="U78" i="82"/>
  <c r="T78" i="82"/>
  <c r="S78" i="82"/>
  <c r="R78" i="82"/>
  <c r="Q78" i="82"/>
  <c r="P78" i="82"/>
  <c r="O78" i="82"/>
  <c r="N78" i="82"/>
  <c r="M78" i="82"/>
  <c r="L78" i="82"/>
  <c r="K78" i="82"/>
  <c r="J78" i="82"/>
  <c r="Y82" i="82" s="1"/>
  <c r="I78" i="82"/>
  <c r="H78" i="82"/>
  <c r="G78" i="82"/>
  <c r="X82" i="82" s="1"/>
  <c r="AA75" i="82"/>
  <c r="Z75" i="82"/>
  <c r="Y75" i="82"/>
  <c r="X75" i="82"/>
  <c r="W75" i="82"/>
  <c r="V75" i="82"/>
  <c r="U75" i="82"/>
  <c r="T75" i="82"/>
  <c r="S75" i="82"/>
  <c r="R75" i="82"/>
  <c r="Q75" i="82"/>
  <c r="P75" i="82"/>
  <c r="O75" i="82"/>
  <c r="N75" i="82"/>
  <c r="M75" i="82"/>
  <c r="L75" i="82"/>
  <c r="K75" i="82"/>
  <c r="J75" i="82"/>
  <c r="I75" i="82"/>
  <c r="H75" i="82"/>
  <c r="G75" i="82"/>
  <c r="E73" i="82"/>
  <c r="E72" i="82"/>
  <c r="E79" i="82" s="1"/>
  <c r="E71" i="82"/>
  <c r="E78" i="82" s="1"/>
  <c r="A70" i="82"/>
  <c r="I68" i="82"/>
  <c r="I85" i="82" s="1"/>
  <c r="AA66" i="82"/>
  <c r="Z66" i="82"/>
  <c r="Y66" i="82"/>
  <c r="X66" i="82"/>
  <c r="W66" i="82"/>
  <c r="V66" i="82"/>
  <c r="U66" i="82"/>
  <c r="T66" i="82"/>
  <c r="S66" i="82"/>
  <c r="R66" i="82"/>
  <c r="Q66" i="82"/>
  <c r="P66" i="82"/>
  <c r="O66" i="82"/>
  <c r="N66" i="82"/>
  <c r="M66" i="82"/>
  <c r="L66" i="82"/>
  <c r="K66" i="82"/>
  <c r="J66" i="82"/>
  <c r="I66" i="82"/>
  <c r="H66" i="82"/>
  <c r="G66" i="82"/>
  <c r="E66" i="82"/>
  <c r="AA65" i="82"/>
  <c r="Z65" i="82"/>
  <c r="Y65" i="82"/>
  <c r="X65" i="82"/>
  <c r="W65" i="82"/>
  <c r="V65" i="82"/>
  <c r="U65" i="82"/>
  <c r="T65" i="82"/>
  <c r="S65" i="82"/>
  <c r="R65" i="82"/>
  <c r="Q65" i="82"/>
  <c r="P65" i="82"/>
  <c r="O65" i="82"/>
  <c r="N65" i="82"/>
  <c r="M65" i="82"/>
  <c r="L65" i="82"/>
  <c r="K65" i="82"/>
  <c r="J65" i="82"/>
  <c r="I65" i="82"/>
  <c r="H65" i="82"/>
  <c r="G65" i="82"/>
  <c r="AA64" i="82"/>
  <c r="Z64" i="82"/>
  <c r="Y64" i="82"/>
  <c r="X64" i="82"/>
  <c r="W64" i="82"/>
  <c r="V64" i="82"/>
  <c r="U64" i="82"/>
  <c r="T64" i="82"/>
  <c r="S64" i="82"/>
  <c r="R64" i="82"/>
  <c r="Q64" i="82"/>
  <c r="P64" i="82"/>
  <c r="O64" i="82"/>
  <c r="N64" i="82"/>
  <c r="M64" i="82"/>
  <c r="L64" i="82"/>
  <c r="K64" i="82"/>
  <c r="J64" i="82"/>
  <c r="J68" i="82" s="1"/>
  <c r="I64" i="82"/>
  <c r="H64" i="82"/>
  <c r="G64" i="82"/>
  <c r="X68" i="82" s="1"/>
  <c r="AA61" i="82"/>
  <c r="AA84" i="82" s="1"/>
  <c r="AA235" i="82" s="1"/>
  <c r="Z61" i="82"/>
  <c r="Z84" i="82" s="1"/>
  <c r="Z235" i="82" s="1"/>
  <c r="Y61" i="82"/>
  <c r="Y84" i="82" s="1"/>
  <c r="Y235" i="82" s="1"/>
  <c r="X61" i="82"/>
  <c r="X84" i="82" s="1"/>
  <c r="X235" i="82" s="1"/>
  <c r="W61" i="82"/>
  <c r="W84" i="82" s="1"/>
  <c r="W235" i="82" s="1"/>
  <c r="V61" i="82"/>
  <c r="V84" i="82" s="1"/>
  <c r="V235" i="82" s="1"/>
  <c r="U61" i="82"/>
  <c r="T61" i="82"/>
  <c r="S61" i="82"/>
  <c r="S84" i="82" s="1"/>
  <c r="S235" i="82" s="1"/>
  <c r="R61" i="82"/>
  <c r="R84" i="82" s="1"/>
  <c r="R235" i="82" s="1"/>
  <c r="Q61" i="82"/>
  <c r="Q84" i="82" s="1"/>
  <c r="Q235" i="82" s="1"/>
  <c r="P61" i="82"/>
  <c r="P84" i="82" s="1"/>
  <c r="P235" i="82" s="1"/>
  <c r="O61" i="82"/>
  <c r="O84" i="82" s="1"/>
  <c r="O235" i="82" s="1"/>
  <c r="N61" i="82"/>
  <c r="N84" i="82" s="1"/>
  <c r="N235" i="82" s="1"/>
  <c r="M61" i="82"/>
  <c r="L61" i="82"/>
  <c r="K61" i="82"/>
  <c r="K84" i="82" s="1"/>
  <c r="K235" i="82" s="1"/>
  <c r="J61" i="82"/>
  <c r="J84" i="82" s="1"/>
  <c r="J235" i="82" s="1"/>
  <c r="I61" i="82"/>
  <c r="I84" i="82" s="1"/>
  <c r="I235" i="82" s="1"/>
  <c r="H61" i="82"/>
  <c r="H84" i="82" s="1"/>
  <c r="H235" i="82" s="1"/>
  <c r="G61" i="82"/>
  <c r="G84" i="82" s="1"/>
  <c r="G235" i="82" s="1"/>
  <c r="E59" i="82"/>
  <c r="E58" i="82"/>
  <c r="E65" i="82" s="1"/>
  <c r="E57" i="82"/>
  <c r="E64" i="82" s="1"/>
  <c r="A56" i="82"/>
  <c r="A52" i="82"/>
  <c r="AA48" i="82"/>
  <c r="Z48" i="82"/>
  <c r="Y48" i="82"/>
  <c r="X48" i="82"/>
  <c r="W48" i="82"/>
  <c r="V48" i="82"/>
  <c r="U48" i="82"/>
  <c r="T48" i="82"/>
  <c r="S48" i="82"/>
  <c r="R48" i="82"/>
  <c r="Q48" i="82"/>
  <c r="P48" i="82"/>
  <c r="O48" i="82"/>
  <c r="N48" i="82"/>
  <c r="M48" i="82"/>
  <c r="L48" i="82"/>
  <c r="K48" i="82"/>
  <c r="J48" i="82"/>
  <c r="I48" i="82"/>
  <c r="H48" i="82"/>
  <c r="G48" i="82"/>
  <c r="AA47" i="82"/>
  <c r="Z47" i="82"/>
  <c r="Y47" i="82"/>
  <c r="X47" i="82"/>
  <c r="W47" i="82"/>
  <c r="V47" i="82"/>
  <c r="U47" i="82"/>
  <c r="T47" i="82"/>
  <c r="S47" i="82"/>
  <c r="R47" i="82"/>
  <c r="Q47" i="82"/>
  <c r="P47" i="82"/>
  <c r="O47" i="82"/>
  <c r="N47" i="82"/>
  <c r="M47" i="82"/>
  <c r="L47" i="82"/>
  <c r="K47" i="82"/>
  <c r="J47" i="82"/>
  <c r="I47" i="82"/>
  <c r="H47" i="82"/>
  <c r="G47" i="82"/>
  <c r="E47" i="82"/>
  <c r="AA46" i="82"/>
  <c r="Z46" i="82"/>
  <c r="Y46" i="82"/>
  <c r="X46" i="82"/>
  <c r="W46" i="82"/>
  <c r="V46" i="82"/>
  <c r="U46" i="82"/>
  <c r="T46" i="82"/>
  <c r="S46" i="82"/>
  <c r="R46" i="82"/>
  <c r="Q46" i="82"/>
  <c r="P46" i="82"/>
  <c r="O46" i="82"/>
  <c r="N46" i="82"/>
  <c r="M46" i="82"/>
  <c r="L46" i="82"/>
  <c r="K46" i="82"/>
  <c r="J46" i="82"/>
  <c r="I46" i="82"/>
  <c r="H46" i="82"/>
  <c r="G46" i="82"/>
  <c r="G45" i="82"/>
  <c r="G42" i="82"/>
  <c r="G222" i="82" s="1"/>
  <c r="E40" i="82"/>
  <c r="E48" i="82" s="1"/>
  <c r="E39" i="82"/>
  <c r="E38" i="82"/>
  <c r="E46" i="82" s="1"/>
  <c r="X45" i="82"/>
  <c r="W45" i="82"/>
  <c r="E37" i="82"/>
  <c r="E45" i="82" s="1"/>
  <c r="A36" i="82"/>
  <c r="AA32" i="82"/>
  <c r="Z32" i="82"/>
  <c r="Y32" i="82"/>
  <c r="X32" i="82"/>
  <c r="W32" i="82"/>
  <c r="V32" i="82"/>
  <c r="U32" i="82"/>
  <c r="T32" i="82"/>
  <c r="S32" i="82"/>
  <c r="R32" i="82"/>
  <c r="Q32" i="82"/>
  <c r="P32" i="82"/>
  <c r="O32" i="82"/>
  <c r="N32" i="82"/>
  <c r="M32" i="82"/>
  <c r="L32" i="82"/>
  <c r="K32" i="82"/>
  <c r="J32" i="82"/>
  <c r="I32" i="82"/>
  <c r="H32" i="82"/>
  <c r="G32" i="82"/>
  <c r="E32" i="82"/>
  <c r="AA31" i="82"/>
  <c r="Z31" i="82"/>
  <c r="Y31" i="82"/>
  <c r="X31" i="82"/>
  <c r="W31" i="82"/>
  <c r="V31" i="82"/>
  <c r="U31" i="82"/>
  <c r="T31" i="82"/>
  <c r="S31" i="82"/>
  <c r="R31" i="82"/>
  <c r="Q31" i="82"/>
  <c r="P31" i="82"/>
  <c r="O31" i="82"/>
  <c r="N31" i="82"/>
  <c r="M31" i="82"/>
  <c r="L31" i="82"/>
  <c r="K31" i="82"/>
  <c r="J31" i="82"/>
  <c r="I31" i="82"/>
  <c r="H31" i="82"/>
  <c r="G31" i="82"/>
  <c r="AA30" i="82"/>
  <c r="Z30" i="82"/>
  <c r="Y30" i="82"/>
  <c r="X30" i="82"/>
  <c r="W30" i="82"/>
  <c r="V30" i="82"/>
  <c r="U30" i="82"/>
  <c r="T30" i="82"/>
  <c r="S30" i="82"/>
  <c r="R30" i="82"/>
  <c r="Q30" i="82"/>
  <c r="P30" i="82"/>
  <c r="O30" i="82"/>
  <c r="N30" i="82"/>
  <c r="M30" i="82"/>
  <c r="L30" i="82"/>
  <c r="K30" i="82"/>
  <c r="J30" i="82"/>
  <c r="I30" i="82"/>
  <c r="H30" i="82"/>
  <c r="G30" i="82"/>
  <c r="E30" i="82"/>
  <c r="E23" i="82"/>
  <c r="E31" i="82" s="1"/>
  <c r="E22" i="82"/>
  <c r="E21" i="82"/>
  <c r="E29" i="82" s="1"/>
  <c r="A20" i="82"/>
  <c r="A18" i="82"/>
  <c r="G15" i="82"/>
  <c r="A15" i="82"/>
  <c r="G14" i="82"/>
  <c r="A14" i="82"/>
  <c r="A10" i="82"/>
  <c r="A9" i="82"/>
  <c r="A8" i="82"/>
  <c r="A7" i="82"/>
  <c r="A4" i="82"/>
  <c r="I122" i="49"/>
  <c r="J122" i="49"/>
  <c r="K122" i="49"/>
  <c r="L122" i="49"/>
  <c r="H122" i="49"/>
  <c r="H103" i="49"/>
  <c r="L101" i="49"/>
  <c r="I101" i="49"/>
  <c r="J101" i="49"/>
  <c r="K101" i="49"/>
  <c r="H101" i="49"/>
  <c r="I122" i="48"/>
  <c r="J122" i="48"/>
  <c r="K122" i="48"/>
  <c r="H122" i="48"/>
  <c r="H104" i="48"/>
  <c r="H105" i="48"/>
  <c r="H103" i="48"/>
  <c r="L101" i="48"/>
  <c r="I101" i="48"/>
  <c r="J101" i="48"/>
  <c r="K101" i="48"/>
  <c r="H101" i="48"/>
  <c r="L122" i="46"/>
  <c r="K122" i="46"/>
  <c r="J122" i="46"/>
  <c r="I122" i="46"/>
  <c r="H122" i="46"/>
  <c r="I111" i="46"/>
  <c r="J111" i="46" s="1"/>
  <c r="K111" i="46" s="1"/>
  <c r="L111" i="46" s="1"/>
  <c r="L101" i="46"/>
  <c r="K101" i="46"/>
  <c r="J101" i="46"/>
  <c r="I101" i="46"/>
  <c r="H101" i="46"/>
  <c r="L122" i="29"/>
  <c r="K122" i="29"/>
  <c r="J122" i="29"/>
  <c r="I122" i="29"/>
  <c r="H122" i="29"/>
  <c r="L101" i="29"/>
  <c r="K101" i="29"/>
  <c r="J101" i="29"/>
  <c r="I101" i="29"/>
  <c r="H101" i="29"/>
  <c r="L122" i="10"/>
  <c r="K122" i="10"/>
  <c r="J122" i="10"/>
  <c r="I122" i="10"/>
  <c r="H122" i="10"/>
  <c r="L101" i="10"/>
  <c r="K101" i="10"/>
  <c r="J101" i="10"/>
  <c r="I101" i="10"/>
  <c r="H101" i="10"/>
  <c r="I122" i="4"/>
  <c r="J122" i="4"/>
  <c r="K122" i="4"/>
  <c r="L122" i="4"/>
  <c r="H122" i="4"/>
  <c r="I101" i="4"/>
  <c r="J101" i="4"/>
  <c r="K101" i="4"/>
  <c r="L101" i="4"/>
  <c r="H101" i="4"/>
  <c r="L122" i="25"/>
  <c r="K122" i="25"/>
  <c r="J122" i="25"/>
  <c r="I122" i="25"/>
  <c r="H122" i="25"/>
  <c r="H103" i="25"/>
  <c r="L101" i="25"/>
  <c r="K101" i="25"/>
  <c r="J101" i="25"/>
  <c r="I101" i="25"/>
  <c r="H101" i="25"/>
  <c r="L122" i="13"/>
  <c r="K122" i="13"/>
  <c r="J122" i="13"/>
  <c r="I122" i="13"/>
  <c r="H122" i="13"/>
  <c r="H103" i="13"/>
  <c r="L101" i="13"/>
  <c r="K101" i="13"/>
  <c r="J101" i="13"/>
  <c r="I101" i="13"/>
  <c r="H101" i="13"/>
  <c r="I122" i="11"/>
  <c r="J122" i="11"/>
  <c r="K122" i="11"/>
  <c r="L122" i="11"/>
  <c r="H122" i="11"/>
  <c r="H103" i="11"/>
  <c r="I101" i="11"/>
  <c r="J101" i="11"/>
  <c r="K101" i="11"/>
  <c r="L101" i="11"/>
  <c r="H101" i="11"/>
  <c r="L122" i="21"/>
  <c r="K122" i="21"/>
  <c r="J122" i="21"/>
  <c r="I122" i="21"/>
  <c r="H122" i="21"/>
  <c r="H105" i="21"/>
  <c r="H104" i="21"/>
  <c r="H103" i="21"/>
  <c r="H102" i="21"/>
  <c r="K101" i="21"/>
  <c r="J101" i="21"/>
  <c r="I101" i="21"/>
  <c r="H101" i="21"/>
  <c r="L122" i="16"/>
  <c r="K122" i="16"/>
  <c r="J122" i="16"/>
  <c r="I122" i="16"/>
  <c r="H122" i="16"/>
  <c r="K101" i="16"/>
  <c r="J101" i="16"/>
  <c r="I101" i="16"/>
  <c r="H101" i="16"/>
  <c r="L122" i="14"/>
  <c r="I122" i="14"/>
  <c r="J122" i="14"/>
  <c r="K122" i="14"/>
  <c r="H122" i="14"/>
  <c r="H105" i="14"/>
  <c r="H104" i="14"/>
  <c r="H103" i="14"/>
  <c r="H102" i="14"/>
  <c r="I102" i="14"/>
  <c r="I101" i="14"/>
  <c r="J101" i="14"/>
  <c r="K101" i="14"/>
  <c r="H101" i="14"/>
  <c r="P129" i="85" l="1"/>
  <c r="M257" i="85"/>
  <c r="O107" i="85"/>
  <c r="O176" i="85" s="1"/>
  <c r="O179" i="85" s="1"/>
  <c r="O292" i="85"/>
  <c r="O260" i="85"/>
  <c r="P128" i="85"/>
  <c r="P288" i="85"/>
  <c r="P256" i="85"/>
  <c r="P260" i="85"/>
  <c r="P292" i="85"/>
  <c r="N237" i="85"/>
  <c r="N180" i="85"/>
  <c r="N223" i="85"/>
  <c r="N181" i="85"/>
  <c r="P149" i="85"/>
  <c r="O108" i="85"/>
  <c r="O177" i="85" s="1"/>
  <c r="Q42" i="85"/>
  <c r="Q222" i="85" s="1"/>
  <c r="Q45" i="85"/>
  <c r="Q50" i="85" s="1"/>
  <c r="Q226" i="85" s="1"/>
  <c r="P171" i="85"/>
  <c r="N179" i="85"/>
  <c r="N187" i="85"/>
  <c r="N224" i="85" s="1"/>
  <c r="R114" i="85"/>
  <c r="R174" i="85" s="1"/>
  <c r="R217" i="85" s="1"/>
  <c r="S37" i="85"/>
  <c r="M290" i="85"/>
  <c r="M258" i="85"/>
  <c r="M238" i="85"/>
  <c r="Q162" i="85"/>
  <c r="Q171" i="85" s="1"/>
  <c r="Q157" i="85"/>
  <c r="R154" i="85"/>
  <c r="Q163" i="85"/>
  <c r="Q161" i="85"/>
  <c r="Q192" i="85"/>
  <c r="Q121" i="85"/>
  <c r="Q119" i="85"/>
  <c r="Q120" i="85"/>
  <c r="Q115" i="85"/>
  <c r="R112" i="85"/>
  <c r="L272" i="85"/>
  <c r="L304" i="85"/>
  <c r="M273" i="85"/>
  <c r="M305" i="85"/>
  <c r="L291" i="85"/>
  <c r="L259" i="85"/>
  <c r="L264" i="85" s="1"/>
  <c r="L265" i="85" s="1"/>
  <c r="L276" i="85" s="1"/>
  <c r="L277" i="85" s="1"/>
  <c r="Q185" i="85"/>
  <c r="M259" i="85"/>
  <c r="M291" i="85"/>
  <c r="L273" i="85"/>
  <c r="L305" i="85"/>
  <c r="Q142" i="85"/>
  <c r="Q150" i="85" s="1"/>
  <c r="Q140" i="85"/>
  <c r="Q141" i="85"/>
  <c r="Q136" i="85"/>
  <c r="R133" i="85"/>
  <c r="P99" i="85"/>
  <c r="P100" i="85"/>
  <c r="P98" i="85"/>
  <c r="P94" i="85"/>
  <c r="P175" i="85" s="1"/>
  <c r="Q91" i="85"/>
  <c r="N200" i="85"/>
  <c r="W174" i="82"/>
  <c r="W217" i="82" s="1"/>
  <c r="S269" i="83"/>
  <c r="S301" i="83"/>
  <c r="T301" i="83"/>
  <c r="T269" i="83"/>
  <c r="N301" i="83"/>
  <c r="N269" i="83"/>
  <c r="V301" i="83"/>
  <c r="V269" i="83"/>
  <c r="AA301" i="83"/>
  <c r="AA269" i="83"/>
  <c r="G301" i="83"/>
  <c r="G269" i="83"/>
  <c r="O301" i="83"/>
  <c r="O269" i="83"/>
  <c r="W301" i="83"/>
  <c r="W269" i="83"/>
  <c r="X288" i="83"/>
  <c r="X256" i="83"/>
  <c r="H301" i="83"/>
  <c r="H269" i="83"/>
  <c r="P301" i="83"/>
  <c r="P269" i="83"/>
  <c r="X301" i="83"/>
  <c r="X269" i="83"/>
  <c r="Y288" i="83"/>
  <c r="Y256" i="83"/>
  <c r="I301" i="83"/>
  <c r="I269" i="83"/>
  <c r="Q301" i="83"/>
  <c r="Q269" i="83"/>
  <c r="Y301" i="83"/>
  <c r="Y269" i="83"/>
  <c r="Z288" i="83"/>
  <c r="Z256" i="83"/>
  <c r="K301" i="83"/>
  <c r="K269" i="83"/>
  <c r="L301" i="83"/>
  <c r="L269" i="83"/>
  <c r="J68" i="83"/>
  <c r="J82" i="83"/>
  <c r="Z82" i="83"/>
  <c r="U301" i="83"/>
  <c r="U269" i="83"/>
  <c r="O82" i="83"/>
  <c r="J301" i="83"/>
  <c r="J269" i="83"/>
  <c r="Z301" i="83"/>
  <c r="Z269" i="83"/>
  <c r="H142" i="83"/>
  <c r="H136" i="83"/>
  <c r="I133" i="83"/>
  <c r="H192" i="83"/>
  <c r="H193" i="83"/>
  <c r="I193" i="83" s="1"/>
  <c r="J193" i="83" s="1"/>
  <c r="K193" i="83" s="1"/>
  <c r="L193" i="83" s="1"/>
  <c r="M193" i="83" s="1"/>
  <c r="N193" i="83" s="1"/>
  <c r="O193" i="83" s="1"/>
  <c r="P193" i="83" s="1"/>
  <c r="Q193" i="83" s="1"/>
  <c r="R193" i="83" s="1"/>
  <c r="S193" i="83" s="1"/>
  <c r="T193" i="83" s="1"/>
  <c r="U193" i="83" s="1"/>
  <c r="V193" i="83" s="1"/>
  <c r="W193" i="83" s="1"/>
  <c r="X193" i="83" s="1"/>
  <c r="Y193" i="83" s="1"/>
  <c r="Z193" i="83" s="1"/>
  <c r="AA193" i="83" s="1"/>
  <c r="H147" i="83"/>
  <c r="I147" i="83" s="1"/>
  <c r="J147" i="83" s="1"/>
  <c r="K147" i="83" s="1"/>
  <c r="L147" i="83" s="1"/>
  <c r="M147" i="83" s="1"/>
  <c r="N147" i="83" s="1"/>
  <c r="O147" i="83" s="1"/>
  <c r="P147" i="83" s="1"/>
  <c r="Q147" i="83" s="1"/>
  <c r="R147" i="83" s="1"/>
  <c r="S147" i="83" s="1"/>
  <c r="T147" i="83" s="1"/>
  <c r="U147" i="83" s="1"/>
  <c r="V147" i="83" s="1"/>
  <c r="W147" i="83" s="1"/>
  <c r="X147" i="83" s="1"/>
  <c r="Y147" i="83" s="1"/>
  <c r="Z147" i="83" s="1"/>
  <c r="AA147" i="83" s="1"/>
  <c r="H167" i="83"/>
  <c r="I167" i="83" s="1"/>
  <c r="J167" i="83" s="1"/>
  <c r="K167" i="83" s="1"/>
  <c r="L167" i="83" s="1"/>
  <c r="M167" i="83" s="1"/>
  <c r="N167" i="83" s="1"/>
  <c r="O167" i="83" s="1"/>
  <c r="P167" i="83" s="1"/>
  <c r="Q167" i="83" s="1"/>
  <c r="R167" i="83" s="1"/>
  <c r="S167" i="83" s="1"/>
  <c r="T167" i="83" s="1"/>
  <c r="U167" i="83" s="1"/>
  <c r="V167" i="83" s="1"/>
  <c r="W167" i="83" s="1"/>
  <c r="X167" i="83" s="1"/>
  <c r="Y167" i="83" s="1"/>
  <c r="Z167" i="83" s="1"/>
  <c r="AA167" i="83" s="1"/>
  <c r="H165" i="83"/>
  <c r="I165" i="83" s="1"/>
  <c r="J165" i="83" s="1"/>
  <c r="K165" i="83" s="1"/>
  <c r="L165" i="83" s="1"/>
  <c r="M165" i="83" s="1"/>
  <c r="N165" i="83" s="1"/>
  <c r="O165" i="83" s="1"/>
  <c r="P165" i="83" s="1"/>
  <c r="Q165" i="83" s="1"/>
  <c r="R165" i="83" s="1"/>
  <c r="S165" i="83" s="1"/>
  <c r="T165" i="83" s="1"/>
  <c r="U165" i="83" s="1"/>
  <c r="V165" i="83" s="1"/>
  <c r="W165" i="83" s="1"/>
  <c r="X165" i="83" s="1"/>
  <c r="Y165" i="83" s="1"/>
  <c r="Z165" i="83" s="1"/>
  <c r="AA165" i="83" s="1"/>
  <c r="H146" i="83"/>
  <c r="I146" i="83" s="1"/>
  <c r="J146" i="83" s="1"/>
  <c r="K146" i="83" s="1"/>
  <c r="L146" i="83" s="1"/>
  <c r="M146" i="83" s="1"/>
  <c r="N146" i="83" s="1"/>
  <c r="O146" i="83" s="1"/>
  <c r="P146" i="83" s="1"/>
  <c r="Q146" i="83" s="1"/>
  <c r="R146" i="83" s="1"/>
  <c r="S146" i="83" s="1"/>
  <c r="T146" i="83" s="1"/>
  <c r="U146" i="83" s="1"/>
  <c r="V146" i="83" s="1"/>
  <c r="W146" i="83" s="1"/>
  <c r="X146" i="83" s="1"/>
  <c r="Y146" i="83" s="1"/>
  <c r="Z146" i="83" s="1"/>
  <c r="AA146" i="83" s="1"/>
  <c r="H145" i="83"/>
  <c r="I145" i="83" s="1"/>
  <c r="J145" i="83" s="1"/>
  <c r="K145" i="83" s="1"/>
  <c r="L145" i="83" s="1"/>
  <c r="M145" i="83" s="1"/>
  <c r="N145" i="83" s="1"/>
  <c r="O145" i="83" s="1"/>
  <c r="P145" i="83" s="1"/>
  <c r="Q145" i="83" s="1"/>
  <c r="R145" i="83" s="1"/>
  <c r="S145" i="83" s="1"/>
  <c r="T145" i="83" s="1"/>
  <c r="U145" i="83" s="1"/>
  <c r="V145" i="83" s="1"/>
  <c r="W145" i="83" s="1"/>
  <c r="X145" i="83" s="1"/>
  <c r="Y145" i="83" s="1"/>
  <c r="Z145" i="83" s="1"/>
  <c r="AA145" i="83" s="1"/>
  <c r="H126" i="83"/>
  <c r="I126" i="83" s="1"/>
  <c r="J126" i="83" s="1"/>
  <c r="K126" i="83" s="1"/>
  <c r="L126" i="83" s="1"/>
  <c r="M126" i="83" s="1"/>
  <c r="N126" i="83" s="1"/>
  <c r="O126" i="83" s="1"/>
  <c r="P126" i="83" s="1"/>
  <c r="Q126" i="83" s="1"/>
  <c r="R126" i="83" s="1"/>
  <c r="S126" i="83" s="1"/>
  <c r="T126" i="83" s="1"/>
  <c r="U126" i="83" s="1"/>
  <c r="V126" i="83" s="1"/>
  <c r="W126" i="83" s="1"/>
  <c r="X126" i="83" s="1"/>
  <c r="Y126" i="83" s="1"/>
  <c r="Z126" i="83" s="1"/>
  <c r="AA126" i="83" s="1"/>
  <c r="H104" i="83"/>
  <c r="I104" i="83" s="1"/>
  <c r="J104" i="83" s="1"/>
  <c r="K104" i="83" s="1"/>
  <c r="L104" i="83" s="1"/>
  <c r="M104" i="83" s="1"/>
  <c r="N104" i="83" s="1"/>
  <c r="O104" i="83" s="1"/>
  <c r="P104" i="83" s="1"/>
  <c r="Q104" i="83" s="1"/>
  <c r="R104" i="83" s="1"/>
  <c r="S104" i="83" s="1"/>
  <c r="T104" i="83" s="1"/>
  <c r="U104" i="83" s="1"/>
  <c r="V104" i="83" s="1"/>
  <c r="W104" i="83" s="1"/>
  <c r="X104" i="83" s="1"/>
  <c r="Y104" i="83" s="1"/>
  <c r="Z104" i="83" s="1"/>
  <c r="AA104" i="83" s="1"/>
  <c r="H125" i="83"/>
  <c r="I125" i="83" s="1"/>
  <c r="J125" i="83" s="1"/>
  <c r="K125" i="83" s="1"/>
  <c r="L125" i="83" s="1"/>
  <c r="M125" i="83" s="1"/>
  <c r="N125" i="83" s="1"/>
  <c r="O125" i="83" s="1"/>
  <c r="P125" i="83" s="1"/>
  <c r="Q125" i="83" s="1"/>
  <c r="R125" i="83" s="1"/>
  <c r="S125" i="83" s="1"/>
  <c r="T125" i="83" s="1"/>
  <c r="U125" i="83" s="1"/>
  <c r="V125" i="83" s="1"/>
  <c r="W125" i="83" s="1"/>
  <c r="X125" i="83" s="1"/>
  <c r="Y125" i="83" s="1"/>
  <c r="Z125" i="83" s="1"/>
  <c r="AA125" i="83" s="1"/>
  <c r="H166" i="83"/>
  <c r="I166" i="83" s="1"/>
  <c r="J166" i="83" s="1"/>
  <c r="K166" i="83" s="1"/>
  <c r="L166" i="83" s="1"/>
  <c r="M166" i="83" s="1"/>
  <c r="N166" i="83" s="1"/>
  <c r="O166" i="83" s="1"/>
  <c r="P166" i="83" s="1"/>
  <c r="Q166" i="83" s="1"/>
  <c r="R166" i="83" s="1"/>
  <c r="S166" i="83" s="1"/>
  <c r="T166" i="83" s="1"/>
  <c r="U166" i="83" s="1"/>
  <c r="V166" i="83" s="1"/>
  <c r="W166" i="83" s="1"/>
  <c r="X166" i="83" s="1"/>
  <c r="Y166" i="83" s="1"/>
  <c r="Z166" i="83" s="1"/>
  <c r="AA166" i="83" s="1"/>
  <c r="H105" i="83"/>
  <c r="I105" i="83" s="1"/>
  <c r="J105" i="83" s="1"/>
  <c r="K105" i="83" s="1"/>
  <c r="L105" i="83" s="1"/>
  <c r="M105" i="83" s="1"/>
  <c r="N105" i="83" s="1"/>
  <c r="O105" i="83" s="1"/>
  <c r="P105" i="83" s="1"/>
  <c r="Q105" i="83" s="1"/>
  <c r="R105" i="83" s="1"/>
  <c r="S105" i="83" s="1"/>
  <c r="T105" i="83" s="1"/>
  <c r="U105" i="83" s="1"/>
  <c r="V105" i="83" s="1"/>
  <c r="W105" i="83" s="1"/>
  <c r="X105" i="83" s="1"/>
  <c r="Y105" i="83" s="1"/>
  <c r="Z105" i="83" s="1"/>
  <c r="AA105" i="83" s="1"/>
  <c r="X45" i="83"/>
  <c r="H68" i="83"/>
  <c r="P68" i="83"/>
  <c r="X68" i="83"/>
  <c r="X85" i="83" s="1"/>
  <c r="H82" i="83"/>
  <c r="P82" i="83"/>
  <c r="X82" i="83"/>
  <c r="AA174" i="83"/>
  <c r="AA217" i="83" s="1"/>
  <c r="H140" i="83"/>
  <c r="Z68" i="83"/>
  <c r="Z85" i="83" s="1"/>
  <c r="M301" i="83"/>
  <c r="M269" i="83"/>
  <c r="O68" i="83"/>
  <c r="O85" i="83" s="1"/>
  <c r="R301" i="83"/>
  <c r="R269" i="83"/>
  <c r="Z174" i="83"/>
  <c r="Z217" i="83" s="1"/>
  <c r="G288" i="83"/>
  <c r="G256" i="83"/>
  <c r="Y45" i="83"/>
  <c r="I68" i="83"/>
  <c r="Q68" i="83"/>
  <c r="Q85" i="83" s="1"/>
  <c r="Y68" i="83"/>
  <c r="I82" i="83"/>
  <c r="Q82" i="83"/>
  <c r="Y82" i="83"/>
  <c r="H141" i="83"/>
  <c r="G16" i="83"/>
  <c r="K68" i="83"/>
  <c r="S68" i="83"/>
  <c r="S85" i="83" s="1"/>
  <c r="AA68" i="83"/>
  <c r="AA85" i="83" s="1"/>
  <c r="K82" i="83"/>
  <c r="S82" i="83"/>
  <c r="AA82" i="83"/>
  <c r="H163" i="83"/>
  <c r="H161" i="83"/>
  <c r="I154" i="83"/>
  <c r="H157" i="83"/>
  <c r="L68" i="83"/>
  <c r="T68" i="83"/>
  <c r="L82" i="83"/>
  <c r="T82" i="83"/>
  <c r="W174" i="83"/>
  <c r="W217" i="83" s="1"/>
  <c r="M274" i="83"/>
  <c r="M306" i="83"/>
  <c r="U274" i="83"/>
  <c r="U306" i="83"/>
  <c r="M68" i="83"/>
  <c r="M85" i="83" s="1"/>
  <c r="U68" i="83"/>
  <c r="M82" i="83"/>
  <c r="U82" i="83"/>
  <c r="X174" i="83"/>
  <c r="X217" i="83" s="1"/>
  <c r="H168" i="83"/>
  <c r="I168" i="83" s="1"/>
  <c r="J168" i="83" s="1"/>
  <c r="K168" i="83" s="1"/>
  <c r="L168" i="83" s="1"/>
  <c r="M168" i="83" s="1"/>
  <c r="N168" i="83" s="1"/>
  <c r="O168" i="83" s="1"/>
  <c r="P168" i="83" s="1"/>
  <c r="Q168" i="83" s="1"/>
  <c r="R168" i="83" s="1"/>
  <c r="S168" i="83" s="1"/>
  <c r="T168" i="83" s="1"/>
  <c r="U168" i="83" s="1"/>
  <c r="V168" i="83" s="1"/>
  <c r="W168" i="83" s="1"/>
  <c r="X168" i="83" s="1"/>
  <c r="Y168" i="83" s="1"/>
  <c r="Z168" i="83" s="1"/>
  <c r="AA168" i="83" s="1"/>
  <c r="H185" i="83"/>
  <c r="G50" i="83"/>
  <c r="N68" i="83"/>
  <c r="N85" i="83" s="1"/>
  <c r="N82" i="83"/>
  <c r="H162" i="83"/>
  <c r="O274" i="83"/>
  <c r="O306" i="83"/>
  <c r="I293" i="83"/>
  <c r="I261" i="83"/>
  <c r="N306" i="83"/>
  <c r="N274" i="83"/>
  <c r="V306" i="83"/>
  <c r="AB306" i="83" s="1"/>
  <c r="V274" i="83"/>
  <c r="AB274" i="83" s="1"/>
  <c r="AB240" i="83"/>
  <c r="Q227" i="83"/>
  <c r="Z306" i="83"/>
  <c r="Z274" i="83"/>
  <c r="O293" i="83"/>
  <c r="O261" i="83"/>
  <c r="W306" i="83"/>
  <c r="W274" i="83"/>
  <c r="Y227" i="83"/>
  <c r="H227" i="83"/>
  <c r="H240" i="83"/>
  <c r="P227" i="83"/>
  <c r="P240" i="83"/>
  <c r="X306" i="83"/>
  <c r="X274" i="83"/>
  <c r="I306" i="83"/>
  <c r="I274" i="83"/>
  <c r="Q306" i="83"/>
  <c r="Q274" i="83"/>
  <c r="Y306" i="83"/>
  <c r="Y274" i="83"/>
  <c r="J306" i="83"/>
  <c r="J274" i="83"/>
  <c r="R306" i="83"/>
  <c r="R274" i="83"/>
  <c r="Z261" i="83"/>
  <c r="Z293" i="83"/>
  <c r="G304" i="83"/>
  <c r="G272" i="83"/>
  <c r="L302" i="83"/>
  <c r="L270" i="83"/>
  <c r="T270" i="83"/>
  <c r="T302" i="83"/>
  <c r="G303" i="83"/>
  <c r="G271" i="83"/>
  <c r="L240" i="83"/>
  <c r="L227" i="83"/>
  <c r="T240" i="83"/>
  <c r="T227" i="83"/>
  <c r="J227" i="83"/>
  <c r="R227" i="83"/>
  <c r="M302" i="83"/>
  <c r="M270" i="83"/>
  <c r="U302" i="83"/>
  <c r="U270" i="83"/>
  <c r="K306" i="83"/>
  <c r="K274" i="83"/>
  <c r="S306" i="83"/>
  <c r="S274" i="83"/>
  <c r="AA306" i="83"/>
  <c r="AA274" i="83"/>
  <c r="G289" i="83"/>
  <c r="G257" i="83"/>
  <c r="K227" i="83"/>
  <c r="S227" i="83"/>
  <c r="AA227" i="83"/>
  <c r="N302" i="83"/>
  <c r="N270" i="83"/>
  <c r="G306" i="83"/>
  <c r="G274" i="83"/>
  <c r="G275" i="83"/>
  <c r="G307" i="83"/>
  <c r="K270" i="83"/>
  <c r="G302" i="83"/>
  <c r="G270" i="83"/>
  <c r="O302" i="83"/>
  <c r="O270" i="83"/>
  <c r="W302" i="83"/>
  <c r="W270" i="83"/>
  <c r="M227" i="83"/>
  <c r="U227" i="83"/>
  <c r="H302" i="83"/>
  <c r="H270" i="83"/>
  <c r="P302" i="83"/>
  <c r="P270" i="83"/>
  <c r="X302" i="83"/>
  <c r="X270" i="83"/>
  <c r="G259" i="83"/>
  <c r="S270" i="83"/>
  <c r="V302" i="83"/>
  <c r="N227" i="83"/>
  <c r="V227" i="83"/>
  <c r="I302" i="83"/>
  <c r="I270" i="83"/>
  <c r="Q302" i="83"/>
  <c r="Q270" i="83"/>
  <c r="Y302" i="83"/>
  <c r="Y270" i="83"/>
  <c r="G293" i="83"/>
  <c r="G261" i="83"/>
  <c r="W227" i="83"/>
  <c r="J302" i="83"/>
  <c r="J270" i="83"/>
  <c r="R302" i="83"/>
  <c r="R270" i="83"/>
  <c r="Z302" i="83"/>
  <c r="Z270" i="83"/>
  <c r="G290" i="83"/>
  <c r="G258" i="83"/>
  <c r="X227" i="83"/>
  <c r="AA302" i="83"/>
  <c r="AA270" i="83"/>
  <c r="G273" i="83"/>
  <c r="R301" i="82"/>
  <c r="R269" i="82"/>
  <c r="S301" i="82"/>
  <c r="S269" i="82"/>
  <c r="X85" i="82"/>
  <c r="Z301" i="82"/>
  <c r="Z269" i="82"/>
  <c r="J269" i="82"/>
  <c r="J301" i="82"/>
  <c r="N301" i="82"/>
  <c r="N269" i="82"/>
  <c r="V301" i="82"/>
  <c r="V269" i="82"/>
  <c r="AA301" i="82"/>
  <c r="AA269" i="82"/>
  <c r="G301" i="82"/>
  <c r="G269" i="82"/>
  <c r="O301" i="82"/>
  <c r="O269" i="82"/>
  <c r="W301" i="82"/>
  <c r="W269" i="82"/>
  <c r="H301" i="82"/>
  <c r="H269" i="82"/>
  <c r="P301" i="82"/>
  <c r="P269" i="82"/>
  <c r="X301" i="82"/>
  <c r="X269" i="82"/>
  <c r="K301" i="82"/>
  <c r="K269" i="82"/>
  <c r="I301" i="82"/>
  <c r="I269" i="82"/>
  <c r="Q301" i="82"/>
  <c r="Q269" i="82"/>
  <c r="Y301" i="82"/>
  <c r="Y269" i="82"/>
  <c r="Q82" i="82"/>
  <c r="Z68" i="82"/>
  <c r="U301" i="82"/>
  <c r="U269" i="82"/>
  <c r="G16" i="82"/>
  <c r="K68" i="82"/>
  <c r="S68" i="82"/>
  <c r="AA68" i="82"/>
  <c r="K82" i="82"/>
  <c r="S82" i="82"/>
  <c r="AA82" i="82"/>
  <c r="H102" i="82"/>
  <c r="I102" i="82" s="1"/>
  <c r="J102" i="82" s="1"/>
  <c r="K102" i="82" s="1"/>
  <c r="L102" i="82" s="1"/>
  <c r="M102" i="82" s="1"/>
  <c r="N102" i="82" s="1"/>
  <c r="O102" i="82" s="1"/>
  <c r="P102" i="82" s="1"/>
  <c r="Q102" i="82" s="1"/>
  <c r="R102" i="82" s="1"/>
  <c r="S102" i="82" s="1"/>
  <c r="T102" i="82" s="1"/>
  <c r="U102" i="82" s="1"/>
  <c r="V102" i="82" s="1"/>
  <c r="W102" i="82" s="1"/>
  <c r="X102" i="82" s="1"/>
  <c r="Y102" i="82" s="1"/>
  <c r="Z102" i="82" s="1"/>
  <c r="AA102" i="82" s="1"/>
  <c r="W42" i="82"/>
  <c r="W222" i="82" s="1"/>
  <c r="L301" i="82"/>
  <c r="L269" i="82"/>
  <c r="R82" i="82"/>
  <c r="L68" i="82"/>
  <c r="L85" i="82" s="1"/>
  <c r="T68" i="82"/>
  <c r="T85" i="82" s="1"/>
  <c r="L82" i="82"/>
  <c r="T82" i="82"/>
  <c r="T301" i="82"/>
  <c r="T269" i="82"/>
  <c r="J82" i="82"/>
  <c r="J85" i="82" s="1"/>
  <c r="M68" i="82"/>
  <c r="U68" i="82"/>
  <c r="U85" i="82" s="1"/>
  <c r="M82" i="82"/>
  <c r="U82" i="82"/>
  <c r="I105" i="82"/>
  <c r="J105" i="82" s="1"/>
  <c r="K105" i="82" s="1"/>
  <c r="L105" i="82" s="1"/>
  <c r="M105" i="82" s="1"/>
  <c r="N105" i="82" s="1"/>
  <c r="O105" i="82" s="1"/>
  <c r="P105" i="82" s="1"/>
  <c r="Q105" i="82" s="1"/>
  <c r="R105" i="82" s="1"/>
  <c r="S105" i="82" s="1"/>
  <c r="T105" i="82" s="1"/>
  <c r="U105" i="82" s="1"/>
  <c r="V105" i="82" s="1"/>
  <c r="W105" i="82" s="1"/>
  <c r="X105" i="82" s="1"/>
  <c r="Y105" i="82" s="1"/>
  <c r="Z105" i="82" s="1"/>
  <c r="AA105" i="82" s="1"/>
  <c r="Q68" i="82"/>
  <c r="X42" i="82"/>
  <c r="X222" i="82" s="1"/>
  <c r="Z82" i="82"/>
  <c r="G50" i="82"/>
  <c r="N68" i="82"/>
  <c r="V68" i="82"/>
  <c r="V85" i="82" s="1"/>
  <c r="N82" i="82"/>
  <c r="V82" i="82"/>
  <c r="I104" i="82"/>
  <c r="J104" i="82" s="1"/>
  <c r="K104" i="82" s="1"/>
  <c r="L104" i="82" s="1"/>
  <c r="M104" i="82" s="1"/>
  <c r="N104" i="82" s="1"/>
  <c r="O104" i="82" s="1"/>
  <c r="P104" i="82" s="1"/>
  <c r="Q104" i="82" s="1"/>
  <c r="R104" i="82" s="1"/>
  <c r="S104" i="82" s="1"/>
  <c r="T104" i="82" s="1"/>
  <c r="U104" i="82" s="1"/>
  <c r="V104" i="82" s="1"/>
  <c r="W104" i="82" s="1"/>
  <c r="X104" i="82" s="1"/>
  <c r="Y104" i="82" s="1"/>
  <c r="Z104" i="82" s="1"/>
  <c r="AA104" i="82" s="1"/>
  <c r="H124" i="82"/>
  <c r="I124" i="82" s="1"/>
  <c r="J124" i="82" s="1"/>
  <c r="K124" i="82" s="1"/>
  <c r="L124" i="82" s="1"/>
  <c r="M124" i="82" s="1"/>
  <c r="N124" i="82" s="1"/>
  <c r="O124" i="82" s="1"/>
  <c r="P124" i="82" s="1"/>
  <c r="Q124" i="82" s="1"/>
  <c r="R124" i="82" s="1"/>
  <c r="S124" i="82" s="1"/>
  <c r="T124" i="82" s="1"/>
  <c r="U124" i="82" s="1"/>
  <c r="V124" i="82" s="1"/>
  <c r="W124" i="82" s="1"/>
  <c r="X124" i="82" s="1"/>
  <c r="Y124" i="82" s="1"/>
  <c r="Z124" i="82" s="1"/>
  <c r="AA124" i="82" s="1"/>
  <c r="R68" i="82"/>
  <c r="R85" i="82" s="1"/>
  <c r="G68" i="82"/>
  <c r="O68" i="82"/>
  <c r="W68" i="82"/>
  <c r="G82" i="82"/>
  <c r="O82" i="82"/>
  <c r="W82" i="82"/>
  <c r="H123" i="82"/>
  <c r="I123" i="82" s="1"/>
  <c r="J123" i="82" s="1"/>
  <c r="K123" i="82" s="1"/>
  <c r="L123" i="82" s="1"/>
  <c r="M123" i="82" s="1"/>
  <c r="N123" i="82" s="1"/>
  <c r="O123" i="82" s="1"/>
  <c r="P123" i="82" s="1"/>
  <c r="Q123" i="82" s="1"/>
  <c r="R123" i="82" s="1"/>
  <c r="S123" i="82" s="1"/>
  <c r="T123" i="82" s="1"/>
  <c r="U123" i="82" s="1"/>
  <c r="V123" i="82" s="1"/>
  <c r="W123" i="82" s="1"/>
  <c r="X123" i="82" s="1"/>
  <c r="Y123" i="82" s="1"/>
  <c r="Z123" i="82" s="1"/>
  <c r="AA123" i="82" s="1"/>
  <c r="G288" i="82"/>
  <c r="G256" i="82"/>
  <c r="Y68" i="82"/>
  <c r="Y85" i="82" s="1"/>
  <c r="M301" i="82"/>
  <c r="M269" i="82"/>
  <c r="H168" i="82"/>
  <c r="I168" i="82" s="1"/>
  <c r="J168" i="82" s="1"/>
  <c r="K168" i="82" s="1"/>
  <c r="L168" i="82" s="1"/>
  <c r="M168" i="82" s="1"/>
  <c r="N168" i="82" s="1"/>
  <c r="O168" i="82" s="1"/>
  <c r="P168" i="82" s="1"/>
  <c r="Q168" i="82" s="1"/>
  <c r="R168" i="82" s="1"/>
  <c r="S168" i="82" s="1"/>
  <c r="T168" i="82" s="1"/>
  <c r="U168" i="82" s="1"/>
  <c r="V168" i="82" s="1"/>
  <c r="W168" i="82" s="1"/>
  <c r="X168" i="82" s="1"/>
  <c r="Y168" i="82" s="1"/>
  <c r="Z168" i="82" s="1"/>
  <c r="AA168" i="82" s="1"/>
  <c r="H166" i="82"/>
  <c r="I166" i="82" s="1"/>
  <c r="J166" i="82" s="1"/>
  <c r="K166" i="82" s="1"/>
  <c r="L166" i="82" s="1"/>
  <c r="M166" i="82" s="1"/>
  <c r="N166" i="82" s="1"/>
  <c r="O166" i="82" s="1"/>
  <c r="P166" i="82" s="1"/>
  <c r="Q166" i="82" s="1"/>
  <c r="R166" i="82" s="1"/>
  <c r="S166" i="82" s="1"/>
  <c r="T166" i="82" s="1"/>
  <c r="U166" i="82" s="1"/>
  <c r="V166" i="82" s="1"/>
  <c r="W166" i="82" s="1"/>
  <c r="X166" i="82" s="1"/>
  <c r="Y166" i="82" s="1"/>
  <c r="Z166" i="82" s="1"/>
  <c r="AA166" i="82" s="1"/>
  <c r="H193" i="82"/>
  <c r="I193" i="82" s="1"/>
  <c r="J193" i="82" s="1"/>
  <c r="K193" i="82" s="1"/>
  <c r="L193" i="82" s="1"/>
  <c r="M193" i="82" s="1"/>
  <c r="N193" i="82" s="1"/>
  <c r="O193" i="82" s="1"/>
  <c r="P193" i="82" s="1"/>
  <c r="Q193" i="82" s="1"/>
  <c r="R193" i="82" s="1"/>
  <c r="S193" i="82" s="1"/>
  <c r="T193" i="82" s="1"/>
  <c r="U193" i="82" s="1"/>
  <c r="V193" i="82" s="1"/>
  <c r="W193" i="82" s="1"/>
  <c r="X193" i="82" s="1"/>
  <c r="Y193" i="82" s="1"/>
  <c r="Z193" i="82" s="1"/>
  <c r="AA193" i="82" s="1"/>
  <c r="H147" i="82"/>
  <c r="I147" i="82" s="1"/>
  <c r="J147" i="82" s="1"/>
  <c r="K147" i="82" s="1"/>
  <c r="L147" i="82" s="1"/>
  <c r="M147" i="82" s="1"/>
  <c r="N147" i="82" s="1"/>
  <c r="O147" i="82" s="1"/>
  <c r="P147" i="82" s="1"/>
  <c r="Q147" i="82" s="1"/>
  <c r="R147" i="82" s="1"/>
  <c r="S147" i="82" s="1"/>
  <c r="T147" i="82" s="1"/>
  <c r="U147" i="82" s="1"/>
  <c r="V147" i="82" s="1"/>
  <c r="W147" i="82" s="1"/>
  <c r="X147" i="82" s="1"/>
  <c r="Y147" i="82" s="1"/>
  <c r="Z147" i="82" s="1"/>
  <c r="AA147" i="82" s="1"/>
  <c r="H145" i="82"/>
  <c r="I145" i="82" s="1"/>
  <c r="J145" i="82" s="1"/>
  <c r="K145" i="82" s="1"/>
  <c r="L145" i="82" s="1"/>
  <c r="M145" i="82" s="1"/>
  <c r="N145" i="82" s="1"/>
  <c r="O145" i="82" s="1"/>
  <c r="P145" i="82" s="1"/>
  <c r="Q145" i="82" s="1"/>
  <c r="R145" i="82" s="1"/>
  <c r="S145" i="82" s="1"/>
  <c r="T145" i="82" s="1"/>
  <c r="U145" i="82" s="1"/>
  <c r="V145" i="82" s="1"/>
  <c r="W145" i="82" s="1"/>
  <c r="X145" i="82" s="1"/>
  <c r="Y145" i="82" s="1"/>
  <c r="Z145" i="82" s="1"/>
  <c r="AA145" i="82" s="1"/>
  <c r="H144" i="82"/>
  <c r="I144" i="82" s="1"/>
  <c r="J144" i="82" s="1"/>
  <c r="K144" i="82" s="1"/>
  <c r="L144" i="82" s="1"/>
  <c r="M144" i="82" s="1"/>
  <c r="N144" i="82" s="1"/>
  <c r="O144" i="82" s="1"/>
  <c r="P144" i="82" s="1"/>
  <c r="Q144" i="82" s="1"/>
  <c r="R144" i="82" s="1"/>
  <c r="S144" i="82" s="1"/>
  <c r="T144" i="82" s="1"/>
  <c r="U144" i="82" s="1"/>
  <c r="V144" i="82" s="1"/>
  <c r="W144" i="82" s="1"/>
  <c r="X144" i="82" s="1"/>
  <c r="Y144" i="82" s="1"/>
  <c r="Z144" i="82" s="1"/>
  <c r="AA144" i="82" s="1"/>
  <c r="H125" i="82"/>
  <c r="I125" i="82" s="1"/>
  <c r="J125" i="82" s="1"/>
  <c r="K125" i="82" s="1"/>
  <c r="L125" i="82" s="1"/>
  <c r="M125" i="82" s="1"/>
  <c r="N125" i="82" s="1"/>
  <c r="O125" i="82" s="1"/>
  <c r="P125" i="82" s="1"/>
  <c r="Q125" i="82" s="1"/>
  <c r="R125" i="82" s="1"/>
  <c r="S125" i="82" s="1"/>
  <c r="T125" i="82" s="1"/>
  <c r="U125" i="82" s="1"/>
  <c r="V125" i="82" s="1"/>
  <c r="W125" i="82" s="1"/>
  <c r="X125" i="82" s="1"/>
  <c r="Y125" i="82" s="1"/>
  <c r="Z125" i="82" s="1"/>
  <c r="AA125" i="82" s="1"/>
  <c r="H167" i="82"/>
  <c r="I167" i="82" s="1"/>
  <c r="J167" i="82" s="1"/>
  <c r="K167" i="82" s="1"/>
  <c r="L167" i="82" s="1"/>
  <c r="M167" i="82" s="1"/>
  <c r="N167" i="82" s="1"/>
  <c r="O167" i="82" s="1"/>
  <c r="P167" i="82" s="1"/>
  <c r="Q167" i="82" s="1"/>
  <c r="R167" i="82" s="1"/>
  <c r="S167" i="82" s="1"/>
  <c r="T167" i="82" s="1"/>
  <c r="U167" i="82" s="1"/>
  <c r="V167" i="82" s="1"/>
  <c r="W167" i="82" s="1"/>
  <c r="X167" i="82" s="1"/>
  <c r="Y167" i="82" s="1"/>
  <c r="Z167" i="82" s="1"/>
  <c r="AA167" i="82" s="1"/>
  <c r="H146" i="82"/>
  <c r="I146" i="82" s="1"/>
  <c r="J146" i="82" s="1"/>
  <c r="K146" i="82" s="1"/>
  <c r="L146" i="82" s="1"/>
  <c r="M146" i="82" s="1"/>
  <c r="N146" i="82" s="1"/>
  <c r="O146" i="82" s="1"/>
  <c r="P146" i="82" s="1"/>
  <c r="Q146" i="82" s="1"/>
  <c r="R146" i="82" s="1"/>
  <c r="S146" i="82" s="1"/>
  <c r="T146" i="82" s="1"/>
  <c r="U146" i="82" s="1"/>
  <c r="V146" i="82" s="1"/>
  <c r="W146" i="82" s="1"/>
  <c r="X146" i="82" s="1"/>
  <c r="Y146" i="82" s="1"/>
  <c r="Z146" i="82" s="1"/>
  <c r="AA146" i="82" s="1"/>
  <c r="H126" i="82"/>
  <c r="I126" i="82" s="1"/>
  <c r="J126" i="82" s="1"/>
  <c r="K126" i="82" s="1"/>
  <c r="L126" i="82" s="1"/>
  <c r="M126" i="82" s="1"/>
  <c r="N126" i="82" s="1"/>
  <c r="O126" i="82" s="1"/>
  <c r="P126" i="82" s="1"/>
  <c r="Q126" i="82" s="1"/>
  <c r="R126" i="82" s="1"/>
  <c r="S126" i="82" s="1"/>
  <c r="T126" i="82" s="1"/>
  <c r="U126" i="82" s="1"/>
  <c r="V126" i="82" s="1"/>
  <c r="W126" i="82" s="1"/>
  <c r="X126" i="82" s="1"/>
  <c r="Y126" i="82" s="1"/>
  <c r="Z126" i="82" s="1"/>
  <c r="AA126" i="82" s="1"/>
  <c r="H165" i="82"/>
  <c r="I165" i="82" s="1"/>
  <c r="J165" i="82" s="1"/>
  <c r="K165" i="82" s="1"/>
  <c r="L165" i="82" s="1"/>
  <c r="M165" i="82" s="1"/>
  <c r="N165" i="82" s="1"/>
  <c r="O165" i="82" s="1"/>
  <c r="P165" i="82" s="1"/>
  <c r="Q165" i="82" s="1"/>
  <c r="R165" i="82" s="1"/>
  <c r="S165" i="82" s="1"/>
  <c r="T165" i="82" s="1"/>
  <c r="U165" i="82" s="1"/>
  <c r="V165" i="82" s="1"/>
  <c r="W165" i="82" s="1"/>
  <c r="X165" i="82" s="1"/>
  <c r="Y165" i="82" s="1"/>
  <c r="Z165" i="82" s="1"/>
  <c r="AA165" i="82" s="1"/>
  <c r="H68" i="82"/>
  <c r="H85" i="82" s="1"/>
  <c r="P68" i="82"/>
  <c r="H82" i="82"/>
  <c r="P82" i="82"/>
  <c r="H141" i="82"/>
  <c r="H150" i="82"/>
  <c r="H136" i="82"/>
  <c r="I133" i="82"/>
  <c r="H142" i="82"/>
  <c r="U306" i="82"/>
  <c r="U274" i="82"/>
  <c r="H140" i="82"/>
  <c r="I227" i="82"/>
  <c r="I240" i="82"/>
  <c r="Q240" i="82"/>
  <c r="Q227" i="82"/>
  <c r="Y227" i="82"/>
  <c r="Y240" i="82"/>
  <c r="G290" i="82"/>
  <c r="G238" i="82"/>
  <c r="G258" i="82"/>
  <c r="H185" i="82"/>
  <c r="M306" i="82"/>
  <c r="M274" i="82"/>
  <c r="U293" i="82"/>
  <c r="U261" i="82"/>
  <c r="H161" i="82"/>
  <c r="H163" i="82"/>
  <c r="M293" i="82"/>
  <c r="M261" i="82"/>
  <c r="K302" i="82"/>
  <c r="K270" i="82"/>
  <c r="S302" i="82"/>
  <c r="S270" i="82"/>
  <c r="AA302" i="82"/>
  <c r="AA270" i="82"/>
  <c r="P227" i="82"/>
  <c r="I154" i="82"/>
  <c r="H157" i="82"/>
  <c r="H192" i="82"/>
  <c r="H240" i="82"/>
  <c r="H227" i="82"/>
  <c r="P306" i="82"/>
  <c r="P274" i="82"/>
  <c r="X240" i="82"/>
  <c r="X227" i="82"/>
  <c r="T306" i="82"/>
  <c r="T274" i="82"/>
  <c r="J240" i="82"/>
  <c r="J227" i="82"/>
  <c r="R240" i="82"/>
  <c r="R227" i="82"/>
  <c r="Z240" i="82"/>
  <c r="Z227" i="82"/>
  <c r="G303" i="82"/>
  <c r="G271" i="82"/>
  <c r="G305" i="82"/>
  <c r="G273" i="82"/>
  <c r="G289" i="82"/>
  <c r="K240" i="82"/>
  <c r="K227" i="82"/>
  <c r="S240" i="82"/>
  <c r="S227" i="82"/>
  <c r="AA240" i="82"/>
  <c r="AA227" i="82"/>
  <c r="L293" i="82"/>
  <c r="L261" i="82"/>
  <c r="T293" i="82"/>
  <c r="T261" i="82"/>
  <c r="G307" i="82"/>
  <c r="G275" i="82"/>
  <c r="L240" i="82"/>
  <c r="N227" i="82"/>
  <c r="N240" i="82"/>
  <c r="V227" i="82"/>
  <c r="V240" i="82"/>
  <c r="H302" i="82"/>
  <c r="H270" i="82"/>
  <c r="P302" i="82"/>
  <c r="P270" i="82"/>
  <c r="X302" i="82"/>
  <c r="X270" i="82"/>
  <c r="L270" i="82"/>
  <c r="O227" i="82"/>
  <c r="O240" i="82"/>
  <c r="W227" i="82"/>
  <c r="W240" i="82"/>
  <c r="G259" i="82"/>
  <c r="G261" i="82"/>
  <c r="M270" i="82"/>
  <c r="U270" i="82"/>
  <c r="V270" i="82"/>
  <c r="V302" i="82"/>
  <c r="G274" i="82"/>
  <c r="G306" i="82"/>
  <c r="N270" i="82"/>
  <c r="W270" i="82"/>
  <c r="G270" i="82"/>
  <c r="O270" i="82"/>
  <c r="Y270" i="82"/>
  <c r="I270" i="82"/>
  <c r="Q270" i="82"/>
  <c r="Z302" i="82"/>
  <c r="Z270" i="82"/>
  <c r="J270" i="82"/>
  <c r="R270" i="82"/>
  <c r="Q129" i="85" l="1"/>
  <c r="O200" i="85"/>
  <c r="M264" i="85"/>
  <c r="M265" i="85" s="1"/>
  <c r="M276" i="85" s="1"/>
  <c r="M277" i="85" s="1"/>
  <c r="L278" i="85"/>
  <c r="O187" i="85"/>
  <c r="O224" i="85" s="1"/>
  <c r="O258" i="85" s="1"/>
  <c r="P108" i="85"/>
  <c r="P177" i="85" s="1"/>
  <c r="P223" i="85" s="1"/>
  <c r="N289" i="85"/>
  <c r="N257" i="85"/>
  <c r="N303" i="85"/>
  <c r="N271" i="85"/>
  <c r="R141" i="85"/>
  <c r="R136" i="85"/>
  <c r="S133" i="85"/>
  <c r="R142" i="85"/>
  <c r="R140" i="85"/>
  <c r="R149" i="85" s="1"/>
  <c r="R121" i="85"/>
  <c r="R119" i="85"/>
  <c r="R120" i="85"/>
  <c r="R115" i="85"/>
  <c r="S112" i="85"/>
  <c r="Q170" i="85"/>
  <c r="Q260" i="85"/>
  <c r="Q292" i="85"/>
  <c r="R192" i="85"/>
  <c r="M304" i="85"/>
  <c r="M272" i="85"/>
  <c r="M278" i="85" s="1"/>
  <c r="R185" i="85"/>
  <c r="N225" i="85"/>
  <c r="N239" i="85"/>
  <c r="R42" i="85"/>
  <c r="R222" i="85" s="1"/>
  <c r="R45" i="85"/>
  <c r="R50" i="85" s="1"/>
  <c r="R226" i="85" s="1"/>
  <c r="Q288" i="85"/>
  <c r="Q256" i="85"/>
  <c r="O180" i="85"/>
  <c r="O223" i="85"/>
  <c r="O181" i="85"/>
  <c r="O237" i="85"/>
  <c r="Q128" i="85"/>
  <c r="R162" i="85"/>
  <c r="R157" i="85"/>
  <c r="S154" i="85"/>
  <c r="R163" i="85"/>
  <c r="R171" i="85" s="1"/>
  <c r="R161" i="85"/>
  <c r="Q100" i="85"/>
  <c r="Q98" i="85"/>
  <c r="Q94" i="85"/>
  <c r="Q175" i="85" s="1"/>
  <c r="R91" i="85"/>
  <c r="Q99" i="85"/>
  <c r="S114" i="85"/>
  <c r="S174" i="85" s="1"/>
  <c r="S217" i="85" s="1"/>
  <c r="T37" i="85"/>
  <c r="P107" i="85"/>
  <c r="P176" i="85" s="1"/>
  <c r="Q149" i="85"/>
  <c r="N290" i="85"/>
  <c r="N238" i="85"/>
  <c r="N258" i="85"/>
  <c r="AA293" i="83"/>
  <c r="AA261" i="83"/>
  <c r="J293" i="83"/>
  <c r="J261" i="83"/>
  <c r="T85" i="83"/>
  <c r="Q293" i="83"/>
  <c r="Q261" i="83"/>
  <c r="N293" i="83"/>
  <c r="N261" i="83"/>
  <c r="R261" i="83"/>
  <c r="R293" i="83"/>
  <c r="Y293" i="83"/>
  <c r="Y261" i="83"/>
  <c r="I85" i="83"/>
  <c r="U293" i="83"/>
  <c r="U261" i="83"/>
  <c r="S293" i="83"/>
  <c r="S261" i="83"/>
  <c r="T261" i="83"/>
  <c r="T293" i="83"/>
  <c r="U85" i="83"/>
  <c r="L85" i="83"/>
  <c r="W42" i="83"/>
  <c r="W222" i="83" s="1"/>
  <c r="W45" i="83"/>
  <c r="P85" i="83"/>
  <c r="I192" i="83"/>
  <c r="M293" i="83"/>
  <c r="M261" i="83"/>
  <c r="K293" i="83"/>
  <c r="K261" i="83"/>
  <c r="T274" i="83"/>
  <c r="T306" i="83"/>
  <c r="I185" i="83"/>
  <c r="H85" i="83"/>
  <c r="I150" i="83"/>
  <c r="I142" i="83"/>
  <c r="I136" i="83"/>
  <c r="J133" i="83"/>
  <c r="I141" i="83"/>
  <c r="I140" i="83"/>
  <c r="I149" i="83" s="1"/>
  <c r="V293" i="83"/>
  <c r="V261" i="83"/>
  <c r="H293" i="83"/>
  <c r="H261" i="83"/>
  <c r="L293" i="83"/>
  <c r="L261" i="83"/>
  <c r="P306" i="83"/>
  <c r="P274" i="83"/>
  <c r="I157" i="83"/>
  <c r="I162" i="83"/>
  <c r="I171" i="83" s="1"/>
  <c r="J154" i="83"/>
  <c r="I163" i="83"/>
  <c r="I161" i="83"/>
  <c r="H149" i="83"/>
  <c r="J85" i="83"/>
  <c r="H171" i="83"/>
  <c r="X293" i="83"/>
  <c r="X261" i="83"/>
  <c r="L306" i="83"/>
  <c r="L274" i="83"/>
  <c r="P293" i="83"/>
  <c r="P261" i="83"/>
  <c r="W293" i="83"/>
  <c r="W261" i="83"/>
  <c r="H306" i="83"/>
  <c r="H274" i="83"/>
  <c r="AA42" i="83"/>
  <c r="AA222" i="83" s="1"/>
  <c r="AA45" i="83"/>
  <c r="H170" i="83"/>
  <c r="K85" i="83"/>
  <c r="Y85" i="83"/>
  <c r="H150" i="83"/>
  <c r="I185" i="82"/>
  <c r="I306" i="82"/>
  <c r="I274" i="82"/>
  <c r="N293" i="82"/>
  <c r="N261" i="82"/>
  <c r="J306" i="82"/>
  <c r="J274" i="82"/>
  <c r="L306" i="82"/>
  <c r="L274" i="82"/>
  <c r="AA306" i="82"/>
  <c r="AA274" i="82"/>
  <c r="I192" i="82"/>
  <c r="H170" i="82"/>
  <c r="G304" i="82"/>
  <c r="G272" i="82"/>
  <c r="H149" i="82"/>
  <c r="W85" i="82"/>
  <c r="N85" i="82"/>
  <c r="M85" i="82"/>
  <c r="Z85" i="82"/>
  <c r="N274" i="82"/>
  <c r="N306" i="82"/>
  <c r="J293" i="82"/>
  <c r="J261" i="82"/>
  <c r="W274" i="82"/>
  <c r="W306" i="82"/>
  <c r="S261" i="82"/>
  <c r="S293" i="82"/>
  <c r="O85" i="82"/>
  <c r="X288" i="82"/>
  <c r="X256" i="82"/>
  <c r="AA85" i="82"/>
  <c r="I293" i="82"/>
  <c r="I261" i="82"/>
  <c r="W293" i="82"/>
  <c r="W261" i="82"/>
  <c r="S306" i="82"/>
  <c r="S274" i="82"/>
  <c r="Z293" i="82"/>
  <c r="Z261" i="82"/>
  <c r="X293" i="82"/>
  <c r="X261" i="82"/>
  <c r="Y306" i="82"/>
  <c r="Y274" i="82"/>
  <c r="P85" i="82"/>
  <c r="G85" i="82"/>
  <c r="Q85" i="82"/>
  <c r="Z42" i="82"/>
  <c r="Z222" i="82" s="1"/>
  <c r="Z45" i="82"/>
  <c r="S85" i="82"/>
  <c r="AA293" i="82"/>
  <c r="AA261" i="82"/>
  <c r="H306" i="82"/>
  <c r="H274" i="82"/>
  <c r="O274" i="82"/>
  <c r="O306" i="82"/>
  <c r="K261" i="82"/>
  <c r="K293" i="82"/>
  <c r="Z306" i="82"/>
  <c r="Z274" i="82"/>
  <c r="X306" i="82"/>
  <c r="X274" i="82"/>
  <c r="I163" i="82"/>
  <c r="I161" i="82"/>
  <c r="I157" i="82"/>
  <c r="I162" i="82"/>
  <c r="I171" i="82" s="1"/>
  <c r="J154" i="82"/>
  <c r="Y293" i="82"/>
  <c r="Y261" i="82"/>
  <c r="AA42" i="82"/>
  <c r="AA222" i="82" s="1"/>
  <c r="AA45" i="82"/>
  <c r="H171" i="82"/>
  <c r="K85" i="82"/>
  <c r="O293" i="82"/>
  <c r="O261" i="82"/>
  <c r="V274" i="82"/>
  <c r="AB274" i="82" s="1"/>
  <c r="V306" i="82"/>
  <c r="AB306" i="82" s="1"/>
  <c r="AB240" i="82"/>
  <c r="K306" i="82"/>
  <c r="K274" i="82"/>
  <c r="R293" i="82"/>
  <c r="R261" i="82"/>
  <c r="P293" i="82"/>
  <c r="P261" i="82"/>
  <c r="Q293" i="82"/>
  <c r="Q261" i="82"/>
  <c r="I141" i="82"/>
  <c r="I150" i="82" s="1"/>
  <c r="I136" i="82"/>
  <c r="J133" i="82"/>
  <c r="I142" i="82"/>
  <c r="I140" i="82"/>
  <c r="W288" i="82"/>
  <c r="W256" i="82"/>
  <c r="H293" i="82"/>
  <c r="H261" i="82"/>
  <c r="Y45" i="82"/>
  <c r="Y42" i="82"/>
  <c r="Y222" i="82" s="1"/>
  <c r="V293" i="82"/>
  <c r="V261" i="82"/>
  <c r="R306" i="82"/>
  <c r="R274" i="82"/>
  <c r="Q306" i="82"/>
  <c r="Q274" i="82"/>
  <c r="L70" i="79"/>
  <c r="M6" i="79"/>
  <c r="D68" i="79"/>
  <c r="A320" i="74"/>
  <c r="M302" i="74"/>
  <c r="G302" i="74"/>
  <c r="A283" i="74"/>
  <c r="Z270" i="74"/>
  <c r="R270" i="74"/>
  <c r="G241" i="74"/>
  <c r="Q240" i="74"/>
  <c r="J240" i="74"/>
  <c r="I240" i="74"/>
  <c r="G240" i="74"/>
  <c r="G239" i="74"/>
  <c r="G238" i="74"/>
  <c r="G304" i="74" s="1"/>
  <c r="G237" i="74"/>
  <c r="AA236" i="74"/>
  <c r="Z236" i="74"/>
  <c r="Z302" i="74" s="1"/>
  <c r="Y236" i="74"/>
  <c r="X236" i="74"/>
  <c r="W236" i="74"/>
  <c r="W270" i="74" s="1"/>
  <c r="V236" i="74"/>
  <c r="V302" i="74" s="1"/>
  <c r="U236" i="74"/>
  <c r="T236" i="74"/>
  <c r="S236" i="74"/>
  <c r="R236" i="74"/>
  <c r="R302" i="74" s="1"/>
  <c r="Q236" i="74"/>
  <c r="P236" i="74"/>
  <c r="O236" i="74"/>
  <c r="O270" i="74" s="1"/>
  <c r="N236" i="74"/>
  <c r="N302" i="74" s="1"/>
  <c r="M236" i="74"/>
  <c r="M270" i="74" s="1"/>
  <c r="L236" i="74"/>
  <c r="K236" i="74"/>
  <c r="J236" i="74"/>
  <c r="J302" i="74" s="1"/>
  <c r="I236" i="74"/>
  <c r="H236" i="74"/>
  <c r="G236" i="74"/>
  <c r="G270" i="74" s="1"/>
  <c r="W227" i="74"/>
  <c r="V227" i="74"/>
  <c r="U227" i="74"/>
  <c r="G227" i="74"/>
  <c r="G293" i="74" s="1"/>
  <c r="G225" i="74"/>
  <c r="G259" i="74" s="1"/>
  <c r="G224" i="74"/>
  <c r="G290" i="74" s="1"/>
  <c r="G223" i="74"/>
  <c r="A213" i="74"/>
  <c r="A212" i="74"/>
  <c r="A211" i="74"/>
  <c r="A210" i="74"/>
  <c r="AA207" i="74"/>
  <c r="AA240" i="74" s="1"/>
  <c r="Z207" i="74"/>
  <c r="Y207" i="74"/>
  <c r="X207" i="74"/>
  <c r="X240" i="74" s="1"/>
  <c r="W207" i="74"/>
  <c r="W240" i="74" s="1"/>
  <c r="V207" i="74"/>
  <c r="V240" i="74" s="1"/>
  <c r="U207" i="74"/>
  <c r="U240" i="74" s="1"/>
  <c r="T207" i="74"/>
  <c r="S207" i="74"/>
  <c r="S240" i="74" s="1"/>
  <c r="R207" i="74"/>
  <c r="Q207" i="74"/>
  <c r="Q227" i="74" s="1"/>
  <c r="P207" i="74"/>
  <c r="P227" i="74" s="1"/>
  <c r="P293" i="74" s="1"/>
  <c r="O207" i="74"/>
  <c r="O240" i="74" s="1"/>
  <c r="N207" i="74"/>
  <c r="N227" i="74" s="1"/>
  <c r="M207" i="74"/>
  <c r="L207" i="74"/>
  <c r="K207" i="74"/>
  <c r="K240" i="74" s="1"/>
  <c r="J207" i="74"/>
  <c r="J227" i="74" s="1"/>
  <c r="I207" i="74"/>
  <c r="I227" i="74" s="1"/>
  <c r="H207" i="74"/>
  <c r="H227" i="74" s="1"/>
  <c r="A206" i="74"/>
  <c r="A205" i="74"/>
  <c r="A204" i="74"/>
  <c r="A203" i="74"/>
  <c r="A198" i="74"/>
  <c r="A197" i="74"/>
  <c r="A194" i="74"/>
  <c r="A193" i="74"/>
  <c r="G192" i="74"/>
  <c r="A192" i="74"/>
  <c r="A191" i="74"/>
  <c r="A186" i="74"/>
  <c r="G185" i="74"/>
  <c r="A185" i="74"/>
  <c r="J184" i="74"/>
  <c r="I184" i="74"/>
  <c r="H184" i="74"/>
  <c r="A184" i="74"/>
  <c r="C183" i="74"/>
  <c r="A165" i="74"/>
  <c r="A164" i="74"/>
  <c r="I162" i="74"/>
  <c r="A160" i="74"/>
  <c r="A158" i="74"/>
  <c r="H157" i="74"/>
  <c r="AA156" i="74"/>
  <c r="Z156" i="74"/>
  <c r="Y156" i="74"/>
  <c r="X156" i="74"/>
  <c r="W156" i="74"/>
  <c r="T156" i="74"/>
  <c r="Q156" i="74"/>
  <c r="P156" i="74"/>
  <c r="O156" i="74"/>
  <c r="N156" i="74"/>
  <c r="M156" i="74"/>
  <c r="L156" i="74"/>
  <c r="K156" i="74"/>
  <c r="J156" i="74"/>
  <c r="I156" i="74"/>
  <c r="H156" i="74"/>
  <c r="A155" i="74"/>
  <c r="I154" i="74"/>
  <c r="H154" i="74"/>
  <c r="H163" i="74" s="1"/>
  <c r="V153" i="74"/>
  <c r="V156" i="74" s="1"/>
  <c r="U153" i="74"/>
  <c r="U156" i="74" s="1"/>
  <c r="T153" i="74"/>
  <c r="S153" i="74"/>
  <c r="S156" i="74" s="1"/>
  <c r="R153" i="74"/>
  <c r="R156" i="74" s="1"/>
  <c r="A153" i="74"/>
  <c r="A144" i="74"/>
  <c r="A143" i="74"/>
  <c r="A139" i="74"/>
  <c r="A137" i="74"/>
  <c r="AA135" i="74"/>
  <c r="Z135" i="74"/>
  <c r="Y135" i="74"/>
  <c r="X135" i="74"/>
  <c r="W135" i="74"/>
  <c r="R135" i="74"/>
  <c r="Q135" i="74"/>
  <c r="P135" i="74"/>
  <c r="O135" i="74"/>
  <c r="N135" i="74"/>
  <c r="M135" i="74"/>
  <c r="L135" i="74"/>
  <c r="K135" i="74"/>
  <c r="J135" i="74"/>
  <c r="I135" i="74"/>
  <c r="H135" i="74"/>
  <c r="A134" i="74"/>
  <c r="H133" i="74"/>
  <c r="V132" i="74"/>
  <c r="V135" i="74" s="1"/>
  <c r="U132" i="74"/>
  <c r="U135" i="74" s="1"/>
  <c r="T132" i="74"/>
  <c r="T135" i="74" s="1"/>
  <c r="S132" i="74"/>
  <c r="S135" i="74" s="1"/>
  <c r="R132" i="74"/>
  <c r="A132" i="74"/>
  <c r="H124" i="74"/>
  <c r="I124" i="74" s="1"/>
  <c r="J124" i="74" s="1"/>
  <c r="K124" i="74" s="1"/>
  <c r="L124" i="74" s="1"/>
  <c r="M124" i="74" s="1"/>
  <c r="N124" i="74" s="1"/>
  <c r="O124" i="74" s="1"/>
  <c r="P124" i="74" s="1"/>
  <c r="Q124" i="74" s="1"/>
  <c r="R124" i="74" s="1"/>
  <c r="S124" i="74" s="1"/>
  <c r="T124" i="74" s="1"/>
  <c r="U124" i="74" s="1"/>
  <c r="V124" i="74" s="1"/>
  <c r="W124" i="74" s="1"/>
  <c r="X124" i="74" s="1"/>
  <c r="Y124" i="74" s="1"/>
  <c r="Z124" i="74" s="1"/>
  <c r="AA124" i="74" s="1"/>
  <c r="G124" i="74"/>
  <c r="G123" i="74"/>
  <c r="H123" i="74" s="1"/>
  <c r="I123" i="74" s="1"/>
  <c r="J123" i="74" s="1"/>
  <c r="K123" i="74" s="1"/>
  <c r="L123" i="74" s="1"/>
  <c r="M123" i="74" s="1"/>
  <c r="N123" i="74" s="1"/>
  <c r="O123" i="74" s="1"/>
  <c r="P123" i="74" s="1"/>
  <c r="Q123" i="74" s="1"/>
  <c r="R123" i="74" s="1"/>
  <c r="S123" i="74" s="1"/>
  <c r="T123" i="74" s="1"/>
  <c r="U123" i="74" s="1"/>
  <c r="V123" i="74" s="1"/>
  <c r="W123" i="74" s="1"/>
  <c r="X123" i="74" s="1"/>
  <c r="Y123" i="74" s="1"/>
  <c r="Z123" i="74" s="1"/>
  <c r="AA123" i="74" s="1"/>
  <c r="A123" i="74"/>
  <c r="L122" i="74"/>
  <c r="K122" i="74"/>
  <c r="J122" i="74"/>
  <c r="I122" i="74"/>
  <c r="H122" i="74"/>
  <c r="A122" i="74"/>
  <c r="I116" i="74"/>
  <c r="J116" i="74" s="1"/>
  <c r="K116" i="74" s="1"/>
  <c r="L116" i="74" s="1"/>
  <c r="M116" i="74" s="1"/>
  <c r="N116" i="74" s="1"/>
  <c r="O116" i="74" s="1"/>
  <c r="P116" i="74" s="1"/>
  <c r="Q116" i="74" s="1"/>
  <c r="R116" i="74" s="1"/>
  <c r="S116" i="74" s="1"/>
  <c r="T116" i="74" s="1"/>
  <c r="U116" i="74" s="1"/>
  <c r="V116" i="74" s="1"/>
  <c r="W116" i="74" s="1"/>
  <c r="X116" i="74" s="1"/>
  <c r="Y116" i="74" s="1"/>
  <c r="Z116" i="74" s="1"/>
  <c r="AA116" i="74" s="1"/>
  <c r="H116" i="74"/>
  <c r="A116" i="74"/>
  <c r="AA114" i="74"/>
  <c r="Z114" i="74"/>
  <c r="Y114" i="74"/>
  <c r="X114" i="74"/>
  <c r="W114" i="74"/>
  <c r="A113" i="74"/>
  <c r="G112" i="74"/>
  <c r="A111" i="74"/>
  <c r="I105" i="74"/>
  <c r="J105" i="74" s="1"/>
  <c r="K105" i="74" s="1"/>
  <c r="L105" i="74" s="1"/>
  <c r="M105" i="74" s="1"/>
  <c r="N105" i="74" s="1"/>
  <c r="O105" i="74" s="1"/>
  <c r="P105" i="74" s="1"/>
  <c r="Q105" i="74" s="1"/>
  <c r="R105" i="74" s="1"/>
  <c r="S105" i="74" s="1"/>
  <c r="T105" i="74" s="1"/>
  <c r="U105" i="74" s="1"/>
  <c r="V105" i="74" s="1"/>
  <c r="W105" i="74" s="1"/>
  <c r="X105" i="74" s="1"/>
  <c r="Y105" i="74" s="1"/>
  <c r="Z105" i="74" s="1"/>
  <c r="AA105" i="74" s="1"/>
  <c r="H105" i="74"/>
  <c r="G105" i="74"/>
  <c r="G104" i="74"/>
  <c r="H104" i="74" s="1"/>
  <c r="G103" i="74"/>
  <c r="H103" i="74" s="1"/>
  <c r="G102" i="74"/>
  <c r="H102" i="74" s="1"/>
  <c r="I102" i="74" s="1"/>
  <c r="J102" i="74" s="1"/>
  <c r="K102" i="74" s="1"/>
  <c r="L102" i="74" s="1"/>
  <c r="M102" i="74" s="1"/>
  <c r="N102" i="74" s="1"/>
  <c r="O102" i="74" s="1"/>
  <c r="P102" i="74" s="1"/>
  <c r="Q102" i="74" s="1"/>
  <c r="R102" i="74" s="1"/>
  <c r="S102" i="74" s="1"/>
  <c r="T102" i="74" s="1"/>
  <c r="U102" i="74" s="1"/>
  <c r="V102" i="74" s="1"/>
  <c r="W102" i="74" s="1"/>
  <c r="X102" i="74" s="1"/>
  <c r="Y102" i="74" s="1"/>
  <c r="Z102" i="74" s="1"/>
  <c r="AA102" i="74" s="1"/>
  <c r="A102" i="74"/>
  <c r="I101" i="74"/>
  <c r="H101" i="74"/>
  <c r="A101" i="74"/>
  <c r="H95" i="74"/>
  <c r="I95" i="74" s="1"/>
  <c r="J95" i="74" s="1"/>
  <c r="K95" i="74" s="1"/>
  <c r="L95" i="74" s="1"/>
  <c r="M95" i="74" s="1"/>
  <c r="N95" i="74" s="1"/>
  <c r="O95" i="74" s="1"/>
  <c r="P95" i="74" s="1"/>
  <c r="Q95" i="74" s="1"/>
  <c r="R95" i="74" s="1"/>
  <c r="S95" i="74" s="1"/>
  <c r="T95" i="74" s="1"/>
  <c r="U95" i="74" s="1"/>
  <c r="V95" i="74" s="1"/>
  <c r="W95" i="74" s="1"/>
  <c r="X95" i="74" s="1"/>
  <c r="Y95" i="74" s="1"/>
  <c r="Z95" i="74" s="1"/>
  <c r="AA95" i="74" s="1"/>
  <c r="A95" i="74"/>
  <c r="AA93" i="74"/>
  <c r="Z93" i="74"/>
  <c r="Y93" i="74"/>
  <c r="Y174" i="74" s="1"/>
  <c r="Y217" i="74" s="1"/>
  <c r="X93" i="74"/>
  <c r="W93" i="74"/>
  <c r="W174" i="74" s="1"/>
  <c r="W217" i="74" s="1"/>
  <c r="A92" i="74"/>
  <c r="G91" i="74"/>
  <c r="A90" i="74"/>
  <c r="C87" i="74"/>
  <c r="Y84" i="74"/>
  <c r="Y235" i="74" s="1"/>
  <c r="X84" i="74"/>
  <c r="X235" i="74" s="1"/>
  <c r="W84" i="74"/>
  <c r="W235" i="74" s="1"/>
  <c r="V84" i="74"/>
  <c r="V235" i="74" s="1"/>
  <c r="Q84" i="74"/>
  <c r="Q235" i="74" s="1"/>
  <c r="P84" i="74"/>
  <c r="P235" i="74" s="1"/>
  <c r="O84" i="74"/>
  <c r="O235" i="74" s="1"/>
  <c r="N84" i="74"/>
  <c r="N235" i="74" s="1"/>
  <c r="I84" i="74"/>
  <c r="I235" i="74" s="1"/>
  <c r="H84" i="74"/>
  <c r="H235" i="74" s="1"/>
  <c r="G84" i="74"/>
  <c r="G235" i="74" s="1"/>
  <c r="AA80" i="74"/>
  <c r="Z80" i="74"/>
  <c r="Y80" i="74"/>
  <c r="X80" i="74"/>
  <c r="W80" i="74"/>
  <c r="V80" i="74"/>
  <c r="U80" i="74"/>
  <c r="T80" i="74"/>
  <c r="S80" i="74"/>
  <c r="R80" i="74"/>
  <c r="Q80" i="74"/>
  <c r="P80" i="74"/>
  <c r="O80" i="74"/>
  <c r="N80" i="74"/>
  <c r="M80" i="74"/>
  <c r="L80" i="74"/>
  <c r="K80" i="74"/>
  <c r="J80" i="74"/>
  <c r="I80" i="74"/>
  <c r="H80" i="74"/>
  <c r="K82" i="74" s="1"/>
  <c r="G80" i="74"/>
  <c r="AA79" i="74"/>
  <c r="Z79" i="74"/>
  <c r="Y79" i="74"/>
  <c r="X79" i="74"/>
  <c r="W79" i="74"/>
  <c r="V79" i="74"/>
  <c r="U79" i="74"/>
  <c r="T79" i="74"/>
  <c r="S79" i="74"/>
  <c r="R79" i="74"/>
  <c r="Q79" i="74"/>
  <c r="P79" i="74"/>
  <c r="O79" i="74"/>
  <c r="N79" i="74"/>
  <c r="M79" i="74"/>
  <c r="L79" i="74"/>
  <c r="K79" i="74"/>
  <c r="J79" i="74"/>
  <c r="I79" i="74"/>
  <c r="H79" i="74"/>
  <c r="G79" i="74"/>
  <c r="E79" i="74"/>
  <c r="AA78" i="74"/>
  <c r="Z78" i="74"/>
  <c r="Y78" i="74"/>
  <c r="X78" i="74"/>
  <c r="W78" i="74"/>
  <c r="V78" i="74"/>
  <c r="U78" i="74"/>
  <c r="T78" i="74"/>
  <c r="S78" i="74"/>
  <c r="R78" i="74"/>
  <c r="Q78" i="74"/>
  <c r="P78" i="74"/>
  <c r="O78" i="74"/>
  <c r="N78" i="74"/>
  <c r="M78" i="74"/>
  <c r="L78" i="74"/>
  <c r="S82" i="74" s="1"/>
  <c r="K78" i="74"/>
  <c r="J78" i="74"/>
  <c r="I78" i="74"/>
  <c r="H78" i="74"/>
  <c r="G78" i="74"/>
  <c r="Z82" i="74" s="1"/>
  <c r="AA75" i="74"/>
  <c r="Z75" i="74"/>
  <c r="Y75" i="74"/>
  <c r="X75" i="74"/>
  <c r="W75" i="74"/>
  <c r="V75" i="74"/>
  <c r="U75" i="74"/>
  <c r="T75" i="74"/>
  <c r="S75" i="74"/>
  <c r="R75" i="74"/>
  <c r="Q75" i="74"/>
  <c r="P75" i="74"/>
  <c r="O75" i="74"/>
  <c r="N75" i="74"/>
  <c r="M75" i="74"/>
  <c r="L75" i="74"/>
  <c r="K75" i="74"/>
  <c r="J75" i="74"/>
  <c r="I75" i="74"/>
  <c r="H75" i="74"/>
  <c r="G75" i="74"/>
  <c r="E73" i="74"/>
  <c r="E80" i="74" s="1"/>
  <c r="E72" i="74"/>
  <c r="E71" i="74"/>
  <c r="E78" i="74" s="1"/>
  <c r="A70" i="74"/>
  <c r="AA66" i="74"/>
  <c r="Z66" i="74"/>
  <c r="Y66" i="74"/>
  <c r="X66" i="74"/>
  <c r="W66" i="74"/>
  <c r="V66" i="74"/>
  <c r="U66" i="74"/>
  <c r="T66" i="74"/>
  <c r="S66" i="74"/>
  <c r="R66" i="74"/>
  <c r="Q66" i="74"/>
  <c r="P66" i="74"/>
  <c r="O66" i="74"/>
  <c r="N66" i="74"/>
  <c r="M66" i="74"/>
  <c r="L66" i="74"/>
  <c r="K66" i="74"/>
  <c r="J66" i="74"/>
  <c r="I66" i="74"/>
  <c r="H66" i="74"/>
  <c r="K68" i="74" s="1"/>
  <c r="K85" i="74" s="1"/>
  <c r="G66" i="74"/>
  <c r="AA65" i="74"/>
  <c r="Z65" i="74"/>
  <c r="Y65" i="74"/>
  <c r="X65" i="74"/>
  <c r="W65" i="74"/>
  <c r="V65" i="74"/>
  <c r="U65" i="74"/>
  <c r="T65" i="74"/>
  <c r="S65" i="74"/>
  <c r="R65" i="74"/>
  <c r="Q65" i="74"/>
  <c r="P65" i="74"/>
  <c r="O65" i="74"/>
  <c r="N65" i="74"/>
  <c r="M65" i="74"/>
  <c r="L65" i="74"/>
  <c r="K65" i="74"/>
  <c r="J65" i="74"/>
  <c r="I65" i="74"/>
  <c r="H65" i="74"/>
  <c r="G65" i="74"/>
  <c r="E65" i="74"/>
  <c r="AA64" i="74"/>
  <c r="Z64" i="74"/>
  <c r="Y64" i="74"/>
  <c r="X64" i="74"/>
  <c r="W64" i="74"/>
  <c r="V64" i="74"/>
  <c r="U64" i="74"/>
  <c r="T64" i="74"/>
  <c r="S64" i="74"/>
  <c r="R64" i="74"/>
  <c r="Q64" i="74"/>
  <c r="P64" i="74"/>
  <c r="O64" i="74"/>
  <c r="N64" i="74"/>
  <c r="M64" i="74"/>
  <c r="L64" i="74"/>
  <c r="S68" i="74" s="1"/>
  <c r="K64" i="74"/>
  <c r="J64" i="74"/>
  <c r="I64" i="74"/>
  <c r="H64" i="74"/>
  <c r="G64" i="74"/>
  <c r="Z68" i="74" s="1"/>
  <c r="Z85" i="74" s="1"/>
  <c r="AA61" i="74"/>
  <c r="AA84" i="74" s="1"/>
  <c r="AA235" i="74" s="1"/>
  <c r="Z61" i="74"/>
  <c r="Z84" i="74" s="1"/>
  <c r="Z235" i="74" s="1"/>
  <c r="Y61" i="74"/>
  <c r="X61" i="74"/>
  <c r="W61" i="74"/>
  <c r="V61" i="74"/>
  <c r="U61" i="74"/>
  <c r="U84" i="74" s="1"/>
  <c r="U235" i="74" s="1"/>
  <c r="T61" i="74"/>
  <c r="T84" i="74" s="1"/>
  <c r="T235" i="74" s="1"/>
  <c r="S61" i="74"/>
  <c r="S84" i="74" s="1"/>
  <c r="S235" i="74" s="1"/>
  <c r="R61" i="74"/>
  <c r="R84" i="74" s="1"/>
  <c r="R235" i="74" s="1"/>
  <c r="Q61" i="74"/>
  <c r="P61" i="74"/>
  <c r="O61" i="74"/>
  <c r="N61" i="74"/>
  <c r="M61" i="74"/>
  <c r="M84" i="74" s="1"/>
  <c r="M235" i="74" s="1"/>
  <c r="L61" i="74"/>
  <c r="L84" i="74" s="1"/>
  <c r="L235" i="74" s="1"/>
  <c r="K61" i="74"/>
  <c r="K84" i="74" s="1"/>
  <c r="K235" i="74" s="1"/>
  <c r="J61" i="74"/>
  <c r="J84" i="74" s="1"/>
  <c r="J235" i="74" s="1"/>
  <c r="I61" i="74"/>
  <c r="H61" i="74"/>
  <c r="G61" i="74"/>
  <c r="E59" i="74"/>
  <c r="E66" i="74" s="1"/>
  <c r="E58" i="74"/>
  <c r="E57" i="74"/>
  <c r="E64" i="74" s="1"/>
  <c r="A56" i="74"/>
  <c r="A52" i="74"/>
  <c r="AA48" i="74"/>
  <c r="Z48" i="74"/>
  <c r="Y48" i="74"/>
  <c r="X48" i="74"/>
  <c r="W48" i="74"/>
  <c r="V48" i="74"/>
  <c r="U48" i="74"/>
  <c r="T48" i="74"/>
  <c r="S48" i="74"/>
  <c r="R48" i="74"/>
  <c r="Q48" i="74"/>
  <c r="P48" i="74"/>
  <c r="O48" i="74"/>
  <c r="N48" i="74"/>
  <c r="M48" i="74"/>
  <c r="L48" i="74"/>
  <c r="K48" i="74"/>
  <c r="J48" i="74"/>
  <c r="I48" i="74"/>
  <c r="H48" i="74"/>
  <c r="G48" i="74"/>
  <c r="AA47" i="74"/>
  <c r="Z47" i="74"/>
  <c r="Y47" i="74"/>
  <c r="X47" i="74"/>
  <c r="W47" i="74"/>
  <c r="V47" i="74"/>
  <c r="U47" i="74"/>
  <c r="T47" i="74"/>
  <c r="S47" i="74"/>
  <c r="R47" i="74"/>
  <c r="Q47" i="74"/>
  <c r="P47" i="74"/>
  <c r="O47" i="74"/>
  <c r="N47" i="74"/>
  <c r="M47" i="74"/>
  <c r="L47" i="74"/>
  <c r="K47" i="74"/>
  <c r="J47" i="74"/>
  <c r="I47" i="74"/>
  <c r="H47" i="74"/>
  <c r="G47" i="74"/>
  <c r="AA46" i="74"/>
  <c r="Z46" i="74"/>
  <c r="Y46" i="74"/>
  <c r="X46" i="74"/>
  <c r="W46" i="74"/>
  <c r="V46" i="74"/>
  <c r="U46" i="74"/>
  <c r="T46" i="74"/>
  <c r="S46" i="74"/>
  <c r="R46" i="74"/>
  <c r="Q46" i="74"/>
  <c r="P46" i="74"/>
  <c r="O46" i="74"/>
  <c r="N46" i="74"/>
  <c r="M46" i="74"/>
  <c r="L46" i="74"/>
  <c r="K46" i="74"/>
  <c r="J46" i="74"/>
  <c r="I46" i="74"/>
  <c r="H46" i="74"/>
  <c r="G46" i="74"/>
  <c r="AA45" i="74"/>
  <c r="G45" i="74"/>
  <c r="E45" i="74"/>
  <c r="G42" i="74"/>
  <c r="G222" i="74" s="1"/>
  <c r="E40" i="74"/>
  <c r="E48" i="74" s="1"/>
  <c r="E39" i="74"/>
  <c r="E47" i="74" s="1"/>
  <c r="E38" i="74"/>
  <c r="E46" i="74" s="1"/>
  <c r="AA37" i="74"/>
  <c r="AA42" i="74" s="1"/>
  <c r="AA222" i="74" s="1"/>
  <c r="Z37" i="74"/>
  <c r="Z45" i="74" s="1"/>
  <c r="Y37" i="74"/>
  <c r="Y42" i="74" s="1"/>
  <c r="Y222" i="74" s="1"/>
  <c r="E37" i="74"/>
  <c r="A36" i="74"/>
  <c r="AA32" i="74"/>
  <c r="Z32" i="74"/>
  <c r="Y32" i="74"/>
  <c r="X32" i="74"/>
  <c r="W32" i="74"/>
  <c r="V32" i="74"/>
  <c r="U32" i="74"/>
  <c r="T32" i="74"/>
  <c r="S32" i="74"/>
  <c r="R32" i="74"/>
  <c r="Q32" i="74"/>
  <c r="P32" i="74"/>
  <c r="O32" i="74"/>
  <c r="N32" i="74"/>
  <c r="M32" i="74"/>
  <c r="L32" i="74"/>
  <c r="K32" i="74"/>
  <c r="J32" i="74"/>
  <c r="I32" i="74"/>
  <c r="H32" i="74"/>
  <c r="G32" i="74"/>
  <c r="E32" i="74"/>
  <c r="AA31" i="74"/>
  <c r="Z31" i="74"/>
  <c r="Y31" i="74"/>
  <c r="X31" i="74"/>
  <c r="W31" i="74"/>
  <c r="V31" i="74"/>
  <c r="U31" i="74"/>
  <c r="T31" i="74"/>
  <c r="S31" i="74"/>
  <c r="R31" i="74"/>
  <c r="Q31" i="74"/>
  <c r="P31" i="74"/>
  <c r="O31" i="74"/>
  <c r="N31" i="74"/>
  <c r="M31" i="74"/>
  <c r="L31" i="74"/>
  <c r="K31" i="74"/>
  <c r="J31" i="74"/>
  <c r="I31" i="74"/>
  <c r="H31" i="74"/>
  <c r="G31" i="74"/>
  <c r="AA30" i="74"/>
  <c r="Z30" i="74"/>
  <c r="Y30" i="74"/>
  <c r="X30" i="74"/>
  <c r="W30" i="74"/>
  <c r="V30" i="74"/>
  <c r="U30" i="74"/>
  <c r="T30" i="74"/>
  <c r="S30" i="74"/>
  <c r="R30" i="74"/>
  <c r="Q30" i="74"/>
  <c r="P30" i="74"/>
  <c r="O30" i="74"/>
  <c r="N30" i="74"/>
  <c r="M30" i="74"/>
  <c r="L30" i="74"/>
  <c r="K30" i="74"/>
  <c r="J30" i="74"/>
  <c r="I30" i="74"/>
  <c r="H30" i="74"/>
  <c r="G30" i="74"/>
  <c r="E29" i="74"/>
  <c r="E23" i="74"/>
  <c r="E31" i="74" s="1"/>
  <c r="E22" i="74"/>
  <c r="E30" i="74" s="1"/>
  <c r="E21" i="74"/>
  <c r="A20" i="74"/>
  <c r="A18" i="74"/>
  <c r="G16" i="74"/>
  <c r="G15" i="74"/>
  <c r="A15" i="74"/>
  <c r="G14" i="74"/>
  <c r="H166" i="74" s="1"/>
  <c r="I166" i="74" s="1"/>
  <c r="J166" i="74" s="1"/>
  <c r="K166" i="74" s="1"/>
  <c r="L166" i="74" s="1"/>
  <c r="M166" i="74" s="1"/>
  <c r="N166" i="74" s="1"/>
  <c r="O166" i="74" s="1"/>
  <c r="P166" i="74" s="1"/>
  <c r="Q166" i="74" s="1"/>
  <c r="R166" i="74" s="1"/>
  <c r="S166" i="74" s="1"/>
  <c r="T166" i="74" s="1"/>
  <c r="U166" i="74" s="1"/>
  <c r="V166" i="74" s="1"/>
  <c r="W166" i="74" s="1"/>
  <c r="X166" i="74" s="1"/>
  <c r="Y166" i="74" s="1"/>
  <c r="Z166" i="74" s="1"/>
  <c r="AA166" i="74" s="1"/>
  <c r="A14" i="74"/>
  <c r="A10" i="74"/>
  <c r="A9" i="74"/>
  <c r="A8" i="74"/>
  <c r="A7" i="74"/>
  <c r="A4" i="74"/>
  <c r="A320" i="76"/>
  <c r="A283" i="76"/>
  <c r="Z270" i="76"/>
  <c r="X270" i="76"/>
  <c r="G270" i="76"/>
  <c r="G259" i="76"/>
  <c r="G241" i="76"/>
  <c r="R240" i="76"/>
  <c r="G240" i="76"/>
  <c r="G239" i="76"/>
  <c r="G237" i="76"/>
  <c r="AA236" i="76"/>
  <c r="Z236" i="76"/>
  <c r="Z302" i="76" s="1"/>
  <c r="Y236" i="76"/>
  <c r="X236" i="76"/>
  <c r="X302" i="76" s="1"/>
  <c r="W236" i="76"/>
  <c r="V236" i="76"/>
  <c r="V302" i="76" s="1"/>
  <c r="U236" i="76"/>
  <c r="U302" i="76" s="1"/>
  <c r="T236" i="76"/>
  <c r="T302" i="76" s="1"/>
  <c r="S236" i="76"/>
  <c r="R236" i="76"/>
  <c r="R302" i="76" s="1"/>
  <c r="Q236" i="76"/>
  <c r="P236" i="76"/>
  <c r="P302" i="76" s="1"/>
  <c r="O236" i="76"/>
  <c r="O302" i="76" s="1"/>
  <c r="N236" i="76"/>
  <c r="N302" i="76" s="1"/>
  <c r="M236" i="76"/>
  <c r="M302" i="76" s="1"/>
  <c r="L236" i="76"/>
  <c r="L302" i="76" s="1"/>
  <c r="K236" i="76"/>
  <c r="K302" i="76" s="1"/>
  <c r="J236" i="76"/>
  <c r="J302" i="76" s="1"/>
  <c r="I236" i="76"/>
  <c r="H236" i="76"/>
  <c r="H302" i="76" s="1"/>
  <c r="G236" i="76"/>
  <c r="G302" i="76" s="1"/>
  <c r="N227" i="76"/>
  <c r="H227" i="76"/>
  <c r="G227" i="76"/>
  <c r="G293" i="76" s="1"/>
  <c r="G225" i="76"/>
  <c r="G291" i="76" s="1"/>
  <c r="G224" i="76"/>
  <c r="G223" i="76"/>
  <c r="G289" i="76" s="1"/>
  <c r="A213" i="76"/>
  <c r="A212" i="76"/>
  <c r="A211" i="76"/>
  <c r="A210" i="76"/>
  <c r="AA207" i="76"/>
  <c r="Z207" i="76"/>
  <c r="Y207" i="76"/>
  <c r="X207" i="76"/>
  <c r="X227" i="76" s="1"/>
  <c r="W207" i="76"/>
  <c r="V207" i="76"/>
  <c r="V240" i="76" s="1"/>
  <c r="U207" i="76"/>
  <c r="T207" i="76"/>
  <c r="S207" i="76"/>
  <c r="R207" i="76"/>
  <c r="R227" i="76" s="1"/>
  <c r="Q207" i="76"/>
  <c r="P207" i="76"/>
  <c r="O207" i="76"/>
  <c r="N207" i="76"/>
  <c r="N240" i="76" s="1"/>
  <c r="M207" i="76"/>
  <c r="L207" i="76"/>
  <c r="K207" i="76"/>
  <c r="J207" i="76"/>
  <c r="I207" i="76"/>
  <c r="H207" i="76"/>
  <c r="H240" i="76" s="1"/>
  <c r="A206" i="76"/>
  <c r="A205" i="76"/>
  <c r="A204" i="76"/>
  <c r="A203" i="76"/>
  <c r="A198" i="76"/>
  <c r="A197" i="76"/>
  <c r="A194" i="76"/>
  <c r="A193" i="76"/>
  <c r="G192" i="76"/>
  <c r="A192" i="76"/>
  <c r="A191" i="76"/>
  <c r="A186" i="76"/>
  <c r="G185" i="76"/>
  <c r="A185" i="76"/>
  <c r="J184" i="76"/>
  <c r="I184" i="76"/>
  <c r="H184" i="76"/>
  <c r="A184" i="76"/>
  <c r="C183" i="76"/>
  <c r="A165" i="76"/>
  <c r="A164" i="76"/>
  <c r="A160" i="76"/>
  <c r="A158" i="76"/>
  <c r="AA156" i="76"/>
  <c r="Z156" i="76"/>
  <c r="Y156" i="76"/>
  <c r="X156" i="76"/>
  <c r="W156" i="76"/>
  <c r="T156" i="76"/>
  <c r="S156" i="76"/>
  <c r="Q156" i="76"/>
  <c r="P156" i="76"/>
  <c r="O156" i="76"/>
  <c r="N156" i="76"/>
  <c r="M156" i="76"/>
  <c r="L156" i="76"/>
  <c r="K156" i="76"/>
  <c r="J156" i="76"/>
  <c r="I156" i="76"/>
  <c r="H156" i="76"/>
  <c r="A155" i="76"/>
  <c r="H154" i="76"/>
  <c r="V153" i="76"/>
  <c r="V156" i="76" s="1"/>
  <c r="U153" i="76"/>
  <c r="U156" i="76" s="1"/>
  <c r="T153" i="76"/>
  <c r="S153" i="76"/>
  <c r="R153" i="76"/>
  <c r="R156" i="76" s="1"/>
  <c r="A153" i="76"/>
  <c r="A144" i="76"/>
  <c r="A143" i="76"/>
  <c r="H142" i="76"/>
  <c r="H141" i="76"/>
  <c r="H140" i="76"/>
  <c r="A139" i="76"/>
  <c r="A137" i="76"/>
  <c r="H136" i="76"/>
  <c r="AA135" i="76"/>
  <c r="Z135" i="76"/>
  <c r="Y135" i="76"/>
  <c r="X135" i="76"/>
  <c r="W135" i="76"/>
  <c r="V135" i="76"/>
  <c r="T135" i="76"/>
  <c r="Q135" i="76"/>
  <c r="P135" i="76"/>
  <c r="O135" i="76"/>
  <c r="N135" i="76"/>
  <c r="M135" i="76"/>
  <c r="L135" i="76"/>
  <c r="K135" i="76"/>
  <c r="J135" i="76"/>
  <c r="I135" i="76"/>
  <c r="H135" i="76"/>
  <c r="A134" i="76"/>
  <c r="I133" i="76"/>
  <c r="H133" i="76"/>
  <c r="V132" i="76"/>
  <c r="U132" i="76"/>
  <c r="U135" i="76" s="1"/>
  <c r="T132" i="76"/>
  <c r="S132" i="76"/>
  <c r="S135" i="76" s="1"/>
  <c r="R132" i="76"/>
  <c r="R135" i="76" s="1"/>
  <c r="A132" i="76"/>
  <c r="G124" i="76"/>
  <c r="G123" i="76"/>
  <c r="A123" i="76"/>
  <c r="A122" i="76"/>
  <c r="H116" i="76"/>
  <c r="I116" i="76" s="1"/>
  <c r="J116" i="76" s="1"/>
  <c r="K116" i="76" s="1"/>
  <c r="L116" i="76" s="1"/>
  <c r="M116" i="76" s="1"/>
  <c r="N116" i="76" s="1"/>
  <c r="O116" i="76" s="1"/>
  <c r="P116" i="76" s="1"/>
  <c r="Q116" i="76" s="1"/>
  <c r="R116" i="76" s="1"/>
  <c r="S116" i="76" s="1"/>
  <c r="T116" i="76" s="1"/>
  <c r="U116" i="76" s="1"/>
  <c r="V116" i="76" s="1"/>
  <c r="W116" i="76" s="1"/>
  <c r="X116" i="76" s="1"/>
  <c r="Y116" i="76" s="1"/>
  <c r="Z116" i="76" s="1"/>
  <c r="AA116" i="76" s="1"/>
  <c r="A116" i="76"/>
  <c r="AA114" i="76"/>
  <c r="Z114" i="76"/>
  <c r="Y114" i="76"/>
  <c r="X114" i="76"/>
  <c r="W114" i="76"/>
  <c r="A113" i="76"/>
  <c r="G112" i="76"/>
  <c r="A111" i="76"/>
  <c r="H103" i="76"/>
  <c r="G103" i="76"/>
  <c r="G102" i="76"/>
  <c r="A102" i="76"/>
  <c r="I101" i="76"/>
  <c r="I122" i="76" s="1"/>
  <c r="H101" i="76"/>
  <c r="H122" i="76" s="1"/>
  <c r="A101" i="76"/>
  <c r="I95" i="76"/>
  <c r="J95" i="76" s="1"/>
  <c r="K95" i="76" s="1"/>
  <c r="L95" i="76" s="1"/>
  <c r="M95" i="76" s="1"/>
  <c r="N95" i="76" s="1"/>
  <c r="O95" i="76" s="1"/>
  <c r="P95" i="76" s="1"/>
  <c r="Q95" i="76" s="1"/>
  <c r="R95" i="76" s="1"/>
  <c r="S95" i="76" s="1"/>
  <c r="T95" i="76" s="1"/>
  <c r="U95" i="76" s="1"/>
  <c r="V95" i="76" s="1"/>
  <c r="W95" i="76" s="1"/>
  <c r="X95" i="76" s="1"/>
  <c r="Y95" i="76" s="1"/>
  <c r="Z95" i="76" s="1"/>
  <c r="AA95" i="76" s="1"/>
  <c r="H95" i="76"/>
  <c r="A95" i="76"/>
  <c r="AA93" i="76"/>
  <c r="AA174" i="76" s="1"/>
  <c r="AA217" i="76" s="1"/>
  <c r="Z93" i="76"/>
  <c r="Z174" i="76" s="1"/>
  <c r="Z217" i="76" s="1"/>
  <c r="Y93" i="76"/>
  <c r="Y174" i="76" s="1"/>
  <c r="Y217" i="76" s="1"/>
  <c r="X93" i="76"/>
  <c r="X174" i="76" s="1"/>
  <c r="X217" i="76" s="1"/>
  <c r="W93" i="76"/>
  <c r="W174" i="76" s="1"/>
  <c r="W217" i="76" s="1"/>
  <c r="A92" i="76"/>
  <c r="G91" i="76"/>
  <c r="A90" i="76"/>
  <c r="C87" i="76"/>
  <c r="Z84" i="76"/>
  <c r="Z235" i="76" s="1"/>
  <c r="X84" i="76"/>
  <c r="X235" i="76" s="1"/>
  <c r="W84" i="76"/>
  <c r="W235" i="76" s="1"/>
  <c r="R84" i="76"/>
  <c r="R235" i="76" s="1"/>
  <c r="P84" i="76"/>
  <c r="P235" i="76" s="1"/>
  <c r="P301" i="76" s="1"/>
  <c r="O84" i="76"/>
  <c r="O235" i="76" s="1"/>
  <c r="J84" i="76"/>
  <c r="J235" i="76" s="1"/>
  <c r="H84" i="76"/>
  <c r="H235" i="76" s="1"/>
  <c r="G84" i="76"/>
  <c r="G235" i="76" s="1"/>
  <c r="G82" i="76"/>
  <c r="AA80" i="76"/>
  <c r="Z80" i="76"/>
  <c r="Y80" i="76"/>
  <c r="X80" i="76"/>
  <c r="W80" i="76"/>
  <c r="V80" i="76"/>
  <c r="U80" i="76"/>
  <c r="T80" i="76"/>
  <c r="S80" i="76"/>
  <c r="R80" i="76"/>
  <c r="Q80" i="76"/>
  <c r="P80" i="76"/>
  <c r="O80" i="76"/>
  <c r="N80" i="76"/>
  <c r="M80" i="76"/>
  <c r="L80" i="76"/>
  <c r="K80" i="76"/>
  <c r="J80" i="76"/>
  <c r="I80" i="76"/>
  <c r="H80" i="76"/>
  <c r="G80" i="76"/>
  <c r="AA79" i="76"/>
  <c r="Z79" i="76"/>
  <c r="Y79" i="76"/>
  <c r="X79" i="76"/>
  <c r="W79" i="76"/>
  <c r="V79" i="76"/>
  <c r="U79" i="76"/>
  <c r="T79" i="76"/>
  <c r="S79" i="76"/>
  <c r="R79" i="76"/>
  <c r="Q79" i="76"/>
  <c r="P79" i="76"/>
  <c r="O79" i="76"/>
  <c r="N79" i="76"/>
  <c r="M79" i="76"/>
  <c r="L79" i="76"/>
  <c r="K79" i="76"/>
  <c r="J79" i="76"/>
  <c r="I79" i="76"/>
  <c r="H79" i="76"/>
  <c r="G79" i="76"/>
  <c r="AA78" i="76"/>
  <c r="Z78" i="76"/>
  <c r="Y78" i="76"/>
  <c r="X78" i="76"/>
  <c r="W78" i="76"/>
  <c r="V78" i="76"/>
  <c r="U78" i="76"/>
  <c r="T78" i="76"/>
  <c r="S78" i="76"/>
  <c r="R78" i="76"/>
  <c r="Q78" i="76"/>
  <c r="P78" i="76"/>
  <c r="O78" i="76"/>
  <c r="N78" i="76"/>
  <c r="M78" i="76"/>
  <c r="L78" i="76"/>
  <c r="K78" i="76"/>
  <c r="J78" i="76"/>
  <c r="I78" i="76"/>
  <c r="H78" i="76"/>
  <c r="U82" i="76" s="1"/>
  <c r="G78" i="76"/>
  <c r="AA82" i="76" s="1"/>
  <c r="AA75" i="76"/>
  <c r="Z75" i="76"/>
  <c r="Y75" i="76"/>
  <c r="X75" i="76"/>
  <c r="W75" i="76"/>
  <c r="V75" i="76"/>
  <c r="U75" i="76"/>
  <c r="T75" i="76"/>
  <c r="S75" i="76"/>
  <c r="R75" i="76"/>
  <c r="Q75" i="76"/>
  <c r="P75" i="76"/>
  <c r="O75" i="76"/>
  <c r="N75" i="76"/>
  <c r="M75" i="76"/>
  <c r="L75" i="76"/>
  <c r="K75" i="76"/>
  <c r="J75" i="76"/>
  <c r="I75" i="76"/>
  <c r="H75" i="76"/>
  <c r="G75" i="76"/>
  <c r="E73" i="76"/>
  <c r="E80" i="76" s="1"/>
  <c r="E72" i="76"/>
  <c r="E79" i="76" s="1"/>
  <c r="E71" i="76"/>
  <c r="E78" i="76" s="1"/>
  <c r="A70" i="76"/>
  <c r="G68" i="76"/>
  <c r="G85" i="76" s="1"/>
  <c r="AA66" i="76"/>
  <c r="Z66" i="76"/>
  <c r="Y66" i="76"/>
  <c r="X66" i="76"/>
  <c r="W66" i="76"/>
  <c r="V66" i="76"/>
  <c r="U66" i="76"/>
  <c r="T66" i="76"/>
  <c r="S66" i="76"/>
  <c r="R66" i="76"/>
  <c r="Q66" i="76"/>
  <c r="P66" i="76"/>
  <c r="O66" i="76"/>
  <c r="N66" i="76"/>
  <c r="M66" i="76"/>
  <c r="L66" i="76"/>
  <c r="K66" i="76"/>
  <c r="J66" i="76"/>
  <c r="I66" i="76"/>
  <c r="H66" i="76"/>
  <c r="G66" i="76"/>
  <c r="AA65" i="76"/>
  <c r="Z65" i="76"/>
  <c r="Y65" i="76"/>
  <c r="X65" i="76"/>
  <c r="W65" i="76"/>
  <c r="V65" i="76"/>
  <c r="U65" i="76"/>
  <c r="T65" i="76"/>
  <c r="S65" i="76"/>
  <c r="R65" i="76"/>
  <c r="Q65" i="76"/>
  <c r="P65" i="76"/>
  <c r="O65" i="76"/>
  <c r="N65" i="76"/>
  <c r="M65" i="76"/>
  <c r="L65" i="76"/>
  <c r="K65" i="76"/>
  <c r="J65" i="76"/>
  <c r="I65" i="76"/>
  <c r="H65" i="76"/>
  <c r="G65" i="76"/>
  <c r="AA64" i="76"/>
  <c r="Z64" i="76"/>
  <c r="Y64" i="76"/>
  <c r="X64" i="76"/>
  <c r="W64" i="76"/>
  <c r="V64" i="76"/>
  <c r="U64" i="76"/>
  <c r="T64" i="76"/>
  <c r="S64" i="76"/>
  <c r="R64" i="76"/>
  <c r="Q64" i="76"/>
  <c r="P64" i="76"/>
  <c r="O64" i="76"/>
  <c r="N64" i="76"/>
  <c r="M64" i="76"/>
  <c r="L64" i="76"/>
  <c r="K64" i="76"/>
  <c r="J64" i="76"/>
  <c r="I64" i="76"/>
  <c r="H64" i="76"/>
  <c r="U68" i="76" s="1"/>
  <c r="G64" i="76"/>
  <c r="AA68" i="76" s="1"/>
  <c r="AA85" i="76" s="1"/>
  <c r="AA61" i="76"/>
  <c r="AA84" i="76" s="1"/>
  <c r="AA235" i="76" s="1"/>
  <c r="Z61" i="76"/>
  <c r="Y61" i="76"/>
  <c r="Y84" i="76" s="1"/>
  <c r="Y235" i="76" s="1"/>
  <c r="X61" i="76"/>
  <c r="W61" i="76"/>
  <c r="V61" i="76"/>
  <c r="V84" i="76" s="1"/>
  <c r="V235" i="76" s="1"/>
  <c r="U61" i="76"/>
  <c r="U84" i="76" s="1"/>
  <c r="U235" i="76" s="1"/>
  <c r="T61" i="76"/>
  <c r="T84" i="76" s="1"/>
  <c r="T235" i="76" s="1"/>
  <c r="S61" i="76"/>
  <c r="S84" i="76" s="1"/>
  <c r="S235" i="76" s="1"/>
  <c r="R61" i="76"/>
  <c r="Q61" i="76"/>
  <c r="Q84" i="76" s="1"/>
  <c r="Q235" i="76" s="1"/>
  <c r="P61" i="76"/>
  <c r="O61" i="76"/>
  <c r="N61" i="76"/>
  <c r="N84" i="76" s="1"/>
  <c r="N235" i="76" s="1"/>
  <c r="M61" i="76"/>
  <c r="M84" i="76" s="1"/>
  <c r="M235" i="76" s="1"/>
  <c r="L61" i="76"/>
  <c r="L84" i="76" s="1"/>
  <c r="L235" i="76" s="1"/>
  <c r="K61" i="76"/>
  <c r="K84" i="76" s="1"/>
  <c r="K235" i="76" s="1"/>
  <c r="J61" i="76"/>
  <c r="I61" i="76"/>
  <c r="I84" i="76" s="1"/>
  <c r="I235" i="76" s="1"/>
  <c r="H61" i="76"/>
  <c r="G61" i="76"/>
  <c r="E59" i="76"/>
  <c r="E66" i="76" s="1"/>
  <c r="E58" i="76"/>
  <c r="E65" i="76" s="1"/>
  <c r="E57" i="76"/>
  <c r="E64" i="76" s="1"/>
  <c r="A56" i="76"/>
  <c r="A52" i="76"/>
  <c r="AA48" i="76"/>
  <c r="Z48" i="76"/>
  <c r="Y48" i="76"/>
  <c r="X48" i="76"/>
  <c r="W48" i="76"/>
  <c r="V48" i="76"/>
  <c r="U48" i="76"/>
  <c r="T48" i="76"/>
  <c r="S48" i="76"/>
  <c r="R48" i="76"/>
  <c r="Q48" i="76"/>
  <c r="P48" i="76"/>
  <c r="O48" i="76"/>
  <c r="N48" i="76"/>
  <c r="M48" i="76"/>
  <c r="L48" i="76"/>
  <c r="K48" i="76"/>
  <c r="J48" i="76"/>
  <c r="I48" i="76"/>
  <c r="H48" i="76"/>
  <c r="G48" i="76"/>
  <c r="AA47" i="76"/>
  <c r="Z47" i="76"/>
  <c r="Y47" i="76"/>
  <c r="X47" i="76"/>
  <c r="W47" i="76"/>
  <c r="V47" i="76"/>
  <c r="U47" i="76"/>
  <c r="T47" i="76"/>
  <c r="S47" i="76"/>
  <c r="R47" i="76"/>
  <c r="Q47" i="76"/>
  <c r="P47" i="76"/>
  <c r="O47" i="76"/>
  <c r="N47" i="76"/>
  <c r="M47" i="76"/>
  <c r="L47" i="76"/>
  <c r="K47" i="76"/>
  <c r="J47" i="76"/>
  <c r="I47" i="76"/>
  <c r="H47" i="76"/>
  <c r="G47" i="76"/>
  <c r="E47" i="76"/>
  <c r="AA46" i="76"/>
  <c r="Z46" i="76"/>
  <c r="Y46" i="76"/>
  <c r="X46" i="76"/>
  <c r="W46" i="76"/>
  <c r="V46" i="76"/>
  <c r="U46" i="76"/>
  <c r="T46" i="76"/>
  <c r="S46" i="76"/>
  <c r="R46" i="76"/>
  <c r="Q46" i="76"/>
  <c r="P46" i="76"/>
  <c r="O46" i="76"/>
  <c r="N46" i="76"/>
  <c r="M46" i="76"/>
  <c r="L46" i="76"/>
  <c r="K46" i="76"/>
  <c r="J46" i="76"/>
  <c r="I46" i="76"/>
  <c r="H46" i="76"/>
  <c r="G46" i="76"/>
  <c r="G45" i="76"/>
  <c r="E45" i="76"/>
  <c r="G42" i="76"/>
  <c r="G222" i="76" s="1"/>
  <c r="E40" i="76"/>
  <c r="E48" i="76" s="1"/>
  <c r="E39" i="76"/>
  <c r="E38" i="76"/>
  <c r="E46" i="76" s="1"/>
  <c r="E37" i="76"/>
  <c r="A36" i="76"/>
  <c r="AA32" i="76"/>
  <c r="Z32" i="76"/>
  <c r="Y32" i="76"/>
  <c r="X32" i="76"/>
  <c r="W32" i="76"/>
  <c r="V32" i="76"/>
  <c r="U32" i="76"/>
  <c r="T32" i="76"/>
  <c r="S32" i="76"/>
  <c r="R32" i="76"/>
  <c r="Q32" i="76"/>
  <c r="P32" i="76"/>
  <c r="O32" i="76"/>
  <c r="N32" i="76"/>
  <c r="M32" i="76"/>
  <c r="L32" i="76"/>
  <c r="K32" i="76"/>
  <c r="J32" i="76"/>
  <c r="I32" i="76"/>
  <c r="H32" i="76"/>
  <c r="G32" i="76"/>
  <c r="E32" i="76"/>
  <c r="AA31" i="76"/>
  <c r="Z31" i="76"/>
  <c r="Y31" i="76"/>
  <c r="X31" i="76"/>
  <c r="W31" i="76"/>
  <c r="V31" i="76"/>
  <c r="U31" i="76"/>
  <c r="T31" i="76"/>
  <c r="S31" i="76"/>
  <c r="R31" i="76"/>
  <c r="Q31" i="76"/>
  <c r="P31" i="76"/>
  <c r="O31" i="76"/>
  <c r="N31" i="76"/>
  <c r="M31" i="76"/>
  <c r="L31" i="76"/>
  <c r="K31" i="76"/>
  <c r="J31" i="76"/>
  <c r="I31" i="76"/>
  <c r="H31" i="76"/>
  <c r="G31" i="76"/>
  <c r="AA30" i="76"/>
  <c r="Z30" i="76"/>
  <c r="Y30" i="76"/>
  <c r="X30" i="76"/>
  <c r="W30" i="76"/>
  <c r="V30" i="76"/>
  <c r="U30" i="76"/>
  <c r="T30" i="76"/>
  <c r="S30" i="76"/>
  <c r="R30" i="76"/>
  <c r="Q30" i="76"/>
  <c r="P30" i="76"/>
  <c r="O30" i="76"/>
  <c r="N30" i="76"/>
  <c r="M30" i="76"/>
  <c r="L30" i="76"/>
  <c r="K30" i="76"/>
  <c r="J30" i="76"/>
  <c r="I30" i="76"/>
  <c r="H30" i="76"/>
  <c r="G30" i="76"/>
  <c r="E23" i="76"/>
  <c r="E31" i="76" s="1"/>
  <c r="E22" i="76"/>
  <c r="E30" i="76" s="1"/>
  <c r="E21" i="76"/>
  <c r="E29" i="76" s="1"/>
  <c r="A20" i="76"/>
  <c r="A18" i="76"/>
  <c r="G15" i="76"/>
  <c r="A15" i="76"/>
  <c r="G14" i="76"/>
  <c r="A14" i="76"/>
  <c r="A10" i="76"/>
  <c r="A9" i="76"/>
  <c r="A8" i="76"/>
  <c r="A7" i="76"/>
  <c r="A4" i="76"/>
  <c r="J122" i="78"/>
  <c r="K122" i="78"/>
  <c r="L122" i="78"/>
  <c r="I122" i="78"/>
  <c r="H122" i="78"/>
  <c r="H105" i="78"/>
  <c r="H104" i="78"/>
  <c r="I103" i="78"/>
  <c r="H103" i="78"/>
  <c r="H102" i="78"/>
  <c r="I101" i="78"/>
  <c r="H101" i="78"/>
  <c r="I122" i="80"/>
  <c r="H122" i="80"/>
  <c r="H103" i="80"/>
  <c r="I101" i="80"/>
  <c r="H101" i="80"/>
  <c r="U69" i="73"/>
  <c r="R129" i="85" l="1"/>
  <c r="O238" i="85"/>
  <c r="O225" i="85"/>
  <c r="O239" i="85"/>
  <c r="O290" i="85"/>
  <c r="P180" i="85"/>
  <c r="P237" i="85"/>
  <c r="P271" i="85" s="1"/>
  <c r="Q107" i="85"/>
  <c r="Q176" i="85" s="1"/>
  <c r="Q200" i="85" s="1"/>
  <c r="N273" i="85"/>
  <c r="N305" i="85"/>
  <c r="N304" i="85"/>
  <c r="N272" i="85"/>
  <c r="R100" i="85"/>
  <c r="R98" i="85"/>
  <c r="R94" i="85"/>
  <c r="R175" i="85" s="1"/>
  <c r="S91" i="85"/>
  <c r="R99" i="85"/>
  <c r="R170" i="85"/>
  <c r="R288" i="85"/>
  <c r="R256" i="85"/>
  <c r="S192" i="85"/>
  <c r="R128" i="85"/>
  <c r="P179" i="85"/>
  <c r="P187" i="85"/>
  <c r="P224" i="85" s="1"/>
  <c r="P200" i="85"/>
  <c r="S157" i="85"/>
  <c r="T154" i="85"/>
  <c r="S163" i="85"/>
  <c r="S161" i="85"/>
  <c r="S162" i="85"/>
  <c r="O257" i="85"/>
  <c r="O289" i="85"/>
  <c r="S42" i="85"/>
  <c r="S222" i="85" s="1"/>
  <c r="S45" i="85"/>
  <c r="S50" i="85" s="1"/>
  <c r="S226" i="85" s="1"/>
  <c r="Q108" i="85"/>
  <c r="Q177" i="85" s="1"/>
  <c r="S185" i="85"/>
  <c r="T114" i="85"/>
  <c r="T174" i="85" s="1"/>
  <c r="T217" i="85" s="1"/>
  <c r="U37" i="85"/>
  <c r="S121" i="85"/>
  <c r="S129" i="85" s="1"/>
  <c r="S119" i="85"/>
  <c r="S115" i="85"/>
  <c r="T112" i="85"/>
  <c r="S120" i="85"/>
  <c r="S141" i="85"/>
  <c r="S150" i="85"/>
  <c r="S136" i="85"/>
  <c r="T133" i="85"/>
  <c r="S142" i="85"/>
  <c r="S140" i="85"/>
  <c r="S149" i="85" s="1"/>
  <c r="O304" i="85"/>
  <c r="O272" i="85"/>
  <c r="P181" i="85"/>
  <c r="N259" i="85"/>
  <c r="N264" i="85" s="1"/>
  <c r="N265" i="85" s="1"/>
  <c r="N276" i="85" s="1"/>
  <c r="N291" i="85"/>
  <c r="O303" i="85"/>
  <c r="O271" i="85"/>
  <c r="R260" i="85"/>
  <c r="R292" i="85"/>
  <c r="R150" i="85"/>
  <c r="P257" i="85"/>
  <c r="P289" i="85"/>
  <c r="G50" i="74"/>
  <c r="I170" i="83"/>
  <c r="J141" i="83"/>
  <c r="J140" i="83"/>
  <c r="J136" i="83"/>
  <c r="J142" i="83"/>
  <c r="J150" i="83"/>
  <c r="K133" i="83"/>
  <c r="J185" i="83"/>
  <c r="W288" i="83"/>
  <c r="W256" i="83"/>
  <c r="J162" i="83"/>
  <c r="J161" i="83"/>
  <c r="J170" i="83" s="1"/>
  <c r="J157" i="83"/>
  <c r="K154" i="83"/>
  <c r="J163" i="83"/>
  <c r="J192" i="83"/>
  <c r="AA256" i="83"/>
  <c r="AA288" i="83"/>
  <c r="Y288" i="82"/>
  <c r="Y256" i="82"/>
  <c r="J192" i="82"/>
  <c r="J150" i="82"/>
  <c r="J136" i="82"/>
  <c r="K133" i="82"/>
  <c r="J142" i="82"/>
  <c r="J140" i="82"/>
  <c r="J141" i="82"/>
  <c r="I170" i="82"/>
  <c r="Z288" i="82"/>
  <c r="Z256" i="82"/>
  <c r="AA288" i="82"/>
  <c r="AA256" i="82"/>
  <c r="J185" i="82"/>
  <c r="I149" i="82"/>
  <c r="J163" i="82"/>
  <c r="J161" i="82"/>
  <c r="J170" i="82" s="1"/>
  <c r="J157" i="82"/>
  <c r="J162" i="82"/>
  <c r="K154" i="82"/>
  <c r="M269" i="74"/>
  <c r="M301" i="74"/>
  <c r="U269" i="74"/>
  <c r="U301" i="74"/>
  <c r="R301" i="74"/>
  <c r="R269" i="74"/>
  <c r="AA301" i="74"/>
  <c r="AA269" i="74"/>
  <c r="Z301" i="74"/>
  <c r="Z269" i="74"/>
  <c r="AA288" i="74"/>
  <c r="AA256" i="74"/>
  <c r="L269" i="74"/>
  <c r="L301" i="74"/>
  <c r="J301" i="74"/>
  <c r="J269" i="74"/>
  <c r="K301" i="74"/>
  <c r="K269" i="74"/>
  <c r="T269" i="74"/>
  <c r="T301" i="74"/>
  <c r="S301" i="74"/>
  <c r="S269" i="74"/>
  <c r="Y288" i="74"/>
  <c r="Y256" i="74"/>
  <c r="S85" i="74"/>
  <c r="AA82" i="74"/>
  <c r="U261" i="74"/>
  <c r="U293" i="74"/>
  <c r="Z42" i="74"/>
  <c r="Z222" i="74" s="1"/>
  <c r="L68" i="74"/>
  <c r="T68" i="74"/>
  <c r="L82" i="74"/>
  <c r="T82" i="74"/>
  <c r="G301" i="74"/>
  <c r="G269" i="74"/>
  <c r="O301" i="74"/>
  <c r="O269" i="74"/>
  <c r="W301" i="74"/>
  <c r="W269" i="74"/>
  <c r="I103" i="74"/>
  <c r="J103" i="74" s="1"/>
  <c r="K103" i="74" s="1"/>
  <c r="L103" i="74" s="1"/>
  <c r="M103" i="74" s="1"/>
  <c r="N103" i="74" s="1"/>
  <c r="O103" i="74" s="1"/>
  <c r="P103" i="74" s="1"/>
  <c r="Q103" i="74" s="1"/>
  <c r="R103" i="74" s="1"/>
  <c r="S103" i="74" s="1"/>
  <c r="T103" i="74" s="1"/>
  <c r="U103" i="74" s="1"/>
  <c r="V103" i="74" s="1"/>
  <c r="W103" i="74" s="1"/>
  <c r="X103" i="74" s="1"/>
  <c r="Y103" i="74" s="1"/>
  <c r="Z103" i="74" s="1"/>
  <c r="AA103" i="74" s="1"/>
  <c r="H141" i="74"/>
  <c r="H136" i="74"/>
  <c r="I133" i="74"/>
  <c r="H140" i="74"/>
  <c r="H142" i="74"/>
  <c r="J293" i="74"/>
  <c r="J261" i="74"/>
  <c r="V261" i="74"/>
  <c r="V293" i="74"/>
  <c r="M68" i="74"/>
  <c r="U68" i="74"/>
  <c r="M82" i="74"/>
  <c r="U82" i="74"/>
  <c r="H301" i="74"/>
  <c r="H269" i="74"/>
  <c r="P301" i="74"/>
  <c r="P269" i="74"/>
  <c r="X301" i="74"/>
  <c r="X269" i="74"/>
  <c r="J274" i="74"/>
  <c r="J306" i="74"/>
  <c r="G82" i="74"/>
  <c r="O82" i="74"/>
  <c r="W82" i="74"/>
  <c r="AA68" i="74"/>
  <c r="V269" i="74"/>
  <c r="V301" i="74"/>
  <c r="V68" i="74"/>
  <c r="V85" i="74" s="1"/>
  <c r="I301" i="74"/>
  <c r="I269" i="74"/>
  <c r="Q301" i="74"/>
  <c r="Q269" i="74"/>
  <c r="G68" i="74"/>
  <c r="H193" i="74"/>
  <c r="I193" i="74" s="1"/>
  <c r="J193" i="74" s="1"/>
  <c r="K193" i="74" s="1"/>
  <c r="L193" i="74" s="1"/>
  <c r="M193" i="74" s="1"/>
  <c r="N193" i="74" s="1"/>
  <c r="O193" i="74" s="1"/>
  <c r="P193" i="74" s="1"/>
  <c r="Q193" i="74" s="1"/>
  <c r="R193" i="74" s="1"/>
  <c r="S193" i="74" s="1"/>
  <c r="T193" i="74" s="1"/>
  <c r="U193" i="74" s="1"/>
  <c r="V193" i="74" s="1"/>
  <c r="W193" i="74" s="1"/>
  <c r="X193" i="74" s="1"/>
  <c r="Y193" i="74" s="1"/>
  <c r="Z193" i="74" s="1"/>
  <c r="AA193" i="74" s="1"/>
  <c r="H147" i="74"/>
  <c r="I147" i="74" s="1"/>
  <c r="J147" i="74" s="1"/>
  <c r="K147" i="74" s="1"/>
  <c r="L147" i="74" s="1"/>
  <c r="M147" i="74" s="1"/>
  <c r="N147" i="74" s="1"/>
  <c r="O147" i="74" s="1"/>
  <c r="P147" i="74" s="1"/>
  <c r="Q147" i="74" s="1"/>
  <c r="R147" i="74" s="1"/>
  <c r="S147" i="74" s="1"/>
  <c r="T147" i="74" s="1"/>
  <c r="U147" i="74" s="1"/>
  <c r="V147" i="74" s="1"/>
  <c r="W147" i="74" s="1"/>
  <c r="X147" i="74" s="1"/>
  <c r="Y147" i="74" s="1"/>
  <c r="Z147" i="74" s="1"/>
  <c r="AA147" i="74" s="1"/>
  <c r="H145" i="74"/>
  <c r="I145" i="74" s="1"/>
  <c r="J145" i="74" s="1"/>
  <c r="K145" i="74" s="1"/>
  <c r="L145" i="74" s="1"/>
  <c r="M145" i="74" s="1"/>
  <c r="N145" i="74" s="1"/>
  <c r="O145" i="74" s="1"/>
  <c r="P145" i="74" s="1"/>
  <c r="Q145" i="74" s="1"/>
  <c r="R145" i="74" s="1"/>
  <c r="S145" i="74" s="1"/>
  <c r="T145" i="74" s="1"/>
  <c r="U145" i="74" s="1"/>
  <c r="V145" i="74" s="1"/>
  <c r="W145" i="74" s="1"/>
  <c r="X145" i="74" s="1"/>
  <c r="Y145" i="74" s="1"/>
  <c r="Z145" i="74" s="1"/>
  <c r="AA145" i="74" s="1"/>
  <c r="H168" i="74"/>
  <c r="I168" i="74" s="1"/>
  <c r="J168" i="74" s="1"/>
  <c r="K168" i="74" s="1"/>
  <c r="L168" i="74" s="1"/>
  <c r="M168" i="74" s="1"/>
  <c r="N168" i="74" s="1"/>
  <c r="O168" i="74" s="1"/>
  <c r="P168" i="74" s="1"/>
  <c r="Q168" i="74" s="1"/>
  <c r="R168" i="74" s="1"/>
  <c r="S168" i="74" s="1"/>
  <c r="T168" i="74" s="1"/>
  <c r="U168" i="74" s="1"/>
  <c r="V168" i="74" s="1"/>
  <c r="W168" i="74" s="1"/>
  <c r="X168" i="74" s="1"/>
  <c r="Y168" i="74" s="1"/>
  <c r="Z168" i="74" s="1"/>
  <c r="AA168" i="74" s="1"/>
  <c r="H146" i="74"/>
  <c r="I146" i="74" s="1"/>
  <c r="J146" i="74" s="1"/>
  <c r="K146" i="74" s="1"/>
  <c r="L146" i="74" s="1"/>
  <c r="M146" i="74" s="1"/>
  <c r="N146" i="74" s="1"/>
  <c r="O146" i="74" s="1"/>
  <c r="P146" i="74" s="1"/>
  <c r="Q146" i="74" s="1"/>
  <c r="R146" i="74" s="1"/>
  <c r="S146" i="74" s="1"/>
  <c r="T146" i="74" s="1"/>
  <c r="U146" i="74" s="1"/>
  <c r="V146" i="74" s="1"/>
  <c r="W146" i="74" s="1"/>
  <c r="X146" i="74" s="1"/>
  <c r="Y146" i="74" s="1"/>
  <c r="Z146" i="74" s="1"/>
  <c r="AA146" i="74" s="1"/>
  <c r="H144" i="74"/>
  <c r="I144" i="74" s="1"/>
  <c r="J144" i="74" s="1"/>
  <c r="K144" i="74" s="1"/>
  <c r="L144" i="74" s="1"/>
  <c r="M144" i="74" s="1"/>
  <c r="N144" i="74" s="1"/>
  <c r="O144" i="74" s="1"/>
  <c r="P144" i="74" s="1"/>
  <c r="Q144" i="74" s="1"/>
  <c r="R144" i="74" s="1"/>
  <c r="S144" i="74" s="1"/>
  <c r="T144" i="74" s="1"/>
  <c r="U144" i="74" s="1"/>
  <c r="V144" i="74" s="1"/>
  <c r="W144" i="74" s="1"/>
  <c r="X144" i="74" s="1"/>
  <c r="Y144" i="74" s="1"/>
  <c r="Z144" i="74" s="1"/>
  <c r="AA144" i="74" s="1"/>
  <c r="H167" i="74"/>
  <c r="I167" i="74" s="1"/>
  <c r="J167" i="74" s="1"/>
  <c r="K167" i="74" s="1"/>
  <c r="L167" i="74" s="1"/>
  <c r="M167" i="74" s="1"/>
  <c r="N167" i="74" s="1"/>
  <c r="O167" i="74" s="1"/>
  <c r="P167" i="74" s="1"/>
  <c r="Q167" i="74" s="1"/>
  <c r="R167" i="74" s="1"/>
  <c r="S167" i="74" s="1"/>
  <c r="T167" i="74" s="1"/>
  <c r="U167" i="74" s="1"/>
  <c r="V167" i="74" s="1"/>
  <c r="W167" i="74" s="1"/>
  <c r="X167" i="74" s="1"/>
  <c r="Y167" i="74" s="1"/>
  <c r="Z167" i="74" s="1"/>
  <c r="AA167" i="74" s="1"/>
  <c r="H165" i="74"/>
  <c r="I165" i="74" s="1"/>
  <c r="J165" i="74" s="1"/>
  <c r="K165" i="74" s="1"/>
  <c r="L165" i="74" s="1"/>
  <c r="M165" i="74" s="1"/>
  <c r="N165" i="74" s="1"/>
  <c r="O165" i="74" s="1"/>
  <c r="P165" i="74" s="1"/>
  <c r="Q165" i="74" s="1"/>
  <c r="R165" i="74" s="1"/>
  <c r="S165" i="74" s="1"/>
  <c r="T165" i="74" s="1"/>
  <c r="U165" i="74" s="1"/>
  <c r="V165" i="74" s="1"/>
  <c r="W165" i="74" s="1"/>
  <c r="X165" i="74" s="1"/>
  <c r="Y165" i="74" s="1"/>
  <c r="Z165" i="74" s="1"/>
  <c r="AA165" i="74" s="1"/>
  <c r="H68" i="74"/>
  <c r="P68" i="74"/>
  <c r="X68" i="74"/>
  <c r="H82" i="74"/>
  <c r="P82" i="74"/>
  <c r="X82" i="74"/>
  <c r="I104" i="74"/>
  <c r="J104" i="74" s="1"/>
  <c r="K104" i="74" s="1"/>
  <c r="L104" i="74" s="1"/>
  <c r="M104" i="74" s="1"/>
  <c r="N104" i="74" s="1"/>
  <c r="O104" i="74" s="1"/>
  <c r="P104" i="74" s="1"/>
  <c r="Q104" i="74" s="1"/>
  <c r="R104" i="74" s="1"/>
  <c r="S104" i="74" s="1"/>
  <c r="T104" i="74" s="1"/>
  <c r="U104" i="74" s="1"/>
  <c r="V104" i="74" s="1"/>
  <c r="W104" i="74" s="1"/>
  <c r="X104" i="74" s="1"/>
  <c r="Y104" i="74" s="1"/>
  <c r="Z104" i="74" s="1"/>
  <c r="AA104" i="74" s="1"/>
  <c r="N293" i="74"/>
  <c r="N261" i="74"/>
  <c r="N269" i="74"/>
  <c r="N301" i="74"/>
  <c r="N82" i="74"/>
  <c r="O68" i="74"/>
  <c r="W68" i="74"/>
  <c r="W85" i="74" s="1"/>
  <c r="W37" i="74"/>
  <c r="G288" i="74"/>
  <c r="G256" i="74"/>
  <c r="Y45" i="74"/>
  <c r="I68" i="74"/>
  <c r="I85" i="74" s="1"/>
  <c r="Q68" i="74"/>
  <c r="Q85" i="74" s="1"/>
  <c r="Y68" i="74"/>
  <c r="Y85" i="74" s="1"/>
  <c r="I82" i="74"/>
  <c r="Q82" i="74"/>
  <c r="Y82" i="74"/>
  <c r="H125" i="74"/>
  <c r="I125" i="74" s="1"/>
  <c r="J125" i="74" s="1"/>
  <c r="K125" i="74" s="1"/>
  <c r="L125" i="74" s="1"/>
  <c r="M125" i="74" s="1"/>
  <c r="N125" i="74" s="1"/>
  <c r="O125" i="74" s="1"/>
  <c r="P125" i="74" s="1"/>
  <c r="Q125" i="74" s="1"/>
  <c r="R125" i="74" s="1"/>
  <c r="S125" i="74" s="1"/>
  <c r="T125" i="74" s="1"/>
  <c r="U125" i="74" s="1"/>
  <c r="V125" i="74" s="1"/>
  <c r="W125" i="74" s="1"/>
  <c r="X125" i="74" s="1"/>
  <c r="Y125" i="74" s="1"/>
  <c r="Z125" i="74" s="1"/>
  <c r="AA125" i="74" s="1"/>
  <c r="N68" i="74"/>
  <c r="V82" i="74"/>
  <c r="Y301" i="74"/>
  <c r="Y269" i="74"/>
  <c r="X37" i="74"/>
  <c r="J68" i="74"/>
  <c r="J85" i="74" s="1"/>
  <c r="R68" i="74"/>
  <c r="J82" i="74"/>
  <c r="R82" i="74"/>
  <c r="H126" i="74"/>
  <c r="I126" i="74" s="1"/>
  <c r="J126" i="74" s="1"/>
  <c r="K126" i="74" s="1"/>
  <c r="L126" i="74" s="1"/>
  <c r="M126" i="74" s="1"/>
  <c r="N126" i="74" s="1"/>
  <c r="O126" i="74" s="1"/>
  <c r="P126" i="74" s="1"/>
  <c r="Q126" i="74" s="1"/>
  <c r="R126" i="74" s="1"/>
  <c r="S126" i="74" s="1"/>
  <c r="T126" i="74" s="1"/>
  <c r="U126" i="74" s="1"/>
  <c r="V126" i="74" s="1"/>
  <c r="W126" i="74" s="1"/>
  <c r="X126" i="74" s="1"/>
  <c r="Y126" i="74" s="1"/>
  <c r="Z126" i="74" s="1"/>
  <c r="AA126" i="74" s="1"/>
  <c r="X174" i="74"/>
  <c r="X217" i="74" s="1"/>
  <c r="I163" i="74"/>
  <c r="I171" i="74" s="1"/>
  <c r="I161" i="74"/>
  <c r="I157" i="74"/>
  <c r="J154" i="74"/>
  <c r="M240" i="74"/>
  <c r="M227" i="74"/>
  <c r="U306" i="74"/>
  <c r="U274" i="74"/>
  <c r="Z174" i="74"/>
  <c r="Z217" i="74" s="1"/>
  <c r="I270" i="74"/>
  <c r="I302" i="74"/>
  <c r="Q270" i="74"/>
  <c r="Q302" i="74"/>
  <c r="Y270" i="74"/>
  <c r="Y302" i="74"/>
  <c r="AA174" i="74"/>
  <c r="AA217" i="74" s="1"/>
  <c r="H192" i="74"/>
  <c r="R227" i="74"/>
  <c r="R240" i="74"/>
  <c r="Z240" i="74"/>
  <c r="Z227" i="74"/>
  <c r="I274" i="74"/>
  <c r="I306" i="74"/>
  <c r="K306" i="74"/>
  <c r="K274" i="74"/>
  <c r="S306" i="74"/>
  <c r="S274" i="74"/>
  <c r="AA306" i="74"/>
  <c r="AA274" i="74"/>
  <c r="H162" i="74"/>
  <c r="H171" i="74" s="1"/>
  <c r="H270" i="74"/>
  <c r="H302" i="74"/>
  <c r="P270" i="74"/>
  <c r="P302" i="74"/>
  <c r="X270" i="74"/>
  <c r="X302" i="74"/>
  <c r="W274" i="74"/>
  <c r="W306" i="74"/>
  <c r="Q274" i="74"/>
  <c r="Q306" i="74"/>
  <c r="H161" i="74"/>
  <c r="H185" i="74"/>
  <c r="L240" i="74"/>
  <c r="L227" i="74"/>
  <c r="T240" i="74"/>
  <c r="T227" i="74"/>
  <c r="W293" i="74"/>
  <c r="W261" i="74"/>
  <c r="N240" i="74"/>
  <c r="V274" i="74"/>
  <c r="AB274" i="74" s="1"/>
  <c r="V306" i="74"/>
  <c r="AB306" i="74" s="1"/>
  <c r="AB240" i="74"/>
  <c r="O274" i="74"/>
  <c r="O306" i="74"/>
  <c r="U302" i="74"/>
  <c r="U270" i="74"/>
  <c r="H293" i="74"/>
  <c r="H261" i="74"/>
  <c r="O227" i="74"/>
  <c r="G273" i="74"/>
  <c r="G305" i="74"/>
  <c r="G261" i="74"/>
  <c r="G291" i="74"/>
  <c r="I293" i="74"/>
  <c r="I261" i="74"/>
  <c r="Q293" i="74"/>
  <c r="Q261" i="74"/>
  <c r="Y240" i="74"/>
  <c r="Y227" i="74"/>
  <c r="P261" i="74"/>
  <c r="G289" i="74"/>
  <c r="G257" i="74"/>
  <c r="K227" i="74"/>
  <c r="S227" i="74"/>
  <c r="AA227" i="74"/>
  <c r="G274" i="74"/>
  <c r="G306" i="74"/>
  <c r="G272" i="74"/>
  <c r="H240" i="74"/>
  <c r="P240" i="74"/>
  <c r="V270" i="74"/>
  <c r="G258" i="74"/>
  <c r="J270" i="74"/>
  <c r="O302" i="74"/>
  <c r="X306" i="74"/>
  <c r="X274" i="74"/>
  <c r="X227" i="74"/>
  <c r="K302" i="74"/>
  <c r="K270" i="74"/>
  <c r="S302" i="74"/>
  <c r="S270" i="74"/>
  <c r="AA302" i="74"/>
  <c r="AA270" i="74"/>
  <c r="W302" i="74"/>
  <c r="L302" i="74"/>
  <c r="L270" i="74"/>
  <c r="T302" i="74"/>
  <c r="T270" i="74"/>
  <c r="G303" i="74"/>
  <c r="G271" i="74"/>
  <c r="N270" i="74"/>
  <c r="G307" i="74"/>
  <c r="G275" i="74"/>
  <c r="V301" i="76"/>
  <c r="V269" i="76"/>
  <c r="I103" i="76"/>
  <c r="J103" i="76" s="1"/>
  <c r="K103" i="76" s="1"/>
  <c r="L103" i="76" s="1"/>
  <c r="M103" i="76" s="1"/>
  <c r="N103" i="76" s="1"/>
  <c r="O103" i="76" s="1"/>
  <c r="P103" i="76" s="1"/>
  <c r="Q103" i="76" s="1"/>
  <c r="R103" i="76" s="1"/>
  <c r="S103" i="76" s="1"/>
  <c r="T103" i="76" s="1"/>
  <c r="U103" i="76" s="1"/>
  <c r="V103" i="76" s="1"/>
  <c r="W103" i="76" s="1"/>
  <c r="X103" i="76" s="1"/>
  <c r="Y103" i="76" s="1"/>
  <c r="Z103" i="76" s="1"/>
  <c r="AA103" i="76" s="1"/>
  <c r="H193" i="76"/>
  <c r="I193" i="76" s="1"/>
  <c r="J193" i="76" s="1"/>
  <c r="K193" i="76" s="1"/>
  <c r="L193" i="76" s="1"/>
  <c r="M193" i="76" s="1"/>
  <c r="N193" i="76" s="1"/>
  <c r="O193" i="76" s="1"/>
  <c r="P193" i="76" s="1"/>
  <c r="Q193" i="76" s="1"/>
  <c r="R193" i="76" s="1"/>
  <c r="S193" i="76" s="1"/>
  <c r="T193" i="76" s="1"/>
  <c r="U193" i="76" s="1"/>
  <c r="V193" i="76" s="1"/>
  <c r="W193" i="76" s="1"/>
  <c r="X193" i="76" s="1"/>
  <c r="Y193" i="76" s="1"/>
  <c r="Z193" i="76" s="1"/>
  <c r="AA193" i="76" s="1"/>
  <c r="H167" i="76"/>
  <c r="I167" i="76" s="1"/>
  <c r="J167" i="76" s="1"/>
  <c r="K167" i="76" s="1"/>
  <c r="L167" i="76" s="1"/>
  <c r="M167" i="76" s="1"/>
  <c r="N167" i="76" s="1"/>
  <c r="O167" i="76" s="1"/>
  <c r="P167" i="76" s="1"/>
  <c r="Q167" i="76" s="1"/>
  <c r="R167" i="76" s="1"/>
  <c r="S167" i="76" s="1"/>
  <c r="T167" i="76" s="1"/>
  <c r="U167" i="76" s="1"/>
  <c r="V167" i="76" s="1"/>
  <c r="W167" i="76" s="1"/>
  <c r="X167" i="76" s="1"/>
  <c r="Y167" i="76" s="1"/>
  <c r="Z167" i="76" s="1"/>
  <c r="AA167" i="76" s="1"/>
  <c r="H165" i="76"/>
  <c r="I165" i="76" s="1"/>
  <c r="J165" i="76" s="1"/>
  <c r="K165" i="76" s="1"/>
  <c r="L165" i="76" s="1"/>
  <c r="M165" i="76" s="1"/>
  <c r="N165" i="76" s="1"/>
  <c r="O165" i="76" s="1"/>
  <c r="P165" i="76" s="1"/>
  <c r="Q165" i="76" s="1"/>
  <c r="R165" i="76" s="1"/>
  <c r="S165" i="76" s="1"/>
  <c r="T165" i="76" s="1"/>
  <c r="U165" i="76" s="1"/>
  <c r="V165" i="76" s="1"/>
  <c r="W165" i="76" s="1"/>
  <c r="X165" i="76" s="1"/>
  <c r="Y165" i="76" s="1"/>
  <c r="Z165" i="76" s="1"/>
  <c r="AA165" i="76" s="1"/>
  <c r="H192" i="76"/>
  <c r="H146" i="76"/>
  <c r="I146" i="76" s="1"/>
  <c r="J146" i="76" s="1"/>
  <c r="K146" i="76" s="1"/>
  <c r="L146" i="76" s="1"/>
  <c r="M146" i="76" s="1"/>
  <c r="N146" i="76" s="1"/>
  <c r="O146" i="76" s="1"/>
  <c r="P146" i="76" s="1"/>
  <c r="Q146" i="76" s="1"/>
  <c r="R146" i="76" s="1"/>
  <c r="S146" i="76" s="1"/>
  <c r="T146" i="76" s="1"/>
  <c r="U146" i="76" s="1"/>
  <c r="V146" i="76" s="1"/>
  <c r="W146" i="76" s="1"/>
  <c r="X146" i="76" s="1"/>
  <c r="Y146" i="76" s="1"/>
  <c r="Z146" i="76" s="1"/>
  <c r="AA146" i="76" s="1"/>
  <c r="H144" i="76"/>
  <c r="H168" i="76"/>
  <c r="I168" i="76" s="1"/>
  <c r="J168" i="76" s="1"/>
  <c r="K168" i="76" s="1"/>
  <c r="L168" i="76" s="1"/>
  <c r="M168" i="76" s="1"/>
  <c r="N168" i="76" s="1"/>
  <c r="O168" i="76" s="1"/>
  <c r="P168" i="76" s="1"/>
  <c r="Q168" i="76" s="1"/>
  <c r="R168" i="76" s="1"/>
  <c r="S168" i="76" s="1"/>
  <c r="T168" i="76" s="1"/>
  <c r="U168" i="76" s="1"/>
  <c r="V168" i="76" s="1"/>
  <c r="W168" i="76" s="1"/>
  <c r="X168" i="76" s="1"/>
  <c r="Y168" i="76" s="1"/>
  <c r="Z168" i="76" s="1"/>
  <c r="AA168" i="76" s="1"/>
  <c r="H126" i="76"/>
  <c r="I126" i="76" s="1"/>
  <c r="J126" i="76" s="1"/>
  <c r="K126" i="76" s="1"/>
  <c r="L126" i="76" s="1"/>
  <c r="M126" i="76" s="1"/>
  <c r="N126" i="76" s="1"/>
  <c r="O126" i="76" s="1"/>
  <c r="P126" i="76" s="1"/>
  <c r="Q126" i="76" s="1"/>
  <c r="R126" i="76" s="1"/>
  <c r="S126" i="76" s="1"/>
  <c r="T126" i="76" s="1"/>
  <c r="U126" i="76" s="1"/>
  <c r="V126" i="76" s="1"/>
  <c r="W126" i="76" s="1"/>
  <c r="X126" i="76" s="1"/>
  <c r="Y126" i="76" s="1"/>
  <c r="Z126" i="76" s="1"/>
  <c r="AA126" i="76" s="1"/>
  <c r="H147" i="76"/>
  <c r="I147" i="76" s="1"/>
  <c r="J147" i="76" s="1"/>
  <c r="K147" i="76" s="1"/>
  <c r="L147" i="76" s="1"/>
  <c r="M147" i="76" s="1"/>
  <c r="N147" i="76" s="1"/>
  <c r="O147" i="76" s="1"/>
  <c r="P147" i="76" s="1"/>
  <c r="Q147" i="76" s="1"/>
  <c r="R147" i="76" s="1"/>
  <c r="S147" i="76" s="1"/>
  <c r="T147" i="76" s="1"/>
  <c r="U147" i="76" s="1"/>
  <c r="V147" i="76" s="1"/>
  <c r="W147" i="76" s="1"/>
  <c r="X147" i="76" s="1"/>
  <c r="Y147" i="76" s="1"/>
  <c r="Z147" i="76" s="1"/>
  <c r="AA147" i="76" s="1"/>
  <c r="H104" i="76"/>
  <c r="I104" i="76" s="1"/>
  <c r="J104" i="76" s="1"/>
  <c r="K104" i="76" s="1"/>
  <c r="L104" i="76" s="1"/>
  <c r="M104" i="76" s="1"/>
  <c r="N104" i="76" s="1"/>
  <c r="O104" i="76" s="1"/>
  <c r="P104" i="76" s="1"/>
  <c r="Q104" i="76" s="1"/>
  <c r="R104" i="76" s="1"/>
  <c r="S104" i="76" s="1"/>
  <c r="T104" i="76" s="1"/>
  <c r="U104" i="76" s="1"/>
  <c r="V104" i="76" s="1"/>
  <c r="W104" i="76" s="1"/>
  <c r="X104" i="76" s="1"/>
  <c r="Y104" i="76" s="1"/>
  <c r="Z104" i="76" s="1"/>
  <c r="AA104" i="76" s="1"/>
  <c r="AA37" i="76"/>
  <c r="H125" i="76"/>
  <c r="I125" i="76" s="1"/>
  <c r="J125" i="76" s="1"/>
  <c r="K125" i="76" s="1"/>
  <c r="L125" i="76" s="1"/>
  <c r="M125" i="76" s="1"/>
  <c r="N125" i="76" s="1"/>
  <c r="O125" i="76" s="1"/>
  <c r="P125" i="76" s="1"/>
  <c r="Q125" i="76" s="1"/>
  <c r="R125" i="76" s="1"/>
  <c r="S125" i="76" s="1"/>
  <c r="T125" i="76" s="1"/>
  <c r="U125" i="76" s="1"/>
  <c r="V125" i="76" s="1"/>
  <c r="W125" i="76" s="1"/>
  <c r="X125" i="76" s="1"/>
  <c r="Y125" i="76" s="1"/>
  <c r="Z125" i="76" s="1"/>
  <c r="AA125" i="76" s="1"/>
  <c r="H102" i="76"/>
  <c r="I102" i="76" s="1"/>
  <c r="J102" i="76" s="1"/>
  <c r="K102" i="76" s="1"/>
  <c r="L102" i="76" s="1"/>
  <c r="M102" i="76" s="1"/>
  <c r="N102" i="76" s="1"/>
  <c r="O102" i="76" s="1"/>
  <c r="P102" i="76" s="1"/>
  <c r="Q102" i="76" s="1"/>
  <c r="R102" i="76" s="1"/>
  <c r="S102" i="76" s="1"/>
  <c r="T102" i="76" s="1"/>
  <c r="U102" i="76" s="1"/>
  <c r="V102" i="76" s="1"/>
  <c r="W102" i="76" s="1"/>
  <c r="X102" i="76" s="1"/>
  <c r="Y102" i="76" s="1"/>
  <c r="Z102" i="76" s="1"/>
  <c r="AA102" i="76" s="1"/>
  <c r="Z37" i="76"/>
  <c r="H123" i="76"/>
  <c r="I123" i="76" s="1"/>
  <c r="J123" i="76" s="1"/>
  <c r="K123" i="76" s="1"/>
  <c r="L123" i="76" s="1"/>
  <c r="M123" i="76" s="1"/>
  <c r="N123" i="76" s="1"/>
  <c r="O123" i="76" s="1"/>
  <c r="P123" i="76" s="1"/>
  <c r="Q123" i="76" s="1"/>
  <c r="R123" i="76" s="1"/>
  <c r="S123" i="76" s="1"/>
  <c r="T123" i="76" s="1"/>
  <c r="U123" i="76" s="1"/>
  <c r="V123" i="76" s="1"/>
  <c r="W123" i="76" s="1"/>
  <c r="X123" i="76" s="1"/>
  <c r="Y123" i="76" s="1"/>
  <c r="Z123" i="76" s="1"/>
  <c r="AA123" i="76" s="1"/>
  <c r="H105" i="76"/>
  <c r="I105" i="76" s="1"/>
  <c r="J105" i="76" s="1"/>
  <c r="K105" i="76" s="1"/>
  <c r="L105" i="76" s="1"/>
  <c r="M105" i="76" s="1"/>
  <c r="N105" i="76" s="1"/>
  <c r="O105" i="76" s="1"/>
  <c r="P105" i="76" s="1"/>
  <c r="Q105" i="76" s="1"/>
  <c r="R105" i="76" s="1"/>
  <c r="S105" i="76" s="1"/>
  <c r="T105" i="76" s="1"/>
  <c r="U105" i="76" s="1"/>
  <c r="V105" i="76" s="1"/>
  <c r="W105" i="76" s="1"/>
  <c r="X105" i="76" s="1"/>
  <c r="Y105" i="76" s="1"/>
  <c r="Z105" i="76" s="1"/>
  <c r="AA105" i="76" s="1"/>
  <c r="Y37" i="76"/>
  <c r="H145" i="76"/>
  <c r="I145" i="76" s="1"/>
  <c r="J145" i="76" s="1"/>
  <c r="K145" i="76" s="1"/>
  <c r="L145" i="76" s="1"/>
  <c r="M145" i="76" s="1"/>
  <c r="N145" i="76" s="1"/>
  <c r="O145" i="76" s="1"/>
  <c r="P145" i="76" s="1"/>
  <c r="Q145" i="76" s="1"/>
  <c r="R145" i="76" s="1"/>
  <c r="S145" i="76" s="1"/>
  <c r="T145" i="76" s="1"/>
  <c r="U145" i="76" s="1"/>
  <c r="V145" i="76" s="1"/>
  <c r="W145" i="76" s="1"/>
  <c r="X145" i="76" s="1"/>
  <c r="Y145" i="76" s="1"/>
  <c r="Z145" i="76" s="1"/>
  <c r="AA145" i="76" s="1"/>
  <c r="W37" i="76"/>
  <c r="H166" i="76"/>
  <c r="I166" i="76" s="1"/>
  <c r="J166" i="76" s="1"/>
  <c r="K166" i="76" s="1"/>
  <c r="L166" i="76" s="1"/>
  <c r="M166" i="76" s="1"/>
  <c r="N166" i="76" s="1"/>
  <c r="O166" i="76" s="1"/>
  <c r="P166" i="76" s="1"/>
  <c r="Q166" i="76" s="1"/>
  <c r="R166" i="76" s="1"/>
  <c r="S166" i="76" s="1"/>
  <c r="T166" i="76" s="1"/>
  <c r="U166" i="76" s="1"/>
  <c r="V166" i="76" s="1"/>
  <c r="W166" i="76" s="1"/>
  <c r="X166" i="76" s="1"/>
  <c r="Y166" i="76" s="1"/>
  <c r="Z166" i="76" s="1"/>
  <c r="AA166" i="76" s="1"/>
  <c r="X37" i="76"/>
  <c r="I301" i="76"/>
  <c r="I269" i="76"/>
  <c r="Q301" i="76"/>
  <c r="Q269" i="76"/>
  <c r="Y301" i="76"/>
  <c r="Y269" i="76"/>
  <c r="S301" i="76"/>
  <c r="S269" i="76"/>
  <c r="K301" i="76"/>
  <c r="K269" i="76"/>
  <c r="AA301" i="76"/>
  <c r="AA269" i="76"/>
  <c r="G16" i="76"/>
  <c r="L301" i="76"/>
  <c r="L269" i="76"/>
  <c r="T301" i="76"/>
  <c r="T269" i="76"/>
  <c r="M301" i="76"/>
  <c r="M269" i="76"/>
  <c r="U301" i="76"/>
  <c r="U269" i="76"/>
  <c r="U85" i="76"/>
  <c r="N301" i="76"/>
  <c r="N269" i="76"/>
  <c r="G50" i="76"/>
  <c r="N68" i="76"/>
  <c r="V68" i="76"/>
  <c r="V85" i="76" s="1"/>
  <c r="N82" i="76"/>
  <c r="V82" i="76"/>
  <c r="I142" i="76"/>
  <c r="I140" i="76"/>
  <c r="I149" i="76" s="1"/>
  <c r="I136" i="76"/>
  <c r="J133" i="76"/>
  <c r="I141" i="76"/>
  <c r="O68" i="76"/>
  <c r="W68" i="76"/>
  <c r="O82" i="76"/>
  <c r="W82" i="76"/>
  <c r="J301" i="76"/>
  <c r="J269" i="76"/>
  <c r="R301" i="76"/>
  <c r="R269" i="76"/>
  <c r="Z301" i="76"/>
  <c r="Z269" i="76"/>
  <c r="H68" i="76"/>
  <c r="P68" i="76"/>
  <c r="P85" i="76" s="1"/>
  <c r="X68" i="76"/>
  <c r="H82" i="76"/>
  <c r="P82" i="76"/>
  <c r="X82" i="76"/>
  <c r="P269" i="76"/>
  <c r="G288" i="76"/>
  <c r="G256" i="76"/>
  <c r="I68" i="76"/>
  <c r="I85" i="76" s="1"/>
  <c r="Q68" i="76"/>
  <c r="Q85" i="76" s="1"/>
  <c r="Y68" i="76"/>
  <c r="Y85" i="76" s="1"/>
  <c r="I82" i="76"/>
  <c r="Q82" i="76"/>
  <c r="Y82" i="76"/>
  <c r="J68" i="76"/>
  <c r="J85" i="76" s="1"/>
  <c r="R68" i="76"/>
  <c r="R85" i="76" s="1"/>
  <c r="Z68" i="76"/>
  <c r="J82" i="76"/>
  <c r="R82" i="76"/>
  <c r="Z82" i="76"/>
  <c r="K68" i="76"/>
  <c r="S68" i="76"/>
  <c r="K82" i="76"/>
  <c r="S82" i="76"/>
  <c r="H162" i="76"/>
  <c r="H163" i="76"/>
  <c r="H161" i="76"/>
  <c r="H157" i="76"/>
  <c r="I154" i="76"/>
  <c r="L68" i="76"/>
  <c r="T68" i="76"/>
  <c r="T85" i="76" s="1"/>
  <c r="L82" i="76"/>
  <c r="T82" i="76"/>
  <c r="G301" i="76"/>
  <c r="G269" i="76"/>
  <c r="O301" i="76"/>
  <c r="O269" i="76"/>
  <c r="W301" i="76"/>
  <c r="W269" i="76"/>
  <c r="H124" i="76"/>
  <c r="I124" i="76" s="1"/>
  <c r="J124" i="76" s="1"/>
  <c r="K124" i="76" s="1"/>
  <c r="L124" i="76" s="1"/>
  <c r="M124" i="76" s="1"/>
  <c r="N124" i="76" s="1"/>
  <c r="O124" i="76" s="1"/>
  <c r="P124" i="76" s="1"/>
  <c r="Q124" i="76" s="1"/>
  <c r="R124" i="76" s="1"/>
  <c r="S124" i="76" s="1"/>
  <c r="T124" i="76" s="1"/>
  <c r="U124" i="76" s="1"/>
  <c r="V124" i="76" s="1"/>
  <c r="W124" i="76" s="1"/>
  <c r="X124" i="76" s="1"/>
  <c r="Y124" i="76" s="1"/>
  <c r="Z124" i="76" s="1"/>
  <c r="AA124" i="76" s="1"/>
  <c r="R306" i="76"/>
  <c r="R274" i="76"/>
  <c r="M68" i="76"/>
  <c r="M82" i="76"/>
  <c r="H301" i="76"/>
  <c r="H269" i="76"/>
  <c r="X301" i="76"/>
  <c r="X269" i="76"/>
  <c r="L227" i="76"/>
  <c r="L240" i="76"/>
  <c r="T240" i="76"/>
  <c r="T227" i="76"/>
  <c r="I302" i="76"/>
  <c r="I270" i="76"/>
  <c r="Q302" i="76"/>
  <c r="Q270" i="76"/>
  <c r="Y302" i="76"/>
  <c r="Y270" i="76"/>
  <c r="H149" i="76"/>
  <c r="J227" i="76"/>
  <c r="J240" i="76"/>
  <c r="R293" i="76"/>
  <c r="R261" i="76"/>
  <c r="Z227" i="76"/>
  <c r="Z240" i="76"/>
  <c r="H185" i="76"/>
  <c r="X240" i="76"/>
  <c r="H306" i="76"/>
  <c r="H274" i="76"/>
  <c r="P240" i="76"/>
  <c r="P227" i="76"/>
  <c r="X293" i="76"/>
  <c r="X261" i="76"/>
  <c r="S302" i="76"/>
  <c r="S270" i="76"/>
  <c r="AA302" i="76"/>
  <c r="AA270" i="76"/>
  <c r="K270" i="76"/>
  <c r="H293" i="76"/>
  <c r="H261" i="76"/>
  <c r="N293" i="76"/>
  <c r="N261" i="76"/>
  <c r="K227" i="76"/>
  <c r="K240" i="76"/>
  <c r="S227" i="76"/>
  <c r="S240" i="76"/>
  <c r="AA227" i="76"/>
  <c r="AA240" i="76"/>
  <c r="O270" i="76"/>
  <c r="M240" i="76"/>
  <c r="M227" i="76"/>
  <c r="U240" i="76"/>
  <c r="U227" i="76"/>
  <c r="G290" i="76"/>
  <c r="G258" i="76"/>
  <c r="G238" i="76"/>
  <c r="V227" i="76"/>
  <c r="N306" i="76"/>
  <c r="N274" i="76"/>
  <c r="V306" i="76"/>
  <c r="AB306" i="76" s="1"/>
  <c r="V274" i="76"/>
  <c r="AB274" i="76" s="1"/>
  <c r="W302" i="76"/>
  <c r="W270" i="76"/>
  <c r="AB240" i="76"/>
  <c r="O240" i="76"/>
  <c r="O227" i="76"/>
  <c r="W240" i="76"/>
  <c r="W227" i="76"/>
  <c r="I227" i="76"/>
  <c r="I240" i="76"/>
  <c r="Q227" i="76"/>
  <c r="Q240" i="76"/>
  <c r="Y227" i="76"/>
  <c r="Y240" i="76"/>
  <c r="G257" i="76"/>
  <c r="G305" i="76"/>
  <c r="G273" i="76"/>
  <c r="H270" i="76"/>
  <c r="P270" i="76"/>
  <c r="J270" i="76"/>
  <c r="R270" i="76"/>
  <c r="G303" i="76"/>
  <c r="G271" i="76"/>
  <c r="G307" i="76"/>
  <c r="G275" i="76"/>
  <c r="L270" i="76"/>
  <c r="T270" i="76"/>
  <c r="G261" i="76"/>
  <c r="M270" i="76"/>
  <c r="U270" i="76"/>
  <c r="G274" i="76"/>
  <c r="G306" i="76"/>
  <c r="N270" i="76"/>
  <c r="V270" i="76"/>
  <c r="P303" i="85" l="1"/>
  <c r="O305" i="85"/>
  <c r="O273" i="85"/>
  <c r="O291" i="85"/>
  <c r="O259" i="85"/>
  <c r="O264" i="85" s="1"/>
  <c r="O265" i="85" s="1"/>
  <c r="O276" i="85" s="1"/>
  <c r="Q187" i="85"/>
  <c r="Q224" i="85" s="1"/>
  <c r="Q258" i="85" s="1"/>
  <c r="Q179" i="85"/>
  <c r="R108" i="85"/>
  <c r="Q239" i="85"/>
  <c r="Q305" i="85" s="1"/>
  <c r="Q225" i="85"/>
  <c r="Q291" i="85" s="1"/>
  <c r="N277" i="85"/>
  <c r="N278" i="85" s="1"/>
  <c r="T141" i="85"/>
  <c r="T150" i="85"/>
  <c r="T136" i="85"/>
  <c r="U133" i="85"/>
  <c r="T142" i="85"/>
  <c r="T140" i="85"/>
  <c r="T185" i="85"/>
  <c r="P290" i="85"/>
  <c r="P258" i="85"/>
  <c r="P238" i="85"/>
  <c r="R177" i="85"/>
  <c r="Q223" i="85"/>
  <c r="Q181" i="85"/>
  <c r="Q237" i="85"/>
  <c r="Q180" i="85"/>
  <c r="S292" i="85"/>
  <c r="S260" i="85"/>
  <c r="S170" i="85"/>
  <c r="T45" i="85"/>
  <c r="T50" i="85" s="1"/>
  <c r="T226" i="85" s="1"/>
  <c r="T42" i="85"/>
  <c r="T222" i="85" s="1"/>
  <c r="S288" i="85"/>
  <c r="S256" i="85"/>
  <c r="V37" i="85"/>
  <c r="U114" i="85"/>
  <c r="U174" i="85" s="1"/>
  <c r="U217" i="85" s="1"/>
  <c r="S171" i="85"/>
  <c r="S100" i="85"/>
  <c r="S98" i="85"/>
  <c r="S94" i="85"/>
  <c r="S175" i="85" s="1"/>
  <c r="T91" i="85"/>
  <c r="S99" i="85"/>
  <c r="T120" i="85"/>
  <c r="T121" i="85"/>
  <c r="T119" i="85"/>
  <c r="T115" i="85"/>
  <c r="U112" i="85"/>
  <c r="T171" i="85"/>
  <c r="T157" i="85"/>
  <c r="U154" i="85"/>
  <c r="T163" i="85"/>
  <c r="T161" i="85"/>
  <c r="T170" i="85" s="1"/>
  <c r="T162" i="85"/>
  <c r="T192" i="85"/>
  <c r="R107" i="85"/>
  <c r="R176" i="85" s="1"/>
  <c r="S128" i="85"/>
  <c r="P239" i="85"/>
  <c r="P225" i="85"/>
  <c r="Q273" i="85"/>
  <c r="J171" i="83"/>
  <c r="J149" i="83"/>
  <c r="K140" i="83"/>
  <c r="K149" i="83" s="1"/>
  <c r="K142" i="83"/>
  <c r="K136" i="83"/>
  <c r="L133" i="83"/>
  <c r="K141" i="83"/>
  <c r="K192" i="83"/>
  <c r="K163" i="83"/>
  <c r="K161" i="83"/>
  <c r="K162" i="83"/>
  <c r="K171" i="83"/>
  <c r="K157" i="83"/>
  <c r="L154" i="83"/>
  <c r="K185" i="83"/>
  <c r="K185" i="82"/>
  <c r="K192" i="82"/>
  <c r="J149" i="82"/>
  <c r="K162" i="82"/>
  <c r="K171" i="82"/>
  <c r="K163" i="82"/>
  <c r="L154" i="82"/>
  <c r="K161" i="82"/>
  <c r="K157" i="82"/>
  <c r="K136" i="82"/>
  <c r="L133" i="82"/>
  <c r="K142" i="82"/>
  <c r="K140" i="82"/>
  <c r="K141" i="82"/>
  <c r="J171" i="82"/>
  <c r="M261" i="74"/>
  <c r="M293" i="74"/>
  <c r="M306" i="74"/>
  <c r="M274" i="74"/>
  <c r="Z293" i="74"/>
  <c r="Z261" i="74"/>
  <c r="T293" i="74"/>
  <c r="T261" i="74"/>
  <c r="Z274" i="74"/>
  <c r="Z306" i="74"/>
  <c r="J157" i="74"/>
  <c r="K154" i="74"/>
  <c r="J162" i="74"/>
  <c r="J161" i="74"/>
  <c r="J170" i="74" s="1"/>
  <c r="J163" i="74"/>
  <c r="W45" i="74"/>
  <c r="W42" i="74"/>
  <c r="W222" i="74" s="1"/>
  <c r="Y293" i="74"/>
  <c r="Y261" i="74"/>
  <c r="I185" i="74"/>
  <c r="R306" i="74"/>
  <c r="R274" i="74"/>
  <c r="O85" i="74"/>
  <c r="G85" i="74"/>
  <c r="Y274" i="74"/>
  <c r="Y306" i="74"/>
  <c r="L293" i="74"/>
  <c r="L261" i="74"/>
  <c r="H170" i="74"/>
  <c r="R293" i="74"/>
  <c r="R261" i="74"/>
  <c r="I170" i="74"/>
  <c r="N85" i="74"/>
  <c r="P85" i="74"/>
  <c r="U85" i="74"/>
  <c r="H149" i="74"/>
  <c r="AA261" i="74"/>
  <c r="AA293" i="74"/>
  <c r="L306" i="74"/>
  <c r="L274" i="74"/>
  <c r="I192" i="74"/>
  <c r="R85" i="74"/>
  <c r="H85" i="74"/>
  <c r="M85" i="74"/>
  <c r="I136" i="74"/>
  <c r="J133" i="74"/>
  <c r="I140" i="74"/>
  <c r="I150" i="74" s="1"/>
  <c r="I142" i="74"/>
  <c r="I141" i="74"/>
  <c r="T85" i="74"/>
  <c r="H274" i="74"/>
  <c r="H306" i="74"/>
  <c r="X85" i="74"/>
  <c r="S293" i="74"/>
  <c r="S261" i="74"/>
  <c r="AA85" i="74"/>
  <c r="L85" i="74"/>
  <c r="P306" i="74"/>
  <c r="P274" i="74"/>
  <c r="X293" i="74"/>
  <c r="X261" i="74"/>
  <c r="X42" i="74"/>
  <c r="X222" i="74" s="1"/>
  <c r="X45" i="74"/>
  <c r="T306" i="74"/>
  <c r="T274" i="74"/>
  <c r="Z288" i="74"/>
  <c r="Z256" i="74"/>
  <c r="O293" i="74"/>
  <c r="O261" i="74"/>
  <c r="K261" i="74"/>
  <c r="K293" i="74"/>
  <c r="N274" i="74"/>
  <c r="N306" i="74"/>
  <c r="H150" i="74"/>
  <c r="W274" i="76"/>
  <c r="W306" i="76"/>
  <c r="K293" i="76"/>
  <c r="K261" i="76"/>
  <c r="J141" i="76"/>
  <c r="J140" i="76"/>
  <c r="J149" i="76" s="1"/>
  <c r="J142" i="76"/>
  <c r="J136" i="76"/>
  <c r="K133" i="76"/>
  <c r="Y42" i="76"/>
  <c r="Y222" i="76" s="1"/>
  <c r="Y45" i="76"/>
  <c r="Y306" i="76"/>
  <c r="Y274" i="76"/>
  <c r="M306" i="76"/>
  <c r="M274" i="76"/>
  <c r="T306" i="76"/>
  <c r="T274" i="76"/>
  <c r="M85" i="76"/>
  <c r="Y293" i="76"/>
  <c r="Y261" i="76"/>
  <c r="O274" i="76"/>
  <c r="O306" i="76"/>
  <c r="V293" i="76"/>
  <c r="V261" i="76"/>
  <c r="Z306" i="76"/>
  <c r="Z274" i="76"/>
  <c r="L306" i="76"/>
  <c r="L274" i="76"/>
  <c r="I171" i="76"/>
  <c r="I157" i="76"/>
  <c r="J154" i="76"/>
  <c r="I163" i="76"/>
  <c r="I162" i="76"/>
  <c r="I161" i="76"/>
  <c r="I170" i="76" s="1"/>
  <c r="W85" i="76"/>
  <c r="N85" i="76"/>
  <c r="W42" i="76"/>
  <c r="W222" i="76" s="1"/>
  <c r="W45" i="76"/>
  <c r="I144" i="76"/>
  <c r="H150" i="76"/>
  <c r="T293" i="76"/>
  <c r="T261" i="76"/>
  <c r="I185" i="76"/>
  <c r="AA306" i="76"/>
  <c r="AA274" i="76"/>
  <c r="O85" i="76"/>
  <c r="X45" i="76"/>
  <c r="X42" i="76"/>
  <c r="X222" i="76" s="1"/>
  <c r="X306" i="76"/>
  <c r="X274" i="76"/>
  <c r="O293" i="76"/>
  <c r="O261" i="76"/>
  <c r="Q306" i="76"/>
  <c r="Q274" i="76"/>
  <c r="G304" i="76"/>
  <c r="G272" i="76"/>
  <c r="Z293" i="76"/>
  <c r="Z261" i="76"/>
  <c r="L293" i="76"/>
  <c r="L261" i="76"/>
  <c r="S85" i="76"/>
  <c r="Q293" i="76"/>
  <c r="Q261" i="76"/>
  <c r="AA293" i="76"/>
  <c r="AA261" i="76"/>
  <c r="P293" i="76"/>
  <c r="P261" i="76"/>
  <c r="H170" i="76"/>
  <c r="K85" i="76"/>
  <c r="X85" i="76"/>
  <c r="I192" i="76"/>
  <c r="S306" i="76"/>
  <c r="S274" i="76"/>
  <c r="AA42" i="76"/>
  <c r="AA222" i="76" s="1"/>
  <c r="AA45" i="76"/>
  <c r="I293" i="76"/>
  <c r="I261" i="76"/>
  <c r="U293" i="76"/>
  <c r="U261" i="76"/>
  <c r="J306" i="76"/>
  <c r="J274" i="76"/>
  <c r="Z85" i="76"/>
  <c r="H85" i="76"/>
  <c r="M293" i="76"/>
  <c r="M261" i="76"/>
  <c r="I306" i="76"/>
  <c r="I274" i="76"/>
  <c r="P306" i="76"/>
  <c r="P274" i="76"/>
  <c r="S293" i="76"/>
  <c r="S261" i="76"/>
  <c r="W293" i="76"/>
  <c r="W261" i="76"/>
  <c r="U306" i="76"/>
  <c r="U274" i="76"/>
  <c r="K306" i="76"/>
  <c r="K274" i="76"/>
  <c r="J293" i="76"/>
  <c r="J261" i="76"/>
  <c r="L85" i="76"/>
  <c r="H171" i="76"/>
  <c r="Z42" i="76"/>
  <c r="Z222" i="76" s="1"/>
  <c r="Z45" i="76"/>
  <c r="O277" i="85" l="1"/>
  <c r="O278" i="85" s="1"/>
  <c r="Q290" i="85"/>
  <c r="Q238" i="85"/>
  <c r="T128" i="85"/>
  <c r="S108" i="85"/>
  <c r="S177" i="85" s="1"/>
  <c r="S180" i="85" s="1"/>
  <c r="Q259" i="85"/>
  <c r="S223" i="85"/>
  <c r="S237" i="85"/>
  <c r="R179" i="85"/>
  <c r="R187" i="85"/>
  <c r="R224" i="85" s="1"/>
  <c r="U141" i="85"/>
  <c r="U136" i="85"/>
  <c r="V133" i="85"/>
  <c r="U142" i="85"/>
  <c r="U140" i="85"/>
  <c r="U120" i="85"/>
  <c r="U121" i="85"/>
  <c r="U119" i="85"/>
  <c r="U115" i="85"/>
  <c r="V112" i="85"/>
  <c r="U192" i="85"/>
  <c r="T100" i="85"/>
  <c r="T98" i="85"/>
  <c r="T94" i="85"/>
  <c r="T175" i="85" s="1"/>
  <c r="U91" i="85"/>
  <c r="T99" i="85"/>
  <c r="P291" i="85"/>
  <c r="P259" i="85"/>
  <c r="P264" i="85" s="1"/>
  <c r="P265" i="85" s="1"/>
  <c r="P276" i="85" s="1"/>
  <c r="P277" i="85" s="1"/>
  <c r="S107" i="85"/>
  <c r="S176" i="85" s="1"/>
  <c r="Q257" i="85"/>
  <c r="Q264" i="85" s="1"/>
  <c r="Q265" i="85" s="1"/>
  <c r="Q276" i="85" s="1"/>
  <c r="Q277" i="85" s="1"/>
  <c r="Q289" i="85"/>
  <c r="Q304" i="85"/>
  <c r="Q272" i="85"/>
  <c r="P305" i="85"/>
  <c r="P273" i="85"/>
  <c r="R223" i="85"/>
  <c r="R181" i="85"/>
  <c r="R237" i="85"/>
  <c r="R180" i="85"/>
  <c r="R200" i="85"/>
  <c r="Q271" i="85"/>
  <c r="Q303" i="85"/>
  <c r="T256" i="85"/>
  <c r="T288" i="85"/>
  <c r="U185" i="85"/>
  <c r="V114" i="85"/>
  <c r="V174" i="85" s="1"/>
  <c r="V217" i="85" s="1"/>
  <c r="U171" i="85"/>
  <c r="U163" i="85"/>
  <c r="U161" i="85"/>
  <c r="U162" i="85"/>
  <c r="U157" i="85"/>
  <c r="V154" i="85"/>
  <c r="T129" i="85"/>
  <c r="T292" i="85"/>
  <c r="T260" i="85"/>
  <c r="P304" i="85"/>
  <c r="P272" i="85"/>
  <c r="T149" i="85"/>
  <c r="U45" i="85"/>
  <c r="U50" i="85" s="1"/>
  <c r="U226" i="85" s="1"/>
  <c r="U42" i="85"/>
  <c r="U222" i="85" s="1"/>
  <c r="K170" i="83"/>
  <c r="L185" i="83"/>
  <c r="K150" i="83"/>
  <c r="L192" i="83"/>
  <c r="L141" i="83"/>
  <c r="L136" i="83"/>
  <c r="M133" i="83"/>
  <c r="L142" i="83"/>
  <c r="L150" i="83" s="1"/>
  <c r="L140" i="83"/>
  <c r="L162" i="83"/>
  <c r="L157" i="83"/>
  <c r="M154" i="83"/>
  <c r="L161" i="83"/>
  <c r="L163" i="83"/>
  <c r="K149" i="82"/>
  <c r="L185" i="82"/>
  <c r="L142" i="82"/>
  <c r="L140" i="82"/>
  <c r="L136" i="82"/>
  <c r="L150" i="82"/>
  <c r="L141" i="82"/>
  <c r="M133" i="82"/>
  <c r="K170" i="82"/>
  <c r="K150" i="82"/>
  <c r="L162" i="82"/>
  <c r="M154" i="82"/>
  <c r="L161" i="82"/>
  <c r="L170" i="82" s="1"/>
  <c r="L157" i="82"/>
  <c r="L163" i="82"/>
  <c r="L192" i="82"/>
  <c r="J136" i="74"/>
  <c r="K133" i="74"/>
  <c r="J142" i="74"/>
  <c r="J140" i="74"/>
  <c r="J150" i="74" s="1"/>
  <c r="J141" i="74"/>
  <c r="K162" i="74"/>
  <c r="K163" i="74"/>
  <c r="K161" i="74"/>
  <c r="K170" i="74" s="1"/>
  <c r="K171" i="74"/>
  <c r="K157" i="74"/>
  <c r="L154" i="74"/>
  <c r="W288" i="74"/>
  <c r="W256" i="74"/>
  <c r="J171" i="74"/>
  <c r="J192" i="74"/>
  <c r="X288" i="74"/>
  <c r="X256" i="74"/>
  <c r="I149" i="74"/>
  <c r="J185" i="74"/>
  <c r="Y288" i="76"/>
  <c r="Y256" i="76"/>
  <c r="K141" i="76"/>
  <c r="K142" i="76"/>
  <c r="K140" i="76"/>
  <c r="L133" i="76"/>
  <c r="K136" i="76"/>
  <c r="W288" i="76"/>
  <c r="W256" i="76"/>
  <c r="J144" i="76"/>
  <c r="I150" i="76"/>
  <c r="J192" i="76"/>
  <c r="J185" i="76"/>
  <c r="Z288" i="76"/>
  <c r="Z256" i="76"/>
  <c r="X288" i="76"/>
  <c r="X256" i="76"/>
  <c r="AA288" i="76"/>
  <c r="AA256" i="76"/>
  <c r="J162" i="76"/>
  <c r="J157" i="76"/>
  <c r="K154" i="76"/>
  <c r="J163" i="76"/>
  <c r="J161" i="76"/>
  <c r="J170" i="76" s="1"/>
  <c r="U129" i="85" l="1"/>
  <c r="T107" i="85"/>
  <c r="T176" i="85" s="1"/>
  <c r="T179" i="85" s="1"/>
  <c r="V42" i="85"/>
  <c r="V222" i="85" s="1"/>
  <c r="V45" i="85"/>
  <c r="S179" i="85"/>
  <c r="S187" i="85"/>
  <c r="S224" i="85" s="1"/>
  <c r="S200" i="85"/>
  <c r="R258" i="85"/>
  <c r="R290" i="85"/>
  <c r="R238" i="85"/>
  <c r="Q278" i="85"/>
  <c r="T108" i="85"/>
  <c r="T177" i="85" s="1"/>
  <c r="U292" i="85"/>
  <c r="U260" i="85"/>
  <c r="V163" i="85"/>
  <c r="V171" i="85" s="1"/>
  <c r="V161" i="85"/>
  <c r="V162" i="85"/>
  <c r="V157" i="85"/>
  <c r="W154" i="85"/>
  <c r="V185" i="85"/>
  <c r="R239" i="85"/>
  <c r="R225" i="85"/>
  <c r="U149" i="85"/>
  <c r="V192" i="85"/>
  <c r="S303" i="85"/>
  <c r="S271" i="85"/>
  <c r="U256" i="85"/>
  <c r="U288" i="85"/>
  <c r="R303" i="85"/>
  <c r="R271" i="85"/>
  <c r="V120" i="85"/>
  <c r="V121" i="85"/>
  <c r="V119" i="85"/>
  <c r="V115" i="85"/>
  <c r="W112" i="85"/>
  <c r="V136" i="85"/>
  <c r="W133" i="85"/>
  <c r="V142" i="85"/>
  <c r="V140" i="85"/>
  <c r="V149" i="85" s="1"/>
  <c r="V141" i="85"/>
  <c r="S181" i="85"/>
  <c r="P278" i="85"/>
  <c r="U170" i="85"/>
  <c r="U94" i="85"/>
  <c r="U175" i="85" s="1"/>
  <c r="V91" i="85"/>
  <c r="U99" i="85"/>
  <c r="U100" i="85"/>
  <c r="U98" i="85"/>
  <c r="S289" i="85"/>
  <c r="S257" i="85"/>
  <c r="R289" i="85"/>
  <c r="R257" i="85"/>
  <c r="U128" i="85"/>
  <c r="U150" i="85"/>
  <c r="L170" i="83"/>
  <c r="M157" i="83"/>
  <c r="N154" i="83"/>
  <c r="M163" i="83"/>
  <c r="M161" i="83"/>
  <c r="M162" i="83"/>
  <c r="L171" i="83"/>
  <c r="M185" i="83"/>
  <c r="M192" i="83"/>
  <c r="M141" i="83"/>
  <c r="M136" i="83"/>
  <c r="N133" i="83"/>
  <c r="M140" i="83"/>
  <c r="M150" i="83" s="1"/>
  <c r="M142" i="83"/>
  <c r="L149" i="83"/>
  <c r="L171" i="82"/>
  <c r="L149" i="82"/>
  <c r="M162" i="82"/>
  <c r="M171" i="82" s="1"/>
  <c r="M157" i="82"/>
  <c r="N154" i="82"/>
  <c r="M161" i="82"/>
  <c r="M163" i="82"/>
  <c r="M185" i="82"/>
  <c r="M142" i="82"/>
  <c r="M140" i="82"/>
  <c r="M149" i="82" s="1"/>
  <c r="M136" i="82"/>
  <c r="M141" i="82"/>
  <c r="N133" i="82"/>
  <c r="M192" i="82"/>
  <c r="K185" i="74"/>
  <c r="L162" i="74"/>
  <c r="L163" i="74"/>
  <c r="L161" i="74"/>
  <c r="L170" i="74" s="1"/>
  <c r="L171" i="74"/>
  <c r="L157" i="74"/>
  <c r="M154" i="74"/>
  <c r="K142" i="74"/>
  <c r="K150" i="74" s="1"/>
  <c r="K140" i="74"/>
  <c r="K141" i="74"/>
  <c r="K136" i="74"/>
  <c r="L133" i="74"/>
  <c r="J149" i="74"/>
  <c r="K192" i="74"/>
  <c r="K192" i="76"/>
  <c r="L142" i="76"/>
  <c r="L136" i="76"/>
  <c r="L141" i="76"/>
  <c r="L140" i="76"/>
  <c r="L149" i="76" s="1"/>
  <c r="M133" i="76"/>
  <c r="K185" i="76"/>
  <c r="K163" i="76"/>
  <c r="K161" i="76"/>
  <c r="K170" i="76" s="1"/>
  <c r="K157" i="76"/>
  <c r="K162" i="76"/>
  <c r="L154" i="76"/>
  <c r="J171" i="76"/>
  <c r="K149" i="76"/>
  <c r="K144" i="76"/>
  <c r="J150" i="76"/>
  <c r="V129" i="85" l="1"/>
  <c r="U107" i="85"/>
  <c r="T187" i="85"/>
  <c r="T224" i="85" s="1"/>
  <c r="U108" i="85"/>
  <c r="T200" i="85"/>
  <c r="R305" i="85"/>
  <c r="R273" i="85"/>
  <c r="S239" i="85"/>
  <c r="S225" i="85"/>
  <c r="U176" i="85"/>
  <c r="V150" i="85"/>
  <c r="W171" i="85"/>
  <c r="W162" i="85"/>
  <c r="W157" i="85"/>
  <c r="X154" i="85"/>
  <c r="W163" i="85"/>
  <c r="W161" i="85"/>
  <c r="T237" i="85"/>
  <c r="T180" i="85"/>
  <c r="T223" i="85"/>
  <c r="T181" i="85"/>
  <c r="W136" i="85"/>
  <c r="X133" i="85"/>
  <c r="W142" i="85"/>
  <c r="W140" i="85"/>
  <c r="W141" i="85"/>
  <c r="W185" i="85"/>
  <c r="W120" i="85"/>
  <c r="W121" i="85"/>
  <c r="W115" i="85"/>
  <c r="X112" i="85"/>
  <c r="W119" i="85"/>
  <c r="W192" i="85"/>
  <c r="V50" i="85"/>
  <c r="V226" i="85" s="1"/>
  <c r="Z50" i="85"/>
  <c r="Z226" i="85" s="1"/>
  <c r="Y50" i="85"/>
  <c r="Y226" i="85" s="1"/>
  <c r="X50" i="85"/>
  <c r="X226" i="85" s="1"/>
  <c r="AA50" i="85"/>
  <c r="AA226" i="85" s="1"/>
  <c r="W50" i="85"/>
  <c r="W226" i="85" s="1"/>
  <c r="S258" i="85"/>
  <c r="S290" i="85"/>
  <c r="S238" i="85"/>
  <c r="U177" i="85"/>
  <c r="T258" i="85"/>
  <c r="T290" i="85"/>
  <c r="T238" i="85"/>
  <c r="R272" i="85"/>
  <c r="R304" i="85"/>
  <c r="V256" i="85"/>
  <c r="V288" i="85"/>
  <c r="V128" i="85"/>
  <c r="V170" i="85"/>
  <c r="V99" i="85"/>
  <c r="V100" i="85"/>
  <c r="V98" i="85"/>
  <c r="V94" i="85"/>
  <c r="V175" i="85" s="1"/>
  <c r="W91" i="85"/>
  <c r="R291" i="85"/>
  <c r="R259" i="85"/>
  <c r="R264" i="85" s="1"/>
  <c r="R265" i="85" s="1"/>
  <c r="R276" i="85" s="1"/>
  <c r="R277" i="85" s="1"/>
  <c r="N192" i="83"/>
  <c r="M170" i="83"/>
  <c r="N171" i="83"/>
  <c r="N157" i="83"/>
  <c r="O154" i="83"/>
  <c r="N163" i="83"/>
  <c r="N161" i="83"/>
  <c r="N162" i="83"/>
  <c r="M149" i="83"/>
  <c r="M171" i="83"/>
  <c r="N140" i="83"/>
  <c r="N136" i="83"/>
  <c r="N142" i="83"/>
  <c r="N141" i="83"/>
  <c r="O133" i="83"/>
  <c r="N185" i="83"/>
  <c r="N162" i="82"/>
  <c r="N157" i="82"/>
  <c r="O154" i="82"/>
  <c r="N161" i="82"/>
  <c r="N170" i="82" s="1"/>
  <c r="N163" i="82"/>
  <c r="N141" i="82"/>
  <c r="N136" i="82"/>
  <c r="N142" i="82"/>
  <c r="O133" i="82"/>
  <c r="N140" i="82"/>
  <c r="N192" i="82"/>
  <c r="M150" i="82"/>
  <c r="N185" i="82"/>
  <c r="M170" i="82"/>
  <c r="K149" i="74"/>
  <c r="M162" i="74"/>
  <c r="M171" i="74"/>
  <c r="M157" i="74"/>
  <c r="N154" i="74"/>
  <c r="M161" i="74"/>
  <c r="M163" i="74"/>
  <c r="L142" i="74"/>
  <c r="L140" i="74"/>
  <c r="L150" i="74" s="1"/>
  <c r="L136" i="74"/>
  <c r="M133" i="74"/>
  <c r="L141" i="74"/>
  <c r="L185" i="74"/>
  <c r="L192" i="74"/>
  <c r="L185" i="76"/>
  <c r="L192" i="76"/>
  <c r="L157" i="76"/>
  <c r="M154" i="76"/>
  <c r="L163" i="76"/>
  <c r="L171" i="76" s="1"/>
  <c r="L161" i="76"/>
  <c r="L162" i="76"/>
  <c r="L144" i="76"/>
  <c r="K150" i="76"/>
  <c r="K171" i="76"/>
  <c r="M141" i="76"/>
  <c r="M136" i="76"/>
  <c r="N133" i="76"/>
  <c r="M142" i="76"/>
  <c r="M140" i="76"/>
  <c r="M149" i="76" s="1"/>
  <c r="W129" i="85" l="1"/>
  <c r="V108" i="85"/>
  <c r="V177" i="85" s="1"/>
  <c r="V223" i="85" s="1"/>
  <c r="T239" i="85"/>
  <c r="T225" i="85"/>
  <c r="R278" i="85"/>
  <c r="X292" i="85"/>
  <c r="X260" i="85"/>
  <c r="X121" i="85"/>
  <c r="X129" i="85" s="1"/>
  <c r="X119" i="85"/>
  <c r="X115" i="85"/>
  <c r="Y112" i="85"/>
  <c r="X120" i="85"/>
  <c r="X185" i="85"/>
  <c r="Y292" i="85"/>
  <c r="Y260" i="85"/>
  <c r="U237" i="85"/>
  <c r="U180" i="85"/>
  <c r="U223" i="85"/>
  <c r="U181" i="85"/>
  <c r="Z292" i="85"/>
  <c r="Z260" i="85"/>
  <c r="S272" i="85"/>
  <c r="S304" i="85"/>
  <c r="V292" i="85"/>
  <c r="V260" i="85"/>
  <c r="W149" i="85"/>
  <c r="T303" i="85"/>
  <c r="T271" i="85"/>
  <c r="W170" i="85"/>
  <c r="U179" i="85"/>
  <c r="U187" i="85"/>
  <c r="U224" i="85" s="1"/>
  <c r="W99" i="85"/>
  <c r="W100" i="85"/>
  <c r="W98" i="85"/>
  <c r="W94" i="85"/>
  <c r="W175" i="85" s="1"/>
  <c r="X91" i="85"/>
  <c r="X192" i="85"/>
  <c r="X142" i="85"/>
  <c r="X140" i="85"/>
  <c r="X149" i="85" s="1"/>
  <c r="X141" i="85"/>
  <c r="X150" i="85"/>
  <c r="X136" i="85"/>
  <c r="Y133" i="85"/>
  <c r="U200" i="85"/>
  <c r="W292" i="85"/>
  <c r="W260" i="85"/>
  <c r="X162" i="85"/>
  <c r="X157" i="85"/>
  <c r="Y154" i="85"/>
  <c r="X163" i="85"/>
  <c r="X161" i="85"/>
  <c r="X170" i="85" s="1"/>
  <c r="S291" i="85"/>
  <c r="S259" i="85"/>
  <c r="S264" i="85" s="1"/>
  <c r="S265" i="85" s="1"/>
  <c r="S276" i="85" s="1"/>
  <c r="S277" i="85" s="1"/>
  <c r="T289" i="85"/>
  <c r="T257" i="85"/>
  <c r="V107" i="85"/>
  <c r="V176" i="85" s="1"/>
  <c r="T272" i="85"/>
  <c r="T304" i="85"/>
  <c r="AA292" i="85"/>
  <c r="AA260" i="85"/>
  <c r="W128" i="85"/>
  <c r="W150" i="85"/>
  <c r="S305" i="85"/>
  <c r="S273" i="85"/>
  <c r="O185" i="83"/>
  <c r="O140" i="83"/>
  <c r="O142" i="83"/>
  <c r="O141" i="83"/>
  <c r="P133" i="83"/>
  <c r="O136" i="83"/>
  <c r="O162" i="83"/>
  <c r="O163" i="83"/>
  <c r="O161" i="83"/>
  <c r="O157" i="83"/>
  <c r="P154" i="83"/>
  <c r="N149" i="83"/>
  <c r="N170" i="83"/>
  <c r="O192" i="83"/>
  <c r="N150" i="83"/>
  <c r="O157" i="82"/>
  <c r="P154" i="82"/>
  <c r="O163" i="82"/>
  <c r="O161" i="82"/>
  <c r="O162" i="82"/>
  <c r="N149" i="82"/>
  <c r="O141" i="82"/>
  <c r="O142" i="82"/>
  <c r="P133" i="82"/>
  <c r="O140" i="82"/>
  <c r="O149" i="82" s="1"/>
  <c r="O136" i="82"/>
  <c r="N171" i="82"/>
  <c r="O185" i="82"/>
  <c r="N150" i="82"/>
  <c r="O192" i="82"/>
  <c r="M185" i="74"/>
  <c r="M150" i="74"/>
  <c r="M136" i="74"/>
  <c r="N133" i="74"/>
  <c r="M142" i="74"/>
  <c r="M141" i="74"/>
  <c r="M140" i="74"/>
  <c r="M149" i="74" s="1"/>
  <c r="M170" i="74"/>
  <c r="N171" i="74"/>
  <c r="N157" i="74"/>
  <c r="O154" i="74"/>
  <c r="N161" i="74"/>
  <c r="N163" i="74"/>
  <c r="N162" i="74"/>
  <c r="L149" i="74"/>
  <c r="M192" i="74"/>
  <c r="M192" i="76"/>
  <c r="M144" i="76"/>
  <c r="L150" i="76"/>
  <c r="N142" i="76"/>
  <c r="N141" i="76"/>
  <c r="O133" i="76"/>
  <c r="N140" i="76"/>
  <c r="N149" i="76" s="1"/>
  <c r="N136" i="76"/>
  <c r="L170" i="76"/>
  <c r="M185" i="76"/>
  <c r="M163" i="76"/>
  <c r="M157" i="76"/>
  <c r="M162" i="76"/>
  <c r="N154" i="76"/>
  <c r="M161" i="76"/>
  <c r="V180" i="85" l="1"/>
  <c r="V237" i="85"/>
  <c r="V181" i="85"/>
  <c r="W107" i="85"/>
  <c r="T291" i="85"/>
  <c r="T259" i="85"/>
  <c r="T264" i="85"/>
  <c r="T265" i="85" s="1"/>
  <c r="T276" i="85" s="1"/>
  <c r="T277" i="85" s="1"/>
  <c r="T273" i="85"/>
  <c r="T305" i="85"/>
  <c r="S278" i="85"/>
  <c r="U239" i="85"/>
  <c r="U225" i="85"/>
  <c r="Y192" i="85"/>
  <c r="V289" i="85"/>
  <c r="V257" i="85"/>
  <c r="Y142" i="85"/>
  <c r="Y140" i="85"/>
  <c r="Y141" i="85"/>
  <c r="Y136" i="85"/>
  <c r="Z133" i="85"/>
  <c r="Y150" i="85"/>
  <c r="X99" i="85"/>
  <c r="X100" i="85"/>
  <c r="X98" i="85"/>
  <c r="X94" i="85"/>
  <c r="X175" i="85" s="1"/>
  <c r="Y91" i="85"/>
  <c r="V303" i="85"/>
  <c r="V271" i="85"/>
  <c r="Y185" i="85"/>
  <c r="V179" i="85"/>
  <c r="V187" i="85"/>
  <c r="V224" i="85" s="1"/>
  <c r="Y162" i="85"/>
  <c r="Y171" i="85" s="1"/>
  <c r="Y157" i="85"/>
  <c r="Z154" i="85"/>
  <c r="Y163" i="85"/>
  <c r="Y161" i="85"/>
  <c r="W176" i="85"/>
  <c r="U290" i="85"/>
  <c r="U258" i="85"/>
  <c r="U238" i="85"/>
  <c r="V200" i="85"/>
  <c r="U289" i="85"/>
  <c r="U257" i="85"/>
  <c r="Y121" i="85"/>
  <c r="Y119" i="85"/>
  <c r="Y120" i="85"/>
  <c r="Y115" i="85"/>
  <c r="Z112" i="85"/>
  <c r="X171" i="85"/>
  <c r="W108" i="85"/>
  <c r="W177" i="85" s="1"/>
  <c r="U303" i="85"/>
  <c r="U271" i="85"/>
  <c r="X128" i="85"/>
  <c r="P163" i="83"/>
  <c r="P161" i="83"/>
  <c r="P171" i="83" s="1"/>
  <c r="P157" i="83"/>
  <c r="Q154" i="83"/>
  <c r="P162" i="83"/>
  <c r="P142" i="83"/>
  <c r="P140" i="83"/>
  <c r="P141" i="83"/>
  <c r="P136" i="83"/>
  <c r="Q133" i="83"/>
  <c r="P192" i="83"/>
  <c r="O170" i="83"/>
  <c r="O149" i="83"/>
  <c r="O171" i="83"/>
  <c r="O150" i="83"/>
  <c r="P185" i="83"/>
  <c r="P141" i="82"/>
  <c r="P136" i="82"/>
  <c r="Q133" i="82"/>
  <c r="P142" i="82"/>
  <c r="P140" i="82"/>
  <c r="O170" i="82"/>
  <c r="O150" i="82"/>
  <c r="P171" i="82"/>
  <c r="P157" i="82"/>
  <c r="Q154" i="82"/>
  <c r="P163" i="82"/>
  <c r="P161" i="82"/>
  <c r="P162" i="82"/>
  <c r="P185" i="82"/>
  <c r="O171" i="82"/>
  <c r="P192" i="82"/>
  <c r="O157" i="74"/>
  <c r="P154" i="74"/>
  <c r="O163" i="74"/>
  <c r="O161" i="74"/>
  <c r="O162" i="74"/>
  <c r="N192" i="74"/>
  <c r="N185" i="74"/>
  <c r="N141" i="74"/>
  <c r="N142" i="74"/>
  <c r="N140" i="74"/>
  <c r="N149" i="74" s="1"/>
  <c r="N150" i="74"/>
  <c r="N136" i="74"/>
  <c r="O133" i="74"/>
  <c r="N170" i="74"/>
  <c r="N144" i="76"/>
  <c r="M150" i="76"/>
  <c r="M170" i="76"/>
  <c r="N163" i="76"/>
  <c r="N161" i="76"/>
  <c r="N171" i="76"/>
  <c r="N157" i="76"/>
  <c r="O154" i="76"/>
  <c r="N162" i="76"/>
  <c r="N185" i="76"/>
  <c r="N192" i="76"/>
  <c r="O136" i="76"/>
  <c r="P133" i="76"/>
  <c r="O142" i="76"/>
  <c r="O140" i="76"/>
  <c r="O141" i="76"/>
  <c r="M171" i="76"/>
  <c r="T278" i="85" l="1"/>
  <c r="X108" i="85"/>
  <c r="X177" i="85" s="1"/>
  <c r="X180" i="85" s="1"/>
  <c r="V239" i="85"/>
  <c r="V225" i="85"/>
  <c r="Y128" i="85"/>
  <c r="V290" i="85"/>
  <c r="V238" i="85"/>
  <c r="V258" i="85"/>
  <c r="Z141" i="85"/>
  <c r="Z136" i="85"/>
  <c r="AA133" i="85"/>
  <c r="Z142" i="85"/>
  <c r="Z140" i="85"/>
  <c r="Z150" i="85" s="1"/>
  <c r="U304" i="85"/>
  <c r="U272" i="85"/>
  <c r="W180" i="85"/>
  <c r="W237" i="85"/>
  <c r="W223" i="85"/>
  <c r="W181" i="85"/>
  <c r="Y129" i="85"/>
  <c r="W179" i="85"/>
  <c r="W187" i="85"/>
  <c r="W224" i="85" s="1"/>
  <c r="W200" i="85"/>
  <c r="Y100" i="85"/>
  <c r="Y98" i="85"/>
  <c r="Y94" i="85"/>
  <c r="Y175" i="85" s="1"/>
  <c r="Z91" i="85"/>
  <c r="Y99" i="85"/>
  <c r="Z192" i="85"/>
  <c r="Y170" i="85"/>
  <c r="Z185" i="85"/>
  <c r="X107" i="85"/>
  <c r="X176" i="85" s="1"/>
  <c r="X181" i="85" s="1"/>
  <c r="Y149" i="85"/>
  <c r="U259" i="85"/>
  <c r="U264" i="85" s="1"/>
  <c r="U265" i="85" s="1"/>
  <c r="U276" i="85" s="1"/>
  <c r="U277" i="85" s="1"/>
  <c r="U291" i="85"/>
  <c r="Z121" i="85"/>
  <c r="Z119" i="85"/>
  <c r="Z120" i="85"/>
  <c r="Z115" i="85"/>
  <c r="AA112" i="85"/>
  <c r="Z162" i="85"/>
  <c r="Z157" i="85"/>
  <c r="AA154" i="85"/>
  <c r="Z163" i="85"/>
  <c r="Z161" i="85"/>
  <c r="Z170" i="85" s="1"/>
  <c r="Z171" i="85"/>
  <c r="U273" i="85"/>
  <c r="U305" i="85"/>
  <c r="Q157" i="83"/>
  <c r="R154" i="83"/>
  <c r="Q162" i="83"/>
  <c r="Q171" i="83" s="1"/>
  <c r="Q163" i="83"/>
  <c r="Q161" i="83"/>
  <c r="Q142" i="83"/>
  <c r="Q136" i="83"/>
  <c r="R133" i="83"/>
  <c r="Q141" i="83"/>
  <c r="Q140" i="83"/>
  <c r="Q149" i="83" s="1"/>
  <c r="P170" i="83"/>
  <c r="P149" i="83"/>
  <c r="Q185" i="83"/>
  <c r="Q192" i="83"/>
  <c r="P150" i="83"/>
  <c r="P149" i="82"/>
  <c r="Q141" i="82"/>
  <c r="Q136" i="82"/>
  <c r="R133" i="82"/>
  <c r="Q140" i="82"/>
  <c r="Q142" i="82"/>
  <c r="P170" i="82"/>
  <c r="Q185" i="82"/>
  <c r="P150" i="82"/>
  <c r="Q192" i="82"/>
  <c r="Q163" i="82"/>
  <c r="Q161" i="82"/>
  <c r="Q170" i="82" s="1"/>
  <c r="R154" i="82"/>
  <c r="Q157" i="82"/>
  <c r="Q162" i="82"/>
  <c r="O185" i="74"/>
  <c r="O170" i="74"/>
  <c r="O192" i="74"/>
  <c r="P163" i="74"/>
  <c r="P171" i="74" s="1"/>
  <c r="P161" i="74"/>
  <c r="P162" i="74"/>
  <c r="P157" i="74"/>
  <c r="Q154" i="74"/>
  <c r="O171" i="74"/>
  <c r="O141" i="74"/>
  <c r="O142" i="74"/>
  <c r="O140" i="74"/>
  <c r="O150" i="74"/>
  <c r="O136" i="74"/>
  <c r="P133" i="74"/>
  <c r="O149" i="76"/>
  <c r="O162" i="76"/>
  <c r="P154" i="76"/>
  <c r="O161" i="76"/>
  <c r="O170" i="76" s="1"/>
  <c r="O157" i="76"/>
  <c r="O163" i="76"/>
  <c r="P142" i="76"/>
  <c r="P141" i="76"/>
  <c r="Q133" i="76"/>
  <c r="P136" i="76"/>
  <c r="P140" i="76"/>
  <c r="O185" i="76"/>
  <c r="O192" i="76"/>
  <c r="N170" i="76"/>
  <c r="O144" i="76"/>
  <c r="N150" i="76"/>
  <c r="X223" i="85" l="1"/>
  <c r="X237" i="85"/>
  <c r="U278" i="85"/>
  <c r="Z128" i="85"/>
  <c r="AA185" i="85"/>
  <c r="Y107" i="85"/>
  <c r="Y176" i="85" s="1"/>
  <c r="W289" i="85"/>
  <c r="W257" i="85"/>
  <c r="AA141" i="85"/>
  <c r="AA136" i="85"/>
  <c r="AA142" i="85"/>
  <c r="AA140" i="85"/>
  <c r="V305" i="85"/>
  <c r="V273" i="85"/>
  <c r="V259" i="85"/>
  <c r="V264" i="85" s="1"/>
  <c r="V265" i="85" s="1"/>
  <c r="V276" i="85" s="1"/>
  <c r="V291" i="85"/>
  <c r="W303" i="85"/>
  <c r="W271" i="85"/>
  <c r="Z129" i="85"/>
  <c r="Y108" i="85"/>
  <c r="Y177" i="85" s="1"/>
  <c r="X200" i="85"/>
  <c r="V304" i="85"/>
  <c r="AB238" i="85"/>
  <c r="V272" i="85"/>
  <c r="AA171" i="85"/>
  <c r="AA157" i="85"/>
  <c r="AA163" i="85"/>
  <c r="AA161" i="85"/>
  <c r="AA162" i="85"/>
  <c r="AA192" i="85"/>
  <c r="W239" i="85"/>
  <c r="W225" i="85"/>
  <c r="W290" i="85"/>
  <c r="W238" i="85"/>
  <c r="W258" i="85"/>
  <c r="AA121" i="85"/>
  <c r="AA119" i="85"/>
  <c r="AA120" i="85"/>
  <c r="AA115" i="85"/>
  <c r="X289" i="85"/>
  <c r="X257" i="85"/>
  <c r="X179" i="85"/>
  <c r="X187" i="85"/>
  <c r="X224" i="85" s="1"/>
  <c r="Z100" i="85"/>
  <c r="Z98" i="85"/>
  <c r="Z94" i="85"/>
  <c r="Z175" i="85" s="1"/>
  <c r="AA91" i="85"/>
  <c r="Z99" i="85"/>
  <c r="Z149" i="85"/>
  <c r="X271" i="85"/>
  <c r="X303" i="85"/>
  <c r="R162" i="83"/>
  <c r="R157" i="83"/>
  <c r="S154" i="83"/>
  <c r="R161" i="83"/>
  <c r="R170" i="83" s="1"/>
  <c r="R163" i="83"/>
  <c r="R142" i="83"/>
  <c r="R150" i="83" s="1"/>
  <c r="R141" i="83"/>
  <c r="R140" i="83"/>
  <c r="S133" i="83"/>
  <c r="R136" i="83"/>
  <c r="R192" i="83"/>
  <c r="Q150" i="83"/>
  <c r="R185" i="83"/>
  <c r="Q170" i="83"/>
  <c r="R185" i="82"/>
  <c r="Q149" i="82"/>
  <c r="R136" i="82"/>
  <c r="S133" i="82"/>
  <c r="R142" i="82"/>
  <c r="R140" i="82"/>
  <c r="R149" i="82" s="1"/>
  <c r="R141" i="82"/>
  <c r="Q150" i="82"/>
  <c r="R192" i="82"/>
  <c r="R163" i="82"/>
  <c r="R161" i="82"/>
  <c r="S154" i="82"/>
  <c r="R157" i="82"/>
  <c r="R162" i="82"/>
  <c r="R171" i="82"/>
  <c r="Q171" i="82"/>
  <c r="O149" i="74"/>
  <c r="Q163" i="74"/>
  <c r="Q161" i="74"/>
  <c r="Q170" i="74" s="1"/>
  <c r="Q157" i="74"/>
  <c r="R154" i="74"/>
  <c r="Q162" i="74"/>
  <c r="P185" i="74"/>
  <c r="P192" i="74"/>
  <c r="P141" i="74"/>
  <c r="P150" i="74"/>
  <c r="P136" i="74"/>
  <c r="Q133" i="74"/>
  <c r="P142" i="74"/>
  <c r="P140" i="74"/>
  <c r="P149" i="74" s="1"/>
  <c r="P170" i="74"/>
  <c r="Q142" i="76"/>
  <c r="Q140" i="76"/>
  <c r="Q136" i="76"/>
  <c r="R133" i="76"/>
  <c r="Q141" i="76"/>
  <c r="P185" i="76"/>
  <c r="P162" i="76"/>
  <c r="P163" i="76"/>
  <c r="P161" i="76"/>
  <c r="P170" i="76" s="1"/>
  <c r="Q154" i="76"/>
  <c r="P157" i="76"/>
  <c r="P192" i="76"/>
  <c r="P144" i="76"/>
  <c r="O150" i="76"/>
  <c r="O171" i="76"/>
  <c r="P149" i="76"/>
  <c r="AA128" i="85" l="1"/>
  <c r="Z108" i="85"/>
  <c r="Z177" i="85" s="1"/>
  <c r="Z180" i="85" s="1"/>
  <c r="Z237" i="85"/>
  <c r="V277" i="85"/>
  <c r="W305" i="85"/>
  <c r="W273" i="85"/>
  <c r="AA149" i="85"/>
  <c r="Y179" i="85"/>
  <c r="Y187" i="85"/>
  <c r="Y224" i="85" s="1"/>
  <c r="X290" i="85"/>
  <c r="X258" i="85"/>
  <c r="X238" i="85"/>
  <c r="AA129" i="85"/>
  <c r="AB304" i="85"/>
  <c r="AA150" i="85"/>
  <c r="AB272" i="85"/>
  <c r="AA170" i="85"/>
  <c r="X239" i="85"/>
  <c r="X225" i="85"/>
  <c r="W304" i="85"/>
  <c r="W272" i="85"/>
  <c r="Y223" i="85"/>
  <c r="Y181" i="85"/>
  <c r="Y237" i="85"/>
  <c r="Y180" i="85"/>
  <c r="AA100" i="85"/>
  <c r="AA98" i="85"/>
  <c r="AA94" i="85"/>
  <c r="AA175" i="85" s="1"/>
  <c r="AA99" i="85"/>
  <c r="W264" i="85"/>
  <c r="W265" i="85" s="1"/>
  <c r="W276" i="85" s="1"/>
  <c r="W277" i="85" s="1"/>
  <c r="Y200" i="85"/>
  <c r="Z107" i="85"/>
  <c r="Z176" i="85" s="1"/>
  <c r="W259" i="85"/>
  <c r="W291" i="85"/>
  <c r="S192" i="83"/>
  <c r="S163" i="83"/>
  <c r="S171" i="83" s="1"/>
  <c r="S161" i="83"/>
  <c r="S162" i="83"/>
  <c r="S157" i="83"/>
  <c r="T154" i="83"/>
  <c r="S185" i="83"/>
  <c r="S141" i="83"/>
  <c r="S140" i="83"/>
  <c r="S149" i="83" s="1"/>
  <c r="T133" i="83"/>
  <c r="S142" i="83"/>
  <c r="S136" i="83"/>
  <c r="R149" i="83"/>
  <c r="R171" i="83"/>
  <c r="S162" i="82"/>
  <c r="S161" i="82"/>
  <c r="S157" i="82"/>
  <c r="S163" i="82"/>
  <c r="S171" i="82" s="1"/>
  <c r="T154" i="82"/>
  <c r="S185" i="82"/>
  <c r="R170" i="82"/>
  <c r="S150" i="82"/>
  <c r="S136" i="82"/>
  <c r="T133" i="82"/>
  <c r="S142" i="82"/>
  <c r="S140" i="82"/>
  <c r="S141" i="82"/>
  <c r="S192" i="82"/>
  <c r="R150" i="82"/>
  <c r="Q192" i="74"/>
  <c r="Q171" i="74"/>
  <c r="Q185" i="74"/>
  <c r="Q150" i="74"/>
  <c r="Q136" i="74"/>
  <c r="R133" i="74"/>
  <c r="Q140" i="74"/>
  <c r="Q142" i="74"/>
  <c r="Q141" i="74"/>
  <c r="R171" i="74"/>
  <c r="R157" i="74"/>
  <c r="S154" i="74"/>
  <c r="R163" i="74"/>
  <c r="R162" i="74"/>
  <c r="R161" i="74"/>
  <c r="R170" i="74" s="1"/>
  <c r="Q192" i="76"/>
  <c r="Q185" i="76"/>
  <c r="P171" i="76"/>
  <c r="Q157" i="76"/>
  <c r="R154" i="76"/>
  <c r="Q162" i="76"/>
  <c r="Q161" i="76"/>
  <c r="Q170" i="76" s="1"/>
  <c r="Q163" i="76"/>
  <c r="R141" i="76"/>
  <c r="S133" i="76"/>
  <c r="R136" i="76"/>
  <c r="R140" i="76"/>
  <c r="R142" i="76"/>
  <c r="Q144" i="76"/>
  <c r="P150" i="76"/>
  <c r="Q149" i="76"/>
  <c r="Z223" i="85" l="1"/>
  <c r="AA107" i="85"/>
  <c r="AA176" i="85" s="1"/>
  <c r="AA179" i="85" s="1"/>
  <c r="AA108" i="85"/>
  <c r="AA177" i="85" s="1"/>
  <c r="AA223" i="85" s="1"/>
  <c r="X304" i="85"/>
  <c r="X272" i="85"/>
  <c r="AA200" i="85"/>
  <c r="X291" i="85"/>
  <c r="X259" i="85"/>
  <c r="X264" i="85" s="1"/>
  <c r="X265" i="85" s="1"/>
  <c r="X276" i="85" s="1"/>
  <c r="X277" i="85" s="1"/>
  <c r="Y239" i="85"/>
  <c r="Y225" i="85"/>
  <c r="X305" i="85"/>
  <c r="X273" i="85"/>
  <c r="Y290" i="85"/>
  <c r="Y258" i="85"/>
  <c r="Y238" i="85"/>
  <c r="Y271" i="85"/>
  <c r="Y303" i="85"/>
  <c r="Z271" i="85"/>
  <c r="Z303" i="85"/>
  <c r="Z179" i="85"/>
  <c r="Z187" i="85"/>
  <c r="Z224" i="85" s="1"/>
  <c r="Z200" i="85"/>
  <c r="Y289" i="85"/>
  <c r="Y257" i="85"/>
  <c r="Z181" i="85"/>
  <c r="W278" i="85"/>
  <c r="V278" i="85"/>
  <c r="AA187" i="85"/>
  <c r="AA224" i="85" s="1"/>
  <c r="Z289" i="85"/>
  <c r="Z257" i="85"/>
  <c r="T162" i="83"/>
  <c r="T157" i="83"/>
  <c r="U154" i="83"/>
  <c r="T161" i="83"/>
  <c r="T163" i="83"/>
  <c r="T141" i="83"/>
  <c r="T136" i="83"/>
  <c r="U133" i="83"/>
  <c r="T140" i="83"/>
  <c r="T142" i="83"/>
  <c r="T192" i="83"/>
  <c r="S150" i="83"/>
  <c r="S170" i="83"/>
  <c r="T185" i="83"/>
  <c r="S170" i="82"/>
  <c r="S149" i="82"/>
  <c r="T185" i="82"/>
  <c r="T142" i="82"/>
  <c r="T140" i="82"/>
  <c r="T150" i="82" s="1"/>
  <c r="T141" i="82"/>
  <c r="U133" i="82"/>
  <c r="T136" i="82"/>
  <c r="T192" i="82"/>
  <c r="T162" i="82"/>
  <c r="T171" i="82"/>
  <c r="T157" i="82"/>
  <c r="T163" i="82"/>
  <c r="T161" i="82"/>
  <c r="U154" i="82"/>
  <c r="R192" i="74"/>
  <c r="R185" i="74"/>
  <c r="Q149" i="74"/>
  <c r="R136" i="74"/>
  <c r="S133" i="74"/>
  <c r="R142" i="74"/>
  <c r="R140" i="74"/>
  <c r="R141" i="74"/>
  <c r="S162" i="74"/>
  <c r="S163" i="74"/>
  <c r="S161" i="74"/>
  <c r="S170" i="74" s="1"/>
  <c r="S171" i="74"/>
  <c r="S157" i="74"/>
  <c r="T154" i="74"/>
  <c r="R185" i="76"/>
  <c r="R149" i="76"/>
  <c r="R162" i="76"/>
  <c r="R157" i="76"/>
  <c r="S154" i="76"/>
  <c r="R161" i="76"/>
  <c r="R171" i="76" s="1"/>
  <c r="R163" i="76"/>
  <c r="Q171" i="76"/>
  <c r="R192" i="76"/>
  <c r="S141" i="76"/>
  <c r="S142" i="76"/>
  <c r="S140" i="76"/>
  <c r="T133" i="76"/>
  <c r="S136" i="76"/>
  <c r="R144" i="76"/>
  <c r="Q150" i="76"/>
  <c r="AA237" i="85" l="1"/>
  <c r="AB237" i="85" s="1"/>
  <c r="AA180" i="85"/>
  <c r="AA181" i="85"/>
  <c r="Y291" i="85"/>
  <c r="Y259" i="85"/>
  <c r="Y264" i="85"/>
  <c r="Y265" i="85" s="1"/>
  <c r="Y276" i="85" s="1"/>
  <c r="Y277" i="85" s="1"/>
  <c r="X278" i="85"/>
  <c r="Y305" i="85"/>
  <c r="Y273" i="85"/>
  <c r="AA303" i="85"/>
  <c r="AA271" i="85"/>
  <c r="AA290" i="85"/>
  <c r="AA258" i="85"/>
  <c r="AA238" i="85"/>
  <c r="Z239" i="85"/>
  <c r="Z225" i="85"/>
  <c r="Z290" i="85"/>
  <c r="Z258" i="85"/>
  <c r="Z238" i="85"/>
  <c r="Y304" i="85"/>
  <c r="Y272" i="85"/>
  <c r="AA289" i="85"/>
  <c r="AA257" i="85"/>
  <c r="AA239" i="85"/>
  <c r="AA225" i="85"/>
  <c r="U141" i="83"/>
  <c r="U136" i="83"/>
  <c r="V133" i="83"/>
  <c r="U142" i="83"/>
  <c r="U140" i="83"/>
  <c r="U150" i="83"/>
  <c r="U192" i="83"/>
  <c r="T149" i="83"/>
  <c r="T170" i="83"/>
  <c r="U185" i="83"/>
  <c r="T150" i="83"/>
  <c r="U157" i="83"/>
  <c r="V154" i="83"/>
  <c r="U163" i="83"/>
  <c r="U161" i="83"/>
  <c r="U170" i="83" s="1"/>
  <c r="U162" i="83"/>
  <c r="T171" i="83"/>
  <c r="U142" i="82"/>
  <c r="U140" i="82"/>
  <c r="U136" i="82"/>
  <c r="U141" i="82"/>
  <c r="U150" i="82" s="1"/>
  <c r="V133" i="82"/>
  <c r="U192" i="82"/>
  <c r="T149" i="82"/>
  <c r="U162" i="82"/>
  <c r="U157" i="82"/>
  <c r="V154" i="82"/>
  <c r="U163" i="82"/>
  <c r="U161" i="82"/>
  <c r="U185" i="82"/>
  <c r="T170" i="82"/>
  <c r="S192" i="74"/>
  <c r="S142" i="74"/>
  <c r="S140" i="74"/>
  <c r="S141" i="74"/>
  <c r="S150" i="74" s="1"/>
  <c r="S136" i="74"/>
  <c r="T133" i="74"/>
  <c r="R149" i="74"/>
  <c r="R150" i="74"/>
  <c r="S185" i="74"/>
  <c r="T162" i="74"/>
  <c r="T171" i="74" s="1"/>
  <c r="T163" i="74"/>
  <c r="T161" i="74"/>
  <c r="T157" i="74"/>
  <c r="U154" i="74"/>
  <c r="S144" i="76"/>
  <c r="R150" i="76"/>
  <c r="T141" i="76"/>
  <c r="T136" i="76"/>
  <c r="T140" i="76"/>
  <c r="T149" i="76" s="1"/>
  <c r="T142" i="76"/>
  <c r="U133" i="76"/>
  <c r="S149" i="76"/>
  <c r="R170" i="76"/>
  <c r="S185" i="76"/>
  <c r="S192" i="76"/>
  <c r="S171" i="76"/>
  <c r="S163" i="76"/>
  <c r="S161" i="76"/>
  <c r="S170" i="76" s="1"/>
  <c r="T154" i="76"/>
  <c r="S157" i="76"/>
  <c r="S162" i="76"/>
  <c r="Y278" i="85" l="1"/>
  <c r="Z291" i="85"/>
  <c r="Z259" i="85"/>
  <c r="Z264" i="85" s="1"/>
  <c r="Z265" i="85" s="1"/>
  <c r="Z276" i="85" s="1"/>
  <c r="Z277" i="85" s="1"/>
  <c r="AB271" i="85"/>
  <c r="Z305" i="85"/>
  <c r="Z273" i="85"/>
  <c r="AB303" i="85"/>
  <c r="AA272" i="85"/>
  <c r="AA304" i="85"/>
  <c r="AA291" i="85"/>
  <c r="AA259" i="85"/>
  <c r="AA264" i="85" s="1"/>
  <c r="AA265" i="85" s="1"/>
  <c r="AA276" i="85" s="1"/>
  <c r="Z272" i="85"/>
  <c r="Z304" i="85"/>
  <c r="AA305" i="85"/>
  <c r="AB305" i="85" s="1"/>
  <c r="AA273" i="85"/>
  <c r="AB273" i="85" s="1"/>
  <c r="AB239" i="85"/>
  <c r="V157" i="83"/>
  <c r="W154" i="83"/>
  <c r="V163" i="83"/>
  <c r="V161" i="83"/>
  <c r="V170" i="83" s="1"/>
  <c r="V162" i="83"/>
  <c r="U149" i="83"/>
  <c r="U171" i="83"/>
  <c r="V142" i="83"/>
  <c r="V150" i="83" s="1"/>
  <c r="V141" i="83"/>
  <c r="W133" i="83"/>
  <c r="V140" i="83"/>
  <c r="V136" i="83"/>
  <c r="V185" i="83"/>
  <c r="V192" i="83"/>
  <c r="V141" i="82"/>
  <c r="V150" i="82" s="1"/>
  <c r="V140" i="82"/>
  <c r="V136" i="82"/>
  <c r="W133" i="82"/>
  <c r="V142" i="82"/>
  <c r="U170" i="82"/>
  <c r="V185" i="82"/>
  <c r="V162" i="82"/>
  <c r="V157" i="82"/>
  <c r="W154" i="82"/>
  <c r="V163" i="82"/>
  <c r="V161" i="82"/>
  <c r="V170" i="82" s="1"/>
  <c r="U149" i="82"/>
  <c r="V192" i="82"/>
  <c r="U171" i="82"/>
  <c r="U162" i="74"/>
  <c r="U171" i="74" s="1"/>
  <c r="U157" i="74"/>
  <c r="V154" i="74"/>
  <c r="U163" i="74"/>
  <c r="U161" i="74"/>
  <c r="T142" i="74"/>
  <c r="T140" i="74"/>
  <c r="T150" i="74" s="1"/>
  <c r="T136" i="74"/>
  <c r="U133" i="74"/>
  <c r="T141" i="74"/>
  <c r="T185" i="74"/>
  <c r="S149" i="74"/>
  <c r="T192" i="74"/>
  <c r="T170" i="74"/>
  <c r="T192" i="76"/>
  <c r="T157" i="76"/>
  <c r="U154" i="76"/>
  <c r="T163" i="76"/>
  <c r="T161" i="76"/>
  <c r="T162" i="76"/>
  <c r="T171" i="76"/>
  <c r="T144" i="76"/>
  <c r="S150" i="76"/>
  <c r="T185" i="76"/>
  <c r="U141" i="76"/>
  <c r="U136" i="76"/>
  <c r="V133" i="76"/>
  <c r="U140" i="76"/>
  <c r="U142" i="76"/>
  <c r="AA277" i="85" l="1"/>
  <c r="AB277" i="85" s="1"/>
  <c r="AB276" i="85"/>
  <c r="Z278" i="85"/>
  <c r="W185" i="83"/>
  <c r="W162" i="83"/>
  <c r="W163" i="83"/>
  <c r="W161" i="83"/>
  <c r="W170" i="83" s="1"/>
  <c r="W157" i="83"/>
  <c r="X154" i="83"/>
  <c r="W192" i="83"/>
  <c r="V171" i="83"/>
  <c r="V149" i="83"/>
  <c r="W150" i="83"/>
  <c r="W140" i="83"/>
  <c r="W149" i="83" s="1"/>
  <c r="W142" i="83"/>
  <c r="W141" i="83"/>
  <c r="W136" i="83"/>
  <c r="X133" i="83"/>
  <c r="W171" i="82"/>
  <c r="W157" i="82"/>
  <c r="X154" i="82"/>
  <c r="W163" i="82"/>
  <c r="W161" i="82"/>
  <c r="W162" i="82"/>
  <c r="W141" i="82"/>
  <c r="W140" i="82"/>
  <c r="W149" i="82" s="1"/>
  <c r="W136" i="82"/>
  <c r="W142" i="82"/>
  <c r="X133" i="82"/>
  <c r="W185" i="82"/>
  <c r="W192" i="82"/>
  <c r="V171" i="82"/>
  <c r="V149" i="82"/>
  <c r="V157" i="74"/>
  <c r="W154" i="74"/>
  <c r="V161" i="74"/>
  <c r="V170" i="74" s="1"/>
  <c r="V163" i="74"/>
  <c r="V162" i="74"/>
  <c r="U185" i="74"/>
  <c r="T149" i="74"/>
  <c r="U170" i="74"/>
  <c r="U150" i="74"/>
  <c r="U136" i="74"/>
  <c r="V133" i="74"/>
  <c r="U141" i="74"/>
  <c r="U140" i="74"/>
  <c r="U149" i="74" s="1"/>
  <c r="U142" i="74"/>
  <c r="U192" i="74"/>
  <c r="T170" i="76"/>
  <c r="U192" i="76"/>
  <c r="U149" i="76"/>
  <c r="U161" i="76"/>
  <c r="V154" i="76"/>
  <c r="U162" i="76"/>
  <c r="U157" i="76"/>
  <c r="U163" i="76"/>
  <c r="U171" i="76" s="1"/>
  <c r="V142" i="76"/>
  <c r="V140" i="76"/>
  <c r="V136" i="76"/>
  <c r="W133" i="76"/>
  <c r="V141" i="76"/>
  <c r="U185" i="76"/>
  <c r="U144" i="76"/>
  <c r="T150" i="76"/>
  <c r="AB278" i="85" l="1"/>
  <c r="AA278" i="85"/>
  <c r="X192" i="83"/>
  <c r="X185" i="83"/>
  <c r="X142" i="83"/>
  <c r="X140" i="83"/>
  <c r="X136" i="83"/>
  <c r="Y133" i="83"/>
  <c r="X141" i="83"/>
  <c r="W171" i="83"/>
  <c r="X163" i="83"/>
  <c r="X161" i="83"/>
  <c r="X162" i="83"/>
  <c r="X171" i="83"/>
  <c r="X157" i="83"/>
  <c r="Y154" i="83"/>
  <c r="X192" i="82"/>
  <c r="X185" i="82"/>
  <c r="W170" i="82"/>
  <c r="X141" i="82"/>
  <c r="X136" i="82"/>
  <c r="Y133" i="82"/>
  <c r="X140" i="82"/>
  <c r="X149" i="82" s="1"/>
  <c r="X142" i="82"/>
  <c r="X157" i="82"/>
  <c r="Y154" i="82"/>
  <c r="X163" i="82"/>
  <c r="X171" i="82" s="1"/>
  <c r="X161" i="82"/>
  <c r="X162" i="82"/>
  <c r="W150" i="82"/>
  <c r="V185" i="74"/>
  <c r="V171" i="74"/>
  <c r="W157" i="74"/>
  <c r="X154" i="74"/>
  <c r="W163" i="74"/>
  <c r="W161" i="74"/>
  <c r="W162" i="74"/>
  <c r="W171" i="74" s="1"/>
  <c r="V192" i="74"/>
  <c r="V141" i="74"/>
  <c r="V142" i="74"/>
  <c r="V140" i="74"/>
  <c r="V136" i="74"/>
  <c r="V150" i="74"/>
  <c r="W133" i="74"/>
  <c r="W136" i="76"/>
  <c r="X133" i="76"/>
  <c r="W142" i="76"/>
  <c r="W140" i="76"/>
  <c r="W141" i="76"/>
  <c r="U170" i="76"/>
  <c r="V192" i="76"/>
  <c r="V149" i="76"/>
  <c r="V185" i="76"/>
  <c r="V144" i="76"/>
  <c r="U150" i="76"/>
  <c r="V163" i="76"/>
  <c r="V161" i="76"/>
  <c r="V157" i="76"/>
  <c r="W154" i="76"/>
  <c r="V162" i="76"/>
  <c r="V171" i="76" s="1"/>
  <c r="Y142" i="83" l="1"/>
  <c r="Y140" i="83"/>
  <c r="Y141" i="83"/>
  <c r="Y136" i="83"/>
  <c r="Z133" i="83"/>
  <c r="Y157" i="83"/>
  <c r="Z154" i="83"/>
  <c r="Y162" i="83"/>
  <c r="Y171" i="83" s="1"/>
  <c r="Y161" i="83"/>
  <c r="Y163" i="83"/>
  <c r="X149" i="83"/>
  <c r="X170" i="83"/>
  <c r="X150" i="83"/>
  <c r="Y185" i="83"/>
  <c r="Y192" i="83"/>
  <c r="Y141" i="82"/>
  <c r="Y136" i="82"/>
  <c r="Z133" i="82"/>
  <c r="Y142" i="82"/>
  <c r="Y140" i="82"/>
  <c r="Y149" i="82" s="1"/>
  <c r="Y185" i="82"/>
  <c r="Y163" i="82"/>
  <c r="Y161" i="82"/>
  <c r="Y170" i="82" s="1"/>
  <c r="Y157" i="82"/>
  <c r="Y162" i="82"/>
  <c r="Z154" i="82"/>
  <c r="Y171" i="82"/>
  <c r="X170" i="82"/>
  <c r="X150" i="82"/>
  <c r="Y192" i="82"/>
  <c r="W141" i="74"/>
  <c r="W142" i="74"/>
  <c r="W140" i="74"/>
  <c r="W149" i="74" s="1"/>
  <c r="W150" i="74"/>
  <c r="X133" i="74"/>
  <c r="W136" i="74"/>
  <c r="V149" i="74"/>
  <c r="W185" i="74"/>
  <c r="X163" i="74"/>
  <c r="X161" i="74"/>
  <c r="X170" i="74" s="1"/>
  <c r="X162" i="74"/>
  <c r="X157" i="74"/>
  <c r="Y154" i="74"/>
  <c r="W192" i="74"/>
  <c r="W170" i="74"/>
  <c r="W171" i="76"/>
  <c r="W162" i="76"/>
  <c r="W163" i="76"/>
  <c r="W157" i="76"/>
  <c r="W161" i="76"/>
  <c r="W170" i="76" s="1"/>
  <c r="X154" i="76"/>
  <c r="V170" i="76"/>
  <c r="W185" i="76"/>
  <c r="W149" i="76"/>
  <c r="W144" i="76"/>
  <c r="V150" i="76"/>
  <c r="W192" i="76"/>
  <c r="X140" i="76"/>
  <c r="Y133" i="76"/>
  <c r="X142" i="76"/>
  <c r="X136" i="76"/>
  <c r="X141" i="76"/>
  <c r="Y170" i="83" l="1"/>
  <c r="Z162" i="83"/>
  <c r="AA154" i="83"/>
  <c r="Z163" i="83"/>
  <c r="Z171" i="83" s="1"/>
  <c r="Z157" i="83"/>
  <c r="Z161" i="83"/>
  <c r="Z141" i="83"/>
  <c r="Z140" i="83"/>
  <c r="Z150" i="83" s="1"/>
  <c r="Z136" i="83"/>
  <c r="AA133" i="83"/>
  <c r="Z142" i="83"/>
  <c r="Z185" i="83"/>
  <c r="Y149" i="83"/>
  <c r="Z192" i="83"/>
  <c r="Y150" i="83"/>
  <c r="Z185" i="82"/>
  <c r="Z192" i="82"/>
  <c r="Z136" i="82"/>
  <c r="AA133" i="82"/>
  <c r="Z142" i="82"/>
  <c r="Z140" i="82"/>
  <c r="Z141" i="82"/>
  <c r="Z163" i="82"/>
  <c r="Z171" i="82" s="1"/>
  <c r="Z161" i="82"/>
  <c r="Z157" i="82"/>
  <c r="Z162" i="82"/>
  <c r="AA154" i="82"/>
  <c r="Y150" i="82"/>
  <c r="X185" i="74"/>
  <c r="X171" i="74"/>
  <c r="X192" i="74"/>
  <c r="X141" i="74"/>
  <c r="X136" i="74"/>
  <c r="Y133" i="74"/>
  <c r="X142" i="74"/>
  <c r="X150" i="74" s="1"/>
  <c r="X140" i="74"/>
  <c r="Y163" i="74"/>
  <c r="Y161" i="74"/>
  <c r="Y170" i="74" s="1"/>
  <c r="Y157" i="74"/>
  <c r="Z154" i="74"/>
  <c r="Y162" i="74"/>
  <c r="X162" i="76"/>
  <c r="X163" i="76"/>
  <c r="X161" i="76"/>
  <c r="X170" i="76" s="1"/>
  <c r="X157" i="76"/>
  <c r="Y154" i="76"/>
  <c r="Y142" i="76"/>
  <c r="Y140" i="76"/>
  <c r="Y149" i="76" s="1"/>
  <c r="Y136" i="76"/>
  <c r="Z133" i="76"/>
  <c r="Y141" i="76"/>
  <c r="X185" i="76"/>
  <c r="X192" i="76"/>
  <c r="X149" i="76"/>
  <c r="X144" i="76"/>
  <c r="W150" i="76"/>
  <c r="D68" i="77"/>
  <c r="J69" i="77" s="1"/>
  <c r="L69" i="75"/>
  <c r="E69" i="73"/>
  <c r="F69" i="73"/>
  <c r="G69" i="73"/>
  <c r="H69" i="73"/>
  <c r="I69" i="73"/>
  <c r="J69" i="73"/>
  <c r="K69" i="73"/>
  <c r="L69" i="73"/>
  <c r="M69" i="73"/>
  <c r="N69" i="73"/>
  <c r="O69" i="73"/>
  <c r="P69" i="73"/>
  <c r="Q69" i="73"/>
  <c r="R69" i="73"/>
  <c r="S69" i="73"/>
  <c r="T69" i="73"/>
  <c r="E70" i="73"/>
  <c r="F70" i="73"/>
  <c r="G70" i="73"/>
  <c r="H70" i="73"/>
  <c r="I70" i="73"/>
  <c r="J70" i="73"/>
  <c r="K70" i="73"/>
  <c r="L70" i="73"/>
  <c r="M70" i="73"/>
  <c r="N70" i="73"/>
  <c r="O70" i="73"/>
  <c r="P70" i="73"/>
  <c r="Q70" i="73"/>
  <c r="R70" i="73"/>
  <c r="S70" i="73"/>
  <c r="T70" i="73"/>
  <c r="U70" i="73"/>
  <c r="D70" i="73"/>
  <c r="D69" i="73"/>
  <c r="A320" i="80"/>
  <c r="A283" i="80"/>
  <c r="M270" i="80"/>
  <c r="G241" i="80"/>
  <c r="N240" i="80"/>
  <c r="H240" i="80"/>
  <c r="G240" i="80"/>
  <c r="G239" i="80"/>
  <c r="G305" i="80" s="1"/>
  <c r="G237" i="80"/>
  <c r="AA236" i="80"/>
  <c r="Z236" i="80"/>
  <c r="Y236" i="80"/>
  <c r="X236" i="80"/>
  <c r="W236" i="80"/>
  <c r="V236" i="80"/>
  <c r="V302" i="80" s="1"/>
  <c r="U236" i="80"/>
  <c r="U302" i="80" s="1"/>
  <c r="T236" i="80"/>
  <c r="S236" i="80"/>
  <c r="R236" i="80"/>
  <c r="Q236" i="80"/>
  <c r="P236" i="80"/>
  <c r="O236" i="80"/>
  <c r="O270" i="80" s="1"/>
  <c r="N236" i="80"/>
  <c r="N302" i="80" s="1"/>
  <c r="M236" i="80"/>
  <c r="M302" i="80" s="1"/>
  <c r="L236" i="80"/>
  <c r="K236" i="80"/>
  <c r="J236" i="80"/>
  <c r="I236" i="80"/>
  <c r="H236" i="80"/>
  <c r="G236" i="80"/>
  <c r="O227" i="80"/>
  <c r="O293" i="80" s="1"/>
  <c r="G227" i="80"/>
  <c r="G225" i="80"/>
  <c r="G224" i="80"/>
  <c r="G223" i="80"/>
  <c r="A213" i="80"/>
  <c r="A212" i="80"/>
  <c r="A211" i="80"/>
  <c r="A210" i="80"/>
  <c r="AA207" i="80"/>
  <c r="AA240" i="80" s="1"/>
  <c r="Z207" i="80"/>
  <c r="Z240" i="80" s="1"/>
  <c r="Y207" i="80"/>
  <c r="Y240" i="80" s="1"/>
  <c r="Y306" i="80" s="1"/>
  <c r="X207" i="80"/>
  <c r="X240" i="80" s="1"/>
  <c r="W207" i="80"/>
  <c r="W240" i="80" s="1"/>
  <c r="V207" i="80"/>
  <c r="V240" i="80" s="1"/>
  <c r="U207" i="80"/>
  <c r="T207" i="80"/>
  <c r="T240" i="80" s="1"/>
  <c r="S207" i="80"/>
  <c r="S240" i="80" s="1"/>
  <c r="R207" i="80"/>
  <c r="R240" i="80" s="1"/>
  <c r="Q207" i="80"/>
  <c r="Q240" i="80" s="1"/>
  <c r="P207" i="80"/>
  <c r="P240" i="80" s="1"/>
  <c r="O207" i="80"/>
  <c r="O240" i="80" s="1"/>
  <c r="N207" i="80"/>
  <c r="N227" i="80" s="1"/>
  <c r="M207" i="80"/>
  <c r="L207" i="80"/>
  <c r="L240" i="80" s="1"/>
  <c r="K207" i="80"/>
  <c r="K240" i="80" s="1"/>
  <c r="J207" i="80"/>
  <c r="J240" i="80" s="1"/>
  <c r="I207" i="80"/>
  <c r="I240" i="80" s="1"/>
  <c r="H207" i="80"/>
  <c r="H227" i="80" s="1"/>
  <c r="A206" i="80"/>
  <c r="A205" i="80"/>
  <c r="A204" i="80"/>
  <c r="A203" i="80"/>
  <c r="A198" i="80"/>
  <c r="A197" i="80"/>
  <c r="A194" i="80"/>
  <c r="A193" i="80"/>
  <c r="G192" i="80"/>
  <c r="A192" i="80"/>
  <c r="A191" i="80"/>
  <c r="A186" i="80"/>
  <c r="G185" i="80"/>
  <c r="A185" i="80"/>
  <c r="J184" i="80"/>
  <c r="I184" i="80"/>
  <c r="H184" i="80"/>
  <c r="A184" i="80"/>
  <c r="C183" i="80"/>
  <c r="A165" i="80"/>
  <c r="A164" i="80"/>
  <c r="A160" i="80"/>
  <c r="A158" i="80"/>
  <c r="AA156" i="80"/>
  <c r="Z156" i="80"/>
  <c r="Y156" i="80"/>
  <c r="X156" i="80"/>
  <c r="W156" i="80"/>
  <c r="S156" i="80"/>
  <c r="Q156" i="80"/>
  <c r="P156" i="80"/>
  <c r="O156" i="80"/>
  <c r="N156" i="80"/>
  <c r="M156" i="80"/>
  <c r="L156" i="80"/>
  <c r="K156" i="80"/>
  <c r="J156" i="80"/>
  <c r="I156" i="80"/>
  <c r="H156" i="80"/>
  <c r="A155" i="80"/>
  <c r="H154" i="80"/>
  <c r="V153" i="80"/>
  <c r="V156" i="80" s="1"/>
  <c r="U153" i="80"/>
  <c r="U156" i="80" s="1"/>
  <c r="T153" i="80"/>
  <c r="T156" i="80" s="1"/>
  <c r="S153" i="80"/>
  <c r="R153" i="80"/>
  <c r="R156" i="80" s="1"/>
  <c r="A153" i="80"/>
  <c r="A144" i="80"/>
  <c r="A143" i="80"/>
  <c r="A139" i="80"/>
  <c r="A137" i="80"/>
  <c r="AA135" i="80"/>
  <c r="Z135" i="80"/>
  <c r="Y135" i="80"/>
  <c r="X135" i="80"/>
  <c r="W135" i="80"/>
  <c r="S135" i="80"/>
  <c r="Q135" i="80"/>
  <c r="P135" i="80"/>
  <c r="O135" i="80"/>
  <c r="N135" i="80"/>
  <c r="M135" i="80"/>
  <c r="L135" i="80"/>
  <c r="K135" i="80"/>
  <c r="J135" i="80"/>
  <c r="I135" i="80"/>
  <c r="H135" i="80"/>
  <c r="A134" i="80"/>
  <c r="H133" i="80"/>
  <c r="V132" i="80"/>
  <c r="V135" i="80" s="1"/>
  <c r="U132" i="80"/>
  <c r="U135" i="80" s="1"/>
  <c r="T132" i="80"/>
  <c r="T135" i="80" s="1"/>
  <c r="S132" i="80"/>
  <c r="R132" i="80"/>
  <c r="R135" i="80" s="1"/>
  <c r="A132" i="80"/>
  <c r="G124" i="80"/>
  <c r="G123" i="80"/>
  <c r="A123" i="80"/>
  <c r="A122" i="80"/>
  <c r="H116" i="80"/>
  <c r="I116" i="80" s="1"/>
  <c r="J116" i="80" s="1"/>
  <c r="K116" i="80" s="1"/>
  <c r="L116" i="80" s="1"/>
  <c r="M116" i="80" s="1"/>
  <c r="N116" i="80" s="1"/>
  <c r="O116" i="80" s="1"/>
  <c r="P116" i="80" s="1"/>
  <c r="Q116" i="80" s="1"/>
  <c r="R116" i="80" s="1"/>
  <c r="S116" i="80" s="1"/>
  <c r="T116" i="80" s="1"/>
  <c r="U116" i="80" s="1"/>
  <c r="V116" i="80" s="1"/>
  <c r="W116" i="80" s="1"/>
  <c r="X116" i="80" s="1"/>
  <c r="Y116" i="80" s="1"/>
  <c r="Z116" i="80" s="1"/>
  <c r="AA116" i="80" s="1"/>
  <c r="A116" i="80"/>
  <c r="AA114" i="80"/>
  <c r="Z114" i="80"/>
  <c r="Y114" i="80"/>
  <c r="X114" i="80"/>
  <c r="W114" i="80"/>
  <c r="A113" i="80"/>
  <c r="G112" i="80"/>
  <c r="A111" i="80"/>
  <c r="G103" i="80"/>
  <c r="I103" i="80" s="1"/>
  <c r="J103" i="80" s="1"/>
  <c r="K103" i="80" s="1"/>
  <c r="L103" i="80" s="1"/>
  <c r="M103" i="80" s="1"/>
  <c r="N103" i="80" s="1"/>
  <c r="O103" i="80" s="1"/>
  <c r="P103" i="80" s="1"/>
  <c r="Q103" i="80" s="1"/>
  <c r="R103" i="80" s="1"/>
  <c r="S103" i="80" s="1"/>
  <c r="T103" i="80" s="1"/>
  <c r="U103" i="80" s="1"/>
  <c r="V103" i="80" s="1"/>
  <c r="W103" i="80" s="1"/>
  <c r="X103" i="80" s="1"/>
  <c r="Y103" i="80" s="1"/>
  <c r="Z103" i="80" s="1"/>
  <c r="AA103" i="80" s="1"/>
  <c r="G102" i="80"/>
  <c r="H102" i="80" s="1"/>
  <c r="I102" i="80" s="1"/>
  <c r="J102" i="80" s="1"/>
  <c r="K102" i="80" s="1"/>
  <c r="L102" i="80" s="1"/>
  <c r="M102" i="80" s="1"/>
  <c r="N102" i="80" s="1"/>
  <c r="O102" i="80" s="1"/>
  <c r="P102" i="80" s="1"/>
  <c r="Q102" i="80" s="1"/>
  <c r="R102" i="80" s="1"/>
  <c r="S102" i="80" s="1"/>
  <c r="T102" i="80" s="1"/>
  <c r="U102" i="80" s="1"/>
  <c r="V102" i="80" s="1"/>
  <c r="W102" i="80" s="1"/>
  <c r="X102" i="80" s="1"/>
  <c r="Y102" i="80" s="1"/>
  <c r="Z102" i="80" s="1"/>
  <c r="AA102" i="80" s="1"/>
  <c r="A102" i="80"/>
  <c r="A101" i="80"/>
  <c r="H95" i="80"/>
  <c r="I95" i="80" s="1"/>
  <c r="J95" i="80" s="1"/>
  <c r="K95" i="80" s="1"/>
  <c r="L95" i="80" s="1"/>
  <c r="M95" i="80" s="1"/>
  <c r="N95" i="80" s="1"/>
  <c r="O95" i="80" s="1"/>
  <c r="P95" i="80" s="1"/>
  <c r="Q95" i="80" s="1"/>
  <c r="R95" i="80" s="1"/>
  <c r="S95" i="80" s="1"/>
  <c r="T95" i="80" s="1"/>
  <c r="U95" i="80" s="1"/>
  <c r="V95" i="80" s="1"/>
  <c r="W95" i="80" s="1"/>
  <c r="X95" i="80" s="1"/>
  <c r="Y95" i="80" s="1"/>
  <c r="Z95" i="80" s="1"/>
  <c r="AA95" i="80" s="1"/>
  <c r="A95" i="80"/>
  <c r="AA93" i="80"/>
  <c r="AA174" i="80" s="1"/>
  <c r="AA217" i="80" s="1"/>
  <c r="Z93" i="80"/>
  <c r="Z174" i="80" s="1"/>
  <c r="Z217" i="80" s="1"/>
  <c r="Y93" i="80"/>
  <c r="Y174" i="80" s="1"/>
  <c r="Y217" i="80" s="1"/>
  <c r="X93" i="80"/>
  <c r="X174" i="80" s="1"/>
  <c r="X217" i="80" s="1"/>
  <c r="W93" i="80"/>
  <c r="W174" i="80" s="1"/>
  <c r="W217" i="80" s="1"/>
  <c r="A92" i="80"/>
  <c r="G91" i="80"/>
  <c r="A90" i="80"/>
  <c r="C87" i="80"/>
  <c r="U84" i="80"/>
  <c r="U235" i="80" s="1"/>
  <c r="M84" i="80"/>
  <c r="M235" i="80" s="1"/>
  <c r="AA80" i="80"/>
  <c r="Z80" i="80"/>
  <c r="Y80" i="80"/>
  <c r="X80" i="80"/>
  <c r="W80" i="80"/>
  <c r="V80" i="80"/>
  <c r="U80" i="80"/>
  <c r="T80" i="80"/>
  <c r="S80" i="80"/>
  <c r="R80" i="80"/>
  <c r="Q80" i="80"/>
  <c r="P80" i="80"/>
  <c r="O80" i="80"/>
  <c r="N80" i="80"/>
  <c r="M80" i="80"/>
  <c r="L80" i="80"/>
  <c r="K80" i="80"/>
  <c r="J80" i="80"/>
  <c r="I80" i="80"/>
  <c r="H80" i="80"/>
  <c r="G80" i="80"/>
  <c r="J82" i="80" s="1"/>
  <c r="AA79" i="80"/>
  <c r="Z79" i="80"/>
  <c r="Y79" i="80"/>
  <c r="X79" i="80"/>
  <c r="W79" i="80"/>
  <c r="V79" i="80"/>
  <c r="U79" i="80"/>
  <c r="T79" i="80"/>
  <c r="S79" i="80"/>
  <c r="R79" i="80"/>
  <c r="Q79" i="80"/>
  <c r="P79" i="80"/>
  <c r="O79" i="80"/>
  <c r="N79" i="80"/>
  <c r="M79" i="80"/>
  <c r="L79" i="80"/>
  <c r="K79" i="80"/>
  <c r="J79" i="80"/>
  <c r="I79" i="80"/>
  <c r="H79" i="80"/>
  <c r="G79" i="80"/>
  <c r="AA78" i="80"/>
  <c r="Z78" i="80"/>
  <c r="Y78" i="80"/>
  <c r="X78" i="80"/>
  <c r="W78" i="80"/>
  <c r="V78" i="80"/>
  <c r="U78" i="80"/>
  <c r="T78" i="80"/>
  <c r="S78" i="80"/>
  <c r="R78" i="80"/>
  <c r="Q78" i="80"/>
  <c r="P78" i="80"/>
  <c r="O78" i="80"/>
  <c r="N78" i="80"/>
  <c r="M78" i="80"/>
  <c r="L78" i="80"/>
  <c r="K78" i="80"/>
  <c r="R82" i="80" s="1"/>
  <c r="J78" i="80"/>
  <c r="I78" i="80"/>
  <c r="H78" i="80"/>
  <c r="G78" i="80"/>
  <c r="Y82" i="80" s="1"/>
  <c r="AA75" i="80"/>
  <c r="Z75" i="80"/>
  <c r="Y75" i="80"/>
  <c r="X75" i="80"/>
  <c r="W75" i="80"/>
  <c r="V75" i="80"/>
  <c r="U75" i="80"/>
  <c r="T75" i="80"/>
  <c r="S75" i="80"/>
  <c r="R75" i="80"/>
  <c r="Q75" i="80"/>
  <c r="P75" i="80"/>
  <c r="O75" i="80"/>
  <c r="N75" i="80"/>
  <c r="M75" i="80"/>
  <c r="L75" i="80"/>
  <c r="K75" i="80"/>
  <c r="J75" i="80"/>
  <c r="I75" i="80"/>
  <c r="H75" i="80"/>
  <c r="G75" i="80"/>
  <c r="E73" i="80"/>
  <c r="E80" i="80" s="1"/>
  <c r="E72" i="80"/>
  <c r="E79" i="80" s="1"/>
  <c r="E71" i="80"/>
  <c r="E78" i="80" s="1"/>
  <c r="A70" i="80"/>
  <c r="AA66" i="80"/>
  <c r="Z66" i="80"/>
  <c r="Y66" i="80"/>
  <c r="X66" i="80"/>
  <c r="W66" i="80"/>
  <c r="V66" i="80"/>
  <c r="U66" i="80"/>
  <c r="T66" i="80"/>
  <c r="S66" i="80"/>
  <c r="R66" i="80"/>
  <c r="Q66" i="80"/>
  <c r="P66" i="80"/>
  <c r="O66" i="80"/>
  <c r="N66" i="80"/>
  <c r="M66" i="80"/>
  <c r="L66" i="80"/>
  <c r="K66" i="80"/>
  <c r="J66" i="80"/>
  <c r="I66" i="80"/>
  <c r="H66" i="80"/>
  <c r="G66" i="80"/>
  <c r="J68" i="80" s="1"/>
  <c r="J85" i="80" s="1"/>
  <c r="AA65" i="80"/>
  <c r="Z65" i="80"/>
  <c r="Y65" i="80"/>
  <c r="X65" i="80"/>
  <c r="W65" i="80"/>
  <c r="V65" i="80"/>
  <c r="U65" i="80"/>
  <c r="T65" i="80"/>
  <c r="S65" i="80"/>
  <c r="R65" i="80"/>
  <c r="Q65" i="80"/>
  <c r="P65" i="80"/>
  <c r="O65" i="80"/>
  <c r="N65" i="80"/>
  <c r="M65" i="80"/>
  <c r="L65" i="80"/>
  <c r="K65" i="80"/>
  <c r="J65" i="80"/>
  <c r="I65" i="80"/>
  <c r="H65" i="80"/>
  <c r="G65" i="80"/>
  <c r="AA64" i="80"/>
  <c r="Z64" i="80"/>
  <c r="Y64" i="80"/>
  <c r="X64" i="80"/>
  <c r="W64" i="80"/>
  <c r="V64" i="80"/>
  <c r="U64" i="80"/>
  <c r="T64" i="80"/>
  <c r="S64" i="80"/>
  <c r="R64" i="80"/>
  <c r="Q64" i="80"/>
  <c r="P64" i="80"/>
  <c r="O64" i="80"/>
  <c r="N64" i="80"/>
  <c r="M64" i="80"/>
  <c r="L64" i="80"/>
  <c r="K64" i="80"/>
  <c r="R68" i="80" s="1"/>
  <c r="R85" i="80" s="1"/>
  <c r="J64" i="80"/>
  <c r="I64" i="80"/>
  <c r="H64" i="80"/>
  <c r="G64" i="80"/>
  <c r="Y68" i="80" s="1"/>
  <c r="Y85" i="80" s="1"/>
  <c r="AA61" i="80"/>
  <c r="AA84" i="80" s="1"/>
  <c r="AA235" i="80" s="1"/>
  <c r="Z61" i="80"/>
  <c r="Z84" i="80" s="1"/>
  <c r="Z235" i="80" s="1"/>
  <c r="Y61" i="80"/>
  <c r="Y84" i="80" s="1"/>
  <c r="Y235" i="80" s="1"/>
  <c r="X61" i="80"/>
  <c r="X84" i="80" s="1"/>
  <c r="X235" i="80" s="1"/>
  <c r="W61" i="80"/>
  <c r="W84" i="80" s="1"/>
  <c r="W235" i="80" s="1"/>
  <c r="V61" i="80"/>
  <c r="V84" i="80" s="1"/>
  <c r="V235" i="80" s="1"/>
  <c r="U61" i="80"/>
  <c r="T61" i="80"/>
  <c r="T84" i="80" s="1"/>
  <c r="T235" i="80" s="1"/>
  <c r="S61" i="80"/>
  <c r="S84" i="80" s="1"/>
  <c r="S235" i="80" s="1"/>
  <c r="R61" i="80"/>
  <c r="R84" i="80" s="1"/>
  <c r="R235" i="80" s="1"/>
  <c r="Q61" i="80"/>
  <c r="Q84" i="80" s="1"/>
  <c r="Q235" i="80" s="1"/>
  <c r="P61" i="80"/>
  <c r="P84" i="80" s="1"/>
  <c r="P235" i="80" s="1"/>
  <c r="O61" i="80"/>
  <c r="O84" i="80" s="1"/>
  <c r="O235" i="80" s="1"/>
  <c r="N61" i="80"/>
  <c r="N84" i="80" s="1"/>
  <c r="N235" i="80" s="1"/>
  <c r="M61" i="80"/>
  <c r="L61" i="80"/>
  <c r="L84" i="80" s="1"/>
  <c r="L235" i="80" s="1"/>
  <c r="K61" i="80"/>
  <c r="K84" i="80" s="1"/>
  <c r="K235" i="80" s="1"/>
  <c r="J61" i="80"/>
  <c r="J84" i="80" s="1"/>
  <c r="J235" i="80" s="1"/>
  <c r="I61" i="80"/>
  <c r="I84" i="80" s="1"/>
  <c r="I235" i="80" s="1"/>
  <c r="H61" i="80"/>
  <c r="H84" i="80" s="1"/>
  <c r="H235" i="80" s="1"/>
  <c r="G61" i="80"/>
  <c r="G84" i="80" s="1"/>
  <c r="G235" i="80" s="1"/>
  <c r="E59" i="80"/>
  <c r="E66" i="80" s="1"/>
  <c r="E58" i="80"/>
  <c r="E65" i="80" s="1"/>
  <c r="E57" i="80"/>
  <c r="E64" i="80" s="1"/>
  <c r="A56" i="80"/>
  <c r="A52" i="80"/>
  <c r="AA48" i="80"/>
  <c r="Z48" i="80"/>
  <c r="Y48" i="80"/>
  <c r="X48" i="80"/>
  <c r="W48" i="80"/>
  <c r="V48" i="80"/>
  <c r="U48" i="80"/>
  <c r="T48" i="80"/>
  <c r="S48" i="80"/>
  <c r="R48" i="80"/>
  <c r="Q48" i="80"/>
  <c r="P48" i="80"/>
  <c r="O48" i="80"/>
  <c r="N48" i="80"/>
  <c r="M48" i="80"/>
  <c r="L48" i="80"/>
  <c r="K48" i="80"/>
  <c r="J48" i="80"/>
  <c r="I48" i="80"/>
  <c r="H48" i="80"/>
  <c r="G48" i="80"/>
  <c r="AA47" i="80"/>
  <c r="Z47" i="80"/>
  <c r="Y47" i="80"/>
  <c r="X47" i="80"/>
  <c r="W47" i="80"/>
  <c r="V47" i="80"/>
  <c r="U47" i="80"/>
  <c r="T47" i="80"/>
  <c r="S47" i="80"/>
  <c r="R47" i="80"/>
  <c r="Q47" i="80"/>
  <c r="P47" i="80"/>
  <c r="O47" i="80"/>
  <c r="N47" i="80"/>
  <c r="M47" i="80"/>
  <c r="L47" i="80"/>
  <c r="K47" i="80"/>
  <c r="J47" i="80"/>
  <c r="I47" i="80"/>
  <c r="H47" i="80"/>
  <c r="G47" i="80"/>
  <c r="E47" i="80"/>
  <c r="AA46" i="80"/>
  <c r="Z46" i="80"/>
  <c r="Y46" i="80"/>
  <c r="X46" i="80"/>
  <c r="W46" i="80"/>
  <c r="V46" i="80"/>
  <c r="U46" i="80"/>
  <c r="T46" i="80"/>
  <c r="S46" i="80"/>
  <c r="R46" i="80"/>
  <c r="Q46" i="80"/>
  <c r="P46" i="80"/>
  <c r="O46" i="80"/>
  <c r="N46" i="80"/>
  <c r="M46" i="80"/>
  <c r="L46" i="80"/>
  <c r="K46" i="80"/>
  <c r="J46" i="80"/>
  <c r="I46" i="80"/>
  <c r="H46" i="80"/>
  <c r="G46" i="80"/>
  <c r="G45" i="80"/>
  <c r="G42" i="80"/>
  <c r="G222" i="80" s="1"/>
  <c r="E40" i="80"/>
  <c r="E48" i="80" s="1"/>
  <c r="E39" i="80"/>
  <c r="E38" i="80"/>
  <c r="E46" i="80" s="1"/>
  <c r="X37" i="80"/>
  <c r="X42" i="80" s="1"/>
  <c r="X222" i="80" s="1"/>
  <c r="E37" i="80"/>
  <c r="E45" i="80" s="1"/>
  <c r="A36" i="80"/>
  <c r="AA32" i="80"/>
  <c r="Z32" i="80"/>
  <c r="Y32" i="80"/>
  <c r="X32" i="80"/>
  <c r="W32" i="80"/>
  <c r="V32" i="80"/>
  <c r="U32" i="80"/>
  <c r="T32" i="80"/>
  <c r="S32" i="80"/>
  <c r="R32" i="80"/>
  <c r="Q32" i="80"/>
  <c r="P32" i="80"/>
  <c r="O32" i="80"/>
  <c r="N32" i="80"/>
  <c r="M32" i="80"/>
  <c r="L32" i="80"/>
  <c r="K32" i="80"/>
  <c r="J32" i="80"/>
  <c r="I32" i="80"/>
  <c r="H32" i="80"/>
  <c r="G32" i="80"/>
  <c r="E32" i="80"/>
  <c r="AA31" i="80"/>
  <c r="Z31" i="80"/>
  <c r="Y31" i="80"/>
  <c r="X31" i="80"/>
  <c r="W31" i="80"/>
  <c r="V31" i="80"/>
  <c r="U31" i="80"/>
  <c r="T31" i="80"/>
  <c r="S31" i="80"/>
  <c r="R31" i="80"/>
  <c r="Q31" i="80"/>
  <c r="P31" i="80"/>
  <c r="O31" i="80"/>
  <c r="N31" i="80"/>
  <c r="M31" i="80"/>
  <c r="L31" i="80"/>
  <c r="K31" i="80"/>
  <c r="J31" i="80"/>
  <c r="I31" i="80"/>
  <c r="H31" i="80"/>
  <c r="G31" i="80"/>
  <c r="AA30" i="80"/>
  <c r="Z30" i="80"/>
  <c r="Y30" i="80"/>
  <c r="X30" i="80"/>
  <c r="W30" i="80"/>
  <c r="V30" i="80"/>
  <c r="U30" i="80"/>
  <c r="T30" i="80"/>
  <c r="S30" i="80"/>
  <c r="R30" i="80"/>
  <c r="Q30" i="80"/>
  <c r="P30" i="80"/>
  <c r="O30" i="80"/>
  <c r="N30" i="80"/>
  <c r="M30" i="80"/>
  <c r="L30" i="80"/>
  <c r="K30" i="80"/>
  <c r="J30" i="80"/>
  <c r="I30" i="80"/>
  <c r="H30" i="80"/>
  <c r="G30" i="80"/>
  <c r="E23" i="80"/>
  <c r="E31" i="80" s="1"/>
  <c r="E22" i="80"/>
  <c r="E30" i="80" s="1"/>
  <c r="E21" i="80"/>
  <c r="E29" i="80" s="1"/>
  <c r="A20" i="80"/>
  <c r="A18" i="80"/>
  <c r="G15" i="80"/>
  <c r="G16" i="80" s="1"/>
  <c r="A15" i="80"/>
  <c r="G14" i="80"/>
  <c r="A14" i="80"/>
  <c r="A10" i="80"/>
  <c r="A9" i="80"/>
  <c r="A8" i="80"/>
  <c r="A7" i="80"/>
  <c r="A4" i="80"/>
  <c r="E69" i="79"/>
  <c r="F69" i="79"/>
  <c r="G69" i="79"/>
  <c r="H69" i="79"/>
  <c r="I69" i="79"/>
  <c r="J69" i="79"/>
  <c r="K69" i="79"/>
  <c r="L69" i="79"/>
  <c r="M69" i="79"/>
  <c r="N69" i="79"/>
  <c r="O69" i="79"/>
  <c r="P69" i="79"/>
  <c r="Q69" i="79"/>
  <c r="R69" i="79"/>
  <c r="S69" i="79"/>
  <c r="T69" i="79"/>
  <c r="U69" i="79"/>
  <c r="E70" i="79"/>
  <c r="F70" i="79"/>
  <c r="G70" i="79"/>
  <c r="H70" i="79"/>
  <c r="I70" i="79"/>
  <c r="J70" i="79"/>
  <c r="K70" i="79"/>
  <c r="M70" i="79"/>
  <c r="N70" i="79"/>
  <c r="O6" i="79" s="1"/>
  <c r="O70" i="79"/>
  <c r="P70" i="79"/>
  <c r="Q70" i="79"/>
  <c r="R6" i="79" s="1"/>
  <c r="R70" i="79"/>
  <c r="S6" i="79" s="1"/>
  <c r="S70" i="79"/>
  <c r="T6" i="79" s="1"/>
  <c r="T70" i="79"/>
  <c r="U6" i="79" s="1"/>
  <c r="U70" i="79"/>
  <c r="D70" i="79"/>
  <c r="D69" i="79"/>
  <c r="V15" i="79"/>
  <c r="V6" i="79"/>
  <c r="Q6" i="79"/>
  <c r="P6" i="79"/>
  <c r="N6" i="79"/>
  <c r="P4" i="79"/>
  <c r="O4" i="79"/>
  <c r="N4" i="79"/>
  <c r="M4" i="79"/>
  <c r="A320" i="78"/>
  <c r="U302" i="78"/>
  <c r="A283" i="78"/>
  <c r="P274" i="78"/>
  <c r="K270" i="78"/>
  <c r="H270" i="78"/>
  <c r="G241" i="78"/>
  <c r="AB240" i="78"/>
  <c r="I240" i="78"/>
  <c r="G240" i="78"/>
  <c r="G274" i="78" s="1"/>
  <c r="G239" i="78"/>
  <c r="G237" i="78"/>
  <c r="AA236" i="78"/>
  <c r="Z236" i="78"/>
  <c r="Z302" i="78" s="1"/>
  <c r="Y236" i="78"/>
  <c r="Y302" i="78" s="1"/>
  <c r="X236" i="78"/>
  <c r="X302" i="78" s="1"/>
  <c r="W236" i="78"/>
  <c r="W302" i="78" s="1"/>
  <c r="V236" i="78"/>
  <c r="V270" i="78" s="1"/>
  <c r="U236" i="78"/>
  <c r="U270" i="78" s="1"/>
  <c r="T236" i="78"/>
  <c r="T302" i="78" s="1"/>
  <c r="S236" i="78"/>
  <c r="R236" i="78"/>
  <c r="R302" i="78" s="1"/>
  <c r="Q236" i="78"/>
  <c r="Q302" i="78" s="1"/>
  <c r="P236" i="78"/>
  <c r="P302" i="78" s="1"/>
  <c r="O236" i="78"/>
  <c r="O302" i="78" s="1"/>
  <c r="N236" i="78"/>
  <c r="N270" i="78" s="1"/>
  <c r="M236" i="78"/>
  <c r="M270" i="78" s="1"/>
  <c r="L236" i="78"/>
  <c r="L302" i="78" s="1"/>
  <c r="K236" i="78"/>
  <c r="K302" i="78" s="1"/>
  <c r="J236" i="78"/>
  <c r="J302" i="78" s="1"/>
  <c r="I236" i="78"/>
  <c r="I302" i="78" s="1"/>
  <c r="H236" i="78"/>
  <c r="H302" i="78" s="1"/>
  <c r="G236" i="78"/>
  <c r="G302" i="78" s="1"/>
  <c r="L227" i="78"/>
  <c r="G227" i="78"/>
  <c r="G225" i="78"/>
  <c r="G291" i="78" s="1"/>
  <c r="G224" i="78"/>
  <c r="G223" i="78"/>
  <c r="G257" i="78" s="1"/>
  <c r="A213" i="78"/>
  <c r="A212" i="78"/>
  <c r="A211" i="78"/>
  <c r="A210" i="78"/>
  <c r="AA207" i="78"/>
  <c r="AA240" i="78" s="1"/>
  <c r="Z207" i="78"/>
  <c r="Z240" i="78" s="1"/>
  <c r="Y207" i="78"/>
  <c r="Y240" i="78" s="1"/>
  <c r="X207" i="78"/>
  <c r="X240" i="78" s="1"/>
  <c r="W207" i="78"/>
  <c r="V207" i="78"/>
  <c r="V240" i="78" s="1"/>
  <c r="U207" i="78"/>
  <c r="U240" i="78" s="1"/>
  <c r="T207" i="78"/>
  <c r="S207" i="78"/>
  <c r="S240" i="78" s="1"/>
  <c r="R207" i="78"/>
  <c r="R240" i="78" s="1"/>
  <c r="Q207" i="78"/>
  <c r="Q240" i="78" s="1"/>
  <c r="P207" i="78"/>
  <c r="P240" i="78" s="1"/>
  <c r="P306" i="78" s="1"/>
  <c r="O207" i="78"/>
  <c r="N207" i="78"/>
  <c r="N240" i="78" s="1"/>
  <c r="M207" i="78"/>
  <c r="M240" i="78" s="1"/>
  <c r="L207" i="78"/>
  <c r="L240" i="78" s="1"/>
  <c r="K207" i="78"/>
  <c r="K240" i="78" s="1"/>
  <c r="J207" i="78"/>
  <c r="J240" i="78" s="1"/>
  <c r="I207" i="78"/>
  <c r="I227" i="78" s="1"/>
  <c r="H207" i="78"/>
  <c r="H240" i="78" s="1"/>
  <c r="A206" i="78"/>
  <c r="A205" i="78"/>
  <c r="A204" i="78"/>
  <c r="A203" i="78"/>
  <c r="A198" i="78"/>
  <c r="A197" i="78"/>
  <c r="A194" i="78"/>
  <c r="A193" i="78"/>
  <c r="G192" i="78"/>
  <c r="A192" i="78"/>
  <c r="A191" i="78"/>
  <c r="A186" i="78"/>
  <c r="G185" i="78"/>
  <c r="A185" i="78"/>
  <c r="J184" i="78"/>
  <c r="I184" i="78"/>
  <c r="H184" i="78"/>
  <c r="A184" i="78"/>
  <c r="C183" i="78"/>
  <c r="A165" i="78"/>
  <c r="A164" i="78"/>
  <c r="H161" i="78"/>
  <c r="A160" i="78"/>
  <c r="A158" i="78"/>
  <c r="AA156" i="78"/>
  <c r="Z156" i="78"/>
  <c r="Y156" i="78"/>
  <c r="X156" i="78"/>
  <c r="W156" i="78"/>
  <c r="S156" i="78"/>
  <c r="R156" i="78"/>
  <c r="Q156" i="78"/>
  <c r="P156" i="78"/>
  <c r="O156" i="78"/>
  <c r="N156" i="78"/>
  <c r="M156" i="78"/>
  <c r="L156" i="78"/>
  <c r="K156" i="78"/>
  <c r="J156" i="78"/>
  <c r="I156" i="78"/>
  <c r="H156" i="78"/>
  <c r="A155" i="78"/>
  <c r="H154" i="78"/>
  <c r="V153" i="78"/>
  <c r="V156" i="78" s="1"/>
  <c r="U153" i="78"/>
  <c r="U156" i="78" s="1"/>
  <c r="T153" i="78"/>
  <c r="T156" i="78" s="1"/>
  <c r="S153" i="78"/>
  <c r="R153" i="78"/>
  <c r="A153" i="78"/>
  <c r="A144" i="78"/>
  <c r="A143" i="78"/>
  <c r="H142" i="78"/>
  <c r="H141" i="78"/>
  <c r="H140" i="78"/>
  <c r="H149" i="78" s="1"/>
  <c r="A139" i="78"/>
  <c r="A137" i="78"/>
  <c r="H136" i="78"/>
  <c r="AA135" i="78"/>
  <c r="Z135" i="78"/>
  <c r="Y135" i="78"/>
  <c r="X135" i="78"/>
  <c r="W135" i="78"/>
  <c r="U135" i="78"/>
  <c r="T135" i="78"/>
  <c r="R135" i="78"/>
  <c r="Q135" i="78"/>
  <c r="P135" i="78"/>
  <c r="O135" i="78"/>
  <c r="N135" i="78"/>
  <c r="M135" i="78"/>
  <c r="L135" i="78"/>
  <c r="K135" i="78"/>
  <c r="J135" i="78"/>
  <c r="I135" i="78"/>
  <c r="H135" i="78"/>
  <c r="A134" i="78"/>
  <c r="I133" i="78"/>
  <c r="H133" i="78"/>
  <c r="V132" i="78"/>
  <c r="V135" i="78" s="1"/>
  <c r="U132" i="78"/>
  <c r="T132" i="78"/>
  <c r="S132" i="78"/>
  <c r="S135" i="78" s="1"/>
  <c r="R132" i="78"/>
  <c r="A132" i="78"/>
  <c r="G124" i="78"/>
  <c r="G123" i="78"/>
  <c r="A123" i="78"/>
  <c r="A122" i="78"/>
  <c r="I116" i="78"/>
  <c r="J116" i="78" s="1"/>
  <c r="K116" i="78" s="1"/>
  <c r="L116" i="78" s="1"/>
  <c r="M116" i="78" s="1"/>
  <c r="N116" i="78" s="1"/>
  <c r="O116" i="78" s="1"/>
  <c r="P116" i="78" s="1"/>
  <c r="Q116" i="78" s="1"/>
  <c r="R116" i="78" s="1"/>
  <c r="S116" i="78" s="1"/>
  <c r="T116" i="78" s="1"/>
  <c r="U116" i="78" s="1"/>
  <c r="V116" i="78" s="1"/>
  <c r="W116" i="78" s="1"/>
  <c r="X116" i="78" s="1"/>
  <c r="Y116" i="78" s="1"/>
  <c r="Z116" i="78" s="1"/>
  <c r="AA116" i="78" s="1"/>
  <c r="H116" i="78"/>
  <c r="A116" i="78"/>
  <c r="AA114" i="78"/>
  <c r="Z114" i="78"/>
  <c r="Y114" i="78"/>
  <c r="X114" i="78"/>
  <c r="W114" i="78"/>
  <c r="A113" i="78"/>
  <c r="G112" i="78"/>
  <c r="A111" i="78"/>
  <c r="G105" i="78"/>
  <c r="G104" i="78"/>
  <c r="G103" i="78"/>
  <c r="G102" i="78"/>
  <c r="A102" i="78"/>
  <c r="A101" i="78"/>
  <c r="I95" i="78"/>
  <c r="J95" i="78" s="1"/>
  <c r="K95" i="78" s="1"/>
  <c r="L95" i="78" s="1"/>
  <c r="M95" i="78" s="1"/>
  <c r="N95" i="78" s="1"/>
  <c r="O95" i="78" s="1"/>
  <c r="P95" i="78" s="1"/>
  <c r="Q95" i="78" s="1"/>
  <c r="R95" i="78" s="1"/>
  <c r="S95" i="78" s="1"/>
  <c r="T95" i="78" s="1"/>
  <c r="U95" i="78" s="1"/>
  <c r="V95" i="78" s="1"/>
  <c r="W95" i="78" s="1"/>
  <c r="X95" i="78" s="1"/>
  <c r="Y95" i="78" s="1"/>
  <c r="Z95" i="78" s="1"/>
  <c r="AA95" i="78" s="1"/>
  <c r="H95" i="78"/>
  <c r="A95" i="78"/>
  <c r="AA93" i="78"/>
  <c r="AA174" i="78" s="1"/>
  <c r="AA217" i="78" s="1"/>
  <c r="Z93" i="78"/>
  <c r="Z174" i="78" s="1"/>
  <c r="Z217" i="78" s="1"/>
  <c r="Y93" i="78"/>
  <c r="Y174" i="78" s="1"/>
  <c r="Y217" i="78" s="1"/>
  <c r="X93" i="78"/>
  <c r="X174" i="78" s="1"/>
  <c r="X217" i="78" s="1"/>
  <c r="W93" i="78"/>
  <c r="W174" i="78" s="1"/>
  <c r="W217" i="78" s="1"/>
  <c r="A92" i="78"/>
  <c r="G91" i="78"/>
  <c r="A90" i="78"/>
  <c r="C87" i="78"/>
  <c r="Z84" i="78"/>
  <c r="Z235" i="78" s="1"/>
  <c r="W84" i="78"/>
  <c r="W235" i="78" s="1"/>
  <c r="R84" i="78"/>
  <c r="R235" i="78" s="1"/>
  <c r="O84" i="78"/>
  <c r="O235" i="78" s="1"/>
  <c r="J84" i="78"/>
  <c r="J235" i="78" s="1"/>
  <c r="G84" i="78"/>
  <c r="G235" i="78" s="1"/>
  <c r="AA80" i="78"/>
  <c r="Z80" i="78"/>
  <c r="Y80" i="78"/>
  <c r="X80" i="78"/>
  <c r="W80" i="78"/>
  <c r="V80" i="78"/>
  <c r="U80" i="78"/>
  <c r="T80" i="78"/>
  <c r="S80" i="78"/>
  <c r="R80" i="78"/>
  <c r="Q80" i="78"/>
  <c r="P80" i="78"/>
  <c r="O80" i="78"/>
  <c r="N80" i="78"/>
  <c r="M80" i="78"/>
  <c r="L80" i="78"/>
  <c r="K80" i="78"/>
  <c r="J80" i="78"/>
  <c r="I80" i="78"/>
  <c r="H80" i="78"/>
  <c r="G80" i="78"/>
  <c r="AA79" i="78"/>
  <c r="Z79" i="78"/>
  <c r="Y79" i="78"/>
  <c r="X79" i="78"/>
  <c r="W79" i="78"/>
  <c r="V79" i="78"/>
  <c r="U79" i="78"/>
  <c r="T79" i="78"/>
  <c r="S79" i="78"/>
  <c r="R79" i="78"/>
  <c r="Q79" i="78"/>
  <c r="P79" i="78"/>
  <c r="O79" i="78"/>
  <c r="N79" i="78"/>
  <c r="M79" i="78"/>
  <c r="L79" i="78"/>
  <c r="K79" i="78"/>
  <c r="J79" i="78"/>
  <c r="I79" i="78"/>
  <c r="H79" i="78"/>
  <c r="G79" i="78"/>
  <c r="G82" i="78" s="1"/>
  <c r="AA78" i="78"/>
  <c r="Z78" i="78"/>
  <c r="Y78" i="78"/>
  <c r="X78" i="78"/>
  <c r="W78" i="78"/>
  <c r="V78" i="78"/>
  <c r="U78" i="78"/>
  <c r="T78" i="78"/>
  <c r="S78" i="78"/>
  <c r="R78" i="78"/>
  <c r="Q78" i="78"/>
  <c r="P78" i="78"/>
  <c r="O78" i="78"/>
  <c r="N78" i="78"/>
  <c r="M78" i="78"/>
  <c r="T82" i="78" s="1"/>
  <c r="L78" i="78"/>
  <c r="K78" i="78"/>
  <c r="J78" i="78"/>
  <c r="I78" i="78"/>
  <c r="H78" i="78"/>
  <c r="W82" i="78" s="1"/>
  <c r="G78" i="78"/>
  <c r="AA82" i="78" s="1"/>
  <c r="AA75" i="78"/>
  <c r="Z75" i="78"/>
  <c r="Y75" i="78"/>
  <c r="X75" i="78"/>
  <c r="W75" i="78"/>
  <c r="V75" i="78"/>
  <c r="U75" i="78"/>
  <c r="T75" i="78"/>
  <c r="S75" i="78"/>
  <c r="R75" i="78"/>
  <c r="Q75" i="78"/>
  <c r="P75" i="78"/>
  <c r="O75" i="78"/>
  <c r="N75" i="78"/>
  <c r="M75" i="78"/>
  <c r="L75" i="78"/>
  <c r="K75" i="78"/>
  <c r="J75" i="78"/>
  <c r="I75" i="78"/>
  <c r="H75" i="78"/>
  <c r="G75" i="78"/>
  <c r="E73" i="78"/>
  <c r="E80" i="78" s="1"/>
  <c r="E72" i="78"/>
  <c r="E79" i="78" s="1"/>
  <c r="E71" i="78"/>
  <c r="E78" i="78" s="1"/>
  <c r="A70" i="78"/>
  <c r="AA66" i="78"/>
  <c r="Z66" i="78"/>
  <c r="Y66" i="78"/>
  <c r="X66" i="78"/>
  <c r="W66" i="78"/>
  <c r="V66" i="78"/>
  <c r="U66" i="78"/>
  <c r="T66" i="78"/>
  <c r="S66" i="78"/>
  <c r="R66" i="78"/>
  <c r="Q66" i="78"/>
  <c r="P66" i="78"/>
  <c r="O66" i="78"/>
  <c r="N66" i="78"/>
  <c r="M66" i="78"/>
  <c r="L66" i="78"/>
  <c r="K66" i="78"/>
  <c r="J66" i="78"/>
  <c r="I66" i="78"/>
  <c r="H66" i="78"/>
  <c r="G66" i="78"/>
  <c r="AA65" i="78"/>
  <c r="Z65" i="78"/>
  <c r="Y65" i="78"/>
  <c r="X65" i="78"/>
  <c r="W65" i="78"/>
  <c r="V65" i="78"/>
  <c r="U65" i="78"/>
  <c r="T65" i="78"/>
  <c r="S65" i="78"/>
  <c r="R65" i="78"/>
  <c r="Q65" i="78"/>
  <c r="P65" i="78"/>
  <c r="O65" i="78"/>
  <c r="N65" i="78"/>
  <c r="M65" i="78"/>
  <c r="L65" i="78"/>
  <c r="K65" i="78"/>
  <c r="J65" i="78"/>
  <c r="I65" i="78"/>
  <c r="H65" i="78"/>
  <c r="G65" i="78"/>
  <c r="G68" i="78" s="1"/>
  <c r="G85" i="78" s="1"/>
  <c r="AA64" i="78"/>
  <c r="Z64" i="78"/>
  <c r="Y64" i="78"/>
  <c r="X64" i="78"/>
  <c r="W64" i="78"/>
  <c r="V64" i="78"/>
  <c r="U64" i="78"/>
  <c r="T64" i="78"/>
  <c r="S64" i="78"/>
  <c r="R64" i="78"/>
  <c r="Q64" i="78"/>
  <c r="P64" i="78"/>
  <c r="O64" i="78"/>
  <c r="N64" i="78"/>
  <c r="M64" i="78"/>
  <c r="T68" i="78" s="1"/>
  <c r="T85" i="78" s="1"/>
  <c r="L64" i="78"/>
  <c r="K64" i="78"/>
  <c r="J64" i="78"/>
  <c r="I64" i="78"/>
  <c r="H64" i="78"/>
  <c r="W68" i="78" s="1"/>
  <c r="W85" i="78" s="1"/>
  <c r="G64" i="78"/>
  <c r="AA68" i="78" s="1"/>
  <c r="AA85" i="78" s="1"/>
  <c r="AA61" i="78"/>
  <c r="AA84" i="78" s="1"/>
  <c r="AA235" i="78" s="1"/>
  <c r="Z61" i="78"/>
  <c r="Y61" i="78"/>
  <c r="Y84" i="78" s="1"/>
  <c r="Y235" i="78" s="1"/>
  <c r="X61" i="78"/>
  <c r="X84" i="78" s="1"/>
  <c r="X235" i="78" s="1"/>
  <c r="W61" i="78"/>
  <c r="V61" i="78"/>
  <c r="V84" i="78" s="1"/>
  <c r="V235" i="78" s="1"/>
  <c r="U61" i="78"/>
  <c r="U84" i="78" s="1"/>
  <c r="U235" i="78" s="1"/>
  <c r="T61" i="78"/>
  <c r="T84" i="78" s="1"/>
  <c r="T235" i="78" s="1"/>
  <c r="S61" i="78"/>
  <c r="S84" i="78" s="1"/>
  <c r="S235" i="78" s="1"/>
  <c r="R61" i="78"/>
  <c r="Q61" i="78"/>
  <c r="Q84" i="78" s="1"/>
  <c r="Q235" i="78" s="1"/>
  <c r="P61" i="78"/>
  <c r="P84" i="78" s="1"/>
  <c r="P235" i="78" s="1"/>
  <c r="O61" i="78"/>
  <c r="N61" i="78"/>
  <c r="N84" i="78" s="1"/>
  <c r="N235" i="78" s="1"/>
  <c r="M61" i="78"/>
  <c r="M84" i="78" s="1"/>
  <c r="M235" i="78" s="1"/>
  <c r="L61" i="78"/>
  <c r="L84" i="78" s="1"/>
  <c r="L235" i="78" s="1"/>
  <c r="K61" i="78"/>
  <c r="K84" i="78" s="1"/>
  <c r="K235" i="78" s="1"/>
  <c r="J61" i="78"/>
  <c r="I61" i="78"/>
  <c r="I84" i="78" s="1"/>
  <c r="I235" i="78" s="1"/>
  <c r="H61" i="78"/>
  <c r="H84" i="78" s="1"/>
  <c r="H235" i="78" s="1"/>
  <c r="G61" i="78"/>
  <c r="E59" i="78"/>
  <c r="E66" i="78" s="1"/>
  <c r="E58" i="78"/>
  <c r="E65" i="78" s="1"/>
  <c r="E57" i="78"/>
  <c r="E64" i="78" s="1"/>
  <c r="A56" i="78"/>
  <c r="A52" i="78"/>
  <c r="AA48" i="78"/>
  <c r="Z48" i="78"/>
  <c r="Y48" i="78"/>
  <c r="X48" i="78"/>
  <c r="W48" i="78"/>
  <c r="V48" i="78"/>
  <c r="U48" i="78"/>
  <c r="T48" i="78"/>
  <c r="S48" i="78"/>
  <c r="R48" i="78"/>
  <c r="Q48" i="78"/>
  <c r="P48" i="78"/>
  <c r="O48" i="78"/>
  <c r="N48" i="78"/>
  <c r="M48" i="78"/>
  <c r="L48" i="78"/>
  <c r="K48" i="78"/>
  <c r="J48" i="78"/>
  <c r="I48" i="78"/>
  <c r="H48" i="78"/>
  <c r="G48" i="78"/>
  <c r="AA47" i="78"/>
  <c r="Z47" i="78"/>
  <c r="Y47" i="78"/>
  <c r="X47" i="78"/>
  <c r="W47" i="78"/>
  <c r="V47" i="78"/>
  <c r="U47" i="78"/>
  <c r="T47" i="78"/>
  <c r="S47" i="78"/>
  <c r="R47" i="78"/>
  <c r="Q47" i="78"/>
  <c r="P47" i="78"/>
  <c r="O47" i="78"/>
  <c r="N47" i="78"/>
  <c r="M47" i="78"/>
  <c r="L47" i="78"/>
  <c r="K47" i="78"/>
  <c r="J47" i="78"/>
  <c r="I47" i="78"/>
  <c r="H47" i="78"/>
  <c r="G47" i="78"/>
  <c r="AA46" i="78"/>
  <c r="Z46" i="78"/>
  <c r="Y46" i="78"/>
  <c r="X46" i="78"/>
  <c r="W46" i="78"/>
  <c r="V46" i="78"/>
  <c r="U46" i="78"/>
  <c r="T46" i="78"/>
  <c r="S46" i="78"/>
  <c r="R46" i="78"/>
  <c r="Q46" i="78"/>
  <c r="P46" i="78"/>
  <c r="O46" i="78"/>
  <c r="N46" i="78"/>
  <c r="M46" i="78"/>
  <c r="L46" i="78"/>
  <c r="K46" i="78"/>
  <c r="J46" i="78"/>
  <c r="I46" i="78"/>
  <c r="H46" i="78"/>
  <c r="G46" i="78"/>
  <c r="E46" i="78"/>
  <c r="G45" i="78"/>
  <c r="G42" i="78"/>
  <c r="G222" i="78" s="1"/>
  <c r="E40" i="78"/>
  <c r="E48" i="78" s="1"/>
  <c r="E39" i="78"/>
  <c r="E47" i="78" s="1"/>
  <c r="E38" i="78"/>
  <c r="Z37" i="78"/>
  <c r="Z45" i="78" s="1"/>
  <c r="E37" i="78"/>
  <c r="E45" i="78" s="1"/>
  <c r="A36" i="78"/>
  <c r="AA32" i="78"/>
  <c r="Z32" i="78"/>
  <c r="Y32" i="78"/>
  <c r="X32" i="78"/>
  <c r="W32" i="78"/>
  <c r="V32" i="78"/>
  <c r="U32" i="78"/>
  <c r="T32" i="78"/>
  <c r="S32" i="78"/>
  <c r="R32" i="78"/>
  <c r="Q32" i="78"/>
  <c r="P32" i="78"/>
  <c r="O32" i="78"/>
  <c r="N32" i="78"/>
  <c r="M32" i="78"/>
  <c r="L32" i="78"/>
  <c r="K32" i="78"/>
  <c r="J32" i="78"/>
  <c r="I32" i="78"/>
  <c r="H32" i="78"/>
  <c r="G32" i="78"/>
  <c r="E32" i="78"/>
  <c r="AA31" i="78"/>
  <c r="Z31" i="78"/>
  <c r="Y31" i="78"/>
  <c r="X31" i="78"/>
  <c r="W31" i="78"/>
  <c r="V31" i="78"/>
  <c r="U31" i="78"/>
  <c r="T31" i="78"/>
  <c r="S31" i="78"/>
  <c r="R31" i="78"/>
  <c r="Q31" i="78"/>
  <c r="P31" i="78"/>
  <c r="O31" i="78"/>
  <c r="N31" i="78"/>
  <c r="M31" i="78"/>
  <c r="L31" i="78"/>
  <c r="K31" i="78"/>
  <c r="J31" i="78"/>
  <c r="I31" i="78"/>
  <c r="H31" i="78"/>
  <c r="G31" i="78"/>
  <c r="E31" i="78"/>
  <c r="AA30" i="78"/>
  <c r="Z30" i="78"/>
  <c r="Y30" i="78"/>
  <c r="X30" i="78"/>
  <c r="W30" i="78"/>
  <c r="V30" i="78"/>
  <c r="U30" i="78"/>
  <c r="T30" i="78"/>
  <c r="S30" i="78"/>
  <c r="R30" i="78"/>
  <c r="Q30" i="78"/>
  <c r="P30" i="78"/>
  <c r="O30" i="78"/>
  <c r="N30" i="78"/>
  <c r="M30" i="78"/>
  <c r="L30" i="78"/>
  <c r="K30" i="78"/>
  <c r="J30" i="78"/>
  <c r="I30" i="78"/>
  <c r="H30" i="78"/>
  <c r="G30" i="78"/>
  <c r="E23" i="78"/>
  <c r="E22" i="78"/>
  <c r="E30" i="78" s="1"/>
  <c r="E21" i="78"/>
  <c r="E29" i="78" s="1"/>
  <c r="A20" i="78"/>
  <c r="A18" i="78"/>
  <c r="G15" i="78"/>
  <c r="A15" i="78"/>
  <c r="G14" i="78"/>
  <c r="A14" i="78"/>
  <c r="A10" i="78"/>
  <c r="A9" i="78"/>
  <c r="A8" i="78"/>
  <c r="A7" i="78"/>
  <c r="A4" i="78"/>
  <c r="P4" i="77"/>
  <c r="O4" i="77"/>
  <c r="N4" i="77"/>
  <c r="M4" i="77"/>
  <c r="F4" i="75"/>
  <c r="G4" i="75"/>
  <c r="H4" i="75"/>
  <c r="I4" i="75"/>
  <c r="J4" i="75"/>
  <c r="K4" i="75"/>
  <c r="L4" i="75"/>
  <c r="M4" i="75"/>
  <c r="N4" i="75"/>
  <c r="O4" i="75"/>
  <c r="P4" i="75"/>
  <c r="E4" i="75"/>
  <c r="E6" i="73"/>
  <c r="F4" i="73"/>
  <c r="G4" i="73"/>
  <c r="H4" i="73"/>
  <c r="I4" i="73"/>
  <c r="J4" i="73"/>
  <c r="K4" i="73"/>
  <c r="L4" i="73"/>
  <c r="M4" i="73"/>
  <c r="N4" i="73"/>
  <c r="O4" i="73"/>
  <c r="P4" i="73"/>
  <c r="E4" i="73"/>
  <c r="AA142" i="83" l="1"/>
  <c r="AA136" i="83"/>
  <c r="AA141" i="83"/>
  <c r="AA150" i="83" s="1"/>
  <c r="AA140" i="83"/>
  <c r="AA192" i="83"/>
  <c r="AA163" i="83"/>
  <c r="AA161" i="83"/>
  <c r="AA162" i="83"/>
  <c r="AA171" i="83" s="1"/>
  <c r="AA157" i="83"/>
  <c r="AA185" i="83"/>
  <c r="Z149" i="83"/>
  <c r="Z170" i="83"/>
  <c r="AA136" i="82"/>
  <c r="AA142" i="82"/>
  <c r="AA140" i="82"/>
  <c r="AA141" i="82"/>
  <c r="AA171" i="82"/>
  <c r="AA162" i="82"/>
  <c r="AA163" i="82"/>
  <c r="AA161" i="82"/>
  <c r="AA157" i="82"/>
  <c r="Z149" i="82"/>
  <c r="Z150" i="82"/>
  <c r="AA192" i="82"/>
  <c r="AA185" i="82"/>
  <c r="Z170" i="82"/>
  <c r="Y136" i="74"/>
  <c r="Z133" i="74"/>
  <c r="Y140" i="74"/>
  <c r="Y149" i="74" s="1"/>
  <c r="Y142" i="74"/>
  <c r="Y141" i="74"/>
  <c r="Y185" i="74"/>
  <c r="Y171" i="74"/>
  <c r="Y192" i="74"/>
  <c r="Z157" i="74"/>
  <c r="AA154" i="74"/>
  <c r="Z162" i="74"/>
  <c r="Z161" i="74"/>
  <c r="Z163" i="74"/>
  <c r="Z171" i="74" s="1"/>
  <c r="X149" i="74"/>
  <c r="Y157" i="76"/>
  <c r="Z154" i="76"/>
  <c r="Y163" i="76"/>
  <c r="Y162" i="76"/>
  <c r="Y161" i="76"/>
  <c r="Y185" i="76"/>
  <c r="Z141" i="76"/>
  <c r="Z142" i="76"/>
  <c r="Z136" i="76"/>
  <c r="Z140" i="76"/>
  <c r="Z149" i="76" s="1"/>
  <c r="AA133" i="76"/>
  <c r="Y192" i="76"/>
  <c r="Y144" i="76"/>
  <c r="X150" i="76"/>
  <c r="X171" i="76"/>
  <c r="P70" i="77"/>
  <c r="G70" i="77"/>
  <c r="Q69" i="77"/>
  <c r="R6" i="77" s="1"/>
  <c r="P69" i="77"/>
  <c r="Q6" i="77" s="1"/>
  <c r="D69" i="77"/>
  <c r="S70" i="77"/>
  <c r="R70" i="75"/>
  <c r="S6" i="75" s="1"/>
  <c r="S69" i="75"/>
  <c r="Q70" i="75"/>
  <c r="R6" i="75" s="1"/>
  <c r="R69" i="75"/>
  <c r="P70" i="75"/>
  <c r="Q6" i="75" s="1"/>
  <c r="Q69" i="75"/>
  <c r="M70" i="75"/>
  <c r="N6" i="75" s="1"/>
  <c r="N69" i="75"/>
  <c r="J70" i="75"/>
  <c r="K6" i="75" s="1"/>
  <c r="K69" i="75"/>
  <c r="I70" i="75"/>
  <c r="J6" i="75" s="1"/>
  <c r="J69" i="75"/>
  <c r="H70" i="75"/>
  <c r="I6" i="75" s="1"/>
  <c r="I69" i="75"/>
  <c r="U70" i="75"/>
  <c r="V6" i="75" s="1"/>
  <c r="E70" i="75"/>
  <c r="F6" i="75" s="1"/>
  <c r="L69" i="77"/>
  <c r="M6" i="77" s="1"/>
  <c r="D69" i="75"/>
  <c r="O70" i="75"/>
  <c r="P6" i="75" s="1"/>
  <c r="G70" i="75"/>
  <c r="H6" i="75" s="1"/>
  <c r="P69" i="75"/>
  <c r="H69" i="75"/>
  <c r="D70" i="75"/>
  <c r="E6" i="75" s="1"/>
  <c r="N70" i="75"/>
  <c r="O6" i="75" s="1"/>
  <c r="F70" i="75"/>
  <c r="G6" i="75" s="1"/>
  <c r="O69" i="75"/>
  <c r="G69" i="75"/>
  <c r="F69" i="75"/>
  <c r="T70" i="75"/>
  <c r="U6" i="75" s="1"/>
  <c r="L70" i="75"/>
  <c r="M6" i="75" s="1"/>
  <c r="U69" i="75"/>
  <c r="M69" i="75"/>
  <c r="E69" i="75"/>
  <c r="S70" i="75"/>
  <c r="T6" i="75" s="1"/>
  <c r="K70" i="75"/>
  <c r="L6" i="75" s="1"/>
  <c r="T69" i="75"/>
  <c r="O70" i="77"/>
  <c r="I69" i="77"/>
  <c r="K70" i="77"/>
  <c r="H69" i="77"/>
  <c r="H70" i="77"/>
  <c r="T69" i="77"/>
  <c r="U6" i="77" s="1"/>
  <c r="D70" i="77"/>
  <c r="N70" i="77"/>
  <c r="F70" i="77"/>
  <c r="O69" i="77"/>
  <c r="P6" i="77" s="1"/>
  <c r="G69" i="77"/>
  <c r="U70" i="77"/>
  <c r="M70" i="77"/>
  <c r="E70" i="77"/>
  <c r="N69" i="77"/>
  <c r="O6" i="77" s="1"/>
  <c r="F69" i="77"/>
  <c r="T70" i="77"/>
  <c r="L70" i="77"/>
  <c r="U69" i="77"/>
  <c r="V6" i="77" s="1"/>
  <c r="M69" i="77"/>
  <c r="N6" i="77" s="1"/>
  <c r="E69" i="77"/>
  <c r="R70" i="77"/>
  <c r="J70" i="77"/>
  <c r="S69" i="77"/>
  <c r="T6" i="77" s="1"/>
  <c r="K69" i="77"/>
  <c r="Q70" i="77"/>
  <c r="I70" i="77"/>
  <c r="R69" i="77"/>
  <c r="S6" i="77" s="1"/>
  <c r="H301" i="80"/>
  <c r="H269" i="80"/>
  <c r="P301" i="80"/>
  <c r="P269" i="80"/>
  <c r="X301" i="80"/>
  <c r="X269" i="80"/>
  <c r="O301" i="80"/>
  <c r="O269" i="80"/>
  <c r="I301" i="80"/>
  <c r="I269" i="80"/>
  <c r="Q301" i="80"/>
  <c r="Q269" i="80"/>
  <c r="Y301" i="80"/>
  <c r="Y269" i="80"/>
  <c r="J301" i="80"/>
  <c r="J269" i="80"/>
  <c r="R269" i="80"/>
  <c r="R301" i="80"/>
  <c r="Z301" i="80"/>
  <c r="Z269" i="80"/>
  <c r="K301" i="80"/>
  <c r="K269" i="80"/>
  <c r="S269" i="80"/>
  <c r="S301" i="80"/>
  <c r="AA301" i="80"/>
  <c r="AA269" i="80"/>
  <c r="G301" i="80"/>
  <c r="G269" i="80"/>
  <c r="X288" i="80"/>
  <c r="X256" i="80"/>
  <c r="L301" i="80"/>
  <c r="L269" i="80"/>
  <c r="T301" i="80"/>
  <c r="T269" i="80"/>
  <c r="U301" i="80"/>
  <c r="U269" i="80"/>
  <c r="W301" i="80"/>
  <c r="W269" i="80"/>
  <c r="N301" i="80"/>
  <c r="N269" i="80"/>
  <c r="V301" i="80"/>
  <c r="V269" i="80"/>
  <c r="Z82" i="80"/>
  <c r="Y37" i="80"/>
  <c r="K68" i="80"/>
  <c r="S68" i="80"/>
  <c r="S85" i="80" s="1"/>
  <c r="AA68" i="80"/>
  <c r="AA85" i="80" s="1"/>
  <c r="K82" i="80"/>
  <c r="S82" i="80"/>
  <c r="AA82" i="80"/>
  <c r="Z37" i="80"/>
  <c r="L68" i="80"/>
  <c r="L85" i="80" s="1"/>
  <c r="T68" i="80"/>
  <c r="L82" i="80"/>
  <c r="T82" i="80"/>
  <c r="H142" i="80"/>
  <c r="H140" i="80"/>
  <c r="H141" i="80"/>
  <c r="H136" i="80"/>
  <c r="I133" i="80"/>
  <c r="AA37" i="80"/>
  <c r="M68" i="80"/>
  <c r="U68" i="80"/>
  <c r="U85" i="80" s="1"/>
  <c r="M82" i="80"/>
  <c r="U82" i="80"/>
  <c r="H123" i="80"/>
  <c r="I123" i="80" s="1"/>
  <c r="J123" i="80" s="1"/>
  <c r="K123" i="80" s="1"/>
  <c r="L123" i="80" s="1"/>
  <c r="M123" i="80" s="1"/>
  <c r="N123" i="80" s="1"/>
  <c r="O123" i="80" s="1"/>
  <c r="P123" i="80" s="1"/>
  <c r="Q123" i="80" s="1"/>
  <c r="R123" i="80" s="1"/>
  <c r="S123" i="80" s="1"/>
  <c r="T123" i="80" s="1"/>
  <c r="U123" i="80" s="1"/>
  <c r="V123" i="80" s="1"/>
  <c r="W123" i="80" s="1"/>
  <c r="X123" i="80" s="1"/>
  <c r="Y123" i="80" s="1"/>
  <c r="Z123" i="80" s="1"/>
  <c r="AA123" i="80" s="1"/>
  <c r="M301" i="80"/>
  <c r="M269" i="80"/>
  <c r="G50" i="80"/>
  <c r="N68" i="80"/>
  <c r="V68" i="80"/>
  <c r="V85" i="80" s="1"/>
  <c r="N82" i="80"/>
  <c r="V82" i="80"/>
  <c r="H167" i="80"/>
  <c r="I167" i="80" s="1"/>
  <c r="J167" i="80" s="1"/>
  <c r="K167" i="80" s="1"/>
  <c r="L167" i="80" s="1"/>
  <c r="M167" i="80" s="1"/>
  <c r="N167" i="80" s="1"/>
  <c r="O167" i="80" s="1"/>
  <c r="P167" i="80" s="1"/>
  <c r="Q167" i="80" s="1"/>
  <c r="R167" i="80" s="1"/>
  <c r="S167" i="80" s="1"/>
  <c r="T167" i="80" s="1"/>
  <c r="U167" i="80" s="1"/>
  <c r="V167" i="80" s="1"/>
  <c r="W167" i="80" s="1"/>
  <c r="X167" i="80" s="1"/>
  <c r="Y167" i="80" s="1"/>
  <c r="Z167" i="80" s="1"/>
  <c r="AA167" i="80" s="1"/>
  <c r="Z68" i="80"/>
  <c r="Z85" i="80" s="1"/>
  <c r="G68" i="80"/>
  <c r="O68" i="80"/>
  <c r="W68" i="80"/>
  <c r="G82" i="80"/>
  <c r="O82" i="80"/>
  <c r="W82" i="80"/>
  <c r="H193" i="80"/>
  <c r="I193" i="80" s="1"/>
  <c r="J193" i="80" s="1"/>
  <c r="K193" i="80" s="1"/>
  <c r="L193" i="80" s="1"/>
  <c r="M193" i="80" s="1"/>
  <c r="N193" i="80" s="1"/>
  <c r="O193" i="80" s="1"/>
  <c r="P193" i="80" s="1"/>
  <c r="Q193" i="80" s="1"/>
  <c r="R193" i="80" s="1"/>
  <c r="S193" i="80" s="1"/>
  <c r="T193" i="80" s="1"/>
  <c r="U193" i="80" s="1"/>
  <c r="V193" i="80" s="1"/>
  <c r="W193" i="80" s="1"/>
  <c r="X193" i="80" s="1"/>
  <c r="Y193" i="80" s="1"/>
  <c r="Z193" i="80" s="1"/>
  <c r="AA193" i="80" s="1"/>
  <c r="H146" i="80"/>
  <c r="I146" i="80" s="1"/>
  <c r="J146" i="80" s="1"/>
  <c r="K146" i="80" s="1"/>
  <c r="L146" i="80" s="1"/>
  <c r="M146" i="80" s="1"/>
  <c r="N146" i="80" s="1"/>
  <c r="O146" i="80" s="1"/>
  <c r="P146" i="80" s="1"/>
  <c r="Q146" i="80" s="1"/>
  <c r="R146" i="80" s="1"/>
  <c r="S146" i="80" s="1"/>
  <c r="T146" i="80" s="1"/>
  <c r="U146" i="80" s="1"/>
  <c r="V146" i="80" s="1"/>
  <c r="W146" i="80" s="1"/>
  <c r="X146" i="80" s="1"/>
  <c r="Y146" i="80" s="1"/>
  <c r="Z146" i="80" s="1"/>
  <c r="AA146" i="80" s="1"/>
  <c r="H168" i="80"/>
  <c r="I168" i="80" s="1"/>
  <c r="J168" i="80" s="1"/>
  <c r="K168" i="80" s="1"/>
  <c r="L168" i="80" s="1"/>
  <c r="M168" i="80" s="1"/>
  <c r="N168" i="80" s="1"/>
  <c r="O168" i="80" s="1"/>
  <c r="P168" i="80" s="1"/>
  <c r="Q168" i="80" s="1"/>
  <c r="R168" i="80" s="1"/>
  <c r="S168" i="80" s="1"/>
  <c r="T168" i="80" s="1"/>
  <c r="U168" i="80" s="1"/>
  <c r="V168" i="80" s="1"/>
  <c r="W168" i="80" s="1"/>
  <c r="X168" i="80" s="1"/>
  <c r="Y168" i="80" s="1"/>
  <c r="Z168" i="80" s="1"/>
  <c r="AA168" i="80" s="1"/>
  <c r="H166" i="80"/>
  <c r="I166" i="80" s="1"/>
  <c r="J166" i="80" s="1"/>
  <c r="K166" i="80" s="1"/>
  <c r="L166" i="80" s="1"/>
  <c r="M166" i="80" s="1"/>
  <c r="N166" i="80" s="1"/>
  <c r="O166" i="80" s="1"/>
  <c r="P166" i="80" s="1"/>
  <c r="Q166" i="80" s="1"/>
  <c r="R166" i="80" s="1"/>
  <c r="S166" i="80" s="1"/>
  <c r="T166" i="80" s="1"/>
  <c r="U166" i="80" s="1"/>
  <c r="V166" i="80" s="1"/>
  <c r="W166" i="80" s="1"/>
  <c r="X166" i="80" s="1"/>
  <c r="Y166" i="80" s="1"/>
  <c r="Z166" i="80" s="1"/>
  <c r="AA166" i="80" s="1"/>
  <c r="H165" i="80"/>
  <c r="I165" i="80" s="1"/>
  <c r="J165" i="80" s="1"/>
  <c r="K165" i="80" s="1"/>
  <c r="L165" i="80" s="1"/>
  <c r="M165" i="80" s="1"/>
  <c r="N165" i="80" s="1"/>
  <c r="O165" i="80" s="1"/>
  <c r="P165" i="80" s="1"/>
  <c r="Q165" i="80" s="1"/>
  <c r="R165" i="80" s="1"/>
  <c r="S165" i="80" s="1"/>
  <c r="T165" i="80" s="1"/>
  <c r="U165" i="80" s="1"/>
  <c r="V165" i="80" s="1"/>
  <c r="W165" i="80" s="1"/>
  <c r="X165" i="80" s="1"/>
  <c r="Y165" i="80" s="1"/>
  <c r="Z165" i="80" s="1"/>
  <c r="AA165" i="80" s="1"/>
  <c r="H126" i="80"/>
  <c r="I126" i="80" s="1"/>
  <c r="J126" i="80" s="1"/>
  <c r="K126" i="80" s="1"/>
  <c r="L126" i="80" s="1"/>
  <c r="M126" i="80" s="1"/>
  <c r="N126" i="80" s="1"/>
  <c r="O126" i="80" s="1"/>
  <c r="P126" i="80" s="1"/>
  <c r="Q126" i="80" s="1"/>
  <c r="R126" i="80" s="1"/>
  <c r="S126" i="80" s="1"/>
  <c r="T126" i="80" s="1"/>
  <c r="U126" i="80" s="1"/>
  <c r="V126" i="80" s="1"/>
  <c r="W126" i="80" s="1"/>
  <c r="X126" i="80" s="1"/>
  <c r="Y126" i="80" s="1"/>
  <c r="Z126" i="80" s="1"/>
  <c r="AA126" i="80" s="1"/>
  <c r="H144" i="80"/>
  <c r="I144" i="80" s="1"/>
  <c r="J144" i="80" s="1"/>
  <c r="K144" i="80" s="1"/>
  <c r="L144" i="80" s="1"/>
  <c r="M144" i="80" s="1"/>
  <c r="N144" i="80" s="1"/>
  <c r="O144" i="80" s="1"/>
  <c r="P144" i="80" s="1"/>
  <c r="Q144" i="80" s="1"/>
  <c r="R144" i="80" s="1"/>
  <c r="S144" i="80" s="1"/>
  <c r="T144" i="80" s="1"/>
  <c r="U144" i="80" s="1"/>
  <c r="V144" i="80" s="1"/>
  <c r="W144" i="80" s="1"/>
  <c r="X144" i="80" s="1"/>
  <c r="Y144" i="80" s="1"/>
  <c r="Z144" i="80" s="1"/>
  <c r="AA144" i="80" s="1"/>
  <c r="H105" i="80"/>
  <c r="I105" i="80" s="1"/>
  <c r="J105" i="80" s="1"/>
  <c r="K105" i="80" s="1"/>
  <c r="L105" i="80" s="1"/>
  <c r="M105" i="80" s="1"/>
  <c r="N105" i="80" s="1"/>
  <c r="O105" i="80" s="1"/>
  <c r="P105" i="80" s="1"/>
  <c r="Q105" i="80" s="1"/>
  <c r="R105" i="80" s="1"/>
  <c r="S105" i="80" s="1"/>
  <c r="T105" i="80" s="1"/>
  <c r="U105" i="80" s="1"/>
  <c r="V105" i="80" s="1"/>
  <c r="W105" i="80" s="1"/>
  <c r="X105" i="80" s="1"/>
  <c r="Y105" i="80" s="1"/>
  <c r="Z105" i="80" s="1"/>
  <c r="AA105" i="80" s="1"/>
  <c r="H147" i="80"/>
  <c r="I147" i="80" s="1"/>
  <c r="J147" i="80" s="1"/>
  <c r="K147" i="80" s="1"/>
  <c r="L147" i="80" s="1"/>
  <c r="M147" i="80" s="1"/>
  <c r="N147" i="80" s="1"/>
  <c r="O147" i="80" s="1"/>
  <c r="P147" i="80" s="1"/>
  <c r="Q147" i="80" s="1"/>
  <c r="R147" i="80" s="1"/>
  <c r="S147" i="80" s="1"/>
  <c r="T147" i="80" s="1"/>
  <c r="U147" i="80" s="1"/>
  <c r="V147" i="80" s="1"/>
  <c r="W147" i="80" s="1"/>
  <c r="X147" i="80" s="1"/>
  <c r="Y147" i="80" s="1"/>
  <c r="Z147" i="80" s="1"/>
  <c r="AA147" i="80" s="1"/>
  <c r="H125" i="80"/>
  <c r="I125" i="80" s="1"/>
  <c r="J125" i="80" s="1"/>
  <c r="K125" i="80" s="1"/>
  <c r="L125" i="80" s="1"/>
  <c r="M125" i="80" s="1"/>
  <c r="N125" i="80" s="1"/>
  <c r="O125" i="80" s="1"/>
  <c r="P125" i="80" s="1"/>
  <c r="Q125" i="80" s="1"/>
  <c r="R125" i="80" s="1"/>
  <c r="S125" i="80" s="1"/>
  <c r="T125" i="80" s="1"/>
  <c r="U125" i="80" s="1"/>
  <c r="V125" i="80" s="1"/>
  <c r="W125" i="80" s="1"/>
  <c r="X125" i="80" s="1"/>
  <c r="Y125" i="80" s="1"/>
  <c r="Z125" i="80" s="1"/>
  <c r="AA125" i="80" s="1"/>
  <c r="H145" i="80"/>
  <c r="I145" i="80" s="1"/>
  <c r="J145" i="80" s="1"/>
  <c r="K145" i="80" s="1"/>
  <c r="L145" i="80" s="1"/>
  <c r="M145" i="80" s="1"/>
  <c r="N145" i="80" s="1"/>
  <c r="O145" i="80" s="1"/>
  <c r="P145" i="80" s="1"/>
  <c r="Q145" i="80" s="1"/>
  <c r="R145" i="80" s="1"/>
  <c r="S145" i="80" s="1"/>
  <c r="T145" i="80" s="1"/>
  <c r="U145" i="80" s="1"/>
  <c r="V145" i="80" s="1"/>
  <c r="W145" i="80" s="1"/>
  <c r="X145" i="80" s="1"/>
  <c r="Y145" i="80" s="1"/>
  <c r="Z145" i="80" s="1"/>
  <c r="AA145" i="80" s="1"/>
  <c r="X45" i="80"/>
  <c r="H68" i="80"/>
  <c r="H85" i="80" s="1"/>
  <c r="P68" i="80"/>
  <c r="X68" i="80"/>
  <c r="X85" i="80" s="1"/>
  <c r="H82" i="80"/>
  <c r="P82" i="80"/>
  <c r="X82" i="80"/>
  <c r="H104" i="80"/>
  <c r="I104" i="80" s="1"/>
  <c r="J104" i="80" s="1"/>
  <c r="K104" i="80" s="1"/>
  <c r="L104" i="80" s="1"/>
  <c r="M104" i="80" s="1"/>
  <c r="N104" i="80" s="1"/>
  <c r="O104" i="80" s="1"/>
  <c r="P104" i="80" s="1"/>
  <c r="Q104" i="80" s="1"/>
  <c r="R104" i="80" s="1"/>
  <c r="S104" i="80" s="1"/>
  <c r="T104" i="80" s="1"/>
  <c r="U104" i="80" s="1"/>
  <c r="V104" i="80" s="1"/>
  <c r="W104" i="80" s="1"/>
  <c r="X104" i="80" s="1"/>
  <c r="Y104" i="80" s="1"/>
  <c r="Z104" i="80" s="1"/>
  <c r="AA104" i="80" s="1"/>
  <c r="H124" i="80"/>
  <c r="I124" i="80" s="1"/>
  <c r="J124" i="80" s="1"/>
  <c r="K124" i="80" s="1"/>
  <c r="L124" i="80" s="1"/>
  <c r="M124" i="80" s="1"/>
  <c r="N124" i="80" s="1"/>
  <c r="O124" i="80" s="1"/>
  <c r="P124" i="80" s="1"/>
  <c r="Q124" i="80" s="1"/>
  <c r="R124" i="80" s="1"/>
  <c r="S124" i="80" s="1"/>
  <c r="T124" i="80" s="1"/>
  <c r="U124" i="80" s="1"/>
  <c r="V124" i="80" s="1"/>
  <c r="W124" i="80" s="1"/>
  <c r="X124" i="80" s="1"/>
  <c r="Y124" i="80" s="1"/>
  <c r="Z124" i="80" s="1"/>
  <c r="AA124" i="80" s="1"/>
  <c r="H192" i="80"/>
  <c r="W37" i="80"/>
  <c r="G288" i="80"/>
  <c r="G256" i="80"/>
  <c r="I68" i="80"/>
  <c r="I85" i="80" s="1"/>
  <c r="Q68" i="80"/>
  <c r="I82" i="80"/>
  <c r="Q82" i="80"/>
  <c r="H162" i="80"/>
  <c r="H157" i="80"/>
  <c r="I154" i="80"/>
  <c r="H163" i="80"/>
  <c r="H161" i="80"/>
  <c r="H171" i="80" s="1"/>
  <c r="M240" i="80"/>
  <c r="M227" i="80"/>
  <c r="U240" i="80"/>
  <c r="U227" i="80"/>
  <c r="I302" i="80"/>
  <c r="I270" i="80"/>
  <c r="Q302" i="80"/>
  <c r="Q270" i="80"/>
  <c r="Y302" i="80"/>
  <c r="Y270" i="80"/>
  <c r="N293" i="80"/>
  <c r="N261" i="80"/>
  <c r="O261" i="80"/>
  <c r="O274" i="80"/>
  <c r="O306" i="80"/>
  <c r="G293" i="80"/>
  <c r="G261" i="80"/>
  <c r="N274" i="80"/>
  <c r="N306" i="80"/>
  <c r="J302" i="80"/>
  <c r="J270" i="80"/>
  <c r="R302" i="80"/>
  <c r="R270" i="80"/>
  <c r="Z302" i="80"/>
  <c r="Z270" i="80"/>
  <c r="H185" i="80"/>
  <c r="H306" i="80"/>
  <c r="H274" i="80"/>
  <c r="V274" i="80"/>
  <c r="AB274" i="80" s="1"/>
  <c r="AB240" i="80"/>
  <c r="V306" i="80"/>
  <c r="AB306" i="80" s="1"/>
  <c r="W274" i="80"/>
  <c r="W306" i="80"/>
  <c r="V227" i="80"/>
  <c r="H293" i="80"/>
  <c r="H261" i="80"/>
  <c r="P274" i="80"/>
  <c r="P306" i="80"/>
  <c r="X306" i="80"/>
  <c r="X274" i="80"/>
  <c r="W227" i="80"/>
  <c r="G291" i="80"/>
  <c r="G259" i="80"/>
  <c r="H302" i="80"/>
  <c r="H270" i="80"/>
  <c r="P302" i="80"/>
  <c r="P270" i="80"/>
  <c r="X302" i="80"/>
  <c r="X270" i="80"/>
  <c r="G290" i="80"/>
  <c r="G238" i="80"/>
  <c r="P227" i="80"/>
  <c r="X227" i="80"/>
  <c r="K302" i="80"/>
  <c r="K270" i="80"/>
  <c r="S302" i="80"/>
  <c r="S270" i="80"/>
  <c r="AA302" i="80"/>
  <c r="AA270" i="80"/>
  <c r="N270" i="80"/>
  <c r="O302" i="80"/>
  <c r="I306" i="80"/>
  <c r="I274" i="80"/>
  <c r="Q306" i="80"/>
  <c r="Q274" i="80"/>
  <c r="I227" i="80"/>
  <c r="Q227" i="80"/>
  <c r="Y227" i="80"/>
  <c r="L302" i="80"/>
  <c r="L270" i="80"/>
  <c r="T302" i="80"/>
  <c r="T270" i="80"/>
  <c r="G303" i="80"/>
  <c r="G271" i="80"/>
  <c r="U270" i="80"/>
  <c r="J306" i="80"/>
  <c r="J274" i="80"/>
  <c r="R306" i="80"/>
  <c r="R274" i="80"/>
  <c r="Z306" i="80"/>
  <c r="Z274" i="80"/>
  <c r="J227" i="80"/>
  <c r="R227" i="80"/>
  <c r="Z227" i="80"/>
  <c r="V270" i="80"/>
  <c r="K306" i="80"/>
  <c r="K274" i="80"/>
  <c r="S306" i="80"/>
  <c r="S274" i="80"/>
  <c r="AA306" i="80"/>
  <c r="AA274" i="80"/>
  <c r="G289" i="80"/>
  <c r="G257" i="80"/>
  <c r="K227" i="80"/>
  <c r="S227" i="80"/>
  <c r="AA227" i="80"/>
  <c r="L306" i="80"/>
  <c r="L274" i="80"/>
  <c r="T306" i="80"/>
  <c r="T274" i="80"/>
  <c r="L227" i="80"/>
  <c r="T227" i="80"/>
  <c r="G302" i="80"/>
  <c r="G270" i="80"/>
  <c r="W302" i="80"/>
  <c r="W270" i="80"/>
  <c r="G274" i="80"/>
  <c r="G306" i="80"/>
  <c r="G258" i="80"/>
  <c r="Y274" i="80"/>
  <c r="G273" i="80"/>
  <c r="G307" i="80"/>
  <c r="G275" i="80"/>
  <c r="O14" i="79"/>
  <c r="G14" i="79"/>
  <c r="T14" i="79"/>
  <c r="S14" i="79"/>
  <c r="V14" i="79"/>
  <c r="N14" i="79"/>
  <c r="F14" i="79"/>
  <c r="F32" i="79" s="1"/>
  <c r="U14" i="79"/>
  <c r="M14" i="79"/>
  <c r="E14" i="79"/>
  <c r="E32" i="79" s="1"/>
  <c r="L14" i="79"/>
  <c r="R14" i="79"/>
  <c r="J14" i="79"/>
  <c r="H14" i="79"/>
  <c r="Q14" i="79"/>
  <c r="I14" i="79"/>
  <c r="P14" i="79"/>
  <c r="K14" i="79"/>
  <c r="O17" i="79"/>
  <c r="V17" i="79"/>
  <c r="N17" i="79"/>
  <c r="L17" i="79"/>
  <c r="U17" i="79"/>
  <c r="M17" i="79"/>
  <c r="T17" i="79"/>
  <c r="K17" i="79"/>
  <c r="R17" i="79"/>
  <c r="J17" i="79"/>
  <c r="H17" i="79"/>
  <c r="Q17" i="79"/>
  <c r="I17" i="79"/>
  <c r="P17" i="79"/>
  <c r="S17" i="79"/>
  <c r="T19" i="79"/>
  <c r="L19" i="79"/>
  <c r="S19" i="79"/>
  <c r="K19" i="79"/>
  <c r="R19" i="79"/>
  <c r="J19" i="79"/>
  <c r="Q19" i="79"/>
  <c r="P19" i="79"/>
  <c r="O19" i="79"/>
  <c r="M19" i="79"/>
  <c r="V19" i="79"/>
  <c r="N19" i="79"/>
  <c r="U19" i="79"/>
  <c r="P20" i="79"/>
  <c r="O20" i="79"/>
  <c r="M20" i="79"/>
  <c r="L20" i="79"/>
  <c r="V20" i="79"/>
  <c r="N20" i="79"/>
  <c r="U20" i="79"/>
  <c r="S20" i="79"/>
  <c r="K20" i="79"/>
  <c r="Q20" i="79"/>
  <c r="R20" i="79"/>
  <c r="T20" i="79"/>
  <c r="U21" i="79"/>
  <c r="M21" i="79"/>
  <c r="R21" i="79"/>
  <c r="T21" i="79"/>
  <c r="L21" i="79"/>
  <c r="S21" i="79"/>
  <c r="Q21" i="79"/>
  <c r="P21" i="79"/>
  <c r="V21" i="79"/>
  <c r="O21" i="79"/>
  <c r="N21" i="79"/>
  <c r="Q18" i="79"/>
  <c r="I18" i="79"/>
  <c r="N18" i="79"/>
  <c r="U18" i="79"/>
  <c r="P18" i="79"/>
  <c r="V18" i="79"/>
  <c r="M18" i="79"/>
  <c r="O18" i="79"/>
  <c r="T18" i="79"/>
  <c r="L18" i="79"/>
  <c r="J18" i="79"/>
  <c r="S18" i="79"/>
  <c r="K18" i="79"/>
  <c r="R18" i="79"/>
  <c r="O15" i="79"/>
  <c r="H15" i="79"/>
  <c r="P15" i="79"/>
  <c r="G15" i="79"/>
  <c r="I15" i="79"/>
  <c r="Q15" i="79"/>
  <c r="R15" i="79"/>
  <c r="S15" i="79"/>
  <c r="L15" i="79"/>
  <c r="T15" i="79"/>
  <c r="J15" i="79"/>
  <c r="K15" i="79"/>
  <c r="M15" i="79"/>
  <c r="U15" i="79"/>
  <c r="F15" i="79"/>
  <c r="N15" i="79"/>
  <c r="I301" i="78"/>
  <c r="I269" i="78"/>
  <c r="Y301" i="78"/>
  <c r="Y269" i="78"/>
  <c r="Q301" i="78"/>
  <c r="Q269" i="78"/>
  <c r="K269" i="78"/>
  <c r="K301" i="78"/>
  <c r="S301" i="78"/>
  <c r="S269" i="78"/>
  <c r="AA269" i="78"/>
  <c r="AA301" i="78"/>
  <c r="L301" i="78"/>
  <c r="L269" i="78"/>
  <c r="M301" i="78"/>
  <c r="M269" i="78"/>
  <c r="U301" i="78"/>
  <c r="U269" i="78"/>
  <c r="N301" i="78"/>
  <c r="N269" i="78"/>
  <c r="V301" i="78"/>
  <c r="V269" i="78"/>
  <c r="T301" i="78"/>
  <c r="T269" i="78"/>
  <c r="H301" i="78"/>
  <c r="H269" i="78"/>
  <c r="P301" i="78"/>
  <c r="P269" i="78"/>
  <c r="X301" i="78"/>
  <c r="X269" i="78"/>
  <c r="L68" i="78"/>
  <c r="L82" i="78"/>
  <c r="G301" i="78"/>
  <c r="G269" i="78"/>
  <c r="O301" i="78"/>
  <c r="O269" i="78"/>
  <c r="W301" i="78"/>
  <c r="W269" i="78"/>
  <c r="L293" i="78"/>
  <c r="L261" i="78"/>
  <c r="AA37" i="78"/>
  <c r="M68" i="78"/>
  <c r="U68" i="78"/>
  <c r="U85" i="78" s="1"/>
  <c r="M82" i="78"/>
  <c r="U82" i="78"/>
  <c r="Z42" i="78"/>
  <c r="Z222" i="78" s="1"/>
  <c r="G50" i="78"/>
  <c r="N68" i="78"/>
  <c r="N85" i="78" s="1"/>
  <c r="V68" i="78"/>
  <c r="N82" i="78"/>
  <c r="V82" i="78"/>
  <c r="I102" i="78"/>
  <c r="J102" i="78" s="1"/>
  <c r="K102" i="78" s="1"/>
  <c r="L102" i="78" s="1"/>
  <c r="M102" i="78" s="1"/>
  <c r="N102" i="78" s="1"/>
  <c r="O102" i="78" s="1"/>
  <c r="P102" i="78" s="1"/>
  <c r="Q102" i="78" s="1"/>
  <c r="R102" i="78" s="1"/>
  <c r="S102" i="78" s="1"/>
  <c r="T102" i="78" s="1"/>
  <c r="U102" i="78" s="1"/>
  <c r="V102" i="78" s="1"/>
  <c r="W102" i="78" s="1"/>
  <c r="X102" i="78" s="1"/>
  <c r="Y102" i="78" s="1"/>
  <c r="Z102" i="78" s="1"/>
  <c r="AA102" i="78" s="1"/>
  <c r="O68" i="78"/>
  <c r="O85" i="78" s="1"/>
  <c r="O82" i="78"/>
  <c r="J269" i="78"/>
  <c r="J301" i="78"/>
  <c r="R301" i="78"/>
  <c r="R269" i="78"/>
  <c r="Z301" i="78"/>
  <c r="Z269" i="78"/>
  <c r="H185" i="78"/>
  <c r="H193" i="78"/>
  <c r="I193" i="78" s="1"/>
  <c r="J193" i="78" s="1"/>
  <c r="K193" i="78" s="1"/>
  <c r="L193" i="78" s="1"/>
  <c r="M193" i="78" s="1"/>
  <c r="N193" i="78" s="1"/>
  <c r="O193" i="78" s="1"/>
  <c r="P193" i="78" s="1"/>
  <c r="Q193" i="78" s="1"/>
  <c r="R193" i="78" s="1"/>
  <c r="S193" i="78" s="1"/>
  <c r="T193" i="78" s="1"/>
  <c r="U193" i="78" s="1"/>
  <c r="V193" i="78" s="1"/>
  <c r="W193" i="78" s="1"/>
  <c r="X193" i="78" s="1"/>
  <c r="Y193" i="78" s="1"/>
  <c r="Z193" i="78" s="1"/>
  <c r="AA193" i="78" s="1"/>
  <c r="H146" i="78"/>
  <c r="I146" i="78" s="1"/>
  <c r="J146" i="78" s="1"/>
  <c r="K146" i="78" s="1"/>
  <c r="L146" i="78" s="1"/>
  <c r="M146" i="78" s="1"/>
  <c r="N146" i="78" s="1"/>
  <c r="O146" i="78" s="1"/>
  <c r="P146" i="78" s="1"/>
  <c r="Q146" i="78" s="1"/>
  <c r="R146" i="78" s="1"/>
  <c r="S146" i="78" s="1"/>
  <c r="T146" i="78" s="1"/>
  <c r="U146" i="78" s="1"/>
  <c r="V146" i="78" s="1"/>
  <c r="W146" i="78" s="1"/>
  <c r="X146" i="78" s="1"/>
  <c r="Y146" i="78" s="1"/>
  <c r="Z146" i="78" s="1"/>
  <c r="AA146" i="78" s="1"/>
  <c r="H144" i="78"/>
  <c r="H192" i="78"/>
  <c r="H168" i="78"/>
  <c r="I168" i="78" s="1"/>
  <c r="J168" i="78" s="1"/>
  <c r="K168" i="78" s="1"/>
  <c r="L168" i="78" s="1"/>
  <c r="M168" i="78" s="1"/>
  <c r="N168" i="78" s="1"/>
  <c r="O168" i="78" s="1"/>
  <c r="P168" i="78" s="1"/>
  <c r="Q168" i="78" s="1"/>
  <c r="R168" i="78" s="1"/>
  <c r="S168" i="78" s="1"/>
  <c r="T168" i="78" s="1"/>
  <c r="U168" i="78" s="1"/>
  <c r="V168" i="78" s="1"/>
  <c r="W168" i="78" s="1"/>
  <c r="X168" i="78" s="1"/>
  <c r="Y168" i="78" s="1"/>
  <c r="Z168" i="78" s="1"/>
  <c r="AA168" i="78" s="1"/>
  <c r="H166" i="78"/>
  <c r="I166" i="78" s="1"/>
  <c r="J166" i="78" s="1"/>
  <c r="K166" i="78" s="1"/>
  <c r="L166" i="78" s="1"/>
  <c r="M166" i="78" s="1"/>
  <c r="N166" i="78" s="1"/>
  <c r="O166" i="78" s="1"/>
  <c r="P166" i="78" s="1"/>
  <c r="Q166" i="78" s="1"/>
  <c r="R166" i="78" s="1"/>
  <c r="S166" i="78" s="1"/>
  <c r="T166" i="78" s="1"/>
  <c r="U166" i="78" s="1"/>
  <c r="V166" i="78" s="1"/>
  <c r="W166" i="78" s="1"/>
  <c r="X166" i="78" s="1"/>
  <c r="Y166" i="78" s="1"/>
  <c r="Z166" i="78" s="1"/>
  <c r="AA166" i="78" s="1"/>
  <c r="H167" i="78"/>
  <c r="I167" i="78" s="1"/>
  <c r="J167" i="78" s="1"/>
  <c r="K167" i="78" s="1"/>
  <c r="L167" i="78" s="1"/>
  <c r="M167" i="78" s="1"/>
  <c r="N167" i="78" s="1"/>
  <c r="O167" i="78" s="1"/>
  <c r="P167" i="78" s="1"/>
  <c r="Q167" i="78" s="1"/>
  <c r="R167" i="78" s="1"/>
  <c r="S167" i="78" s="1"/>
  <c r="T167" i="78" s="1"/>
  <c r="U167" i="78" s="1"/>
  <c r="V167" i="78" s="1"/>
  <c r="W167" i="78" s="1"/>
  <c r="X167" i="78" s="1"/>
  <c r="Y167" i="78" s="1"/>
  <c r="Z167" i="78" s="1"/>
  <c r="AA167" i="78" s="1"/>
  <c r="H165" i="78"/>
  <c r="I165" i="78" s="1"/>
  <c r="J165" i="78" s="1"/>
  <c r="K165" i="78" s="1"/>
  <c r="L165" i="78" s="1"/>
  <c r="M165" i="78" s="1"/>
  <c r="N165" i="78" s="1"/>
  <c r="O165" i="78" s="1"/>
  <c r="P165" i="78" s="1"/>
  <c r="Q165" i="78" s="1"/>
  <c r="R165" i="78" s="1"/>
  <c r="S165" i="78" s="1"/>
  <c r="T165" i="78" s="1"/>
  <c r="U165" i="78" s="1"/>
  <c r="V165" i="78" s="1"/>
  <c r="W165" i="78" s="1"/>
  <c r="X165" i="78" s="1"/>
  <c r="Y165" i="78" s="1"/>
  <c r="Z165" i="78" s="1"/>
  <c r="AA165" i="78" s="1"/>
  <c r="H147" i="78"/>
  <c r="I147" i="78" s="1"/>
  <c r="J147" i="78" s="1"/>
  <c r="K147" i="78" s="1"/>
  <c r="L147" i="78" s="1"/>
  <c r="M147" i="78" s="1"/>
  <c r="N147" i="78" s="1"/>
  <c r="O147" i="78" s="1"/>
  <c r="P147" i="78" s="1"/>
  <c r="Q147" i="78" s="1"/>
  <c r="R147" i="78" s="1"/>
  <c r="S147" i="78" s="1"/>
  <c r="T147" i="78" s="1"/>
  <c r="U147" i="78" s="1"/>
  <c r="V147" i="78" s="1"/>
  <c r="W147" i="78" s="1"/>
  <c r="X147" i="78" s="1"/>
  <c r="Y147" i="78" s="1"/>
  <c r="Z147" i="78" s="1"/>
  <c r="AA147" i="78" s="1"/>
  <c r="H125" i="78"/>
  <c r="I125" i="78" s="1"/>
  <c r="J125" i="78" s="1"/>
  <c r="K125" i="78" s="1"/>
  <c r="L125" i="78" s="1"/>
  <c r="M125" i="78" s="1"/>
  <c r="N125" i="78" s="1"/>
  <c r="O125" i="78" s="1"/>
  <c r="P125" i="78" s="1"/>
  <c r="Q125" i="78" s="1"/>
  <c r="R125" i="78" s="1"/>
  <c r="S125" i="78" s="1"/>
  <c r="T125" i="78" s="1"/>
  <c r="U125" i="78" s="1"/>
  <c r="V125" i="78" s="1"/>
  <c r="W125" i="78" s="1"/>
  <c r="X125" i="78" s="1"/>
  <c r="Y125" i="78" s="1"/>
  <c r="Z125" i="78" s="1"/>
  <c r="AA125" i="78" s="1"/>
  <c r="H123" i="78"/>
  <c r="I123" i="78" s="1"/>
  <c r="J123" i="78" s="1"/>
  <c r="K123" i="78" s="1"/>
  <c r="L123" i="78" s="1"/>
  <c r="M123" i="78" s="1"/>
  <c r="N123" i="78" s="1"/>
  <c r="O123" i="78" s="1"/>
  <c r="P123" i="78" s="1"/>
  <c r="Q123" i="78" s="1"/>
  <c r="R123" i="78" s="1"/>
  <c r="S123" i="78" s="1"/>
  <c r="T123" i="78" s="1"/>
  <c r="U123" i="78" s="1"/>
  <c r="V123" i="78" s="1"/>
  <c r="W123" i="78" s="1"/>
  <c r="X123" i="78" s="1"/>
  <c r="Y123" i="78" s="1"/>
  <c r="Z123" i="78" s="1"/>
  <c r="AA123" i="78" s="1"/>
  <c r="J103" i="78"/>
  <c r="K103" i="78" s="1"/>
  <c r="L103" i="78" s="1"/>
  <c r="M103" i="78" s="1"/>
  <c r="N103" i="78" s="1"/>
  <c r="O103" i="78" s="1"/>
  <c r="P103" i="78" s="1"/>
  <c r="Q103" i="78" s="1"/>
  <c r="R103" i="78" s="1"/>
  <c r="S103" i="78" s="1"/>
  <c r="T103" i="78" s="1"/>
  <c r="U103" i="78" s="1"/>
  <c r="V103" i="78" s="1"/>
  <c r="W103" i="78" s="1"/>
  <c r="X103" i="78" s="1"/>
  <c r="Y103" i="78" s="1"/>
  <c r="Z103" i="78" s="1"/>
  <c r="AA103" i="78" s="1"/>
  <c r="H145" i="78"/>
  <c r="I145" i="78" s="1"/>
  <c r="J145" i="78" s="1"/>
  <c r="K145" i="78" s="1"/>
  <c r="L145" i="78" s="1"/>
  <c r="M145" i="78" s="1"/>
  <c r="N145" i="78" s="1"/>
  <c r="O145" i="78" s="1"/>
  <c r="P145" i="78" s="1"/>
  <c r="Q145" i="78" s="1"/>
  <c r="R145" i="78" s="1"/>
  <c r="S145" i="78" s="1"/>
  <c r="T145" i="78" s="1"/>
  <c r="U145" i="78" s="1"/>
  <c r="V145" i="78" s="1"/>
  <c r="W145" i="78" s="1"/>
  <c r="X145" i="78" s="1"/>
  <c r="Y145" i="78" s="1"/>
  <c r="Z145" i="78" s="1"/>
  <c r="AA145" i="78" s="1"/>
  <c r="H126" i="78"/>
  <c r="I126" i="78" s="1"/>
  <c r="J126" i="78" s="1"/>
  <c r="K126" i="78" s="1"/>
  <c r="L126" i="78" s="1"/>
  <c r="M126" i="78" s="1"/>
  <c r="N126" i="78" s="1"/>
  <c r="O126" i="78" s="1"/>
  <c r="P126" i="78" s="1"/>
  <c r="Q126" i="78" s="1"/>
  <c r="R126" i="78" s="1"/>
  <c r="S126" i="78" s="1"/>
  <c r="T126" i="78" s="1"/>
  <c r="U126" i="78" s="1"/>
  <c r="V126" i="78" s="1"/>
  <c r="W126" i="78" s="1"/>
  <c r="X126" i="78" s="1"/>
  <c r="Y126" i="78" s="1"/>
  <c r="Z126" i="78" s="1"/>
  <c r="AA126" i="78" s="1"/>
  <c r="H68" i="78"/>
  <c r="H85" i="78" s="1"/>
  <c r="P68" i="78"/>
  <c r="X68" i="78"/>
  <c r="H82" i="78"/>
  <c r="P82" i="78"/>
  <c r="X82" i="78"/>
  <c r="W37" i="78"/>
  <c r="G288" i="78"/>
  <c r="G256" i="78"/>
  <c r="I68" i="78"/>
  <c r="I85" i="78" s="1"/>
  <c r="Q68" i="78"/>
  <c r="Q85" i="78" s="1"/>
  <c r="Y68" i="78"/>
  <c r="I82" i="78"/>
  <c r="Q82" i="78"/>
  <c r="Y82" i="78"/>
  <c r="H124" i="78"/>
  <c r="I124" i="78" s="1"/>
  <c r="J124" i="78" s="1"/>
  <c r="K124" i="78" s="1"/>
  <c r="L124" i="78" s="1"/>
  <c r="M124" i="78" s="1"/>
  <c r="N124" i="78" s="1"/>
  <c r="O124" i="78" s="1"/>
  <c r="P124" i="78" s="1"/>
  <c r="Q124" i="78" s="1"/>
  <c r="R124" i="78" s="1"/>
  <c r="S124" i="78" s="1"/>
  <c r="T124" i="78" s="1"/>
  <c r="U124" i="78" s="1"/>
  <c r="V124" i="78" s="1"/>
  <c r="W124" i="78" s="1"/>
  <c r="X124" i="78" s="1"/>
  <c r="Y124" i="78" s="1"/>
  <c r="Z124" i="78" s="1"/>
  <c r="AA124" i="78" s="1"/>
  <c r="X37" i="78"/>
  <c r="J68" i="78"/>
  <c r="J85" i="78" s="1"/>
  <c r="R68" i="78"/>
  <c r="R85" i="78" s="1"/>
  <c r="Z68" i="78"/>
  <c r="Z85" i="78" s="1"/>
  <c r="J82" i="78"/>
  <c r="R82" i="78"/>
  <c r="Z82" i="78"/>
  <c r="G16" i="78"/>
  <c r="Y37" i="78"/>
  <c r="K68" i="78"/>
  <c r="K85" i="78" s="1"/>
  <c r="S68" i="78"/>
  <c r="S85" i="78" s="1"/>
  <c r="K82" i="78"/>
  <c r="S82" i="78"/>
  <c r="I104" i="78"/>
  <c r="J104" i="78" s="1"/>
  <c r="K104" i="78" s="1"/>
  <c r="L104" i="78" s="1"/>
  <c r="M104" i="78" s="1"/>
  <c r="N104" i="78" s="1"/>
  <c r="O104" i="78" s="1"/>
  <c r="P104" i="78" s="1"/>
  <c r="Q104" i="78" s="1"/>
  <c r="R104" i="78" s="1"/>
  <c r="S104" i="78" s="1"/>
  <c r="T104" i="78" s="1"/>
  <c r="U104" i="78" s="1"/>
  <c r="V104" i="78" s="1"/>
  <c r="W104" i="78" s="1"/>
  <c r="X104" i="78" s="1"/>
  <c r="Y104" i="78" s="1"/>
  <c r="Z104" i="78" s="1"/>
  <c r="AA104" i="78" s="1"/>
  <c r="I105" i="78"/>
  <c r="J105" i="78" s="1"/>
  <c r="K105" i="78" s="1"/>
  <c r="L105" i="78" s="1"/>
  <c r="M105" i="78" s="1"/>
  <c r="N105" i="78" s="1"/>
  <c r="O105" i="78" s="1"/>
  <c r="P105" i="78" s="1"/>
  <c r="Q105" i="78" s="1"/>
  <c r="R105" i="78" s="1"/>
  <c r="S105" i="78" s="1"/>
  <c r="T105" i="78" s="1"/>
  <c r="U105" i="78" s="1"/>
  <c r="V105" i="78" s="1"/>
  <c r="W105" i="78" s="1"/>
  <c r="X105" i="78" s="1"/>
  <c r="Y105" i="78" s="1"/>
  <c r="Z105" i="78" s="1"/>
  <c r="AA105" i="78" s="1"/>
  <c r="G293" i="78"/>
  <c r="G261" i="78"/>
  <c r="O240" i="78"/>
  <c r="O227" i="78"/>
  <c r="W240" i="78"/>
  <c r="W227" i="78"/>
  <c r="H162" i="78"/>
  <c r="H170" i="78" s="1"/>
  <c r="H157" i="78"/>
  <c r="I154" i="78"/>
  <c r="I141" i="78"/>
  <c r="I142" i="78"/>
  <c r="I140" i="78"/>
  <c r="I149" i="78" s="1"/>
  <c r="I136" i="78"/>
  <c r="I306" i="78"/>
  <c r="I274" i="78"/>
  <c r="J133" i="78"/>
  <c r="H163" i="78"/>
  <c r="S302" i="78"/>
  <c r="S270" i="78"/>
  <c r="AA302" i="78"/>
  <c r="AA270" i="78"/>
  <c r="L306" i="78"/>
  <c r="L274" i="78"/>
  <c r="T240" i="78"/>
  <c r="T227" i="78"/>
  <c r="I293" i="78"/>
  <c r="I261" i="78"/>
  <c r="Q306" i="78"/>
  <c r="Q274" i="78"/>
  <c r="Y306" i="78"/>
  <c r="Y274" i="78"/>
  <c r="M306" i="78"/>
  <c r="M274" i="78"/>
  <c r="U306" i="78"/>
  <c r="U274" i="78"/>
  <c r="M227" i="78"/>
  <c r="U227" i="78"/>
  <c r="N274" i="78"/>
  <c r="N306" i="78"/>
  <c r="V274" i="78"/>
  <c r="AB274" i="78" s="1"/>
  <c r="V306" i="78"/>
  <c r="AB306" i="78" s="1"/>
  <c r="N227" i="78"/>
  <c r="V227" i="78"/>
  <c r="H306" i="78"/>
  <c r="H274" i="78"/>
  <c r="X306" i="78"/>
  <c r="X274" i="78"/>
  <c r="G290" i="78"/>
  <c r="G258" i="78"/>
  <c r="G238" i="78"/>
  <c r="H227" i="78"/>
  <c r="P227" i="78"/>
  <c r="X227" i="78"/>
  <c r="G305" i="78"/>
  <c r="G273" i="78"/>
  <c r="P270" i="78"/>
  <c r="G289" i="78"/>
  <c r="Q227" i="78"/>
  <c r="Y227" i="78"/>
  <c r="G259" i="78"/>
  <c r="J306" i="78"/>
  <c r="J274" i="78"/>
  <c r="R306" i="78"/>
  <c r="R274" i="78"/>
  <c r="Z306" i="78"/>
  <c r="Z274" i="78"/>
  <c r="J227" i="78"/>
  <c r="R227" i="78"/>
  <c r="Z227" i="78"/>
  <c r="X270" i="78"/>
  <c r="K306" i="78"/>
  <c r="K274" i="78"/>
  <c r="S306" i="78"/>
  <c r="S274" i="78"/>
  <c r="AA306" i="78"/>
  <c r="AA274" i="78"/>
  <c r="K227" i="78"/>
  <c r="S227" i="78"/>
  <c r="AA227" i="78"/>
  <c r="I270" i="78"/>
  <c r="Q270" i="78"/>
  <c r="Y270" i="78"/>
  <c r="M302" i="78"/>
  <c r="J270" i="78"/>
  <c r="R270" i="78"/>
  <c r="Z270" i="78"/>
  <c r="N302" i="78"/>
  <c r="G303" i="78"/>
  <c r="G271" i="78"/>
  <c r="G307" i="78"/>
  <c r="G275" i="78"/>
  <c r="L270" i="78"/>
  <c r="T270" i="78"/>
  <c r="V302" i="78"/>
  <c r="G306" i="78"/>
  <c r="G270" i="78"/>
  <c r="O270" i="78"/>
  <c r="W270" i="78"/>
  <c r="Q18" i="77"/>
  <c r="I18" i="77"/>
  <c r="P18" i="77"/>
  <c r="O18" i="77"/>
  <c r="V18" i="77"/>
  <c r="N18" i="77"/>
  <c r="U18" i="77"/>
  <c r="M18" i="77"/>
  <c r="T18" i="77"/>
  <c r="L18" i="77"/>
  <c r="S18" i="77"/>
  <c r="K18" i="77"/>
  <c r="R18" i="77"/>
  <c r="J18" i="77"/>
  <c r="T19" i="77"/>
  <c r="L19" i="77"/>
  <c r="S19" i="77"/>
  <c r="K19" i="77"/>
  <c r="R19" i="77"/>
  <c r="J19" i="77"/>
  <c r="Q19" i="77"/>
  <c r="P19" i="77"/>
  <c r="O19" i="77"/>
  <c r="V19" i="77"/>
  <c r="N19" i="77"/>
  <c r="U19" i="77"/>
  <c r="M19" i="77"/>
  <c r="P20" i="77"/>
  <c r="O20" i="77"/>
  <c r="V20" i="77"/>
  <c r="N20" i="77"/>
  <c r="U20" i="77"/>
  <c r="M20" i="77"/>
  <c r="T20" i="77"/>
  <c r="L20" i="77"/>
  <c r="S20" i="77"/>
  <c r="K20" i="77"/>
  <c r="R20" i="77"/>
  <c r="Q20" i="77"/>
  <c r="U21" i="77"/>
  <c r="M21" i="77"/>
  <c r="T21" i="77"/>
  <c r="L21" i="77"/>
  <c r="S21" i="77"/>
  <c r="R21" i="77"/>
  <c r="Q21" i="77"/>
  <c r="P21" i="77"/>
  <c r="O21" i="77"/>
  <c r="V21" i="77"/>
  <c r="N21" i="77"/>
  <c r="O14" i="77"/>
  <c r="G14" i="77"/>
  <c r="V14" i="77"/>
  <c r="N14" i="77"/>
  <c r="F14" i="77"/>
  <c r="U14" i="77"/>
  <c r="M14" i="77"/>
  <c r="E14" i="77"/>
  <c r="E32" i="77" s="1"/>
  <c r="T14" i="77"/>
  <c r="L14" i="77"/>
  <c r="S14" i="77"/>
  <c r="K14" i="77"/>
  <c r="R14" i="77"/>
  <c r="J14" i="77"/>
  <c r="Q14" i="77"/>
  <c r="I14" i="77"/>
  <c r="P14" i="77"/>
  <c r="H14" i="77"/>
  <c r="V15" i="77"/>
  <c r="N15" i="77"/>
  <c r="F15" i="77"/>
  <c r="U15" i="77"/>
  <c r="M15" i="77"/>
  <c r="T15" i="77"/>
  <c r="L15" i="77"/>
  <c r="S15" i="77"/>
  <c r="K15" i="77"/>
  <c r="R15" i="77"/>
  <c r="J15" i="77"/>
  <c r="Q15" i="77"/>
  <c r="I15" i="77"/>
  <c r="P15" i="77"/>
  <c r="H15" i="77"/>
  <c r="O15" i="77"/>
  <c r="G15" i="77"/>
  <c r="V16" i="77"/>
  <c r="N16" i="77"/>
  <c r="U16" i="77"/>
  <c r="M16" i="77"/>
  <c r="T16" i="77"/>
  <c r="L16" i="77"/>
  <c r="S16" i="77"/>
  <c r="K16" i="77"/>
  <c r="R16" i="77"/>
  <c r="J16" i="77"/>
  <c r="Q16" i="77"/>
  <c r="I16" i="77"/>
  <c r="P16" i="77"/>
  <c r="H16" i="77"/>
  <c r="O16" i="77"/>
  <c r="G16" i="77"/>
  <c r="O17" i="77"/>
  <c r="V17" i="77"/>
  <c r="N17" i="77"/>
  <c r="U17" i="77"/>
  <c r="M17" i="77"/>
  <c r="T17" i="77"/>
  <c r="L17" i="77"/>
  <c r="S17" i="77"/>
  <c r="K17" i="77"/>
  <c r="R17" i="77"/>
  <c r="J17" i="77"/>
  <c r="Q17" i="77"/>
  <c r="I17" i="77"/>
  <c r="P17" i="77"/>
  <c r="H17" i="77"/>
  <c r="AA170" i="83" l="1"/>
  <c r="AA149" i="83"/>
  <c r="AA149" i="82"/>
  <c r="AA170" i="82"/>
  <c r="AA150" i="82"/>
  <c r="Z192" i="74"/>
  <c r="Z185" i="74"/>
  <c r="Z150" i="74"/>
  <c r="Z136" i="74"/>
  <c r="AA133" i="74"/>
  <c r="Z142" i="74"/>
  <c r="Z140" i="74"/>
  <c r="Z141" i="74"/>
  <c r="Z170" i="74"/>
  <c r="AA163" i="74"/>
  <c r="AA162" i="74"/>
  <c r="AA161" i="74"/>
  <c r="AA170" i="74" s="1"/>
  <c r="AA171" i="74"/>
  <c r="AA157" i="74"/>
  <c r="Y150" i="74"/>
  <c r="Z192" i="76"/>
  <c r="Y170" i="76"/>
  <c r="Z185" i="76"/>
  <c r="Z162" i="76"/>
  <c r="Z171" i="76" s="1"/>
  <c r="Z157" i="76"/>
  <c r="AA154" i="76"/>
  <c r="Z163" i="76"/>
  <c r="Z161" i="76"/>
  <c r="Z144" i="76"/>
  <c r="Y150" i="76"/>
  <c r="AA141" i="76"/>
  <c r="AA142" i="76"/>
  <c r="AA140" i="76"/>
  <c r="AA149" i="76" s="1"/>
  <c r="AA136" i="76"/>
  <c r="Y171" i="76"/>
  <c r="L293" i="80"/>
  <c r="L261" i="80"/>
  <c r="X293" i="80"/>
  <c r="X261" i="80"/>
  <c r="I162" i="80"/>
  <c r="I171" i="80"/>
  <c r="I157" i="80"/>
  <c r="J154" i="80"/>
  <c r="I163" i="80"/>
  <c r="I161" i="80"/>
  <c r="T261" i="80"/>
  <c r="T293" i="80"/>
  <c r="Z293" i="80"/>
  <c r="Z261" i="80"/>
  <c r="Y293" i="80"/>
  <c r="Y261" i="80"/>
  <c r="P293" i="80"/>
  <c r="P261" i="80"/>
  <c r="M85" i="80"/>
  <c r="I150" i="80"/>
  <c r="I141" i="80"/>
  <c r="I136" i="80"/>
  <c r="J133" i="80"/>
  <c r="I142" i="80"/>
  <c r="I140" i="80"/>
  <c r="I149" i="80" s="1"/>
  <c r="T85" i="80"/>
  <c r="R293" i="80"/>
  <c r="R261" i="80"/>
  <c r="Q293" i="80"/>
  <c r="Q261" i="80"/>
  <c r="G304" i="80"/>
  <c r="G272" i="80"/>
  <c r="U261" i="80"/>
  <c r="U293" i="80"/>
  <c r="I192" i="80"/>
  <c r="P85" i="80"/>
  <c r="K85" i="80"/>
  <c r="J293" i="80"/>
  <c r="J261" i="80"/>
  <c r="I293" i="80"/>
  <c r="I261" i="80"/>
  <c r="U306" i="80"/>
  <c r="U274" i="80"/>
  <c r="W293" i="80"/>
  <c r="W261" i="80"/>
  <c r="V293" i="80"/>
  <c r="V261" i="80"/>
  <c r="I185" i="80"/>
  <c r="M261" i="80"/>
  <c r="M293" i="80"/>
  <c r="W85" i="80"/>
  <c r="AA42" i="80"/>
  <c r="AA222" i="80" s="1"/>
  <c r="AA45" i="80"/>
  <c r="H149" i="80"/>
  <c r="K293" i="80"/>
  <c r="K261" i="80"/>
  <c r="AA293" i="80"/>
  <c r="AA261" i="80"/>
  <c r="M306" i="80"/>
  <c r="M274" i="80"/>
  <c r="W42" i="80"/>
  <c r="W222" i="80" s="1"/>
  <c r="W45" i="80"/>
  <c r="O85" i="80"/>
  <c r="N85" i="80"/>
  <c r="Z45" i="80"/>
  <c r="Z42" i="80"/>
  <c r="Z222" i="80" s="1"/>
  <c r="Y45" i="80"/>
  <c r="Y42" i="80"/>
  <c r="Y222" i="80" s="1"/>
  <c r="S261" i="80"/>
  <c r="S293" i="80"/>
  <c r="H170" i="80"/>
  <c r="Q85" i="80"/>
  <c r="G85" i="80"/>
  <c r="H150" i="80"/>
  <c r="V16" i="79"/>
  <c r="N16" i="79"/>
  <c r="K16" i="79"/>
  <c r="K32" i="79" s="1"/>
  <c r="R16" i="79"/>
  <c r="U16" i="79"/>
  <c r="M16" i="79"/>
  <c r="T16" i="79"/>
  <c r="L16" i="79"/>
  <c r="L32" i="79" s="1"/>
  <c r="S16" i="79"/>
  <c r="Q16" i="79"/>
  <c r="I16" i="79"/>
  <c r="G16" i="79"/>
  <c r="G32" i="79" s="1"/>
  <c r="P16" i="79"/>
  <c r="H16" i="79"/>
  <c r="H32" i="79" s="1"/>
  <c r="O16" i="79"/>
  <c r="J16" i="79"/>
  <c r="J32" i="79" s="1"/>
  <c r="I32" i="79"/>
  <c r="X293" i="78"/>
  <c r="X261" i="78"/>
  <c r="W274" i="78"/>
  <c r="W306" i="78"/>
  <c r="P293" i="78"/>
  <c r="P261" i="78"/>
  <c r="O293" i="78"/>
  <c r="O261" i="78"/>
  <c r="I185" i="78"/>
  <c r="AA45" i="78"/>
  <c r="AA42" i="78"/>
  <c r="AA222" i="78" s="1"/>
  <c r="K293" i="78"/>
  <c r="K261" i="78"/>
  <c r="Q293" i="78"/>
  <c r="Q261" i="78"/>
  <c r="Z293" i="78"/>
  <c r="Z261" i="78"/>
  <c r="H293" i="78"/>
  <c r="H261" i="78"/>
  <c r="O274" i="78"/>
  <c r="O306" i="78"/>
  <c r="Y42" i="78"/>
  <c r="Y222" i="78" s="1"/>
  <c r="Y45" i="78"/>
  <c r="V85" i="78"/>
  <c r="J293" i="78"/>
  <c r="J261" i="78"/>
  <c r="V293" i="78"/>
  <c r="V261" i="78"/>
  <c r="U293" i="78"/>
  <c r="U261" i="78"/>
  <c r="T306" i="78"/>
  <c r="T274" i="78"/>
  <c r="J141" i="78"/>
  <c r="K133" i="78"/>
  <c r="J142" i="78"/>
  <c r="J136" i="78"/>
  <c r="J140" i="78"/>
  <c r="P85" i="78"/>
  <c r="Z288" i="78"/>
  <c r="Z256" i="78"/>
  <c r="M85" i="78"/>
  <c r="N293" i="78"/>
  <c r="N261" i="78"/>
  <c r="M293" i="78"/>
  <c r="M261" i="78"/>
  <c r="H171" i="78"/>
  <c r="X42" i="78"/>
  <c r="X222" i="78" s="1"/>
  <c r="X45" i="78"/>
  <c r="I192" i="78"/>
  <c r="L85" i="78"/>
  <c r="AA293" i="78"/>
  <c r="AA261" i="78"/>
  <c r="Y85" i="78"/>
  <c r="I144" i="78"/>
  <c r="H150" i="78"/>
  <c r="R293" i="78"/>
  <c r="R261" i="78"/>
  <c r="G304" i="78"/>
  <c r="G272" i="78"/>
  <c r="T293" i="78"/>
  <c r="T261" i="78"/>
  <c r="I157" i="78"/>
  <c r="J154" i="78"/>
  <c r="I163" i="78"/>
  <c r="I162" i="78"/>
  <c r="I161" i="78"/>
  <c r="I170" i="78" s="1"/>
  <c r="X85" i="78"/>
  <c r="S261" i="78"/>
  <c r="S293" i="78"/>
  <c r="Y293" i="78"/>
  <c r="Y261" i="78"/>
  <c r="W293" i="78"/>
  <c r="W261" i="78"/>
  <c r="W45" i="78"/>
  <c r="W42" i="78"/>
  <c r="W222" i="78" s="1"/>
  <c r="H32" i="77"/>
  <c r="L32" i="77"/>
  <c r="G32" i="77"/>
  <c r="I32" i="77"/>
  <c r="J32" i="77"/>
  <c r="K32" i="77"/>
  <c r="F32" i="77"/>
  <c r="Z149" i="74" l="1"/>
  <c r="AA185" i="74"/>
  <c r="AA192" i="74"/>
  <c r="AA142" i="74"/>
  <c r="AA140" i="74"/>
  <c r="AA149" i="74" s="1"/>
  <c r="AA141" i="74"/>
  <c r="AA136" i="74"/>
  <c r="AA144" i="76"/>
  <c r="AA150" i="76" s="1"/>
  <c r="Z150" i="76"/>
  <c r="Z170" i="76"/>
  <c r="AA185" i="76"/>
  <c r="AA192" i="76"/>
  <c r="AA171" i="76"/>
  <c r="AA163" i="76"/>
  <c r="AA161" i="76"/>
  <c r="AA157" i="76"/>
  <c r="AA162" i="76"/>
  <c r="Z288" i="80"/>
  <c r="Z256" i="80"/>
  <c r="J185" i="80"/>
  <c r="J192" i="80"/>
  <c r="J141" i="80"/>
  <c r="J150" i="80" s="1"/>
  <c r="J136" i="80"/>
  <c r="K133" i="80"/>
  <c r="J142" i="80"/>
  <c r="J140" i="80"/>
  <c r="I170" i="80"/>
  <c r="AA288" i="80"/>
  <c r="AA256" i="80"/>
  <c r="W288" i="80"/>
  <c r="W256" i="80"/>
  <c r="Y288" i="80"/>
  <c r="Y256" i="80"/>
  <c r="J157" i="80"/>
  <c r="K154" i="80"/>
  <c r="J163" i="80"/>
  <c r="J161" i="80"/>
  <c r="J162" i="80"/>
  <c r="K141" i="78"/>
  <c r="K136" i="78"/>
  <c r="L133" i="78"/>
  <c r="K142" i="78"/>
  <c r="K140" i="78"/>
  <c r="J185" i="78"/>
  <c r="Y288" i="78"/>
  <c r="Y256" i="78"/>
  <c r="W288" i="78"/>
  <c r="W256" i="78"/>
  <c r="J157" i="78"/>
  <c r="K154" i="78"/>
  <c r="J163" i="78"/>
  <c r="J171" i="78" s="1"/>
  <c r="J161" i="78"/>
  <c r="J162" i="78"/>
  <c r="J192" i="78"/>
  <c r="J149" i="78"/>
  <c r="AA288" i="78"/>
  <c r="AA256" i="78"/>
  <c r="I171" i="78"/>
  <c r="X288" i="78"/>
  <c r="X256" i="78"/>
  <c r="I150" i="78"/>
  <c r="J144" i="78"/>
  <c r="AA150" i="74" l="1"/>
  <c r="AA170" i="76"/>
  <c r="K141" i="80"/>
  <c r="K150" i="80" s="1"/>
  <c r="K136" i="80"/>
  <c r="L133" i="80"/>
  <c r="K142" i="80"/>
  <c r="K140" i="80"/>
  <c r="J170" i="80"/>
  <c r="K192" i="80"/>
  <c r="K171" i="80"/>
  <c r="K157" i="80"/>
  <c r="L154" i="80"/>
  <c r="K163" i="80"/>
  <c r="K161" i="80"/>
  <c r="K162" i="80"/>
  <c r="J171" i="80"/>
  <c r="J149" i="80"/>
  <c r="K185" i="80"/>
  <c r="K163" i="78"/>
  <c r="K171" i="78" s="1"/>
  <c r="K161" i="78"/>
  <c r="K157" i="78"/>
  <c r="K162" i="78"/>
  <c r="L154" i="78"/>
  <c r="K192" i="78"/>
  <c r="K185" i="78"/>
  <c r="K149" i="78"/>
  <c r="K144" i="78"/>
  <c r="J150" i="78"/>
  <c r="L136" i="78"/>
  <c r="M133" i="78"/>
  <c r="L142" i="78"/>
  <c r="L141" i="78"/>
  <c r="L140" i="78"/>
  <c r="J170" i="78"/>
  <c r="L163" i="80" l="1"/>
  <c r="L161" i="80"/>
  <c r="L170" i="80" s="1"/>
  <c r="L162" i="80"/>
  <c r="L157" i="80"/>
  <c r="M154" i="80"/>
  <c r="L185" i="80"/>
  <c r="K149" i="80"/>
  <c r="K170" i="80"/>
  <c r="L192" i="80"/>
  <c r="L141" i="80"/>
  <c r="L150" i="80" s="1"/>
  <c r="L136" i="80"/>
  <c r="M133" i="80"/>
  <c r="L142" i="80"/>
  <c r="L140" i="80"/>
  <c r="L149" i="78"/>
  <c r="K170" i="78"/>
  <c r="L192" i="78"/>
  <c r="L185" i="78"/>
  <c r="L144" i="78"/>
  <c r="K150" i="78"/>
  <c r="L163" i="78"/>
  <c r="L161" i="78"/>
  <c r="L170" i="78" s="1"/>
  <c r="L171" i="78"/>
  <c r="L157" i="78"/>
  <c r="M154" i="78"/>
  <c r="L162" i="78"/>
  <c r="M136" i="78"/>
  <c r="N133" i="78"/>
  <c r="M142" i="78"/>
  <c r="M140" i="78"/>
  <c r="M141" i="78"/>
  <c r="M163" i="80" l="1"/>
  <c r="M161" i="80"/>
  <c r="M170" i="80" s="1"/>
  <c r="M171" i="80"/>
  <c r="M157" i="80"/>
  <c r="N154" i="80"/>
  <c r="M162" i="80"/>
  <c r="M192" i="80"/>
  <c r="L149" i="80"/>
  <c r="M185" i="80"/>
  <c r="M136" i="80"/>
  <c r="N133" i="80"/>
  <c r="M142" i="80"/>
  <c r="M140" i="80"/>
  <c r="M141" i="80"/>
  <c r="L171" i="80"/>
  <c r="N142" i="78"/>
  <c r="N140" i="78"/>
  <c r="O133" i="78"/>
  <c r="N136" i="78"/>
  <c r="N141" i="78"/>
  <c r="M163" i="78"/>
  <c r="M157" i="78"/>
  <c r="M162" i="78"/>
  <c r="N154" i="78"/>
  <c r="M161" i="78"/>
  <c r="M171" i="78" s="1"/>
  <c r="M144" i="78"/>
  <c r="L150" i="78"/>
  <c r="M185" i="78"/>
  <c r="M149" i="78"/>
  <c r="M192" i="78"/>
  <c r="N192" i="80" l="1"/>
  <c r="M149" i="80"/>
  <c r="N136" i="80"/>
  <c r="O133" i="80"/>
  <c r="N142" i="80"/>
  <c r="N140" i="80"/>
  <c r="N149" i="80" s="1"/>
  <c r="N141" i="80"/>
  <c r="N185" i="80"/>
  <c r="M150" i="80"/>
  <c r="N162" i="80"/>
  <c r="N171" i="80"/>
  <c r="N157" i="80"/>
  <c r="O154" i="80"/>
  <c r="N161" i="80"/>
  <c r="N163" i="80"/>
  <c r="N144" i="78"/>
  <c r="M150" i="78"/>
  <c r="O142" i="78"/>
  <c r="O140" i="78"/>
  <c r="O136" i="78"/>
  <c r="P133" i="78"/>
  <c r="O141" i="78"/>
  <c r="N192" i="78"/>
  <c r="N162" i="78"/>
  <c r="N163" i="78"/>
  <c r="N161" i="78"/>
  <c r="N170" i="78" s="1"/>
  <c r="N171" i="78"/>
  <c r="O154" i="78"/>
  <c r="N157" i="78"/>
  <c r="N149" i="78"/>
  <c r="N185" i="78"/>
  <c r="M170" i="78"/>
  <c r="O185" i="80" l="1"/>
  <c r="O142" i="80"/>
  <c r="O150" i="80" s="1"/>
  <c r="O140" i="80"/>
  <c r="O141" i="80"/>
  <c r="O136" i="80"/>
  <c r="P133" i="80"/>
  <c r="O162" i="80"/>
  <c r="O171" i="80" s="1"/>
  <c r="O163" i="80"/>
  <c r="O161" i="80"/>
  <c r="P154" i="80"/>
  <c r="O157" i="80"/>
  <c r="N150" i="80"/>
  <c r="O192" i="80"/>
  <c r="N170" i="80"/>
  <c r="O192" i="78"/>
  <c r="O149" i="78"/>
  <c r="O162" i="78"/>
  <c r="P154" i="78"/>
  <c r="O161" i="78"/>
  <c r="O163" i="78"/>
  <c r="O157" i="78"/>
  <c r="P141" i="78"/>
  <c r="P136" i="78"/>
  <c r="P140" i="78"/>
  <c r="P142" i="78"/>
  <c r="Q133" i="78"/>
  <c r="O185" i="78"/>
  <c r="O144" i="78"/>
  <c r="N150" i="78"/>
  <c r="P192" i="80" l="1"/>
  <c r="P142" i="80"/>
  <c r="P140" i="80"/>
  <c r="P149" i="80" s="1"/>
  <c r="P141" i="80"/>
  <c r="P136" i="80"/>
  <c r="Q133" i="80"/>
  <c r="P185" i="80"/>
  <c r="P162" i="80"/>
  <c r="P157" i="80"/>
  <c r="Q154" i="80"/>
  <c r="P163" i="80"/>
  <c r="P161" i="80"/>
  <c r="O170" i="80"/>
  <c r="O149" i="80"/>
  <c r="P144" i="78"/>
  <c r="O150" i="78"/>
  <c r="P162" i="78"/>
  <c r="P171" i="78"/>
  <c r="P157" i="78"/>
  <c r="Q154" i="78"/>
  <c r="P161" i="78"/>
  <c r="P163" i="78"/>
  <c r="O170" i="78"/>
  <c r="P149" i="78"/>
  <c r="O171" i="78"/>
  <c r="Q141" i="78"/>
  <c r="Q142" i="78"/>
  <c r="Q140" i="78"/>
  <c r="Q149" i="78" s="1"/>
  <c r="R133" i="78"/>
  <c r="Q136" i="78"/>
  <c r="P192" i="78"/>
  <c r="P185" i="78"/>
  <c r="Q141" i="80" l="1"/>
  <c r="Q150" i="80" s="1"/>
  <c r="Q136" i="80"/>
  <c r="R133" i="80"/>
  <c r="Q140" i="80"/>
  <c r="Q142" i="80"/>
  <c r="Q192" i="80"/>
  <c r="P170" i="80"/>
  <c r="Q185" i="80"/>
  <c r="Q162" i="80"/>
  <c r="Q171" i="80"/>
  <c r="Q157" i="80"/>
  <c r="R154" i="80"/>
  <c r="Q161" i="80"/>
  <c r="Q163" i="80"/>
  <c r="P171" i="80"/>
  <c r="P150" i="80"/>
  <c r="Q144" i="78"/>
  <c r="P150" i="78"/>
  <c r="Q192" i="78"/>
  <c r="P170" i="78"/>
  <c r="Q185" i="78"/>
  <c r="R141" i="78"/>
  <c r="R140" i="78"/>
  <c r="S133" i="78"/>
  <c r="R142" i="78"/>
  <c r="R136" i="78"/>
  <c r="Q157" i="78"/>
  <c r="R154" i="78"/>
  <c r="Q162" i="78"/>
  <c r="Q161" i="78"/>
  <c r="Q163" i="78"/>
  <c r="R192" i="80" l="1"/>
  <c r="R185" i="80"/>
  <c r="Q149" i="80"/>
  <c r="Q170" i="80"/>
  <c r="R141" i="80"/>
  <c r="R136" i="80"/>
  <c r="S133" i="80"/>
  <c r="R142" i="80"/>
  <c r="R140" i="80"/>
  <c r="R149" i="80" s="1"/>
  <c r="R150" i="80"/>
  <c r="R157" i="80"/>
  <c r="S154" i="80"/>
  <c r="R163" i="80"/>
  <c r="R161" i="80"/>
  <c r="R162" i="80"/>
  <c r="R192" i="78"/>
  <c r="R157" i="78"/>
  <c r="S154" i="78"/>
  <c r="R163" i="78"/>
  <c r="R171" i="78" s="1"/>
  <c r="R161" i="78"/>
  <c r="R162" i="78"/>
  <c r="R144" i="78"/>
  <c r="Q150" i="78"/>
  <c r="S141" i="78"/>
  <c r="S136" i="78"/>
  <c r="T133" i="78"/>
  <c r="S140" i="78"/>
  <c r="S142" i="78"/>
  <c r="Q170" i="78"/>
  <c r="R185" i="78"/>
  <c r="Q171" i="78"/>
  <c r="R149" i="78"/>
  <c r="S185" i="80" l="1"/>
  <c r="S192" i="80"/>
  <c r="R170" i="80"/>
  <c r="S141" i="80"/>
  <c r="S136" i="80"/>
  <c r="T133" i="80"/>
  <c r="S142" i="80"/>
  <c r="S140" i="80"/>
  <c r="R171" i="80"/>
  <c r="S171" i="80"/>
  <c r="S157" i="80"/>
  <c r="T154" i="80"/>
  <c r="S163" i="80"/>
  <c r="S161" i="80"/>
  <c r="S162" i="80"/>
  <c r="S192" i="78"/>
  <c r="S144" i="78"/>
  <c r="R150" i="78"/>
  <c r="S163" i="78"/>
  <c r="S161" i="78"/>
  <c r="S170" i="78" s="1"/>
  <c r="S157" i="78"/>
  <c r="S162" i="78"/>
  <c r="T154" i="78"/>
  <c r="S185" i="78"/>
  <c r="S149" i="78"/>
  <c r="T136" i="78"/>
  <c r="U133" i="78"/>
  <c r="T140" i="78"/>
  <c r="T142" i="78"/>
  <c r="T141" i="78"/>
  <c r="R170" i="78"/>
  <c r="T192" i="80" l="1"/>
  <c r="S149" i="80"/>
  <c r="T185" i="80"/>
  <c r="S170" i="80"/>
  <c r="T141" i="80"/>
  <c r="T136" i="80"/>
  <c r="U133" i="80"/>
  <c r="T142" i="80"/>
  <c r="T140" i="80"/>
  <c r="T149" i="80" s="1"/>
  <c r="T163" i="80"/>
  <c r="T161" i="80"/>
  <c r="T170" i="80" s="1"/>
  <c r="T162" i="80"/>
  <c r="U154" i="80"/>
  <c r="T157" i="80"/>
  <c r="S150" i="80"/>
  <c r="T192" i="78"/>
  <c r="T185" i="78"/>
  <c r="T149" i="78"/>
  <c r="T163" i="78"/>
  <c r="T161" i="78"/>
  <c r="T170" i="78" s="1"/>
  <c r="T157" i="78"/>
  <c r="U154" i="78"/>
  <c r="T162" i="78"/>
  <c r="T144" i="78"/>
  <c r="S150" i="78"/>
  <c r="U136" i="78"/>
  <c r="V133" i="78"/>
  <c r="U142" i="78"/>
  <c r="U140" i="78"/>
  <c r="U141" i="78"/>
  <c r="S171" i="78"/>
  <c r="T150" i="80" l="1"/>
  <c r="U192" i="80"/>
  <c r="T171" i="80"/>
  <c r="U150" i="80"/>
  <c r="U136" i="80"/>
  <c r="V133" i="80"/>
  <c r="U142" i="80"/>
  <c r="U140" i="80"/>
  <c r="U149" i="80" s="1"/>
  <c r="U141" i="80"/>
  <c r="U185" i="80"/>
  <c r="U163" i="80"/>
  <c r="U161" i="80"/>
  <c r="U171" i="80"/>
  <c r="U157" i="80"/>
  <c r="V154" i="80"/>
  <c r="U162" i="80"/>
  <c r="U149" i="78"/>
  <c r="U144" i="78"/>
  <c r="T150" i="78"/>
  <c r="U185" i="78"/>
  <c r="U192" i="78"/>
  <c r="V142" i="78"/>
  <c r="V140" i="78"/>
  <c r="W133" i="78"/>
  <c r="V136" i="78"/>
  <c r="V141" i="78"/>
  <c r="U161" i="78"/>
  <c r="U163" i="78"/>
  <c r="U157" i="78"/>
  <c r="U162" i="78"/>
  <c r="U171" i="78"/>
  <c r="V154" i="78"/>
  <c r="T171" i="78"/>
  <c r="U170" i="80" l="1"/>
  <c r="V185" i="80"/>
  <c r="V192" i="80"/>
  <c r="V162" i="80"/>
  <c r="V171" i="80"/>
  <c r="V157" i="80"/>
  <c r="W154" i="80"/>
  <c r="V163" i="80"/>
  <c r="V161" i="80"/>
  <c r="V136" i="80"/>
  <c r="W133" i="80"/>
  <c r="V142" i="80"/>
  <c r="V150" i="80" s="1"/>
  <c r="V140" i="80"/>
  <c r="V141" i="80"/>
  <c r="V192" i="78"/>
  <c r="V185" i="78"/>
  <c r="V144" i="78"/>
  <c r="U150" i="78"/>
  <c r="V162" i="78"/>
  <c r="V163" i="78"/>
  <c r="V161" i="78"/>
  <c r="V157" i="78"/>
  <c r="W154" i="78"/>
  <c r="U170" i="78"/>
  <c r="W142" i="78"/>
  <c r="W140" i="78"/>
  <c r="W136" i="78"/>
  <c r="X133" i="78"/>
  <c r="W141" i="78"/>
  <c r="V149" i="78"/>
  <c r="W142" i="80" l="1"/>
  <c r="W140" i="80"/>
  <c r="W141" i="80"/>
  <c r="W150" i="80"/>
  <c r="W136" i="80"/>
  <c r="X133" i="80"/>
  <c r="V170" i="80"/>
  <c r="W192" i="80"/>
  <c r="W185" i="80"/>
  <c r="V149" i="80"/>
  <c r="W162" i="80"/>
  <c r="W163" i="80"/>
  <c r="W161" i="80"/>
  <c r="X154" i="80"/>
  <c r="W157" i="80"/>
  <c r="V170" i="78"/>
  <c r="W149" i="78"/>
  <c r="W162" i="78"/>
  <c r="W157" i="78"/>
  <c r="W163" i="78"/>
  <c r="X154" i="78"/>
  <c r="W161" i="78"/>
  <c r="W170" i="78" s="1"/>
  <c r="W185" i="78"/>
  <c r="W144" i="78"/>
  <c r="V150" i="78"/>
  <c r="X142" i="78"/>
  <c r="Y133" i="78"/>
  <c r="X141" i="78"/>
  <c r="X136" i="78"/>
  <c r="X140" i="78"/>
  <c r="V171" i="78"/>
  <c r="W192" i="78"/>
  <c r="X185" i="80" l="1"/>
  <c r="W170" i="80"/>
  <c r="X162" i="80"/>
  <c r="X157" i="80"/>
  <c r="Y154" i="80"/>
  <c r="X163" i="80"/>
  <c r="X161" i="80"/>
  <c r="X170" i="80" s="1"/>
  <c r="W149" i="80"/>
  <c r="X192" i="80"/>
  <c r="X142" i="80"/>
  <c r="X140" i="80"/>
  <c r="X149" i="80" s="1"/>
  <c r="X141" i="80"/>
  <c r="X136" i="80"/>
  <c r="Y133" i="80"/>
  <c r="W171" i="80"/>
  <c r="X162" i="78"/>
  <c r="X157" i="78"/>
  <c r="Y154" i="78"/>
  <c r="X163" i="78"/>
  <c r="X161" i="78"/>
  <c r="X170" i="78" s="1"/>
  <c r="X192" i="78"/>
  <c r="X144" i="78"/>
  <c r="W150" i="78"/>
  <c r="W171" i="78"/>
  <c r="Y141" i="78"/>
  <c r="Y142" i="78"/>
  <c r="Y140" i="78"/>
  <c r="Y149" i="78" s="1"/>
  <c r="Z133" i="78"/>
  <c r="Y136" i="78"/>
  <c r="X149" i="78"/>
  <c r="X185" i="78"/>
  <c r="Y150" i="80" l="1"/>
  <c r="Y141" i="80"/>
  <c r="Y136" i="80"/>
  <c r="Z133" i="80"/>
  <c r="Y140" i="80"/>
  <c r="Y142" i="80"/>
  <c r="Y192" i="80"/>
  <c r="Y162" i="80"/>
  <c r="Y171" i="80"/>
  <c r="Y157" i="80"/>
  <c r="Z154" i="80"/>
  <c r="Y163" i="80"/>
  <c r="Y161" i="80"/>
  <c r="Y185" i="80"/>
  <c r="X171" i="80"/>
  <c r="X150" i="80"/>
  <c r="Y185" i="78"/>
  <c r="Y157" i="78"/>
  <c r="Z154" i="78"/>
  <c r="Y163" i="78"/>
  <c r="Y171" i="78" s="1"/>
  <c r="Y162" i="78"/>
  <c r="Y161" i="78"/>
  <c r="Y144" i="78"/>
  <c r="X150" i="78"/>
  <c r="X171" i="78"/>
  <c r="Y192" i="78"/>
  <c r="Z141" i="78"/>
  <c r="AA133" i="78"/>
  <c r="Z142" i="78"/>
  <c r="Z136" i="78"/>
  <c r="Z140" i="78"/>
  <c r="Z149" i="78" s="1"/>
  <c r="Z157" i="80" l="1"/>
  <c r="AA154" i="80"/>
  <c r="Z163" i="80"/>
  <c r="Z161" i="80"/>
  <c r="Z162" i="80"/>
  <c r="Z192" i="80"/>
  <c r="Z185" i="80"/>
  <c r="Y149" i="80"/>
  <c r="Y170" i="80"/>
  <c r="Z141" i="80"/>
  <c r="Z136" i="80"/>
  <c r="AA133" i="80"/>
  <c r="Z142" i="80"/>
  <c r="Z140" i="80"/>
  <c r="Z149" i="80" s="1"/>
  <c r="Z157" i="78"/>
  <c r="AA154" i="78"/>
  <c r="Z163" i="78"/>
  <c r="Z161" i="78"/>
  <c r="Z171" i="78" s="1"/>
  <c r="Z162" i="78"/>
  <c r="Z144" i="78"/>
  <c r="Y150" i="78"/>
  <c r="AA141" i="78"/>
  <c r="AA136" i="78"/>
  <c r="AA142" i="78"/>
  <c r="AA140" i="78"/>
  <c r="Z192" i="78"/>
  <c r="Y170" i="78"/>
  <c r="Z185" i="78"/>
  <c r="Z150" i="80" l="1"/>
  <c r="AA192" i="80"/>
  <c r="AA141" i="80"/>
  <c r="AA136" i="80"/>
  <c r="AA142" i="80"/>
  <c r="AA140" i="80"/>
  <c r="Z170" i="80"/>
  <c r="AA185" i="80"/>
  <c r="AA171" i="80"/>
  <c r="AA157" i="80"/>
  <c r="AA163" i="80"/>
  <c r="AA161" i="80"/>
  <c r="AA162" i="80"/>
  <c r="Z171" i="80"/>
  <c r="AA192" i="78"/>
  <c r="AA163" i="78"/>
  <c r="AA161" i="78"/>
  <c r="AA157" i="78"/>
  <c r="AA162" i="78"/>
  <c r="AA171" i="78" s="1"/>
  <c r="Z170" i="78"/>
  <c r="AA185" i="78"/>
  <c r="AA149" i="78"/>
  <c r="AA144" i="78"/>
  <c r="AA150" i="78" s="1"/>
  <c r="Z150" i="78"/>
  <c r="AA149" i="80" l="1"/>
  <c r="AA170" i="80"/>
  <c r="AA150" i="80"/>
  <c r="AA170" i="78"/>
  <c r="F6" i="73" l="1"/>
  <c r="G6" i="73"/>
  <c r="H6" i="73"/>
  <c r="I6" i="73"/>
  <c r="J6" i="73"/>
  <c r="K6" i="73"/>
  <c r="L6" i="73"/>
  <c r="M6" i="73"/>
  <c r="N6" i="73"/>
  <c r="O6" i="73"/>
  <c r="P6" i="73"/>
  <c r="Q6" i="73"/>
  <c r="R6" i="73"/>
  <c r="S6" i="73"/>
  <c r="T6" i="73"/>
  <c r="U6" i="73"/>
  <c r="V6" i="73"/>
  <c r="D14" i="8" l="1"/>
  <c r="D7" i="8"/>
  <c r="F42" i="54" l="1"/>
  <c r="G42" i="54"/>
  <c r="H41" i="54"/>
  <c r="F41" i="54"/>
  <c r="G41" i="54"/>
  <c r="F43" i="54"/>
  <c r="G43" i="54"/>
  <c r="G46" i="54" l="1"/>
  <c r="G50" i="54" s="1"/>
  <c r="F46" i="54"/>
  <c r="F50" i="54" s="1"/>
  <c r="G45" i="54"/>
  <c r="G49" i="54" s="1"/>
  <c r="F45" i="54"/>
  <c r="F49" i="54" s="1"/>
  <c r="B8" i="52" l="1"/>
  <c r="F93" i="34"/>
  <c r="G93" i="34"/>
  <c r="H93" i="34"/>
  <c r="I93" i="34"/>
  <c r="J93" i="34"/>
  <c r="K93" i="34"/>
  <c r="L93" i="34"/>
  <c r="M93" i="34"/>
  <c r="N93" i="34"/>
  <c r="O93" i="34"/>
  <c r="P93" i="34"/>
  <c r="F94" i="34"/>
  <c r="G94" i="34"/>
  <c r="H94" i="34"/>
  <c r="I94" i="34"/>
  <c r="J94" i="34"/>
  <c r="K94" i="34"/>
  <c r="L94" i="34"/>
  <c r="M94" i="34"/>
  <c r="N94" i="34"/>
  <c r="O94" i="34"/>
  <c r="P94" i="34"/>
  <c r="F95" i="34"/>
  <c r="G95" i="34"/>
  <c r="H95" i="34"/>
  <c r="I95" i="34"/>
  <c r="J95" i="34"/>
  <c r="K95" i="34"/>
  <c r="L95" i="34"/>
  <c r="M95" i="34"/>
  <c r="N95" i="34"/>
  <c r="O95" i="34"/>
  <c r="P95" i="34"/>
  <c r="F96" i="34"/>
  <c r="G96" i="34"/>
  <c r="H96" i="34"/>
  <c r="I96" i="34"/>
  <c r="J96" i="34"/>
  <c r="K96" i="34"/>
  <c r="L96" i="34"/>
  <c r="M96" i="34"/>
  <c r="N96" i="34"/>
  <c r="O96" i="34"/>
  <c r="P96" i="34"/>
  <c r="F97" i="34"/>
  <c r="G97" i="34"/>
  <c r="H97" i="34"/>
  <c r="I97" i="34"/>
  <c r="J97" i="34"/>
  <c r="K97" i="34"/>
  <c r="L97" i="34"/>
  <c r="M97" i="34"/>
  <c r="N97" i="34"/>
  <c r="O97" i="34"/>
  <c r="P97" i="34"/>
  <c r="E93" i="34"/>
  <c r="E97" i="34"/>
  <c r="E96" i="34"/>
  <c r="E95" i="34"/>
  <c r="E94" i="34"/>
  <c r="E86" i="34"/>
  <c r="F86" i="34"/>
  <c r="G86" i="34"/>
  <c r="H86" i="34"/>
  <c r="I86" i="34"/>
  <c r="J86" i="34"/>
  <c r="K86" i="34"/>
  <c r="L86" i="34"/>
  <c r="M86" i="34"/>
  <c r="N86" i="34"/>
  <c r="O86" i="34"/>
  <c r="P86" i="34"/>
  <c r="F87" i="34"/>
  <c r="G87" i="34"/>
  <c r="H87" i="34"/>
  <c r="I87" i="34"/>
  <c r="J87" i="34"/>
  <c r="K87" i="34"/>
  <c r="L87" i="34"/>
  <c r="M87" i="34"/>
  <c r="N87" i="34"/>
  <c r="O87" i="34"/>
  <c r="P87" i="34"/>
  <c r="F88" i="34"/>
  <c r="G88" i="34"/>
  <c r="H88" i="34"/>
  <c r="I88" i="34"/>
  <c r="J88" i="34"/>
  <c r="K88" i="34"/>
  <c r="L88" i="34"/>
  <c r="M88" i="34"/>
  <c r="N88" i="34"/>
  <c r="O88" i="34"/>
  <c r="P88" i="34"/>
  <c r="F89" i="34"/>
  <c r="G89" i="34"/>
  <c r="H89" i="34"/>
  <c r="I89" i="34"/>
  <c r="J89" i="34"/>
  <c r="K89" i="34"/>
  <c r="L89" i="34"/>
  <c r="M89" i="34"/>
  <c r="N89" i="34"/>
  <c r="O89" i="34"/>
  <c r="P89" i="34"/>
  <c r="F90" i="34"/>
  <c r="G90" i="34"/>
  <c r="H90" i="34"/>
  <c r="I90" i="34"/>
  <c r="J90" i="34"/>
  <c r="K90" i="34"/>
  <c r="L90" i="34"/>
  <c r="M90" i="34"/>
  <c r="N90" i="34"/>
  <c r="O90" i="34"/>
  <c r="P90" i="34"/>
  <c r="E90" i="34"/>
  <c r="E89" i="34"/>
  <c r="E88" i="34"/>
  <c r="E87" i="34"/>
  <c r="N79" i="34"/>
  <c r="O79" i="34"/>
  <c r="P79" i="34"/>
  <c r="F80" i="34"/>
  <c r="G80" i="34"/>
  <c r="H80" i="34"/>
  <c r="I80" i="34"/>
  <c r="J80" i="34"/>
  <c r="K80" i="34"/>
  <c r="L80" i="34"/>
  <c r="M80" i="34"/>
  <c r="N80" i="34"/>
  <c r="O80" i="34"/>
  <c r="P80" i="34"/>
  <c r="F81" i="34"/>
  <c r="G81" i="34"/>
  <c r="H81" i="34"/>
  <c r="I81" i="34"/>
  <c r="J81" i="34"/>
  <c r="K81" i="34"/>
  <c r="L81" i="34"/>
  <c r="M81" i="34"/>
  <c r="N81" i="34"/>
  <c r="O81" i="34"/>
  <c r="P81" i="34"/>
  <c r="M82" i="34"/>
  <c r="N82" i="34"/>
  <c r="O82" i="34"/>
  <c r="P82" i="34"/>
  <c r="N83" i="34"/>
  <c r="O83" i="34"/>
  <c r="P83" i="34"/>
  <c r="E80" i="34"/>
  <c r="E81" i="34"/>
  <c r="H30" i="54" l="1"/>
  <c r="F26" i="34" l="1"/>
  <c r="G26" i="34" s="1"/>
  <c r="H26" i="34" s="1"/>
  <c r="I26" i="34" s="1"/>
  <c r="J26" i="34" s="1"/>
  <c r="K26" i="34" s="1"/>
  <c r="L26" i="34" s="1"/>
  <c r="L38" i="34"/>
  <c r="K38" i="34" s="1"/>
  <c r="L37" i="34"/>
  <c r="K37" i="34" s="1"/>
  <c r="L36" i="34"/>
  <c r="K36" i="34" s="1"/>
  <c r="L35" i="34"/>
  <c r="K35" i="34" s="1"/>
  <c r="K39" i="34" s="1"/>
  <c r="L44" i="34"/>
  <c r="K44" i="34" s="1"/>
  <c r="J44" i="34" s="1"/>
  <c r="I44" i="34" s="1"/>
  <c r="H44" i="34" s="1"/>
  <c r="G44" i="34" s="1"/>
  <c r="F44" i="34" s="1"/>
  <c r="E44" i="34" s="1"/>
  <c r="L43" i="34"/>
  <c r="K43" i="34" s="1"/>
  <c r="J43" i="34" s="1"/>
  <c r="I43" i="34" s="1"/>
  <c r="H43" i="34" s="1"/>
  <c r="G43" i="34" s="1"/>
  <c r="F43" i="34" s="1"/>
  <c r="E43" i="34" s="1"/>
  <c r="L42" i="34"/>
  <c r="K42" i="34" s="1"/>
  <c r="J42" i="34" s="1"/>
  <c r="I42" i="34" s="1"/>
  <c r="H42" i="34" s="1"/>
  <c r="G42" i="34" s="1"/>
  <c r="F42" i="34" s="1"/>
  <c r="E42" i="34" s="1"/>
  <c r="L41" i="34"/>
  <c r="K41" i="34" s="1"/>
  <c r="J41" i="34" s="1"/>
  <c r="I41" i="34" s="1"/>
  <c r="H41" i="34" s="1"/>
  <c r="G41" i="34" s="1"/>
  <c r="F41" i="34" s="1"/>
  <c r="E41" i="34" s="1"/>
  <c r="L29" i="34"/>
  <c r="K29" i="34" s="1"/>
  <c r="J29" i="34" s="1"/>
  <c r="I29" i="34" s="1"/>
  <c r="H29" i="34" s="1"/>
  <c r="G29" i="34" s="1"/>
  <c r="F29" i="34" s="1"/>
  <c r="E29" i="34" s="1"/>
  <c r="L30" i="34"/>
  <c r="K30" i="34" s="1"/>
  <c r="J30" i="34" s="1"/>
  <c r="I30" i="34" s="1"/>
  <c r="H30" i="34" s="1"/>
  <c r="G30" i="34" s="1"/>
  <c r="F30" i="34" s="1"/>
  <c r="L39" i="34" l="1"/>
  <c r="L31" i="34"/>
  <c r="K31" i="34" s="1"/>
  <c r="J31" i="34" s="1"/>
  <c r="I31" i="34" s="1"/>
  <c r="H31" i="34" s="1"/>
  <c r="G31" i="34" s="1"/>
  <c r="F31" i="34" s="1"/>
  <c r="E31" i="34" s="1"/>
  <c r="L28" i="34"/>
  <c r="J35" i="34"/>
  <c r="J39" i="34" s="1"/>
  <c r="J36" i="34"/>
  <c r="J37" i="34"/>
  <c r="J38" i="34"/>
  <c r="K28" i="34" l="1"/>
  <c r="L32" i="34"/>
  <c r="I38" i="34"/>
  <c r="I37" i="34"/>
  <c r="I36" i="34"/>
  <c r="I35" i="34"/>
  <c r="I39" i="34" l="1"/>
  <c r="K32" i="34"/>
  <c r="J28" i="34"/>
  <c r="H36" i="34"/>
  <c r="H35" i="34"/>
  <c r="H39" i="34" s="1"/>
  <c r="H37" i="34"/>
  <c r="H38" i="34"/>
  <c r="I28" i="34" l="1"/>
  <c r="J32" i="34"/>
  <c r="G37" i="34"/>
  <c r="G35" i="34"/>
  <c r="G39" i="34" s="1"/>
  <c r="G36" i="34"/>
  <c r="G38" i="34"/>
  <c r="H28" i="34" l="1"/>
  <c r="I32" i="34"/>
  <c r="F36" i="34"/>
  <c r="F37" i="34"/>
  <c r="F38" i="34"/>
  <c r="F39" i="34" l="1"/>
  <c r="G28" i="34"/>
  <c r="H32" i="34"/>
  <c r="E38" i="34"/>
  <c r="E37" i="34"/>
  <c r="E36" i="34"/>
  <c r="E35" i="34"/>
  <c r="E39" i="34" l="1"/>
  <c r="G32" i="34"/>
  <c r="F28" i="34"/>
  <c r="E28" i="34" s="1"/>
  <c r="E57" i="34" s="1"/>
  <c r="E79" i="34" s="1"/>
  <c r="E32" i="34" l="1"/>
  <c r="F32" i="34"/>
  <c r="I43" i="54" l="1"/>
  <c r="I46" i="54" s="1"/>
  <c r="I50" i="54" s="1"/>
  <c r="J43" i="54"/>
  <c r="J46" i="54" s="1"/>
  <c r="J50" i="54" s="1"/>
  <c r="K43" i="54"/>
  <c r="L43" i="54"/>
  <c r="L46" i="54" s="1"/>
  <c r="L50" i="54" s="1"/>
  <c r="M43" i="54"/>
  <c r="M46" i="54" s="1"/>
  <c r="M50" i="54" s="1"/>
  <c r="N43" i="54"/>
  <c r="O43" i="54"/>
  <c r="O46" i="54" s="1"/>
  <c r="O50" i="54" s="1"/>
  <c r="P43" i="54"/>
  <c r="P46" i="54" s="1"/>
  <c r="P50" i="54" s="1"/>
  <c r="Q43" i="54"/>
  <c r="Q46" i="54" s="1"/>
  <c r="Q50" i="54" s="1"/>
  <c r="H43" i="54"/>
  <c r="H45" i="54" s="1"/>
  <c r="H49" i="54" s="1"/>
  <c r="I41" i="54"/>
  <c r="J41" i="54"/>
  <c r="K41" i="54"/>
  <c r="L41" i="54"/>
  <c r="L45" i="54" s="1"/>
  <c r="L49" i="54" s="1"/>
  <c r="M41" i="54"/>
  <c r="M45" i="54" s="1"/>
  <c r="M49" i="54" s="1"/>
  <c r="N41" i="54"/>
  <c r="O41" i="54"/>
  <c r="O45" i="54" s="1"/>
  <c r="O49" i="54" s="1"/>
  <c r="P41" i="54"/>
  <c r="Q41" i="54"/>
  <c r="B39" i="54"/>
  <c r="Q38" i="54"/>
  <c r="P38" i="54"/>
  <c r="O38" i="54"/>
  <c r="N38" i="54"/>
  <c r="M38" i="54"/>
  <c r="L38" i="54"/>
  <c r="K38" i="54"/>
  <c r="J38" i="54"/>
  <c r="I38" i="54"/>
  <c r="H38" i="54"/>
  <c r="G38" i="54"/>
  <c r="F38" i="54"/>
  <c r="B38" i="54"/>
  <c r="R37" i="54"/>
  <c r="S37" i="54" s="1"/>
  <c r="B37" i="54"/>
  <c r="R36" i="54"/>
  <c r="S36" i="54" s="1"/>
  <c r="T36" i="54" s="1"/>
  <c r="U36" i="54" s="1"/>
  <c r="V36" i="54" s="1"/>
  <c r="W36" i="54" s="1"/>
  <c r="X36" i="54" s="1"/>
  <c r="Y36" i="54" s="1"/>
  <c r="Z36" i="54" s="1"/>
  <c r="AA36" i="54" s="1"/>
  <c r="B36" i="54"/>
  <c r="R35" i="54"/>
  <c r="B35" i="54"/>
  <c r="R34" i="54"/>
  <c r="B34" i="54"/>
  <c r="R33" i="54"/>
  <c r="S33" i="54" s="1"/>
  <c r="C43" i="54"/>
  <c r="B33" i="54"/>
  <c r="R32" i="54"/>
  <c r="B32" i="54"/>
  <c r="E31" i="54"/>
  <c r="D31" i="54"/>
  <c r="C31" i="54"/>
  <c r="B31" i="54"/>
  <c r="Q30" i="54"/>
  <c r="P30" i="54"/>
  <c r="O30" i="54"/>
  <c r="N30" i="54"/>
  <c r="M30" i="54"/>
  <c r="L30" i="54"/>
  <c r="K30" i="54"/>
  <c r="J30" i="54"/>
  <c r="I30" i="54"/>
  <c r="G30" i="54"/>
  <c r="F30" i="54"/>
  <c r="B30" i="54"/>
  <c r="R29" i="54"/>
  <c r="S29" i="54" s="1"/>
  <c r="B29" i="54"/>
  <c r="R28" i="54"/>
  <c r="S28" i="54" s="1"/>
  <c r="T28" i="54" s="1"/>
  <c r="U28" i="54" s="1"/>
  <c r="V28" i="54" s="1"/>
  <c r="W28" i="54" s="1"/>
  <c r="X28" i="54" s="1"/>
  <c r="Y28" i="54" s="1"/>
  <c r="Z28" i="54" s="1"/>
  <c r="AA28" i="54" s="1"/>
  <c r="B28" i="54"/>
  <c r="R27" i="54"/>
  <c r="B27" i="54"/>
  <c r="R26" i="54"/>
  <c r="S26" i="54" s="1"/>
  <c r="T26" i="54" s="1"/>
  <c r="U26" i="54" s="1"/>
  <c r="V26" i="54" s="1"/>
  <c r="W26" i="54" s="1"/>
  <c r="X26" i="54" s="1"/>
  <c r="Y26" i="54" s="1"/>
  <c r="Z26" i="54" s="1"/>
  <c r="AA26" i="54" s="1"/>
  <c r="B26" i="54"/>
  <c r="R25" i="54"/>
  <c r="S25" i="54" s="1"/>
  <c r="B25" i="54"/>
  <c r="R24" i="54"/>
  <c r="B24" i="54"/>
  <c r="R23" i="54"/>
  <c r="B23" i="54"/>
  <c r="R22" i="54"/>
  <c r="S22" i="54" s="1"/>
  <c r="T22" i="54" s="1"/>
  <c r="U22" i="54" s="1"/>
  <c r="V22" i="54" s="1"/>
  <c r="W22" i="54" s="1"/>
  <c r="X22" i="54" s="1"/>
  <c r="Y22" i="54" s="1"/>
  <c r="Z22" i="54" s="1"/>
  <c r="AA22" i="54" s="1"/>
  <c r="B22" i="54"/>
  <c r="R21" i="54"/>
  <c r="R42" i="54" s="1"/>
  <c r="B21" i="54"/>
  <c r="B20" i="54"/>
  <c r="Q19" i="54"/>
  <c r="P19" i="54"/>
  <c r="O19" i="54"/>
  <c r="N19" i="54"/>
  <c r="M19" i="54"/>
  <c r="L19" i="54"/>
  <c r="K19" i="54"/>
  <c r="J19" i="54"/>
  <c r="I19" i="54"/>
  <c r="H19" i="54"/>
  <c r="G19" i="54"/>
  <c r="F19" i="54"/>
  <c r="B19" i="54"/>
  <c r="R18" i="54"/>
  <c r="S18" i="54" s="1"/>
  <c r="T18" i="54" s="1"/>
  <c r="U18" i="54" s="1"/>
  <c r="V18" i="54" s="1"/>
  <c r="W18" i="54" s="1"/>
  <c r="X18" i="54" s="1"/>
  <c r="Y18" i="54" s="1"/>
  <c r="Z18" i="54" s="1"/>
  <c r="AA18" i="54" s="1"/>
  <c r="B18" i="54"/>
  <c r="R17" i="54"/>
  <c r="B17" i="54"/>
  <c r="R16" i="54"/>
  <c r="B16" i="54"/>
  <c r="R15" i="54"/>
  <c r="S15" i="54" s="1"/>
  <c r="T15" i="54" s="1"/>
  <c r="U15" i="54" s="1"/>
  <c r="V15" i="54" s="1"/>
  <c r="W15" i="54" s="1"/>
  <c r="X15" i="54" s="1"/>
  <c r="Y15" i="54" s="1"/>
  <c r="Z15" i="54" s="1"/>
  <c r="AA15" i="54" s="1"/>
  <c r="B15" i="54"/>
  <c r="R14" i="54"/>
  <c r="S14" i="54" s="1"/>
  <c r="B14" i="54"/>
  <c r="R13" i="54"/>
  <c r="S13" i="54" s="1"/>
  <c r="T13" i="54" s="1"/>
  <c r="U13" i="54" s="1"/>
  <c r="V13" i="54" s="1"/>
  <c r="W13" i="54" s="1"/>
  <c r="X13" i="54" s="1"/>
  <c r="Y13" i="54" s="1"/>
  <c r="Z13" i="54" s="1"/>
  <c r="AA13" i="54" s="1"/>
  <c r="B13" i="54"/>
  <c r="R12" i="54"/>
  <c r="B12" i="54"/>
  <c r="R11" i="54"/>
  <c r="S11" i="54" s="1"/>
  <c r="T11" i="54" s="1"/>
  <c r="U11" i="54" s="1"/>
  <c r="V11" i="54" s="1"/>
  <c r="W11" i="54" s="1"/>
  <c r="X11" i="54" s="1"/>
  <c r="Y11" i="54" s="1"/>
  <c r="Z11" i="54" s="1"/>
  <c r="AA11" i="54" s="1"/>
  <c r="B11" i="54"/>
  <c r="R10" i="54"/>
  <c r="S10" i="54" s="1"/>
  <c r="T10" i="54" s="1"/>
  <c r="U10" i="54" s="1"/>
  <c r="V10" i="54" s="1"/>
  <c r="W10" i="54" s="1"/>
  <c r="X10" i="54" s="1"/>
  <c r="Y10" i="54" s="1"/>
  <c r="Z10" i="54" s="1"/>
  <c r="AA10" i="54" s="1"/>
  <c r="B10" i="54"/>
  <c r="R9" i="54"/>
  <c r="B9" i="54"/>
  <c r="R8" i="54"/>
  <c r="E41" i="54"/>
  <c r="C41" i="54"/>
  <c r="B8" i="54"/>
  <c r="B7" i="54"/>
  <c r="B6" i="54"/>
  <c r="Q4" i="54"/>
  <c r="P4" i="54"/>
  <c r="O4" i="54"/>
  <c r="N4" i="54"/>
  <c r="M4" i="54"/>
  <c r="L4" i="54"/>
  <c r="K4" i="54"/>
  <c r="J4" i="54"/>
  <c r="I4" i="54"/>
  <c r="H4" i="54"/>
  <c r="G4" i="54"/>
  <c r="F4" i="54"/>
  <c r="E4" i="54"/>
  <c r="D4" i="54"/>
  <c r="C4" i="54"/>
  <c r="Q3" i="54"/>
  <c r="P3" i="54"/>
  <c r="O3" i="54"/>
  <c r="N3" i="54"/>
  <c r="M3" i="54"/>
  <c r="L3" i="54"/>
  <c r="K3" i="54"/>
  <c r="J3" i="54"/>
  <c r="I3" i="54"/>
  <c r="H3" i="54"/>
  <c r="G3" i="54"/>
  <c r="F3" i="54"/>
  <c r="E3" i="54"/>
  <c r="D3" i="54"/>
  <c r="C3" i="54"/>
  <c r="M2" i="54"/>
  <c r="H2" i="54"/>
  <c r="C2" i="54"/>
  <c r="B1" i="54"/>
  <c r="H46" i="54" l="1"/>
  <c r="H50" i="54" s="1"/>
  <c r="M39" i="54"/>
  <c r="I39" i="54"/>
  <c r="Q39" i="54"/>
  <c r="P39" i="54"/>
  <c r="F39" i="54"/>
  <c r="N39" i="54"/>
  <c r="Q45" i="54"/>
  <c r="Q49" i="54" s="1"/>
  <c r="I45" i="54"/>
  <c r="I49" i="54" s="1"/>
  <c r="C45" i="54"/>
  <c r="C49" i="54" s="1"/>
  <c r="S24" i="54"/>
  <c r="T24" i="54" s="1"/>
  <c r="H39" i="54"/>
  <c r="D41" i="54"/>
  <c r="D43" i="54"/>
  <c r="E43" i="54"/>
  <c r="E45" i="54" s="1"/>
  <c r="E49" i="54" s="1"/>
  <c r="C42" i="54"/>
  <c r="C46" i="54" s="1"/>
  <c r="C50" i="54" s="1"/>
  <c r="D42" i="54"/>
  <c r="E42" i="54"/>
  <c r="K46" i="54"/>
  <c r="K50" i="54" s="1"/>
  <c r="D30" i="54"/>
  <c r="E30" i="54"/>
  <c r="N45" i="54"/>
  <c r="N49" i="54" s="1"/>
  <c r="G39" i="54"/>
  <c r="O39" i="54"/>
  <c r="R41" i="54"/>
  <c r="R43" i="54"/>
  <c r="K45" i="54"/>
  <c r="K49" i="54" s="1"/>
  <c r="N46" i="54"/>
  <c r="N50" i="54" s="1"/>
  <c r="J39" i="54"/>
  <c r="T33" i="54"/>
  <c r="S43" i="54"/>
  <c r="C38" i="54"/>
  <c r="S21" i="54"/>
  <c r="S42" i="54" s="1"/>
  <c r="E19" i="54"/>
  <c r="E38" i="54"/>
  <c r="C30" i="54"/>
  <c r="S34" i="54"/>
  <c r="T34" i="54" s="1"/>
  <c r="U34" i="54" s="1"/>
  <c r="V34" i="54" s="1"/>
  <c r="W34" i="54" s="1"/>
  <c r="X34" i="54" s="1"/>
  <c r="Y34" i="54" s="1"/>
  <c r="Z34" i="54" s="1"/>
  <c r="AA34" i="54" s="1"/>
  <c r="C19" i="54"/>
  <c r="K39" i="54"/>
  <c r="D38" i="54"/>
  <c r="P45" i="54"/>
  <c r="P49" i="54" s="1"/>
  <c r="D19" i="54"/>
  <c r="L39" i="54"/>
  <c r="J45" i="54"/>
  <c r="J49" i="54" s="1"/>
  <c r="T14" i="54"/>
  <c r="R19" i="54"/>
  <c r="R30" i="54" s="1"/>
  <c r="R38" i="54" s="1"/>
  <c r="S9" i="54"/>
  <c r="T9" i="54" s="1"/>
  <c r="S17" i="54"/>
  <c r="T25" i="54"/>
  <c r="T29" i="54"/>
  <c r="S8" i="54"/>
  <c r="S12" i="54"/>
  <c r="S16" i="54"/>
  <c r="T37" i="54"/>
  <c r="U37" i="54" s="1"/>
  <c r="S23" i="54"/>
  <c r="S27" i="54"/>
  <c r="S32" i="54"/>
  <c r="S35" i="54"/>
  <c r="D46" i="54" l="1"/>
  <c r="D50" i="54" s="1"/>
  <c r="E39" i="54"/>
  <c r="R46" i="54"/>
  <c r="R50" i="54" s="1"/>
  <c r="R45" i="54"/>
  <c r="R49" i="54" s="1"/>
  <c r="D39" i="54"/>
  <c r="E46" i="54"/>
  <c r="E50" i="54" s="1"/>
  <c r="U24" i="54"/>
  <c r="V24" i="54" s="1"/>
  <c r="S46" i="54"/>
  <c r="S50" i="54" s="1"/>
  <c r="C39" i="54"/>
  <c r="D45" i="54"/>
  <c r="D49" i="54" s="1"/>
  <c r="S41" i="54"/>
  <c r="S45" i="54" s="1"/>
  <c r="S49" i="54" s="1"/>
  <c r="U9" i="54"/>
  <c r="V9" i="54" s="1"/>
  <c r="W9" i="54" s="1"/>
  <c r="U33" i="54"/>
  <c r="T43" i="54"/>
  <c r="T21" i="54"/>
  <c r="T42" i="54" s="1"/>
  <c r="T32" i="54"/>
  <c r="T35" i="54"/>
  <c r="U35" i="54" s="1"/>
  <c r="T23" i="54"/>
  <c r="U29" i="54"/>
  <c r="T8" i="54"/>
  <c r="S19" i="54"/>
  <c r="S30" i="54" s="1"/>
  <c r="S38" i="54" s="1"/>
  <c r="V37" i="54"/>
  <c r="U25" i="54"/>
  <c r="T16" i="54"/>
  <c r="U16" i="54" s="1"/>
  <c r="T17" i="54"/>
  <c r="T27" i="54"/>
  <c r="T12" i="54"/>
  <c r="U14" i="54"/>
  <c r="U21" i="54" l="1"/>
  <c r="U42" i="54" s="1"/>
  <c r="T46" i="54"/>
  <c r="T50" i="54" s="1"/>
  <c r="T41" i="54"/>
  <c r="T45" i="54" s="1"/>
  <c r="T49" i="54" s="1"/>
  <c r="V33" i="54"/>
  <c r="U43" i="54"/>
  <c r="U12" i="54"/>
  <c r="V12" i="54" s="1"/>
  <c r="W12" i="54" s="1"/>
  <c r="U27" i="54"/>
  <c r="X9" i="54"/>
  <c r="Y9" i="54" s="1"/>
  <c r="Z9" i="54" s="1"/>
  <c r="V35" i="54"/>
  <c r="V16" i="54"/>
  <c r="W16" i="54" s="1"/>
  <c r="X16" i="54" s="1"/>
  <c r="U23" i="54"/>
  <c r="W24" i="54"/>
  <c r="V14" i="54"/>
  <c r="U8" i="54"/>
  <c r="U41" i="54" s="1"/>
  <c r="U45" i="54" s="1"/>
  <c r="U49" i="54" s="1"/>
  <c r="T19" i="54"/>
  <c r="T30" i="54" s="1"/>
  <c r="T38" i="54" s="1"/>
  <c r="U17" i="54"/>
  <c r="V17" i="54" s="1"/>
  <c r="U32" i="54"/>
  <c r="V32" i="54" s="1"/>
  <c r="W37" i="54"/>
  <c r="V25" i="54"/>
  <c r="V29" i="54"/>
  <c r="W29" i="54" s="1"/>
  <c r="X24" i="54" l="1"/>
  <c r="Y24" i="54" s="1"/>
  <c r="Z24" i="54" s="1"/>
  <c r="W32" i="54"/>
  <c r="X32" i="54" s="1"/>
  <c r="W33" i="54"/>
  <c r="V43" i="54"/>
  <c r="V21" i="54"/>
  <c r="V42" i="54" s="1"/>
  <c r="U46" i="54"/>
  <c r="U50" i="54" s="1"/>
  <c r="W17" i="54"/>
  <c r="X37" i="54"/>
  <c r="Y37" i="54" s="1"/>
  <c r="V8" i="54"/>
  <c r="U19" i="54"/>
  <c r="U30" i="54" s="1"/>
  <c r="U38" i="54" s="1"/>
  <c r="W14" i="54"/>
  <c r="X14" i="54" s="1"/>
  <c r="W35" i="54"/>
  <c r="X35" i="54" s="1"/>
  <c r="X29" i="54"/>
  <c r="Y29" i="54" s="1"/>
  <c r="Z29" i="54" s="1"/>
  <c r="V23" i="54"/>
  <c r="W23" i="54" s="1"/>
  <c r="V27" i="54"/>
  <c r="AA9" i="54"/>
  <c r="W25" i="54"/>
  <c r="Y16" i="54"/>
  <c r="Z16" i="54" s="1"/>
  <c r="X12" i="54"/>
  <c r="Y12" i="54" s="1"/>
  <c r="P13" i="33"/>
  <c r="P14" i="33"/>
  <c r="P15" i="33"/>
  <c r="Y32" i="54" l="1"/>
  <c r="Z32" i="54" s="1"/>
  <c r="AA24" i="54"/>
  <c r="P12" i="33"/>
  <c r="W21" i="54"/>
  <c r="W42" i="54" s="1"/>
  <c r="V46" i="54"/>
  <c r="V50" i="54" s="1"/>
  <c r="X33" i="54"/>
  <c r="W43" i="54"/>
  <c r="V41" i="54"/>
  <c r="V45" i="54" s="1"/>
  <c r="V49" i="54" s="1"/>
  <c r="Z12" i="54"/>
  <c r="AA12" i="54" s="1"/>
  <c r="P6" i="33"/>
  <c r="P7" i="33"/>
  <c r="P9" i="33"/>
  <c r="P8" i="33"/>
  <c r="AA29" i="54"/>
  <c r="AA32" i="54"/>
  <c r="W27" i="54"/>
  <c r="X27" i="54" s="1"/>
  <c r="Y35" i="54"/>
  <c r="X25" i="54"/>
  <c r="Z37" i="54"/>
  <c r="AA37" i="54" s="1"/>
  <c r="W8" i="54"/>
  <c r="W41" i="54" s="1"/>
  <c r="V19" i="54"/>
  <c r="V30" i="54" s="1"/>
  <c r="V38" i="54" s="1"/>
  <c r="X17" i="54"/>
  <c r="X23" i="54"/>
  <c r="Y23" i="54" s="1"/>
  <c r="AA16" i="54"/>
  <c r="Y14" i="54"/>
  <c r="Z14" i="54" s="1"/>
  <c r="Q14" i="33"/>
  <c r="Q13" i="33"/>
  <c r="Q12" i="33"/>
  <c r="Q8" i="33"/>
  <c r="Q9" i="33"/>
  <c r="Q7" i="33"/>
  <c r="Q6" i="33"/>
  <c r="W45" i="54" l="1"/>
  <c r="W49" i="54" s="1"/>
  <c r="I90" i="76"/>
  <c r="I90" i="80"/>
  <c r="H90" i="76"/>
  <c r="H90" i="80"/>
  <c r="H90" i="74"/>
  <c r="H90" i="78"/>
  <c r="I90" i="74"/>
  <c r="I90" i="78"/>
  <c r="H90" i="14"/>
  <c r="I90" i="14"/>
  <c r="H90" i="48"/>
  <c r="I90" i="49"/>
  <c r="I90" i="48"/>
  <c r="H90" i="49"/>
  <c r="Z23" i="54"/>
  <c r="AA23" i="54" s="1"/>
  <c r="Z35" i="54"/>
  <c r="AA35" i="54" s="1"/>
  <c r="Y33" i="54"/>
  <c r="X43" i="54"/>
  <c r="Y27" i="54"/>
  <c r="X21" i="54"/>
  <c r="X42" i="54" s="1"/>
  <c r="W46" i="54"/>
  <c r="W50" i="54" s="1"/>
  <c r="Q15" i="33"/>
  <c r="W19" i="54"/>
  <c r="W30" i="54" s="1"/>
  <c r="W38" i="54" s="1"/>
  <c r="X8" i="54"/>
  <c r="X41" i="54" s="1"/>
  <c r="Y17" i="54"/>
  <c r="Z17" i="54" s="1"/>
  <c r="Y25" i="54"/>
  <c r="Z25" i="54" s="1"/>
  <c r="AA14" i="54"/>
  <c r="R14" i="33"/>
  <c r="R15" i="33"/>
  <c r="R13" i="33"/>
  <c r="R12" i="33"/>
  <c r="R9" i="33"/>
  <c r="I93" i="78" l="1"/>
  <c r="H93" i="78"/>
  <c r="H91" i="78"/>
  <c r="H91" i="74"/>
  <c r="H93" i="74"/>
  <c r="J90" i="76"/>
  <c r="J90" i="80"/>
  <c r="H91" i="80"/>
  <c r="H93" i="80"/>
  <c r="H93" i="76"/>
  <c r="H91" i="76"/>
  <c r="I93" i="80"/>
  <c r="I93" i="74"/>
  <c r="I93" i="76"/>
  <c r="J90" i="49"/>
  <c r="R7" i="33"/>
  <c r="AA17" i="54"/>
  <c r="Z27" i="54"/>
  <c r="AA27" i="54" s="1"/>
  <c r="Z33" i="54"/>
  <c r="Y43" i="54"/>
  <c r="X45" i="54"/>
  <c r="X49" i="54" s="1"/>
  <c r="Y21" i="54"/>
  <c r="Y42" i="54" s="1"/>
  <c r="X46" i="54"/>
  <c r="X50" i="54" s="1"/>
  <c r="R8" i="33"/>
  <c r="R6" i="33"/>
  <c r="AA25" i="54"/>
  <c r="X19" i="54"/>
  <c r="X30" i="54" s="1"/>
  <c r="X38" i="54" s="1"/>
  <c r="Y8" i="54"/>
  <c r="S7" i="33"/>
  <c r="S15" i="33"/>
  <c r="S12" i="33"/>
  <c r="S14" i="33"/>
  <c r="Y41" i="54" l="1"/>
  <c r="Y45" i="54" s="1"/>
  <c r="Y49" i="54" s="1"/>
  <c r="H98" i="76"/>
  <c r="H100" i="76"/>
  <c r="H94" i="76"/>
  <c r="I91" i="76"/>
  <c r="H99" i="76"/>
  <c r="H99" i="74"/>
  <c r="H98" i="74"/>
  <c r="H100" i="74"/>
  <c r="H94" i="74"/>
  <c r="I91" i="74"/>
  <c r="H100" i="78"/>
  <c r="I91" i="78"/>
  <c r="H98" i="78"/>
  <c r="H99" i="78"/>
  <c r="H94" i="78"/>
  <c r="H94" i="80"/>
  <c r="I91" i="80"/>
  <c r="H100" i="80"/>
  <c r="H98" i="80"/>
  <c r="H99" i="80"/>
  <c r="K90" i="76"/>
  <c r="K90" i="80"/>
  <c r="J93" i="80"/>
  <c r="J90" i="74"/>
  <c r="J90" i="78"/>
  <c r="J93" i="76"/>
  <c r="J90" i="14"/>
  <c r="K90" i="14"/>
  <c r="K90" i="49"/>
  <c r="J90" i="48"/>
  <c r="Z21" i="54"/>
  <c r="Z42" i="54" s="1"/>
  <c r="Y46" i="54"/>
  <c r="Y50" i="54" s="1"/>
  <c r="AA33" i="54"/>
  <c r="AA43" i="54" s="1"/>
  <c r="Z43" i="54"/>
  <c r="S8" i="33"/>
  <c r="S6" i="33"/>
  <c r="S13" i="33"/>
  <c r="S9" i="33"/>
  <c r="Y19" i="54"/>
  <c r="Y30" i="54" s="1"/>
  <c r="Y38" i="54" s="1"/>
  <c r="Z8" i="54"/>
  <c r="Z41" i="54" s="1"/>
  <c r="Z45" i="54" s="1"/>
  <c r="Z49" i="54" s="1"/>
  <c r="T9" i="33"/>
  <c r="T6" i="33"/>
  <c r="T8" i="33"/>
  <c r="H108" i="76" l="1"/>
  <c r="H108" i="80"/>
  <c r="H108" i="78"/>
  <c r="H107" i="74"/>
  <c r="H210" i="74" s="1"/>
  <c r="H214" i="74" s="1"/>
  <c r="H241" i="74" s="1"/>
  <c r="H108" i="74"/>
  <c r="K93" i="80"/>
  <c r="I100" i="74"/>
  <c r="I99" i="74"/>
  <c r="J91" i="74"/>
  <c r="I94" i="74"/>
  <c r="I98" i="74"/>
  <c r="L90" i="74"/>
  <c r="L90" i="78"/>
  <c r="J93" i="78"/>
  <c r="I100" i="76"/>
  <c r="I99" i="76"/>
  <c r="I94" i="76"/>
  <c r="J91" i="76"/>
  <c r="I98" i="76"/>
  <c r="J93" i="74"/>
  <c r="H107" i="80"/>
  <c r="H107" i="78"/>
  <c r="I94" i="78"/>
  <c r="I99" i="78"/>
  <c r="I100" i="78"/>
  <c r="J91" i="78"/>
  <c r="I98" i="78"/>
  <c r="K93" i="76"/>
  <c r="K90" i="74"/>
  <c r="K90" i="78"/>
  <c r="J91" i="80"/>
  <c r="I100" i="80"/>
  <c r="I98" i="80"/>
  <c r="I99" i="80"/>
  <c r="I94" i="80"/>
  <c r="H107" i="76"/>
  <c r="K90" i="48"/>
  <c r="L90" i="48"/>
  <c r="AA21" i="54"/>
  <c r="AA42" i="54" s="1"/>
  <c r="Z46" i="54"/>
  <c r="Z50" i="54" s="1"/>
  <c r="T7" i="33"/>
  <c r="AA8" i="54"/>
  <c r="Z19" i="54"/>
  <c r="Z30" i="54" s="1"/>
  <c r="Z38" i="54" s="1"/>
  <c r="T15" i="33"/>
  <c r="T13" i="33"/>
  <c r="T14" i="33"/>
  <c r="U9" i="33"/>
  <c r="U6" i="33"/>
  <c r="I108" i="80" l="1"/>
  <c r="I108" i="76"/>
  <c r="AA41" i="54"/>
  <c r="AA45" i="54" s="1"/>
  <c r="AA49" i="54" s="1"/>
  <c r="I107" i="74"/>
  <c r="AA46" i="54"/>
  <c r="AA50" i="54" s="1"/>
  <c r="I107" i="78"/>
  <c r="I210" i="78" s="1"/>
  <c r="I214" i="78" s="1"/>
  <c r="I241" i="78" s="1"/>
  <c r="I108" i="74"/>
  <c r="M90" i="74"/>
  <c r="M90" i="78"/>
  <c r="H210" i="76"/>
  <c r="H214" i="76" s="1"/>
  <c r="H241" i="76" s="1"/>
  <c r="K93" i="78"/>
  <c r="J94" i="76"/>
  <c r="K91" i="76"/>
  <c r="J99" i="76"/>
  <c r="J100" i="76"/>
  <c r="J98" i="76"/>
  <c r="L93" i="78"/>
  <c r="I210" i="74"/>
  <c r="I214" i="74" s="1"/>
  <c r="I241" i="74" s="1"/>
  <c r="J98" i="74"/>
  <c r="J94" i="74"/>
  <c r="J100" i="74"/>
  <c r="K91" i="74"/>
  <c r="J99" i="74"/>
  <c r="H210" i="78"/>
  <c r="H214" i="78" s="1"/>
  <c r="H241" i="78" s="1"/>
  <c r="L93" i="74"/>
  <c r="I107" i="80"/>
  <c r="I108" i="78"/>
  <c r="H210" i="80"/>
  <c r="H214" i="80" s="1"/>
  <c r="H241" i="80" s="1"/>
  <c r="J100" i="80"/>
  <c r="J99" i="80"/>
  <c r="J98" i="80"/>
  <c r="J94" i="80"/>
  <c r="K91" i="80"/>
  <c r="J98" i="78"/>
  <c r="J94" i="78"/>
  <c r="K91" i="78"/>
  <c r="J99" i="78"/>
  <c r="J100" i="78"/>
  <c r="K93" i="74"/>
  <c r="H275" i="74"/>
  <c r="H307" i="74"/>
  <c r="I107" i="76"/>
  <c r="L90" i="14"/>
  <c r="T62" i="33"/>
  <c r="M90" i="48"/>
  <c r="T12" i="33"/>
  <c r="U8" i="33"/>
  <c r="U7" i="33"/>
  <c r="AA19" i="54"/>
  <c r="AA30" i="54" s="1"/>
  <c r="AA38" i="54" s="1"/>
  <c r="V7" i="33"/>
  <c r="V8" i="33"/>
  <c r="V6" i="33"/>
  <c r="U13" i="33"/>
  <c r="V13" i="33"/>
  <c r="V15" i="33"/>
  <c r="V14" i="33"/>
  <c r="J107" i="76" l="1"/>
  <c r="J108" i="76"/>
  <c r="J108" i="78"/>
  <c r="I210" i="76"/>
  <c r="I214" i="76" s="1"/>
  <c r="I241" i="76" s="1"/>
  <c r="J108" i="80"/>
  <c r="I210" i="80"/>
  <c r="I214" i="80" s="1"/>
  <c r="I241" i="80" s="1"/>
  <c r="K100" i="74"/>
  <c r="K98" i="74"/>
  <c r="K94" i="74"/>
  <c r="L91" i="74"/>
  <c r="K99" i="74"/>
  <c r="I275" i="74"/>
  <c r="I307" i="74"/>
  <c r="I307" i="78"/>
  <c r="I275" i="78"/>
  <c r="J107" i="74"/>
  <c r="J210" i="76"/>
  <c r="J214" i="76" s="1"/>
  <c r="J241" i="76" s="1"/>
  <c r="K100" i="78"/>
  <c r="K99" i="78"/>
  <c r="K98" i="78"/>
  <c r="K94" i="78"/>
  <c r="L91" i="78"/>
  <c r="J107" i="78"/>
  <c r="H275" i="78"/>
  <c r="H307" i="78"/>
  <c r="H307" i="76"/>
  <c r="H275" i="76"/>
  <c r="N90" i="74"/>
  <c r="N90" i="78"/>
  <c r="L90" i="76"/>
  <c r="L91" i="76" s="1"/>
  <c r="L90" i="80"/>
  <c r="L91" i="80" s="1"/>
  <c r="K94" i="80"/>
  <c r="K99" i="80"/>
  <c r="K100" i="80"/>
  <c r="K98" i="80"/>
  <c r="M93" i="78"/>
  <c r="H275" i="80"/>
  <c r="H307" i="80"/>
  <c r="J108" i="74"/>
  <c r="M93" i="74"/>
  <c r="J107" i="80"/>
  <c r="K94" i="76"/>
  <c r="K99" i="76"/>
  <c r="K100" i="76"/>
  <c r="K98" i="76"/>
  <c r="K107" i="76" s="1"/>
  <c r="M90" i="14"/>
  <c r="N90" i="14"/>
  <c r="L90" i="49"/>
  <c r="N90" i="48"/>
  <c r="V12" i="33"/>
  <c r="U14" i="33"/>
  <c r="V9" i="33"/>
  <c r="U12" i="33"/>
  <c r="U15" i="33"/>
  <c r="W9" i="33"/>
  <c r="W8" i="33"/>
  <c r="W7" i="33"/>
  <c r="K107" i="74" l="1"/>
  <c r="K107" i="80"/>
  <c r="K210" i="80" s="1"/>
  <c r="K214" i="80" s="1"/>
  <c r="K241" i="80" s="1"/>
  <c r="K108" i="78"/>
  <c r="L94" i="80"/>
  <c r="L99" i="80"/>
  <c r="L100" i="80"/>
  <c r="L98" i="80"/>
  <c r="L100" i="76"/>
  <c r="L99" i="76"/>
  <c r="L98" i="76"/>
  <c r="L94" i="76"/>
  <c r="M90" i="76"/>
  <c r="M91" i="76" s="1"/>
  <c r="M90" i="80"/>
  <c r="M91" i="80" s="1"/>
  <c r="N93" i="78"/>
  <c r="K108" i="76"/>
  <c r="N93" i="74"/>
  <c r="L93" i="80"/>
  <c r="J210" i="78"/>
  <c r="J214" i="78" s="1"/>
  <c r="J241" i="78" s="1"/>
  <c r="J307" i="76"/>
  <c r="J275" i="76"/>
  <c r="K108" i="74"/>
  <c r="N90" i="76"/>
  <c r="N90" i="80"/>
  <c r="L98" i="78"/>
  <c r="L94" i="78"/>
  <c r="M91" i="78"/>
  <c r="L99" i="78"/>
  <c r="L100" i="78"/>
  <c r="J210" i="74"/>
  <c r="J214" i="74" s="1"/>
  <c r="J241" i="74" s="1"/>
  <c r="K210" i="74"/>
  <c r="K214" i="74" s="1"/>
  <c r="K241" i="74" s="1"/>
  <c r="L93" i="76"/>
  <c r="K108" i="80"/>
  <c r="L100" i="74"/>
  <c r="L99" i="74"/>
  <c r="L108" i="74" s="1"/>
  <c r="L98" i="74"/>
  <c r="M91" i="74"/>
  <c r="L94" i="74"/>
  <c r="I307" i="76"/>
  <c r="I275" i="76"/>
  <c r="J210" i="80"/>
  <c r="J214" i="80" s="1"/>
  <c r="J241" i="80" s="1"/>
  <c r="K210" i="76"/>
  <c r="K214" i="76" s="1"/>
  <c r="K241" i="76" s="1"/>
  <c r="I275" i="80"/>
  <c r="I307" i="80"/>
  <c r="K107" i="78"/>
  <c r="O90" i="14"/>
  <c r="N90" i="49"/>
  <c r="M90" i="49"/>
  <c r="W13" i="33"/>
  <c r="W12" i="33"/>
  <c r="W15" i="33"/>
  <c r="W14" i="33"/>
  <c r="W6" i="33"/>
  <c r="X8" i="33"/>
  <c r="X9" i="33"/>
  <c r="X7" i="33"/>
  <c r="L107" i="80" l="1"/>
  <c r="L210" i="80" s="1"/>
  <c r="L214" i="80" s="1"/>
  <c r="L241" i="80" s="1"/>
  <c r="L307" i="80" s="1"/>
  <c r="L107" i="74"/>
  <c r="L107" i="78"/>
  <c r="M100" i="80"/>
  <c r="M98" i="80"/>
  <c r="M94" i="80"/>
  <c r="N91" i="80"/>
  <c r="M99" i="80"/>
  <c r="K210" i="78"/>
  <c r="K214" i="78" s="1"/>
  <c r="K241" i="78" s="1"/>
  <c r="N93" i="80"/>
  <c r="J275" i="78"/>
  <c r="J307" i="78"/>
  <c r="M100" i="76"/>
  <c r="N91" i="76"/>
  <c r="M99" i="76"/>
  <c r="M98" i="76"/>
  <c r="M94" i="76"/>
  <c r="J307" i="74"/>
  <c r="J275" i="74"/>
  <c r="N93" i="76"/>
  <c r="L108" i="80"/>
  <c r="L275" i="80"/>
  <c r="O90" i="76"/>
  <c r="O90" i="80"/>
  <c r="K307" i="76"/>
  <c r="K275" i="76"/>
  <c r="M99" i="74"/>
  <c r="N91" i="74"/>
  <c r="M94" i="74"/>
  <c r="M100" i="74"/>
  <c r="M98" i="74"/>
  <c r="M93" i="76"/>
  <c r="L210" i="74"/>
  <c r="L214" i="74" s="1"/>
  <c r="L241" i="74" s="1"/>
  <c r="M94" i="78"/>
  <c r="N91" i="78"/>
  <c r="M100" i="78"/>
  <c r="M98" i="78"/>
  <c r="M99" i="78"/>
  <c r="L210" i="78"/>
  <c r="L214" i="78" s="1"/>
  <c r="L241" i="78" s="1"/>
  <c r="J275" i="80"/>
  <c r="J307" i="80"/>
  <c r="L108" i="76"/>
  <c r="L107" i="76"/>
  <c r="M93" i="80"/>
  <c r="O90" i="74"/>
  <c r="O90" i="78"/>
  <c r="K275" i="74"/>
  <c r="K307" i="74"/>
  <c r="L108" i="78"/>
  <c r="K307" i="80"/>
  <c r="K275" i="80"/>
  <c r="P90" i="14"/>
  <c r="O90" i="48"/>
  <c r="O90" i="49"/>
  <c r="X13" i="33"/>
  <c r="X6" i="33"/>
  <c r="X15" i="33"/>
  <c r="X12" i="33"/>
  <c r="X14" i="33"/>
  <c r="Y8" i="33"/>
  <c r="Y7" i="33"/>
  <c r="Y9" i="33"/>
  <c r="Y6" i="33"/>
  <c r="M108" i="74" l="1"/>
  <c r="M107" i="78"/>
  <c r="M108" i="76"/>
  <c r="O93" i="74"/>
  <c r="M107" i="76"/>
  <c r="O93" i="80"/>
  <c r="N100" i="76"/>
  <c r="N98" i="76"/>
  <c r="O91" i="76"/>
  <c r="N99" i="76"/>
  <c r="N94" i="76"/>
  <c r="K275" i="78"/>
  <c r="K307" i="78"/>
  <c r="P90" i="74"/>
  <c r="P90" i="78"/>
  <c r="L210" i="76"/>
  <c r="L214" i="76" s="1"/>
  <c r="L241" i="76" s="1"/>
  <c r="N100" i="78"/>
  <c r="N98" i="78"/>
  <c r="N94" i="78"/>
  <c r="O91" i="78"/>
  <c r="N99" i="78"/>
  <c r="M107" i="74"/>
  <c r="O93" i="76"/>
  <c r="N99" i="80"/>
  <c r="N98" i="80"/>
  <c r="N94" i="80"/>
  <c r="O91" i="80"/>
  <c r="N100" i="80"/>
  <c r="L307" i="78"/>
  <c r="L275" i="78"/>
  <c r="M107" i="80"/>
  <c r="L307" i="74"/>
  <c r="L275" i="74"/>
  <c r="N100" i="74"/>
  <c r="N98" i="74"/>
  <c r="N99" i="74"/>
  <c r="N94" i="74"/>
  <c r="O91" i="74"/>
  <c r="M108" i="80"/>
  <c r="M210" i="78"/>
  <c r="M214" i="78" s="1"/>
  <c r="M241" i="78" s="1"/>
  <c r="P90" i="76"/>
  <c r="P90" i="80"/>
  <c r="Q90" i="74"/>
  <c r="Q90" i="78"/>
  <c r="O93" i="78"/>
  <c r="M108" i="78"/>
  <c r="Q90" i="14"/>
  <c r="P90" i="49"/>
  <c r="P90" i="48"/>
  <c r="Q90" i="48"/>
  <c r="Y14" i="33"/>
  <c r="Y13" i="33"/>
  <c r="Y15" i="33"/>
  <c r="Y12" i="33"/>
  <c r="Z9" i="33"/>
  <c r="Z8" i="33"/>
  <c r="Z6" i="33"/>
  <c r="Z7" i="33"/>
  <c r="N108" i="76" l="1"/>
  <c r="N108" i="80"/>
  <c r="N108" i="74"/>
  <c r="N107" i="78"/>
  <c r="L307" i="76"/>
  <c r="L275" i="76"/>
  <c r="O100" i="76"/>
  <c r="O99" i="76"/>
  <c r="P91" i="76"/>
  <c r="O98" i="76"/>
  <c r="O94" i="76"/>
  <c r="N210" i="78"/>
  <c r="N214" i="78" s="1"/>
  <c r="N241" i="78" s="1"/>
  <c r="P91" i="74"/>
  <c r="O99" i="74"/>
  <c r="O98" i="74"/>
  <c r="O100" i="74"/>
  <c r="O94" i="74"/>
  <c r="M210" i="74"/>
  <c r="M214" i="74" s="1"/>
  <c r="M241" i="74" s="1"/>
  <c r="P93" i="76"/>
  <c r="N107" i="76"/>
  <c r="Q93" i="78"/>
  <c r="R90" i="74"/>
  <c r="R90" i="78"/>
  <c r="M307" i="78"/>
  <c r="M275" i="78"/>
  <c r="M210" i="80"/>
  <c r="M214" i="80" s="1"/>
  <c r="M241" i="80" s="1"/>
  <c r="N108" i="78"/>
  <c r="P93" i="78"/>
  <c r="M210" i="76"/>
  <c r="M214" i="76" s="1"/>
  <c r="M241" i="76" s="1"/>
  <c r="P91" i="80"/>
  <c r="O100" i="80"/>
  <c r="O98" i="80"/>
  <c r="O94" i="80"/>
  <c r="O99" i="80"/>
  <c r="P93" i="74"/>
  <c r="Q90" i="76"/>
  <c r="Q90" i="80"/>
  <c r="Q93" i="74"/>
  <c r="P91" i="78"/>
  <c r="O99" i="78"/>
  <c r="O100" i="78"/>
  <c r="O94" i="78"/>
  <c r="O98" i="78"/>
  <c r="P93" i="80"/>
  <c r="N107" i="74"/>
  <c r="N107" i="80"/>
  <c r="R90" i="14"/>
  <c r="Q90" i="49"/>
  <c r="R90" i="48"/>
  <c r="Z12" i="33"/>
  <c r="Z13" i="33"/>
  <c r="Z15" i="33"/>
  <c r="Z14" i="33"/>
  <c r="AA7" i="33"/>
  <c r="AA6" i="33"/>
  <c r="AA9" i="33"/>
  <c r="AA8" i="33"/>
  <c r="O108" i="78" l="1"/>
  <c r="O107" i="80"/>
  <c r="O210" i="80" s="1"/>
  <c r="O214" i="80" s="1"/>
  <c r="O241" i="80" s="1"/>
  <c r="O108" i="76"/>
  <c r="Q93" i="80"/>
  <c r="M275" i="80"/>
  <c r="M307" i="80"/>
  <c r="M307" i="74"/>
  <c r="M275" i="74"/>
  <c r="N307" i="78"/>
  <c r="N275" i="78"/>
  <c r="P94" i="74"/>
  <c r="Q91" i="74"/>
  <c r="P99" i="74"/>
  <c r="P98" i="74"/>
  <c r="P100" i="74"/>
  <c r="R90" i="76"/>
  <c r="R90" i="80"/>
  <c r="O107" i="78"/>
  <c r="Q93" i="76"/>
  <c r="Q91" i="80"/>
  <c r="P94" i="80"/>
  <c r="P100" i="80"/>
  <c r="P98" i="80"/>
  <c r="P99" i="80"/>
  <c r="S90" i="74"/>
  <c r="S90" i="78"/>
  <c r="O307" i="80"/>
  <c r="O275" i="80"/>
  <c r="M307" i="76"/>
  <c r="M275" i="76"/>
  <c r="N210" i="76"/>
  <c r="N214" i="76" s="1"/>
  <c r="N241" i="76" s="1"/>
  <c r="O107" i="76"/>
  <c r="R93" i="78"/>
  <c r="N210" i="80"/>
  <c r="N214" i="80" s="1"/>
  <c r="N241" i="80" s="1"/>
  <c r="O108" i="80"/>
  <c r="O108" i="74"/>
  <c r="O107" i="74"/>
  <c r="P100" i="76"/>
  <c r="P98" i="76"/>
  <c r="P94" i="76"/>
  <c r="Q91" i="76"/>
  <c r="P99" i="76"/>
  <c r="R93" i="74"/>
  <c r="N210" i="74"/>
  <c r="N214" i="74" s="1"/>
  <c r="N241" i="74" s="1"/>
  <c r="P99" i="78"/>
  <c r="P98" i="78"/>
  <c r="P94" i="78"/>
  <c r="Q91" i="78"/>
  <c r="P100" i="78"/>
  <c r="S90" i="14"/>
  <c r="S90" i="48"/>
  <c r="R90" i="49"/>
  <c r="AA13" i="33"/>
  <c r="AA12" i="33"/>
  <c r="AA14" i="33"/>
  <c r="AA15" i="33"/>
  <c r="AB6" i="33"/>
  <c r="AB8" i="33"/>
  <c r="AB7" i="33"/>
  <c r="AB9" i="33"/>
  <c r="P108" i="78" l="1"/>
  <c r="P108" i="76"/>
  <c r="P107" i="80"/>
  <c r="P210" i="80" s="1"/>
  <c r="P214" i="80" s="1"/>
  <c r="P241" i="80" s="1"/>
  <c r="P107" i="74"/>
  <c r="N307" i="74"/>
  <c r="N275" i="74"/>
  <c r="S93" i="74"/>
  <c r="R91" i="80"/>
  <c r="Q99" i="80"/>
  <c r="Q100" i="80"/>
  <c r="Q94" i="80"/>
  <c r="Q98" i="80"/>
  <c r="O210" i="76"/>
  <c r="O214" i="76" s="1"/>
  <c r="O241" i="76" s="1"/>
  <c r="P210" i="74"/>
  <c r="P214" i="74" s="1"/>
  <c r="P241" i="74" s="1"/>
  <c r="O210" i="74"/>
  <c r="O214" i="74" s="1"/>
  <c r="O241" i="74" s="1"/>
  <c r="Q100" i="78"/>
  <c r="Q98" i="78"/>
  <c r="Q94" i="78"/>
  <c r="Q99" i="78"/>
  <c r="R91" i="78"/>
  <c r="P108" i="80"/>
  <c r="O210" i="78"/>
  <c r="O214" i="78" s="1"/>
  <c r="O241" i="78" s="1"/>
  <c r="Q99" i="74"/>
  <c r="Q98" i="74"/>
  <c r="Q94" i="74"/>
  <c r="Q100" i="74"/>
  <c r="R91" i="74"/>
  <c r="S90" i="76"/>
  <c r="S90" i="80"/>
  <c r="N275" i="76"/>
  <c r="N307" i="76"/>
  <c r="R93" i="80"/>
  <c r="P107" i="78"/>
  <c r="P210" i="78" s="1"/>
  <c r="P214" i="78" s="1"/>
  <c r="P241" i="78" s="1"/>
  <c r="Q98" i="76"/>
  <c r="R91" i="76"/>
  <c r="Q94" i="76"/>
  <c r="Q100" i="76"/>
  <c r="Q99" i="76"/>
  <c r="R93" i="76"/>
  <c r="T90" i="74"/>
  <c r="T90" i="78"/>
  <c r="N307" i="80"/>
  <c r="N275" i="80"/>
  <c r="P107" i="76"/>
  <c r="S93" i="78"/>
  <c r="P108" i="74"/>
  <c r="T90" i="14"/>
  <c r="T90" i="48"/>
  <c r="S90" i="49"/>
  <c r="AB13" i="33"/>
  <c r="AB14" i="33"/>
  <c r="AB15" i="33"/>
  <c r="AB12" i="33"/>
  <c r="AC8" i="33"/>
  <c r="AC6" i="33"/>
  <c r="AC7" i="33"/>
  <c r="AC9" i="33"/>
  <c r="Q108" i="80" l="1"/>
  <c r="Q107" i="74"/>
  <c r="Q107" i="76"/>
  <c r="P275" i="78"/>
  <c r="P307" i="78"/>
  <c r="Q107" i="78"/>
  <c r="O307" i="76"/>
  <c r="O275" i="76"/>
  <c r="U90" i="74"/>
  <c r="U90" i="78"/>
  <c r="P210" i="76"/>
  <c r="P214" i="76" s="1"/>
  <c r="P241" i="76" s="1"/>
  <c r="Q108" i="74"/>
  <c r="S93" i="80"/>
  <c r="Q108" i="76"/>
  <c r="S93" i="76"/>
  <c r="O275" i="74"/>
  <c r="O307" i="74"/>
  <c r="Q107" i="80"/>
  <c r="T90" i="76"/>
  <c r="T90" i="80"/>
  <c r="Q210" i="76"/>
  <c r="Q214" i="76" s="1"/>
  <c r="Q241" i="76" s="1"/>
  <c r="P275" i="80"/>
  <c r="P307" i="80"/>
  <c r="O307" i="78"/>
  <c r="O275" i="78"/>
  <c r="T93" i="78"/>
  <c r="R99" i="74"/>
  <c r="R98" i="74"/>
  <c r="R94" i="74"/>
  <c r="S91" i="74"/>
  <c r="R100" i="74"/>
  <c r="R100" i="76"/>
  <c r="R99" i="76"/>
  <c r="R98" i="76"/>
  <c r="R94" i="76"/>
  <c r="S91" i="76"/>
  <c r="S91" i="80"/>
  <c r="R98" i="80"/>
  <c r="R94" i="80"/>
  <c r="R99" i="80"/>
  <c r="R100" i="80"/>
  <c r="T93" i="74"/>
  <c r="R100" i="78"/>
  <c r="R94" i="78"/>
  <c r="S91" i="78"/>
  <c r="R98" i="78"/>
  <c r="R99" i="78"/>
  <c r="P275" i="74"/>
  <c r="P307" i="74"/>
  <c r="Q210" i="74"/>
  <c r="Q214" i="74" s="1"/>
  <c r="Q241" i="74" s="1"/>
  <c r="Q108" i="78"/>
  <c r="U90" i="14"/>
  <c r="U90" i="48"/>
  <c r="T90" i="49"/>
  <c r="AC13" i="33"/>
  <c r="AC12" i="33"/>
  <c r="AC15" i="33"/>
  <c r="AC14" i="33"/>
  <c r="AD7" i="33"/>
  <c r="AD8" i="33"/>
  <c r="AD6" i="33"/>
  <c r="AD9" i="33"/>
  <c r="R108" i="78" l="1"/>
  <c r="R108" i="74"/>
  <c r="R107" i="80"/>
  <c r="R210" i="80" s="1"/>
  <c r="R214" i="80" s="1"/>
  <c r="R241" i="80" s="1"/>
  <c r="R107" i="76"/>
  <c r="R210" i="76" s="1"/>
  <c r="R214" i="76" s="1"/>
  <c r="R241" i="76" s="1"/>
  <c r="R307" i="76" s="1"/>
  <c r="T93" i="76"/>
  <c r="S100" i="80"/>
  <c r="S98" i="80"/>
  <c r="S94" i="80"/>
  <c r="T91" i="80"/>
  <c r="S99" i="80"/>
  <c r="R108" i="76"/>
  <c r="S98" i="74"/>
  <c r="S94" i="74"/>
  <c r="T91" i="74"/>
  <c r="S99" i="74"/>
  <c r="S100" i="74"/>
  <c r="Q210" i="78"/>
  <c r="Q214" i="78" s="1"/>
  <c r="Q241" i="78" s="1"/>
  <c r="R107" i="78"/>
  <c r="S100" i="76"/>
  <c r="S98" i="76"/>
  <c r="T91" i="76"/>
  <c r="S94" i="76"/>
  <c r="S99" i="76"/>
  <c r="Q210" i="80"/>
  <c r="Q214" i="80" s="1"/>
  <c r="Q241" i="80" s="1"/>
  <c r="U90" i="76"/>
  <c r="U90" i="80"/>
  <c r="T91" i="78"/>
  <c r="S100" i="78"/>
  <c r="S98" i="78"/>
  <c r="S99" i="78"/>
  <c r="S94" i="78"/>
  <c r="R107" i="74"/>
  <c r="P307" i="76"/>
  <c r="P275" i="76"/>
  <c r="V90" i="74"/>
  <c r="V90" i="78"/>
  <c r="Q275" i="74"/>
  <c r="Q307" i="74"/>
  <c r="R275" i="76"/>
  <c r="Q275" i="76"/>
  <c r="Q307" i="76"/>
  <c r="U93" i="78"/>
  <c r="R108" i="80"/>
  <c r="U93" i="74"/>
  <c r="T93" i="80"/>
  <c r="V90" i="14"/>
  <c r="V90" i="48"/>
  <c r="U90" i="49"/>
  <c r="AD12" i="33"/>
  <c r="AD14" i="33"/>
  <c r="AD15" i="33"/>
  <c r="AD13" i="33"/>
  <c r="AE9" i="33"/>
  <c r="AE7" i="33"/>
  <c r="AE8" i="33"/>
  <c r="AE6" i="33"/>
  <c r="S108" i="74" l="1"/>
  <c r="S108" i="80"/>
  <c r="S108" i="78"/>
  <c r="S108" i="76"/>
  <c r="U93" i="76"/>
  <c r="Q275" i="80"/>
  <c r="Q307" i="80"/>
  <c r="R210" i="74"/>
  <c r="R214" i="74" s="1"/>
  <c r="R241" i="74" s="1"/>
  <c r="V93" i="74"/>
  <c r="S107" i="78"/>
  <c r="R275" i="80"/>
  <c r="R307" i="80"/>
  <c r="R210" i="78"/>
  <c r="R214" i="78" s="1"/>
  <c r="R241" i="78" s="1"/>
  <c r="T99" i="74"/>
  <c r="T98" i="74"/>
  <c r="U91" i="74"/>
  <c r="T94" i="74"/>
  <c r="T100" i="74"/>
  <c r="S107" i="80"/>
  <c r="U93" i="80"/>
  <c r="V90" i="76"/>
  <c r="V90" i="80"/>
  <c r="U91" i="76"/>
  <c r="T100" i="76"/>
  <c r="T99" i="76"/>
  <c r="T98" i="76"/>
  <c r="T94" i="76"/>
  <c r="S107" i="76"/>
  <c r="V93" i="78"/>
  <c r="T100" i="80"/>
  <c r="T98" i="80"/>
  <c r="T94" i="80"/>
  <c r="U91" i="80"/>
  <c r="T99" i="80"/>
  <c r="T100" i="78"/>
  <c r="T94" i="78"/>
  <c r="T99" i="78"/>
  <c r="T98" i="78"/>
  <c r="U91" i="78"/>
  <c r="Q275" i="78"/>
  <c r="Q307" i="78"/>
  <c r="S107" i="74"/>
  <c r="V90" i="49"/>
  <c r="AE14" i="33"/>
  <c r="AE12" i="33"/>
  <c r="AE13" i="33"/>
  <c r="AE15" i="33"/>
  <c r="AF8" i="33"/>
  <c r="AF9" i="33"/>
  <c r="AF7" i="33"/>
  <c r="AF6" i="33"/>
  <c r="T108" i="74" l="1"/>
  <c r="T108" i="76"/>
  <c r="T107" i="78"/>
  <c r="T210" i="78" s="1"/>
  <c r="T214" i="78" s="1"/>
  <c r="T241" i="78" s="1"/>
  <c r="T107" i="80"/>
  <c r="T210" i="80" s="1"/>
  <c r="T214" i="80" s="1"/>
  <c r="T241" i="80" s="1"/>
  <c r="T275" i="80" s="1"/>
  <c r="V93" i="80"/>
  <c r="S210" i="76"/>
  <c r="S214" i="76" s="1"/>
  <c r="S241" i="76" s="1"/>
  <c r="V93" i="76"/>
  <c r="V91" i="74"/>
  <c r="U98" i="74"/>
  <c r="U100" i="74"/>
  <c r="U99" i="74"/>
  <c r="U94" i="74"/>
  <c r="T307" i="80"/>
  <c r="S210" i="78"/>
  <c r="S214" i="78" s="1"/>
  <c r="S241" i="78" s="1"/>
  <c r="S210" i="74"/>
  <c r="S214" i="74" s="1"/>
  <c r="S241" i="74" s="1"/>
  <c r="T107" i="74"/>
  <c r="T107" i="76"/>
  <c r="T108" i="80"/>
  <c r="T108" i="78"/>
  <c r="S210" i="80"/>
  <c r="S214" i="80" s="1"/>
  <c r="S241" i="80" s="1"/>
  <c r="R307" i="78"/>
  <c r="R275" i="78"/>
  <c r="U100" i="78"/>
  <c r="U94" i="78"/>
  <c r="V91" i="78"/>
  <c r="U98" i="78"/>
  <c r="U99" i="78"/>
  <c r="U98" i="80"/>
  <c r="U99" i="80"/>
  <c r="V91" i="80"/>
  <c r="U100" i="80"/>
  <c r="U94" i="80"/>
  <c r="U100" i="76"/>
  <c r="U98" i="76"/>
  <c r="U94" i="76"/>
  <c r="V91" i="76"/>
  <c r="U99" i="76"/>
  <c r="R307" i="74"/>
  <c r="R275" i="74"/>
  <c r="AF15" i="33"/>
  <c r="AF14" i="33"/>
  <c r="AF12" i="33"/>
  <c r="AF13" i="33"/>
  <c r="AG6" i="33"/>
  <c r="AG9" i="33"/>
  <c r="AG8" i="33"/>
  <c r="AG7" i="33"/>
  <c r="U108" i="80" l="1"/>
  <c r="U108" i="78"/>
  <c r="U108" i="76"/>
  <c r="V100" i="78"/>
  <c r="V98" i="78"/>
  <c r="V94" i="78"/>
  <c r="W91" i="78"/>
  <c r="V99" i="78"/>
  <c r="T210" i="74"/>
  <c r="T214" i="74" s="1"/>
  <c r="T241" i="74" s="1"/>
  <c r="W91" i="80"/>
  <c r="V99" i="80"/>
  <c r="V100" i="80"/>
  <c r="V94" i="80"/>
  <c r="V98" i="80"/>
  <c r="W91" i="76"/>
  <c r="V98" i="76"/>
  <c r="V99" i="76"/>
  <c r="V100" i="76"/>
  <c r="V94" i="76"/>
  <c r="S307" i="74"/>
  <c r="S275" i="74"/>
  <c r="U107" i="80"/>
  <c r="U210" i="80" s="1"/>
  <c r="U214" i="80" s="1"/>
  <c r="U241" i="80" s="1"/>
  <c r="T275" i="78"/>
  <c r="T307" i="78"/>
  <c r="U108" i="74"/>
  <c r="U107" i="74"/>
  <c r="U107" i="76"/>
  <c r="T210" i="76"/>
  <c r="T214" i="76" s="1"/>
  <c r="T241" i="76" s="1"/>
  <c r="S307" i="78"/>
  <c r="S275" i="78"/>
  <c r="V99" i="74"/>
  <c r="V98" i="74"/>
  <c r="W91" i="74"/>
  <c r="V100" i="74"/>
  <c r="V94" i="74"/>
  <c r="S275" i="76"/>
  <c r="S307" i="76"/>
  <c r="U107" i="78"/>
  <c r="S307" i="80"/>
  <c r="S275" i="80"/>
  <c r="AG14" i="33"/>
  <c r="AG13" i="33"/>
  <c r="AG12" i="33"/>
  <c r="AG15" i="33"/>
  <c r="AH9" i="33"/>
  <c r="AH8" i="33"/>
  <c r="AH7" i="33"/>
  <c r="V108" i="78" l="1"/>
  <c r="V108" i="74"/>
  <c r="V108" i="80"/>
  <c r="U210" i="78"/>
  <c r="U214" i="78" s="1"/>
  <c r="U241" i="78" s="1"/>
  <c r="V108" i="76"/>
  <c r="W98" i="80"/>
  <c r="W100" i="80"/>
  <c r="W108" i="80" s="1"/>
  <c r="W94" i="80"/>
  <c r="X91" i="80"/>
  <c r="W99" i="80"/>
  <c r="T307" i="76"/>
  <c r="T275" i="76"/>
  <c r="U307" i="80"/>
  <c r="U275" i="80"/>
  <c r="V107" i="76"/>
  <c r="X91" i="76"/>
  <c r="W100" i="76"/>
  <c r="W98" i="76"/>
  <c r="W94" i="76"/>
  <c r="W99" i="76"/>
  <c r="U210" i="76"/>
  <c r="U214" i="76" s="1"/>
  <c r="U241" i="76" s="1"/>
  <c r="T275" i="74"/>
  <c r="T307" i="74"/>
  <c r="X91" i="74"/>
  <c r="W94" i="74"/>
  <c r="W99" i="74"/>
  <c r="W100" i="74"/>
  <c r="W98" i="74"/>
  <c r="V107" i="80"/>
  <c r="V107" i="78"/>
  <c r="W100" i="78"/>
  <c r="W99" i="78"/>
  <c r="X91" i="78"/>
  <c r="W98" i="78"/>
  <c r="W94" i="78"/>
  <c r="V107" i="74"/>
  <c r="U210" i="74"/>
  <c r="U214" i="74" s="1"/>
  <c r="U241" i="74" s="1"/>
  <c r="AH6" i="33"/>
  <c r="AH15" i="33"/>
  <c r="AH12" i="33"/>
  <c r="AH13" i="33"/>
  <c r="AH14" i="33"/>
  <c r="AI8" i="33"/>
  <c r="W108" i="76" l="1"/>
  <c r="W108" i="78"/>
  <c r="W108" i="74"/>
  <c r="W107" i="76"/>
  <c r="W210" i="76" s="1"/>
  <c r="W214" i="76" s="1"/>
  <c r="W241" i="76" s="1"/>
  <c r="W107" i="80"/>
  <c r="V210" i="74"/>
  <c r="V214" i="74" s="1"/>
  <c r="V241" i="74" s="1"/>
  <c r="Y91" i="74"/>
  <c r="X99" i="74"/>
  <c r="X98" i="74"/>
  <c r="X94" i="74"/>
  <c r="X100" i="74"/>
  <c r="X100" i="78"/>
  <c r="X99" i="78"/>
  <c r="X94" i="78"/>
  <c r="X98" i="78"/>
  <c r="X107" i="78" s="1"/>
  <c r="Y91" i="78"/>
  <c r="V210" i="78"/>
  <c r="V214" i="78" s="1"/>
  <c r="V241" i="78" s="1"/>
  <c r="V210" i="80"/>
  <c r="V214" i="80" s="1"/>
  <c r="V241" i="80" s="1"/>
  <c r="U275" i="74"/>
  <c r="U307" i="74"/>
  <c r="X99" i="76"/>
  <c r="X98" i="76"/>
  <c r="X94" i="76"/>
  <c r="X100" i="76"/>
  <c r="Y91" i="76"/>
  <c r="X100" i="80"/>
  <c r="X94" i="80"/>
  <c r="X99" i="80"/>
  <c r="X98" i="80"/>
  <c r="X107" i="80" s="1"/>
  <c r="X210" i="80" s="1"/>
  <c r="X214" i="80" s="1"/>
  <c r="X241" i="80" s="1"/>
  <c r="Y91" i="80"/>
  <c r="U307" i="78"/>
  <c r="U275" i="78"/>
  <c r="W107" i="78"/>
  <c r="W107" i="74"/>
  <c r="U275" i="76"/>
  <c r="U307" i="76"/>
  <c r="V210" i="76"/>
  <c r="V214" i="76" s="1"/>
  <c r="V241" i="76" s="1"/>
  <c r="AI7" i="33"/>
  <c r="AI6" i="33"/>
  <c r="AL11" i="33" s="1"/>
  <c r="AI9" i="33"/>
  <c r="AI13" i="33"/>
  <c r="AI15" i="33"/>
  <c r="AI14" i="33"/>
  <c r="AI12" i="33"/>
  <c r="AM11" i="33" s="1"/>
  <c r="X108" i="76" l="1"/>
  <c r="V275" i="76"/>
  <c r="AB275" i="76" s="1"/>
  <c r="V307" i="76"/>
  <c r="AB307" i="76" s="1"/>
  <c r="AB241" i="76"/>
  <c r="V307" i="80"/>
  <c r="AB307" i="80" s="1"/>
  <c r="V275" i="80"/>
  <c r="AB275" i="80" s="1"/>
  <c r="AB241" i="80"/>
  <c r="Y100" i="74"/>
  <c r="Y94" i="74"/>
  <c r="Z91" i="74"/>
  <c r="Y98" i="74"/>
  <c r="Y99" i="74"/>
  <c r="Y94" i="80"/>
  <c r="Y100" i="80"/>
  <c r="Z91" i="80"/>
  <c r="Y99" i="80"/>
  <c r="Y98" i="80"/>
  <c r="W307" i="76"/>
  <c r="W275" i="76"/>
  <c r="AB241" i="74"/>
  <c r="V307" i="74"/>
  <c r="AB307" i="74" s="1"/>
  <c r="V275" i="74"/>
  <c r="AB275" i="74" s="1"/>
  <c r="X275" i="80"/>
  <c r="X307" i="80"/>
  <c r="W210" i="74"/>
  <c r="W214" i="74" s="1"/>
  <c r="W241" i="74" s="1"/>
  <c r="X108" i="80"/>
  <c r="X210" i="78"/>
  <c r="X214" i="78" s="1"/>
  <c r="X241" i="78" s="1"/>
  <c r="X107" i="76"/>
  <c r="W210" i="78"/>
  <c r="W214" i="78" s="1"/>
  <c r="W241" i="78" s="1"/>
  <c r="AB241" i="78"/>
  <c r="V307" i="78"/>
  <c r="AB307" i="78" s="1"/>
  <c r="V275" i="78"/>
  <c r="AB275" i="78" s="1"/>
  <c r="X108" i="74"/>
  <c r="W210" i="80"/>
  <c r="W214" i="80" s="1"/>
  <c r="W241" i="80" s="1"/>
  <c r="X108" i="78"/>
  <c r="Y100" i="76"/>
  <c r="Y99" i="76"/>
  <c r="Y98" i="76"/>
  <c r="Y107" i="76" s="1"/>
  <c r="Z91" i="76"/>
  <c r="Y94" i="76"/>
  <c r="Y98" i="78"/>
  <c r="Y94" i="78"/>
  <c r="Z91" i="78"/>
  <c r="Y100" i="78"/>
  <c r="Y99" i="78"/>
  <c r="X107" i="74"/>
  <c r="Y107" i="78" l="1"/>
  <c r="Y210" i="78" s="1"/>
  <c r="Y214" i="78" s="1"/>
  <c r="Y241" i="78" s="1"/>
  <c r="X210" i="74"/>
  <c r="X214" i="74" s="1"/>
  <c r="X241" i="74" s="1"/>
  <c r="Z94" i="76"/>
  <c r="Z100" i="76"/>
  <c r="Z98" i="76"/>
  <c r="AA91" i="76"/>
  <c r="Z99" i="76"/>
  <c r="W307" i="78"/>
  <c r="W275" i="78"/>
  <c r="W307" i="80"/>
  <c r="W275" i="80"/>
  <c r="Y108" i="78"/>
  <c r="Y210" i="76"/>
  <c r="Y214" i="76" s="1"/>
  <c r="Y241" i="76" s="1"/>
  <c r="X307" i="78"/>
  <c r="X275" i="78"/>
  <c r="Y108" i="76"/>
  <c r="Y107" i="74"/>
  <c r="X210" i="76"/>
  <c r="X214" i="76" s="1"/>
  <c r="X241" i="76" s="1"/>
  <c r="AA91" i="74"/>
  <c r="Z94" i="74"/>
  <c r="Z98" i="74"/>
  <c r="Z99" i="74"/>
  <c r="Z100" i="74"/>
  <c r="Z99" i="80"/>
  <c r="Z98" i="80"/>
  <c r="Z100" i="80"/>
  <c r="Z94" i="80"/>
  <c r="AA91" i="80"/>
  <c r="Z99" i="78"/>
  <c r="Z100" i="78"/>
  <c r="Z94" i="78"/>
  <c r="AA91" i="78"/>
  <c r="Z98" i="78"/>
  <c r="W307" i="74"/>
  <c r="W275" i="74"/>
  <c r="Y107" i="80"/>
  <c r="Y108" i="80"/>
  <c r="Y108" i="74"/>
  <c r="Z108" i="74" l="1"/>
  <c r="Z108" i="80"/>
  <c r="Z108" i="78"/>
  <c r="Z108" i="76"/>
  <c r="Z107" i="74"/>
  <c r="Z210" i="74" s="1"/>
  <c r="Z214" i="74" s="1"/>
  <c r="Z241" i="74" s="1"/>
  <c r="Z107" i="76"/>
  <c r="Z210" i="76" s="1"/>
  <c r="Z214" i="76" s="1"/>
  <c r="Z241" i="76" s="1"/>
  <c r="Y275" i="76"/>
  <c r="Y307" i="76"/>
  <c r="Y210" i="80"/>
  <c r="Y214" i="80" s="1"/>
  <c r="Y241" i="80" s="1"/>
  <c r="Y275" i="78"/>
  <c r="Y307" i="78"/>
  <c r="AA99" i="76"/>
  <c r="AA100" i="76"/>
  <c r="AA98" i="76"/>
  <c r="AA94" i="76"/>
  <c r="AA100" i="80"/>
  <c r="AA98" i="80"/>
  <c r="AA94" i="80"/>
  <c r="AA99" i="80"/>
  <c r="Y210" i="74"/>
  <c r="Y214" i="74" s="1"/>
  <c r="Y241" i="74" s="1"/>
  <c r="Z107" i="78"/>
  <c r="AA99" i="74"/>
  <c r="AA100" i="74"/>
  <c r="AA98" i="74"/>
  <c r="AA94" i="74"/>
  <c r="AA100" i="78"/>
  <c r="AA99" i="78"/>
  <c r="AA98" i="78"/>
  <c r="AA94" i="78"/>
  <c r="Z107" i="80"/>
  <c r="Z210" i="80" s="1"/>
  <c r="Z214" i="80" s="1"/>
  <c r="Z241" i="80" s="1"/>
  <c r="X275" i="76"/>
  <c r="X307" i="76"/>
  <c r="X275" i="74"/>
  <c r="X307" i="74"/>
  <c r="AA107" i="78" l="1"/>
  <c r="AA210" i="78" s="1"/>
  <c r="AA214" i="78" s="1"/>
  <c r="AA241" i="78" s="1"/>
  <c r="AA107" i="76"/>
  <c r="AA210" i="76" s="1"/>
  <c r="AA214" i="76" s="1"/>
  <c r="AA241" i="76" s="1"/>
  <c r="AA108" i="76"/>
  <c r="AA107" i="80"/>
  <c r="AA210" i="80" s="1"/>
  <c r="AA214" i="80" s="1"/>
  <c r="AA241" i="80" s="1"/>
  <c r="AA307" i="80" s="1"/>
  <c r="Z210" i="78"/>
  <c r="Z214" i="78" s="1"/>
  <c r="Z241" i="78" s="1"/>
  <c r="Z275" i="80"/>
  <c r="Z307" i="80"/>
  <c r="Z307" i="76"/>
  <c r="Z275" i="76"/>
  <c r="Y307" i="74"/>
  <c r="Y275" i="74"/>
  <c r="AA108" i="78"/>
  <c r="AA107" i="74"/>
  <c r="AA108" i="80"/>
  <c r="Y275" i="80"/>
  <c r="Y307" i="80"/>
  <c r="Z307" i="74"/>
  <c r="Z275" i="74"/>
  <c r="AA108" i="74"/>
  <c r="AA275" i="80" l="1"/>
  <c r="AA210" i="74"/>
  <c r="AA214" i="74" s="1"/>
  <c r="AA241" i="74" s="1"/>
  <c r="AA307" i="78"/>
  <c r="AA275" i="78"/>
  <c r="AA307" i="76"/>
  <c r="AA275" i="76"/>
  <c r="Z307" i="78"/>
  <c r="Z275" i="78"/>
  <c r="AA275" i="74" l="1"/>
  <c r="AA307" i="74"/>
  <c r="B23" i="52" l="1"/>
  <c r="B27" i="52"/>
  <c r="G15" i="48" l="1"/>
  <c r="G14" i="48"/>
  <c r="G15" i="29"/>
  <c r="G14" i="29"/>
  <c r="G15" i="14"/>
  <c r="G15" i="10"/>
  <c r="G14" i="10"/>
  <c r="G14" i="14"/>
  <c r="G192" i="29" l="1"/>
  <c r="G192" i="46"/>
  <c r="G192" i="21" l="1"/>
  <c r="G192" i="10"/>
  <c r="G192" i="16"/>
  <c r="A320" i="49" l="1"/>
  <c r="A283" i="49"/>
  <c r="G241" i="49"/>
  <c r="V240" i="49"/>
  <c r="J240" i="49"/>
  <c r="G240" i="49"/>
  <c r="G274" i="49" s="1"/>
  <c r="G239" i="49"/>
  <c r="G237" i="49"/>
  <c r="AA236" i="49"/>
  <c r="Z236" i="49"/>
  <c r="Y236" i="49"/>
  <c r="Y302" i="49" s="1"/>
  <c r="X236" i="49"/>
  <c r="X302" i="49" s="1"/>
  <c r="W236" i="49"/>
  <c r="V236" i="49"/>
  <c r="U236" i="49"/>
  <c r="U270" i="49" s="1"/>
  <c r="T236" i="49"/>
  <c r="S236" i="49"/>
  <c r="R236" i="49"/>
  <c r="Q236" i="49"/>
  <c r="P236" i="49"/>
  <c r="P302" i="49" s="1"/>
  <c r="O236" i="49"/>
  <c r="O302" i="49" s="1"/>
  <c r="N236" i="49"/>
  <c r="M236" i="49"/>
  <c r="L236" i="49"/>
  <c r="K236" i="49"/>
  <c r="J236" i="49"/>
  <c r="I236" i="49"/>
  <c r="H236" i="49"/>
  <c r="H302" i="49" s="1"/>
  <c r="G236" i="49"/>
  <c r="AA227" i="49"/>
  <c r="G227" i="49"/>
  <c r="G225" i="49"/>
  <c r="G224" i="49"/>
  <c r="G223" i="49"/>
  <c r="A213" i="49"/>
  <c r="A212" i="49"/>
  <c r="A211" i="49"/>
  <c r="A210" i="49"/>
  <c r="AA207" i="49"/>
  <c r="AA240" i="49" s="1"/>
  <c r="Z207" i="49"/>
  <c r="Z240" i="49" s="1"/>
  <c r="Y207" i="49"/>
  <c r="X207" i="49"/>
  <c r="X240" i="49" s="1"/>
  <c r="W207" i="49"/>
  <c r="W240" i="49" s="1"/>
  <c r="V207" i="49"/>
  <c r="V227" i="49" s="1"/>
  <c r="U207" i="49"/>
  <c r="U240" i="49" s="1"/>
  <c r="T207" i="49"/>
  <c r="T240" i="49" s="1"/>
  <c r="S207" i="49"/>
  <c r="S240" i="49" s="1"/>
  <c r="R207" i="49"/>
  <c r="R227" i="49" s="1"/>
  <c r="Q207" i="49"/>
  <c r="Q227" i="49" s="1"/>
  <c r="P207" i="49"/>
  <c r="P227" i="49" s="1"/>
  <c r="O207" i="49"/>
  <c r="N207" i="49"/>
  <c r="M207" i="49"/>
  <c r="M240" i="49" s="1"/>
  <c r="L207" i="49"/>
  <c r="L240" i="49" s="1"/>
  <c r="K207" i="49"/>
  <c r="K240" i="49" s="1"/>
  <c r="J207" i="49"/>
  <c r="J227" i="49" s="1"/>
  <c r="J293" i="49" s="1"/>
  <c r="I207" i="49"/>
  <c r="H207" i="49"/>
  <c r="H227" i="49" s="1"/>
  <c r="A206" i="49"/>
  <c r="A205" i="49"/>
  <c r="A204" i="49"/>
  <c r="A203" i="49"/>
  <c r="A198" i="49"/>
  <c r="A197" i="49"/>
  <c r="A194" i="49"/>
  <c r="A193" i="49"/>
  <c r="G192" i="49"/>
  <c r="A192" i="49"/>
  <c r="A191" i="49"/>
  <c r="A186" i="49"/>
  <c r="A185" i="49"/>
  <c r="J184" i="49"/>
  <c r="I184" i="49"/>
  <c r="H184" i="49"/>
  <c r="A184" i="49"/>
  <c r="C183" i="49"/>
  <c r="A165" i="49"/>
  <c r="A164" i="49"/>
  <c r="A160" i="49"/>
  <c r="A158" i="49"/>
  <c r="H157" i="49"/>
  <c r="AA156" i="49"/>
  <c r="Z156" i="49"/>
  <c r="Y156" i="49"/>
  <c r="X156" i="49"/>
  <c r="W156" i="49"/>
  <c r="V156" i="49"/>
  <c r="Q156" i="49"/>
  <c r="P156" i="49"/>
  <c r="O156" i="49"/>
  <c r="N156" i="49"/>
  <c r="M156" i="49"/>
  <c r="L156" i="49"/>
  <c r="K156" i="49"/>
  <c r="J156" i="49"/>
  <c r="I156" i="49"/>
  <c r="H156" i="49"/>
  <c r="A155" i="49"/>
  <c r="H154" i="49"/>
  <c r="I154" i="49" s="1"/>
  <c r="I163" i="49" s="1"/>
  <c r="V153" i="49"/>
  <c r="U153" i="49"/>
  <c r="U156" i="49" s="1"/>
  <c r="T153" i="49"/>
  <c r="T156" i="49" s="1"/>
  <c r="S153" i="49"/>
  <c r="S156" i="49" s="1"/>
  <c r="R153" i="49"/>
  <c r="R156" i="49" s="1"/>
  <c r="A153" i="49"/>
  <c r="A144" i="49"/>
  <c r="A143" i="49"/>
  <c r="H142" i="49"/>
  <c r="H140" i="49"/>
  <c r="H149" i="49" s="1"/>
  <c r="A139" i="49"/>
  <c r="A137" i="49"/>
  <c r="I136" i="49"/>
  <c r="H136" i="49"/>
  <c r="AA135" i="49"/>
  <c r="Z135" i="49"/>
  <c r="Y135" i="49"/>
  <c r="X135" i="49"/>
  <c r="W135" i="49"/>
  <c r="Q135" i="49"/>
  <c r="P135" i="49"/>
  <c r="O135" i="49"/>
  <c r="N135" i="49"/>
  <c r="M135" i="49"/>
  <c r="L135" i="49"/>
  <c r="K135" i="49"/>
  <c r="J135" i="49"/>
  <c r="I135" i="49"/>
  <c r="H135" i="49"/>
  <c r="A134" i="49"/>
  <c r="I133" i="49"/>
  <c r="J133" i="49" s="1"/>
  <c r="J142" i="49" s="1"/>
  <c r="H133" i="49"/>
  <c r="H141" i="49" s="1"/>
  <c r="V132" i="49"/>
  <c r="V135" i="49" s="1"/>
  <c r="U132" i="49"/>
  <c r="U135" i="49" s="1"/>
  <c r="T132" i="49"/>
  <c r="T135" i="49" s="1"/>
  <c r="S132" i="49"/>
  <c r="S135" i="49" s="1"/>
  <c r="R132" i="49"/>
  <c r="R135" i="49" s="1"/>
  <c r="A132" i="49"/>
  <c r="A123" i="49"/>
  <c r="A122" i="49"/>
  <c r="A116" i="49"/>
  <c r="AA114" i="49"/>
  <c r="Z114" i="49"/>
  <c r="Y114" i="49"/>
  <c r="X114" i="49"/>
  <c r="W114" i="49"/>
  <c r="A113" i="49"/>
  <c r="G112" i="49"/>
  <c r="A111" i="49"/>
  <c r="A102" i="49"/>
  <c r="A101" i="49"/>
  <c r="H95" i="49"/>
  <c r="I95" i="49" s="1"/>
  <c r="J95" i="49" s="1"/>
  <c r="K95" i="49" s="1"/>
  <c r="L95" i="49" s="1"/>
  <c r="M95" i="49" s="1"/>
  <c r="N95" i="49" s="1"/>
  <c r="O95" i="49" s="1"/>
  <c r="P95" i="49" s="1"/>
  <c r="Q95" i="49" s="1"/>
  <c r="R95" i="49" s="1"/>
  <c r="S95" i="49" s="1"/>
  <c r="T95" i="49" s="1"/>
  <c r="U95" i="49" s="1"/>
  <c r="V95" i="49" s="1"/>
  <c r="W95" i="49" s="1"/>
  <c r="X95" i="49" s="1"/>
  <c r="Y95" i="49" s="1"/>
  <c r="Z95" i="49" s="1"/>
  <c r="AA95" i="49" s="1"/>
  <c r="A95" i="49"/>
  <c r="AA93" i="49"/>
  <c r="AA174" i="49" s="1"/>
  <c r="AA217" i="49" s="1"/>
  <c r="Z93" i="49"/>
  <c r="Y93" i="49"/>
  <c r="X93" i="49"/>
  <c r="W93" i="49"/>
  <c r="A92" i="49"/>
  <c r="G91" i="49"/>
  <c r="A90" i="49"/>
  <c r="C87" i="49"/>
  <c r="V84" i="49"/>
  <c r="V235" i="49" s="1"/>
  <c r="U84" i="49"/>
  <c r="U235" i="49" s="1"/>
  <c r="N84" i="49"/>
  <c r="N235" i="49" s="1"/>
  <c r="AA80" i="49"/>
  <c r="Z80" i="49"/>
  <c r="Y80" i="49"/>
  <c r="X80" i="49"/>
  <c r="W80" i="49"/>
  <c r="V80" i="49"/>
  <c r="U80" i="49"/>
  <c r="T80" i="49"/>
  <c r="S80" i="49"/>
  <c r="R80" i="49"/>
  <c r="Q80" i="49"/>
  <c r="P80" i="49"/>
  <c r="O80" i="49"/>
  <c r="N80" i="49"/>
  <c r="M80" i="49"/>
  <c r="L80" i="49"/>
  <c r="K80" i="49"/>
  <c r="J80" i="49"/>
  <c r="I80" i="49"/>
  <c r="H80" i="49"/>
  <c r="G80" i="49"/>
  <c r="E80" i="49"/>
  <c r="AA79" i="49"/>
  <c r="Z79" i="49"/>
  <c r="Y79" i="49"/>
  <c r="X79" i="49"/>
  <c r="W79" i="49"/>
  <c r="V79" i="49"/>
  <c r="U79" i="49"/>
  <c r="T79" i="49"/>
  <c r="S79" i="49"/>
  <c r="R79" i="49"/>
  <c r="Q79" i="49"/>
  <c r="P79" i="49"/>
  <c r="O79" i="49"/>
  <c r="N79" i="49"/>
  <c r="M79" i="49"/>
  <c r="L79" i="49"/>
  <c r="K79" i="49"/>
  <c r="J79" i="49"/>
  <c r="I79" i="49"/>
  <c r="H79" i="49"/>
  <c r="G79" i="49"/>
  <c r="E79" i="49"/>
  <c r="AA78" i="49"/>
  <c r="Z78" i="49"/>
  <c r="Y78" i="49"/>
  <c r="X78" i="49"/>
  <c r="W78" i="49"/>
  <c r="V78" i="49"/>
  <c r="U78" i="49"/>
  <c r="T78" i="49"/>
  <c r="S78" i="49"/>
  <c r="R78" i="49"/>
  <c r="Q78" i="49"/>
  <c r="P78" i="49"/>
  <c r="O78" i="49"/>
  <c r="N78" i="49"/>
  <c r="M78" i="49"/>
  <c r="L78" i="49"/>
  <c r="K78" i="49"/>
  <c r="J78" i="49"/>
  <c r="I78" i="49"/>
  <c r="H78" i="49"/>
  <c r="G78" i="49"/>
  <c r="AA75" i="49"/>
  <c r="Z75" i="49"/>
  <c r="Y75" i="49"/>
  <c r="X75" i="49"/>
  <c r="W75" i="49"/>
  <c r="V75" i="49"/>
  <c r="U75" i="49"/>
  <c r="T75" i="49"/>
  <c r="S75" i="49"/>
  <c r="R75" i="49"/>
  <c r="Q75" i="49"/>
  <c r="P75" i="49"/>
  <c r="O75" i="49"/>
  <c r="N75" i="49"/>
  <c r="M75" i="49"/>
  <c r="L75" i="49"/>
  <c r="K75" i="49"/>
  <c r="J75" i="49"/>
  <c r="I75" i="49"/>
  <c r="H75" i="49"/>
  <c r="G75" i="49"/>
  <c r="E73" i="49"/>
  <c r="E72" i="49"/>
  <c r="E71" i="49"/>
  <c r="E78" i="49" s="1"/>
  <c r="A70" i="49"/>
  <c r="AA66" i="49"/>
  <c r="Z66" i="49"/>
  <c r="Y66" i="49"/>
  <c r="X66" i="49"/>
  <c r="W66" i="49"/>
  <c r="V66" i="49"/>
  <c r="U66" i="49"/>
  <c r="T66" i="49"/>
  <c r="S66" i="49"/>
  <c r="R66" i="49"/>
  <c r="Q66" i="49"/>
  <c r="P66" i="49"/>
  <c r="O66" i="49"/>
  <c r="N66" i="49"/>
  <c r="M66" i="49"/>
  <c r="L66" i="49"/>
  <c r="K66" i="49"/>
  <c r="J66" i="49"/>
  <c r="I66" i="49"/>
  <c r="H66" i="49"/>
  <c r="G66" i="49"/>
  <c r="I68" i="49" s="1"/>
  <c r="E66" i="49"/>
  <c r="AA65" i="49"/>
  <c r="Z65" i="49"/>
  <c r="Y65" i="49"/>
  <c r="X65" i="49"/>
  <c r="W65" i="49"/>
  <c r="V65" i="49"/>
  <c r="U65" i="49"/>
  <c r="T65" i="49"/>
  <c r="S65" i="49"/>
  <c r="R65" i="49"/>
  <c r="Q65" i="49"/>
  <c r="P65" i="49"/>
  <c r="O65" i="49"/>
  <c r="N65" i="49"/>
  <c r="M65" i="49"/>
  <c r="L65" i="49"/>
  <c r="K65" i="49"/>
  <c r="J65" i="49"/>
  <c r="I65" i="49"/>
  <c r="H65" i="49"/>
  <c r="G65" i="49"/>
  <c r="E65" i="49"/>
  <c r="AA64" i="49"/>
  <c r="Z64" i="49"/>
  <c r="Y64" i="49"/>
  <c r="X64" i="49"/>
  <c r="W64" i="49"/>
  <c r="V64" i="49"/>
  <c r="U64" i="49"/>
  <c r="T64" i="49"/>
  <c r="S64" i="49"/>
  <c r="R64" i="49"/>
  <c r="Q64" i="49"/>
  <c r="P64" i="49"/>
  <c r="O64" i="49"/>
  <c r="N64" i="49"/>
  <c r="M64" i="49"/>
  <c r="L64" i="49"/>
  <c r="K64" i="49"/>
  <c r="J64" i="49"/>
  <c r="R68" i="49" s="1"/>
  <c r="I64" i="49"/>
  <c r="H64" i="49"/>
  <c r="G64" i="49"/>
  <c r="AA61" i="49"/>
  <c r="Z61" i="49"/>
  <c r="Y61" i="49"/>
  <c r="X61" i="49"/>
  <c r="W61" i="49"/>
  <c r="W84" i="49" s="1"/>
  <c r="W235" i="49" s="1"/>
  <c r="V61" i="49"/>
  <c r="U61" i="49"/>
  <c r="T61" i="49"/>
  <c r="T84" i="49" s="1"/>
  <c r="T235" i="49" s="1"/>
  <c r="S61" i="49"/>
  <c r="R61" i="49"/>
  <c r="Q61" i="49"/>
  <c r="P61" i="49"/>
  <c r="O61" i="49"/>
  <c r="O84" i="49" s="1"/>
  <c r="O235" i="49" s="1"/>
  <c r="N61" i="49"/>
  <c r="M61" i="49"/>
  <c r="M84" i="49" s="1"/>
  <c r="M235" i="49" s="1"/>
  <c r="L61" i="49"/>
  <c r="L84" i="49" s="1"/>
  <c r="L235" i="49" s="1"/>
  <c r="K61" i="49"/>
  <c r="J61" i="49"/>
  <c r="I61" i="49"/>
  <c r="H61" i="49"/>
  <c r="G61" i="49"/>
  <c r="G84" i="49" s="1"/>
  <c r="G235" i="49" s="1"/>
  <c r="E59" i="49"/>
  <c r="E58" i="49"/>
  <c r="E57" i="49"/>
  <c r="E64" i="49" s="1"/>
  <c r="A56" i="49"/>
  <c r="A52" i="49"/>
  <c r="AA48" i="49"/>
  <c r="Z48" i="49"/>
  <c r="Y48" i="49"/>
  <c r="X48" i="49"/>
  <c r="W48" i="49"/>
  <c r="V48" i="49"/>
  <c r="U48" i="49"/>
  <c r="T48" i="49"/>
  <c r="S48" i="49"/>
  <c r="R48" i="49"/>
  <c r="Q48" i="49"/>
  <c r="P48" i="49"/>
  <c r="O48" i="49"/>
  <c r="N48" i="49"/>
  <c r="M48" i="49"/>
  <c r="L48" i="49"/>
  <c r="K48" i="49"/>
  <c r="J48" i="49"/>
  <c r="I48" i="49"/>
  <c r="H48" i="49"/>
  <c r="G48" i="49"/>
  <c r="AA47" i="49"/>
  <c r="Z47" i="49"/>
  <c r="Y47" i="49"/>
  <c r="X47" i="49"/>
  <c r="W47" i="49"/>
  <c r="V47" i="49"/>
  <c r="U47" i="49"/>
  <c r="T47" i="49"/>
  <c r="S47" i="49"/>
  <c r="R47" i="49"/>
  <c r="Q47" i="49"/>
  <c r="P47" i="49"/>
  <c r="O47" i="49"/>
  <c r="N47" i="49"/>
  <c r="M47" i="49"/>
  <c r="L47" i="49"/>
  <c r="K47" i="49"/>
  <c r="J47" i="49"/>
  <c r="I47" i="49"/>
  <c r="H47" i="49"/>
  <c r="G47" i="49"/>
  <c r="E47" i="49"/>
  <c r="AA46" i="49"/>
  <c r="Z46" i="49"/>
  <c r="Y46" i="49"/>
  <c r="X46" i="49"/>
  <c r="W46" i="49"/>
  <c r="V46" i="49"/>
  <c r="U46" i="49"/>
  <c r="T46" i="49"/>
  <c r="S46" i="49"/>
  <c r="R46" i="49"/>
  <c r="Q46" i="49"/>
  <c r="P46" i="49"/>
  <c r="O46" i="49"/>
  <c r="N46" i="49"/>
  <c r="M46" i="49"/>
  <c r="L46" i="49"/>
  <c r="K46" i="49"/>
  <c r="J46" i="49"/>
  <c r="I46" i="49"/>
  <c r="H46" i="49"/>
  <c r="G46" i="49"/>
  <c r="G45" i="49"/>
  <c r="G42" i="49"/>
  <c r="G222" i="49" s="1"/>
  <c r="E40" i="49"/>
  <c r="E48" i="49" s="1"/>
  <c r="E39" i="49"/>
  <c r="E38" i="49"/>
  <c r="E46" i="49" s="1"/>
  <c r="E37" i="49"/>
  <c r="E45" i="49" s="1"/>
  <c r="A36" i="49"/>
  <c r="AA32" i="49"/>
  <c r="Z32" i="49"/>
  <c r="Y32" i="49"/>
  <c r="X32" i="49"/>
  <c r="W32" i="49"/>
  <c r="V32" i="49"/>
  <c r="U32" i="49"/>
  <c r="T32" i="49"/>
  <c r="S32" i="49"/>
  <c r="R32" i="49"/>
  <c r="Q32" i="49"/>
  <c r="P32" i="49"/>
  <c r="O32" i="49"/>
  <c r="N32" i="49"/>
  <c r="M32" i="49"/>
  <c r="L32" i="49"/>
  <c r="K32" i="49"/>
  <c r="J32" i="49"/>
  <c r="I32" i="49"/>
  <c r="H32" i="49"/>
  <c r="G32" i="49"/>
  <c r="E32" i="49"/>
  <c r="AA31" i="49"/>
  <c r="Z31" i="49"/>
  <c r="Y31" i="49"/>
  <c r="X31" i="49"/>
  <c r="W31" i="49"/>
  <c r="V31" i="49"/>
  <c r="U31" i="49"/>
  <c r="T31" i="49"/>
  <c r="S31" i="49"/>
  <c r="R31" i="49"/>
  <c r="Q31" i="49"/>
  <c r="P31" i="49"/>
  <c r="O31" i="49"/>
  <c r="N31" i="49"/>
  <c r="M31" i="49"/>
  <c r="L31" i="49"/>
  <c r="K31" i="49"/>
  <c r="J31" i="49"/>
  <c r="I31" i="49"/>
  <c r="H31" i="49"/>
  <c r="G31" i="49"/>
  <c r="AA30" i="49"/>
  <c r="Z30" i="49"/>
  <c r="Y30" i="49"/>
  <c r="X30" i="49"/>
  <c r="W30" i="49"/>
  <c r="V30" i="49"/>
  <c r="U30" i="49"/>
  <c r="T30" i="49"/>
  <c r="S30" i="49"/>
  <c r="R30" i="49"/>
  <c r="Q30" i="49"/>
  <c r="P30" i="49"/>
  <c r="O30" i="49"/>
  <c r="N30" i="49"/>
  <c r="M30" i="49"/>
  <c r="L30" i="49"/>
  <c r="K30" i="49"/>
  <c r="J30" i="49"/>
  <c r="I30" i="49"/>
  <c r="H30" i="49"/>
  <c r="G30" i="49"/>
  <c r="E30" i="49"/>
  <c r="AA29" i="49"/>
  <c r="Z29" i="49"/>
  <c r="Y29" i="49"/>
  <c r="X29" i="49"/>
  <c r="W29" i="49"/>
  <c r="AA26" i="49"/>
  <c r="AA234" i="49" s="1"/>
  <c r="Z26" i="49"/>
  <c r="Z234" i="49" s="1"/>
  <c r="Y26" i="49"/>
  <c r="Y234" i="49" s="1"/>
  <c r="X26" i="49"/>
  <c r="X234" i="49" s="1"/>
  <c r="W26" i="49"/>
  <c r="W234" i="49" s="1"/>
  <c r="E23" i="49"/>
  <c r="E31" i="49" s="1"/>
  <c r="E22" i="49"/>
  <c r="E21" i="49"/>
  <c r="E29" i="49" s="1"/>
  <c r="A20" i="49"/>
  <c r="A18" i="49"/>
  <c r="G15" i="49"/>
  <c r="A15" i="49"/>
  <c r="G14" i="49"/>
  <c r="A14" i="49"/>
  <c r="A10" i="49"/>
  <c r="A9" i="49"/>
  <c r="A8" i="49"/>
  <c r="A7" i="49"/>
  <c r="A4" i="49"/>
  <c r="J26" i="48"/>
  <c r="J234" i="48" s="1"/>
  <c r="O29" i="48"/>
  <c r="Q29" i="48"/>
  <c r="R26" i="48"/>
  <c r="R234" i="48" s="1"/>
  <c r="S29" i="48"/>
  <c r="T26" i="48"/>
  <c r="T234" i="48" s="1"/>
  <c r="U26" i="48"/>
  <c r="U234" i="48" s="1"/>
  <c r="W29" i="48"/>
  <c r="X26" i="48"/>
  <c r="X234" i="48" s="1"/>
  <c r="Y29" i="48"/>
  <c r="Z26" i="48"/>
  <c r="Z234" i="48" s="1"/>
  <c r="AA26" i="48"/>
  <c r="AA234" i="48" s="1"/>
  <c r="H29" i="48"/>
  <c r="A320" i="48"/>
  <c r="A283" i="48"/>
  <c r="Y270" i="48"/>
  <c r="X270" i="48"/>
  <c r="P270" i="48"/>
  <c r="I261" i="48"/>
  <c r="G241" i="48"/>
  <c r="Y240" i="48"/>
  <c r="Q240" i="48"/>
  <c r="P240" i="48"/>
  <c r="G240" i="48"/>
  <c r="G274" i="48" s="1"/>
  <c r="G239" i="48"/>
  <c r="G237" i="48"/>
  <c r="AA236" i="48"/>
  <c r="Z236" i="48"/>
  <c r="Y236" i="48"/>
  <c r="Y302" i="48" s="1"/>
  <c r="X236" i="48"/>
  <c r="X302" i="48" s="1"/>
  <c r="W236" i="48"/>
  <c r="V236" i="48"/>
  <c r="V270" i="48" s="1"/>
  <c r="U236" i="48"/>
  <c r="U302" i="48" s="1"/>
  <c r="T236" i="48"/>
  <c r="T302" i="48" s="1"/>
  <c r="S236" i="48"/>
  <c r="S302" i="48" s="1"/>
  <c r="R236" i="48"/>
  <c r="R302" i="48" s="1"/>
  <c r="Q236" i="48"/>
  <c r="Q302" i="48" s="1"/>
  <c r="P236" i="48"/>
  <c r="P302" i="48" s="1"/>
  <c r="O236" i="48"/>
  <c r="O302" i="48" s="1"/>
  <c r="N236" i="48"/>
  <c r="N270" i="48" s="1"/>
  <c r="M236" i="48"/>
  <c r="M302" i="48" s="1"/>
  <c r="L236" i="48"/>
  <c r="L302" i="48" s="1"/>
  <c r="K236" i="48"/>
  <c r="K302" i="48" s="1"/>
  <c r="J236" i="48"/>
  <c r="J302" i="48" s="1"/>
  <c r="I236" i="48"/>
  <c r="I302" i="48" s="1"/>
  <c r="H236" i="48"/>
  <c r="G236" i="48"/>
  <c r="G302" i="48" s="1"/>
  <c r="T227" i="48"/>
  <c r="G227" i="48"/>
  <c r="G293" i="48" s="1"/>
  <c r="G225" i="48"/>
  <c r="G224" i="48"/>
  <c r="G223" i="48"/>
  <c r="G222" i="48"/>
  <c r="A213" i="48"/>
  <c r="A212" i="48"/>
  <c r="A211" i="48"/>
  <c r="A210" i="48"/>
  <c r="AA207" i="48"/>
  <c r="Z207" i="48"/>
  <c r="Y207" i="48"/>
  <c r="Y227" i="48" s="1"/>
  <c r="Y293" i="48" s="1"/>
  <c r="X207" i="48"/>
  <c r="X227" i="48" s="1"/>
  <c r="W207" i="48"/>
  <c r="V207" i="48"/>
  <c r="U207" i="48"/>
  <c r="U240" i="48" s="1"/>
  <c r="T207" i="48"/>
  <c r="T240" i="48" s="1"/>
  <c r="S207" i="48"/>
  <c r="R207" i="48"/>
  <c r="Q207" i="48"/>
  <c r="Q227" i="48" s="1"/>
  <c r="Q293" i="48" s="1"/>
  <c r="P207" i="48"/>
  <c r="P227" i="48" s="1"/>
  <c r="O207" i="48"/>
  <c r="N207" i="48"/>
  <c r="M207" i="48"/>
  <c r="M240" i="48" s="1"/>
  <c r="L207" i="48"/>
  <c r="K207" i="48"/>
  <c r="J207" i="48"/>
  <c r="I207" i="48"/>
  <c r="I227" i="48" s="1"/>
  <c r="I293" i="48" s="1"/>
  <c r="H207" i="48"/>
  <c r="H227" i="48" s="1"/>
  <c r="A206" i="48"/>
  <c r="A205" i="48"/>
  <c r="A204" i="48"/>
  <c r="A203" i="48"/>
  <c r="A198" i="48"/>
  <c r="A197" i="48"/>
  <c r="A194" i="48"/>
  <c r="H193" i="48"/>
  <c r="I193" i="48" s="1"/>
  <c r="J193" i="48" s="1"/>
  <c r="K193" i="48" s="1"/>
  <c r="L193" i="48" s="1"/>
  <c r="M193" i="48" s="1"/>
  <c r="N193" i="48" s="1"/>
  <c r="O193" i="48" s="1"/>
  <c r="P193" i="48" s="1"/>
  <c r="Q193" i="48" s="1"/>
  <c r="R193" i="48" s="1"/>
  <c r="S193" i="48" s="1"/>
  <c r="T193" i="48" s="1"/>
  <c r="U193" i="48" s="1"/>
  <c r="V193" i="48" s="1"/>
  <c r="W193" i="48" s="1"/>
  <c r="X193" i="48" s="1"/>
  <c r="Y193" i="48" s="1"/>
  <c r="Z193" i="48" s="1"/>
  <c r="AA193" i="48" s="1"/>
  <c r="A193" i="48"/>
  <c r="H192" i="48"/>
  <c r="A192" i="48"/>
  <c r="A191" i="48"/>
  <c r="A186" i="48"/>
  <c r="A185" i="48"/>
  <c r="J184" i="48"/>
  <c r="I184" i="48"/>
  <c r="H184" i="48"/>
  <c r="A184" i="48"/>
  <c r="C183" i="48"/>
  <c r="H168" i="48"/>
  <c r="I168" i="48" s="1"/>
  <c r="J168" i="48" s="1"/>
  <c r="K168" i="48" s="1"/>
  <c r="L168" i="48" s="1"/>
  <c r="M168" i="48" s="1"/>
  <c r="N168" i="48" s="1"/>
  <c r="O168" i="48" s="1"/>
  <c r="P168" i="48" s="1"/>
  <c r="Q168" i="48" s="1"/>
  <c r="R168" i="48" s="1"/>
  <c r="S168" i="48" s="1"/>
  <c r="T168" i="48" s="1"/>
  <c r="U168" i="48" s="1"/>
  <c r="V168" i="48" s="1"/>
  <c r="W168" i="48" s="1"/>
  <c r="X168" i="48" s="1"/>
  <c r="Y168" i="48" s="1"/>
  <c r="Z168" i="48" s="1"/>
  <c r="AA168" i="48" s="1"/>
  <c r="H167" i="48"/>
  <c r="I167" i="48" s="1"/>
  <c r="J167" i="48" s="1"/>
  <c r="K167" i="48" s="1"/>
  <c r="L167" i="48" s="1"/>
  <c r="M167" i="48" s="1"/>
  <c r="N167" i="48" s="1"/>
  <c r="O167" i="48" s="1"/>
  <c r="P167" i="48" s="1"/>
  <c r="Q167" i="48" s="1"/>
  <c r="R167" i="48" s="1"/>
  <c r="S167" i="48" s="1"/>
  <c r="T167" i="48" s="1"/>
  <c r="U167" i="48" s="1"/>
  <c r="V167" i="48" s="1"/>
  <c r="W167" i="48" s="1"/>
  <c r="X167" i="48" s="1"/>
  <c r="Y167" i="48" s="1"/>
  <c r="Z167" i="48" s="1"/>
  <c r="AA167" i="48" s="1"/>
  <c r="H166" i="48"/>
  <c r="I166" i="48" s="1"/>
  <c r="J166" i="48" s="1"/>
  <c r="K166" i="48" s="1"/>
  <c r="L166" i="48" s="1"/>
  <c r="M166" i="48" s="1"/>
  <c r="N166" i="48" s="1"/>
  <c r="O166" i="48" s="1"/>
  <c r="P166" i="48" s="1"/>
  <c r="Q166" i="48" s="1"/>
  <c r="R166" i="48" s="1"/>
  <c r="S166" i="48" s="1"/>
  <c r="T166" i="48" s="1"/>
  <c r="U166" i="48" s="1"/>
  <c r="V166" i="48" s="1"/>
  <c r="W166" i="48" s="1"/>
  <c r="X166" i="48" s="1"/>
  <c r="Y166" i="48" s="1"/>
  <c r="Z166" i="48" s="1"/>
  <c r="AA166" i="48" s="1"/>
  <c r="H165" i="48"/>
  <c r="I165" i="48" s="1"/>
  <c r="J165" i="48" s="1"/>
  <c r="K165" i="48" s="1"/>
  <c r="L165" i="48" s="1"/>
  <c r="M165" i="48" s="1"/>
  <c r="N165" i="48" s="1"/>
  <c r="O165" i="48" s="1"/>
  <c r="P165" i="48" s="1"/>
  <c r="Q165" i="48" s="1"/>
  <c r="R165" i="48" s="1"/>
  <c r="S165" i="48" s="1"/>
  <c r="T165" i="48" s="1"/>
  <c r="U165" i="48" s="1"/>
  <c r="V165" i="48" s="1"/>
  <c r="W165" i="48" s="1"/>
  <c r="X165" i="48" s="1"/>
  <c r="Y165" i="48" s="1"/>
  <c r="Z165" i="48" s="1"/>
  <c r="AA165" i="48" s="1"/>
  <c r="A165" i="48"/>
  <c r="A164" i="48"/>
  <c r="A160" i="48"/>
  <c r="A158" i="48"/>
  <c r="H157" i="48"/>
  <c r="AA156" i="48"/>
  <c r="Z156" i="48"/>
  <c r="Y156" i="48"/>
  <c r="X156" i="48"/>
  <c r="W156" i="48"/>
  <c r="V156" i="48"/>
  <c r="T156" i="48"/>
  <c r="S156" i="48"/>
  <c r="Q156" i="48"/>
  <c r="P156" i="48"/>
  <c r="O156" i="48"/>
  <c r="N156" i="48"/>
  <c r="M156" i="48"/>
  <c r="L156" i="48"/>
  <c r="K156" i="48"/>
  <c r="J156" i="48"/>
  <c r="I156" i="48"/>
  <c r="H156" i="48"/>
  <c r="A155" i="48"/>
  <c r="H154" i="48"/>
  <c r="V153" i="48"/>
  <c r="U153" i="48"/>
  <c r="U156" i="48" s="1"/>
  <c r="T153" i="48"/>
  <c r="S153" i="48"/>
  <c r="R153" i="48"/>
  <c r="R156" i="48" s="1"/>
  <c r="A153" i="48"/>
  <c r="H147" i="48"/>
  <c r="I147" i="48" s="1"/>
  <c r="J147" i="48" s="1"/>
  <c r="K147" i="48" s="1"/>
  <c r="L147" i="48" s="1"/>
  <c r="M147" i="48" s="1"/>
  <c r="N147" i="48" s="1"/>
  <c r="O147" i="48" s="1"/>
  <c r="P147" i="48" s="1"/>
  <c r="Q147" i="48" s="1"/>
  <c r="R147" i="48" s="1"/>
  <c r="S147" i="48" s="1"/>
  <c r="T147" i="48" s="1"/>
  <c r="U147" i="48" s="1"/>
  <c r="V147" i="48" s="1"/>
  <c r="W147" i="48" s="1"/>
  <c r="X147" i="48" s="1"/>
  <c r="Y147" i="48" s="1"/>
  <c r="Z147" i="48" s="1"/>
  <c r="AA147" i="48" s="1"/>
  <c r="H146" i="48"/>
  <c r="I146" i="48" s="1"/>
  <c r="J146" i="48" s="1"/>
  <c r="K146" i="48" s="1"/>
  <c r="L146" i="48" s="1"/>
  <c r="M146" i="48" s="1"/>
  <c r="N146" i="48" s="1"/>
  <c r="O146" i="48" s="1"/>
  <c r="P146" i="48" s="1"/>
  <c r="Q146" i="48" s="1"/>
  <c r="R146" i="48" s="1"/>
  <c r="S146" i="48" s="1"/>
  <c r="T146" i="48" s="1"/>
  <c r="U146" i="48" s="1"/>
  <c r="V146" i="48" s="1"/>
  <c r="W146" i="48" s="1"/>
  <c r="X146" i="48" s="1"/>
  <c r="Y146" i="48" s="1"/>
  <c r="Z146" i="48" s="1"/>
  <c r="AA146" i="48" s="1"/>
  <c r="H145" i="48"/>
  <c r="I145" i="48" s="1"/>
  <c r="J145" i="48" s="1"/>
  <c r="K145" i="48" s="1"/>
  <c r="L145" i="48" s="1"/>
  <c r="M145" i="48" s="1"/>
  <c r="N145" i="48" s="1"/>
  <c r="O145" i="48" s="1"/>
  <c r="P145" i="48" s="1"/>
  <c r="Q145" i="48" s="1"/>
  <c r="R145" i="48" s="1"/>
  <c r="S145" i="48" s="1"/>
  <c r="T145" i="48" s="1"/>
  <c r="U145" i="48" s="1"/>
  <c r="V145" i="48" s="1"/>
  <c r="W145" i="48" s="1"/>
  <c r="X145" i="48" s="1"/>
  <c r="Y145" i="48" s="1"/>
  <c r="Z145" i="48" s="1"/>
  <c r="AA145" i="48" s="1"/>
  <c r="H144" i="48"/>
  <c r="I144" i="48" s="1"/>
  <c r="J144" i="48" s="1"/>
  <c r="K144" i="48" s="1"/>
  <c r="L144" i="48" s="1"/>
  <c r="M144" i="48" s="1"/>
  <c r="N144" i="48" s="1"/>
  <c r="O144" i="48" s="1"/>
  <c r="P144" i="48" s="1"/>
  <c r="Q144" i="48" s="1"/>
  <c r="R144" i="48" s="1"/>
  <c r="S144" i="48" s="1"/>
  <c r="T144" i="48" s="1"/>
  <c r="U144" i="48" s="1"/>
  <c r="V144" i="48" s="1"/>
  <c r="W144" i="48" s="1"/>
  <c r="X144" i="48" s="1"/>
  <c r="Y144" i="48" s="1"/>
  <c r="Z144" i="48" s="1"/>
  <c r="AA144" i="48" s="1"/>
  <c r="A144" i="48"/>
  <c r="A143" i="48"/>
  <c r="H141" i="48"/>
  <c r="A139" i="48"/>
  <c r="A137" i="48"/>
  <c r="H136" i="48"/>
  <c r="AA135" i="48"/>
  <c r="Z135" i="48"/>
  <c r="Y135" i="48"/>
  <c r="X135" i="48"/>
  <c r="W135" i="48"/>
  <c r="V135" i="48"/>
  <c r="T135" i="48"/>
  <c r="Q135" i="48"/>
  <c r="P135" i="48"/>
  <c r="O135" i="48"/>
  <c r="N135" i="48"/>
  <c r="M135" i="48"/>
  <c r="L135" i="48"/>
  <c r="K135" i="48"/>
  <c r="J135" i="48"/>
  <c r="I135" i="48"/>
  <c r="H135" i="48"/>
  <c r="A134" i="48"/>
  <c r="H133" i="48"/>
  <c r="V132" i="48"/>
  <c r="U132" i="48"/>
  <c r="U135" i="48" s="1"/>
  <c r="T132" i="48"/>
  <c r="S132" i="48"/>
  <c r="R132" i="48"/>
  <c r="R135" i="48" s="1"/>
  <c r="A132" i="48"/>
  <c r="H126" i="48"/>
  <c r="I126" i="48" s="1"/>
  <c r="J126" i="48" s="1"/>
  <c r="K126" i="48" s="1"/>
  <c r="L126" i="48" s="1"/>
  <c r="M126" i="48" s="1"/>
  <c r="N126" i="48" s="1"/>
  <c r="O126" i="48" s="1"/>
  <c r="P126" i="48" s="1"/>
  <c r="Q126" i="48" s="1"/>
  <c r="R126" i="48" s="1"/>
  <c r="S126" i="48" s="1"/>
  <c r="T126" i="48" s="1"/>
  <c r="U126" i="48" s="1"/>
  <c r="V126" i="48" s="1"/>
  <c r="W126" i="48" s="1"/>
  <c r="X126" i="48" s="1"/>
  <c r="Y126" i="48" s="1"/>
  <c r="Z126" i="48" s="1"/>
  <c r="AA126" i="48" s="1"/>
  <c r="H125" i="48"/>
  <c r="I125" i="48" s="1"/>
  <c r="J125" i="48" s="1"/>
  <c r="K125" i="48" s="1"/>
  <c r="L125" i="48" s="1"/>
  <c r="M125" i="48" s="1"/>
  <c r="N125" i="48" s="1"/>
  <c r="O125" i="48" s="1"/>
  <c r="P125" i="48" s="1"/>
  <c r="Q125" i="48" s="1"/>
  <c r="R125" i="48" s="1"/>
  <c r="S125" i="48" s="1"/>
  <c r="T125" i="48" s="1"/>
  <c r="U125" i="48" s="1"/>
  <c r="V125" i="48" s="1"/>
  <c r="W125" i="48" s="1"/>
  <c r="X125" i="48" s="1"/>
  <c r="Y125" i="48" s="1"/>
  <c r="Z125" i="48" s="1"/>
  <c r="AA125" i="48" s="1"/>
  <c r="H124" i="48"/>
  <c r="I124" i="48" s="1"/>
  <c r="J124" i="48" s="1"/>
  <c r="K124" i="48" s="1"/>
  <c r="L124" i="48" s="1"/>
  <c r="M124" i="48" s="1"/>
  <c r="N124" i="48" s="1"/>
  <c r="O124" i="48" s="1"/>
  <c r="P124" i="48" s="1"/>
  <c r="Q124" i="48" s="1"/>
  <c r="R124" i="48" s="1"/>
  <c r="S124" i="48" s="1"/>
  <c r="T124" i="48" s="1"/>
  <c r="U124" i="48" s="1"/>
  <c r="V124" i="48" s="1"/>
  <c r="W124" i="48" s="1"/>
  <c r="X124" i="48" s="1"/>
  <c r="Y124" i="48" s="1"/>
  <c r="Z124" i="48" s="1"/>
  <c r="AA124" i="48" s="1"/>
  <c r="G124" i="48"/>
  <c r="H123" i="48"/>
  <c r="I123" i="48" s="1"/>
  <c r="J123" i="48" s="1"/>
  <c r="K123" i="48" s="1"/>
  <c r="L123" i="48" s="1"/>
  <c r="M123" i="48" s="1"/>
  <c r="N123" i="48" s="1"/>
  <c r="O123" i="48" s="1"/>
  <c r="P123" i="48" s="1"/>
  <c r="Q123" i="48" s="1"/>
  <c r="R123" i="48" s="1"/>
  <c r="S123" i="48" s="1"/>
  <c r="T123" i="48" s="1"/>
  <c r="U123" i="48" s="1"/>
  <c r="V123" i="48" s="1"/>
  <c r="W123" i="48" s="1"/>
  <c r="X123" i="48" s="1"/>
  <c r="Y123" i="48" s="1"/>
  <c r="Z123" i="48" s="1"/>
  <c r="AA123" i="48" s="1"/>
  <c r="G123" i="48"/>
  <c r="A123" i="48"/>
  <c r="A122" i="48"/>
  <c r="H116" i="48"/>
  <c r="I116" i="48" s="1"/>
  <c r="J116" i="48" s="1"/>
  <c r="K116" i="48" s="1"/>
  <c r="L116" i="48" s="1"/>
  <c r="M116" i="48" s="1"/>
  <c r="N116" i="48" s="1"/>
  <c r="O116" i="48" s="1"/>
  <c r="P116" i="48" s="1"/>
  <c r="Q116" i="48" s="1"/>
  <c r="R116" i="48" s="1"/>
  <c r="S116" i="48" s="1"/>
  <c r="T116" i="48" s="1"/>
  <c r="U116" i="48" s="1"/>
  <c r="V116" i="48" s="1"/>
  <c r="W116" i="48" s="1"/>
  <c r="X116" i="48" s="1"/>
  <c r="Y116" i="48" s="1"/>
  <c r="Z116" i="48" s="1"/>
  <c r="AA116" i="48" s="1"/>
  <c r="A116" i="48"/>
  <c r="AA114" i="48"/>
  <c r="Z114" i="48"/>
  <c r="Y114" i="48"/>
  <c r="X114" i="48"/>
  <c r="W114" i="48"/>
  <c r="A113" i="48"/>
  <c r="G112" i="48"/>
  <c r="A111" i="48"/>
  <c r="A102" i="48"/>
  <c r="A101" i="48"/>
  <c r="H95" i="48"/>
  <c r="I95" i="48" s="1"/>
  <c r="J95" i="48" s="1"/>
  <c r="K95" i="48" s="1"/>
  <c r="L95" i="48" s="1"/>
  <c r="M95" i="48" s="1"/>
  <c r="N95" i="48" s="1"/>
  <c r="O95" i="48" s="1"/>
  <c r="P95" i="48" s="1"/>
  <c r="Q95" i="48" s="1"/>
  <c r="R95" i="48" s="1"/>
  <c r="S95" i="48" s="1"/>
  <c r="T95" i="48" s="1"/>
  <c r="U95" i="48" s="1"/>
  <c r="V95" i="48" s="1"/>
  <c r="W95" i="48" s="1"/>
  <c r="X95" i="48" s="1"/>
  <c r="Y95" i="48" s="1"/>
  <c r="Z95" i="48" s="1"/>
  <c r="AA95" i="48" s="1"/>
  <c r="A95" i="48"/>
  <c r="AA93" i="48"/>
  <c r="AA174" i="48" s="1"/>
  <c r="AA217" i="48" s="1"/>
  <c r="Z93" i="48"/>
  <c r="Y93" i="48"/>
  <c r="X93" i="48"/>
  <c r="W93" i="48"/>
  <c r="A92" i="48"/>
  <c r="G91" i="48"/>
  <c r="A90" i="48"/>
  <c r="C87" i="48"/>
  <c r="AA84" i="48"/>
  <c r="AA235" i="48" s="1"/>
  <c r="Z84" i="48"/>
  <c r="Z235" i="48" s="1"/>
  <c r="Y84" i="48"/>
  <c r="Y235" i="48" s="1"/>
  <c r="T84" i="48"/>
  <c r="T235" i="48" s="1"/>
  <c r="S84" i="48"/>
  <c r="S235" i="48" s="1"/>
  <c r="R84" i="48"/>
  <c r="R235" i="48" s="1"/>
  <c r="Q84" i="48"/>
  <c r="Q235" i="48" s="1"/>
  <c r="L84" i="48"/>
  <c r="L235" i="48" s="1"/>
  <c r="K84" i="48"/>
  <c r="K235" i="48" s="1"/>
  <c r="J84" i="48"/>
  <c r="J235" i="48" s="1"/>
  <c r="I84" i="48"/>
  <c r="I235" i="48" s="1"/>
  <c r="G82" i="48"/>
  <c r="AA80" i="48"/>
  <c r="Z80" i="48"/>
  <c r="Y80" i="48"/>
  <c r="X80" i="48"/>
  <c r="W80" i="48"/>
  <c r="V80" i="48"/>
  <c r="U80" i="48"/>
  <c r="T80" i="48"/>
  <c r="S80" i="48"/>
  <c r="R80" i="48"/>
  <c r="Q80" i="48"/>
  <c r="P80" i="48"/>
  <c r="O80" i="48"/>
  <c r="N80" i="48"/>
  <c r="M80" i="48"/>
  <c r="L80" i="48"/>
  <c r="K80" i="48"/>
  <c r="J80" i="48"/>
  <c r="I80" i="48"/>
  <c r="H80" i="48"/>
  <c r="G80" i="48"/>
  <c r="AA79" i="48"/>
  <c r="Z79" i="48"/>
  <c r="Y79" i="48"/>
  <c r="X79" i="48"/>
  <c r="W79" i="48"/>
  <c r="V79" i="48"/>
  <c r="U79" i="48"/>
  <c r="T79" i="48"/>
  <c r="S79" i="48"/>
  <c r="R79" i="48"/>
  <c r="Q79" i="48"/>
  <c r="P79" i="48"/>
  <c r="O79" i="48"/>
  <c r="N79" i="48"/>
  <c r="M79" i="48"/>
  <c r="L79" i="48"/>
  <c r="K79" i="48"/>
  <c r="J79" i="48"/>
  <c r="I79" i="48"/>
  <c r="H79" i="48"/>
  <c r="G79" i="48"/>
  <c r="AA78" i="48"/>
  <c r="Z78" i="48"/>
  <c r="Y78" i="48"/>
  <c r="X78" i="48"/>
  <c r="W78" i="48"/>
  <c r="V78" i="48"/>
  <c r="U78" i="48"/>
  <c r="T78" i="48"/>
  <c r="S78" i="48"/>
  <c r="R78" i="48"/>
  <c r="Q78" i="48"/>
  <c r="P78" i="48"/>
  <c r="O78" i="48"/>
  <c r="N78" i="48"/>
  <c r="M78" i="48"/>
  <c r="L78" i="48"/>
  <c r="K78" i="48"/>
  <c r="J78" i="48"/>
  <c r="I78" i="48"/>
  <c r="H78" i="48"/>
  <c r="G78" i="48"/>
  <c r="AA75" i="48"/>
  <c r="Z75" i="48"/>
  <c r="Y75" i="48"/>
  <c r="X75" i="48"/>
  <c r="W75" i="48"/>
  <c r="V75" i="48"/>
  <c r="U75" i="48"/>
  <c r="T75" i="48"/>
  <c r="S75" i="48"/>
  <c r="R75" i="48"/>
  <c r="Q75" i="48"/>
  <c r="P75" i="48"/>
  <c r="O75" i="48"/>
  <c r="N75" i="48"/>
  <c r="M75" i="48"/>
  <c r="L75" i="48"/>
  <c r="K75" i="48"/>
  <c r="J75" i="48"/>
  <c r="I75" i="48"/>
  <c r="H75" i="48"/>
  <c r="G75" i="48"/>
  <c r="E73" i="48"/>
  <c r="E80" i="48" s="1"/>
  <c r="E72" i="48"/>
  <c r="E79" i="48" s="1"/>
  <c r="E71" i="48"/>
  <c r="E78" i="48" s="1"/>
  <c r="A70" i="48"/>
  <c r="G68" i="48"/>
  <c r="G85" i="48" s="1"/>
  <c r="AA66" i="48"/>
  <c r="Z66" i="48"/>
  <c r="Y66" i="48"/>
  <c r="X66" i="48"/>
  <c r="W66" i="48"/>
  <c r="V66" i="48"/>
  <c r="U66" i="48"/>
  <c r="T66" i="48"/>
  <c r="S66" i="48"/>
  <c r="R66" i="48"/>
  <c r="Q66" i="48"/>
  <c r="P66" i="48"/>
  <c r="O66" i="48"/>
  <c r="N66" i="48"/>
  <c r="M66" i="48"/>
  <c r="L66" i="48"/>
  <c r="K66" i="48"/>
  <c r="J66" i="48"/>
  <c r="I66" i="48"/>
  <c r="H66" i="48"/>
  <c r="G66" i="48"/>
  <c r="AA65" i="48"/>
  <c r="Z65" i="48"/>
  <c r="Y65" i="48"/>
  <c r="X65" i="48"/>
  <c r="W65" i="48"/>
  <c r="V65" i="48"/>
  <c r="U65" i="48"/>
  <c r="T65" i="48"/>
  <c r="S65" i="48"/>
  <c r="R65" i="48"/>
  <c r="Q65" i="48"/>
  <c r="P65" i="48"/>
  <c r="O65" i="48"/>
  <c r="N65" i="48"/>
  <c r="M65" i="48"/>
  <c r="L65" i="48"/>
  <c r="K65" i="48"/>
  <c r="J65" i="48"/>
  <c r="I65" i="48"/>
  <c r="H65" i="48"/>
  <c r="G65" i="48"/>
  <c r="AA64" i="48"/>
  <c r="Z64" i="48"/>
  <c r="Y64" i="48"/>
  <c r="X64" i="48"/>
  <c r="W64" i="48"/>
  <c r="V64" i="48"/>
  <c r="U64" i="48"/>
  <c r="T64" i="48"/>
  <c r="S64" i="48"/>
  <c r="R64" i="48"/>
  <c r="Q64" i="48"/>
  <c r="P64" i="48"/>
  <c r="O64" i="48"/>
  <c r="N64" i="48"/>
  <c r="M64" i="48"/>
  <c r="L64" i="48"/>
  <c r="K64" i="48"/>
  <c r="J64" i="48"/>
  <c r="I64" i="48"/>
  <c r="H64" i="48"/>
  <c r="G64" i="48"/>
  <c r="V68" i="48" s="1"/>
  <c r="AA61" i="48"/>
  <c r="Z61" i="48"/>
  <c r="Y61" i="48"/>
  <c r="X61" i="48"/>
  <c r="X84" i="48" s="1"/>
  <c r="X235" i="48" s="1"/>
  <c r="W61" i="48"/>
  <c r="W84" i="48" s="1"/>
  <c r="W235" i="48" s="1"/>
  <c r="V61" i="48"/>
  <c r="V84" i="48" s="1"/>
  <c r="V235" i="48" s="1"/>
  <c r="U61" i="48"/>
  <c r="U84" i="48" s="1"/>
  <c r="U235" i="48" s="1"/>
  <c r="T61" i="48"/>
  <c r="S61" i="48"/>
  <c r="R61" i="48"/>
  <c r="Q61" i="48"/>
  <c r="P61" i="48"/>
  <c r="P84" i="48" s="1"/>
  <c r="P235" i="48" s="1"/>
  <c r="O61" i="48"/>
  <c r="O84" i="48" s="1"/>
  <c r="O235" i="48" s="1"/>
  <c r="N61" i="48"/>
  <c r="N84" i="48" s="1"/>
  <c r="N235" i="48" s="1"/>
  <c r="M61" i="48"/>
  <c r="M84" i="48" s="1"/>
  <c r="M235" i="48" s="1"/>
  <c r="L61" i="48"/>
  <c r="K61" i="48"/>
  <c r="J61" i="48"/>
  <c r="I61" i="48"/>
  <c r="H61" i="48"/>
  <c r="H84" i="48" s="1"/>
  <c r="H235" i="48" s="1"/>
  <c r="G61" i="48"/>
  <c r="G84" i="48" s="1"/>
  <c r="G235" i="48" s="1"/>
  <c r="E59" i="48"/>
  <c r="E66" i="48" s="1"/>
  <c r="E58" i="48"/>
  <c r="E65" i="48" s="1"/>
  <c r="E57" i="48"/>
  <c r="E64" i="48" s="1"/>
  <c r="A56" i="48"/>
  <c r="A52" i="48"/>
  <c r="AA48" i="48"/>
  <c r="Z48" i="48"/>
  <c r="Y48" i="48"/>
  <c r="X48" i="48"/>
  <c r="W48" i="48"/>
  <c r="V48" i="48"/>
  <c r="U48" i="48"/>
  <c r="T48" i="48"/>
  <c r="S48" i="48"/>
  <c r="R48" i="48"/>
  <c r="Q48" i="48"/>
  <c r="P48" i="48"/>
  <c r="O48" i="48"/>
  <c r="N48" i="48"/>
  <c r="M48" i="48"/>
  <c r="L48" i="48"/>
  <c r="K48" i="48"/>
  <c r="J48" i="48"/>
  <c r="I48" i="48"/>
  <c r="H48" i="48"/>
  <c r="G48" i="48"/>
  <c r="E48" i="48"/>
  <c r="AA47" i="48"/>
  <c r="Z47" i="48"/>
  <c r="Y47" i="48"/>
  <c r="X47" i="48"/>
  <c r="W47" i="48"/>
  <c r="V47" i="48"/>
  <c r="U47" i="48"/>
  <c r="T47" i="48"/>
  <c r="S47" i="48"/>
  <c r="R47" i="48"/>
  <c r="Q47" i="48"/>
  <c r="P47" i="48"/>
  <c r="O47" i="48"/>
  <c r="N47" i="48"/>
  <c r="M47" i="48"/>
  <c r="L47" i="48"/>
  <c r="K47" i="48"/>
  <c r="J47" i="48"/>
  <c r="I47" i="48"/>
  <c r="H47" i="48"/>
  <c r="G47" i="48"/>
  <c r="AA46" i="48"/>
  <c r="Z46" i="48"/>
  <c r="Y46" i="48"/>
  <c r="X46" i="48"/>
  <c r="W46" i="48"/>
  <c r="V46" i="48"/>
  <c r="U46" i="48"/>
  <c r="T46" i="48"/>
  <c r="S46" i="48"/>
  <c r="R46" i="48"/>
  <c r="Q46" i="48"/>
  <c r="P46" i="48"/>
  <c r="O46" i="48"/>
  <c r="N46" i="48"/>
  <c r="M46" i="48"/>
  <c r="L46" i="48"/>
  <c r="K46" i="48"/>
  <c r="J46" i="48"/>
  <c r="I46" i="48"/>
  <c r="H46" i="48"/>
  <c r="G46" i="48"/>
  <c r="G45" i="48"/>
  <c r="E45" i="48"/>
  <c r="G42" i="48"/>
  <c r="E40" i="48"/>
  <c r="E39" i="48"/>
  <c r="E47" i="48" s="1"/>
  <c r="E38" i="48"/>
  <c r="E46" i="48" s="1"/>
  <c r="AA37" i="48"/>
  <c r="AA42" i="48" s="1"/>
  <c r="AA222" i="48" s="1"/>
  <c r="Z37" i="48"/>
  <c r="Z42" i="48" s="1"/>
  <c r="Z222" i="48" s="1"/>
  <c r="Y37" i="48"/>
  <c r="Y42" i="48" s="1"/>
  <c r="Y222" i="48" s="1"/>
  <c r="X37" i="48"/>
  <c r="X42" i="48" s="1"/>
  <c r="X222" i="48" s="1"/>
  <c r="W37" i="48"/>
  <c r="W42" i="48" s="1"/>
  <c r="W222" i="48" s="1"/>
  <c r="E37" i="48"/>
  <c r="A36" i="48"/>
  <c r="AA32" i="48"/>
  <c r="Z32" i="48"/>
  <c r="Y32" i="48"/>
  <c r="X32" i="48"/>
  <c r="W32" i="48"/>
  <c r="V32" i="48"/>
  <c r="U32" i="48"/>
  <c r="T32" i="48"/>
  <c r="S32" i="48"/>
  <c r="R32" i="48"/>
  <c r="Q32" i="48"/>
  <c r="P32" i="48"/>
  <c r="O32" i="48"/>
  <c r="N32" i="48"/>
  <c r="M32" i="48"/>
  <c r="L32" i="48"/>
  <c r="K32" i="48"/>
  <c r="J32" i="48"/>
  <c r="I32" i="48"/>
  <c r="H32" i="48"/>
  <c r="G32" i="48"/>
  <c r="E32" i="48"/>
  <c r="AA31" i="48"/>
  <c r="Z31" i="48"/>
  <c r="Y31" i="48"/>
  <c r="X31" i="48"/>
  <c r="W31" i="48"/>
  <c r="V31" i="48"/>
  <c r="U31" i="48"/>
  <c r="T31" i="48"/>
  <c r="S31" i="48"/>
  <c r="R31" i="48"/>
  <c r="Q31" i="48"/>
  <c r="P31" i="48"/>
  <c r="O31" i="48"/>
  <c r="N31" i="48"/>
  <c r="M31" i="48"/>
  <c r="L31" i="48"/>
  <c r="K31" i="48"/>
  <c r="J31" i="48"/>
  <c r="I31" i="48"/>
  <c r="H31" i="48"/>
  <c r="G31" i="48"/>
  <c r="E31" i="48"/>
  <c r="AA30" i="48"/>
  <c r="Z30" i="48"/>
  <c r="Y30" i="48"/>
  <c r="X30" i="48"/>
  <c r="W30" i="48"/>
  <c r="V30" i="48"/>
  <c r="U30" i="48"/>
  <c r="T30" i="48"/>
  <c r="S30" i="48"/>
  <c r="R30" i="48"/>
  <c r="Q30" i="48"/>
  <c r="P30" i="48"/>
  <c r="O30" i="48"/>
  <c r="N30" i="48"/>
  <c r="M30" i="48"/>
  <c r="L30" i="48"/>
  <c r="K30" i="48"/>
  <c r="J30" i="48"/>
  <c r="I30" i="48"/>
  <c r="H30" i="48"/>
  <c r="G30" i="48"/>
  <c r="E30" i="48"/>
  <c r="M29" i="48"/>
  <c r="J29" i="48"/>
  <c r="E23" i="48"/>
  <c r="E22" i="48"/>
  <c r="X29" i="48"/>
  <c r="P29" i="48"/>
  <c r="M26" i="48"/>
  <c r="M234" i="48" s="1"/>
  <c r="L26" i="48"/>
  <c r="L234" i="48" s="1"/>
  <c r="K26" i="48"/>
  <c r="K234" i="48" s="1"/>
  <c r="I29" i="48"/>
  <c r="E21" i="48"/>
  <c r="E29" i="48" s="1"/>
  <c r="A20" i="48"/>
  <c r="A18" i="48"/>
  <c r="G16" i="48"/>
  <c r="A15" i="48"/>
  <c r="A14" i="48"/>
  <c r="A10" i="48"/>
  <c r="A9" i="48"/>
  <c r="A8" i="48"/>
  <c r="A7" i="48"/>
  <c r="A4" i="48"/>
  <c r="U29" i="48" l="1"/>
  <c r="W174" i="48"/>
  <c r="W217" i="48" s="1"/>
  <c r="X174" i="48"/>
  <c r="X217" i="48" s="1"/>
  <c r="Y174" i="48"/>
  <c r="Y217" i="48" s="1"/>
  <c r="Z174" i="48"/>
  <c r="Z217" i="48" s="1"/>
  <c r="Q26" i="48"/>
  <c r="Q234" i="48" s="1"/>
  <c r="Q268" i="48" s="1"/>
  <c r="Y26" i="48"/>
  <c r="Y234" i="48" s="1"/>
  <c r="Y268" i="48" s="1"/>
  <c r="Z45" i="48"/>
  <c r="W45" i="48"/>
  <c r="X45" i="48"/>
  <c r="Y45" i="48"/>
  <c r="V29" i="49"/>
  <c r="U26" i="49"/>
  <c r="U234" i="49" s="1"/>
  <c r="U300" i="49" s="1"/>
  <c r="L26" i="49"/>
  <c r="L234" i="49" s="1"/>
  <c r="J26" i="49"/>
  <c r="J234" i="49" s="1"/>
  <c r="J300" i="49" s="1"/>
  <c r="R29" i="48"/>
  <c r="G50" i="49"/>
  <c r="J84" i="49"/>
  <c r="J235" i="49" s="1"/>
  <c r="R84" i="49"/>
  <c r="R235" i="49" s="1"/>
  <c r="Z84" i="49"/>
  <c r="Z235" i="49" s="1"/>
  <c r="H146" i="49"/>
  <c r="I146" i="49" s="1"/>
  <c r="J146" i="49" s="1"/>
  <c r="K146" i="49" s="1"/>
  <c r="L146" i="49" s="1"/>
  <c r="M146" i="49" s="1"/>
  <c r="N146" i="49" s="1"/>
  <c r="O146" i="49" s="1"/>
  <c r="P146" i="49" s="1"/>
  <c r="Q146" i="49" s="1"/>
  <c r="R146" i="49" s="1"/>
  <c r="S146" i="49" s="1"/>
  <c r="T146" i="49" s="1"/>
  <c r="U146" i="49" s="1"/>
  <c r="V146" i="49" s="1"/>
  <c r="W146" i="49" s="1"/>
  <c r="X146" i="49" s="1"/>
  <c r="Y146" i="49" s="1"/>
  <c r="Z146" i="49" s="1"/>
  <c r="AA146" i="49" s="1"/>
  <c r="K84" i="49"/>
  <c r="K235" i="49" s="1"/>
  <c r="S84" i="49"/>
  <c r="S235" i="49" s="1"/>
  <c r="AA84" i="49"/>
  <c r="AA235" i="49" s="1"/>
  <c r="W174" i="49"/>
  <c r="W217" i="49" s="1"/>
  <c r="H270" i="49"/>
  <c r="P240" i="49"/>
  <c r="W37" i="49"/>
  <c r="W45" i="49" s="1"/>
  <c r="X68" i="49"/>
  <c r="J82" i="49"/>
  <c r="X174" i="49"/>
  <c r="X217" i="49" s="1"/>
  <c r="L227" i="49"/>
  <c r="R85" i="49"/>
  <c r="S68" i="49"/>
  <c r="S85" i="49" s="1"/>
  <c r="R82" i="49"/>
  <c r="I82" i="49"/>
  <c r="I85" i="49" s="1"/>
  <c r="Y174" i="49"/>
  <c r="Y217" i="49" s="1"/>
  <c r="T227" i="49"/>
  <c r="Z68" i="49"/>
  <c r="H104" i="49"/>
  <c r="I104" i="49" s="1"/>
  <c r="J104" i="49" s="1"/>
  <c r="K104" i="49" s="1"/>
  <c r="L104" i="49" s="1"/>
  <c r="M104" i="49" s="1"/>
  <c r="N104" i="49" s="1"/>
  <c r="O104" i="49" s="1"/>
  <c r="P104" i="49" s="1"/>
  <c r="Q104" i="49" s="1"/>
  <c r="R104" i="49" s="1"/>
  <c r="S104" i="49" s="1"/>
  <c r="T104" i="49" s="1"/>
  <c r="U104" i="49" s="1"/>
  <c r="V104" i="49" s="1"/>
  <c r="W104" i="49" s="1"/>
  <c r="X104" i="49" s="1"/>
  <c r="Y104" i="49" s="1"/>
  <c r="Z104" i="49" s="1"/>
  <c r="AA104" i="49" s="1"/>
  <c r="Y68" i="49"/>
  <c r="G288" i="49"/>
  <c r="G256" i="49"/>
  <c r="K269" i="49"/>
  <c r="K301" i="49"/>
  <c r="H167" i="49"/>
  <c r="I167" i="49" s="1"/>
  <c r="J167" i="49" s="1"/>
  <c r="K167" i="49" s="1"/>
  <c r="L167" i="49" s="1"/>
  <c r="M167" i="49" s="1"/>
  <c r="N167" i="49" s="1"/>
  <c r="O167" i="49" s="1"/>
  <c r="P167" i="49" s="1"/>
  <c r="Q167" i="49" s="1"/>
  <c r="R167" i="49" s="1"/>
  <c r="S167" i="49" s="1"/>
  <c r="T167" i="49" s="1"/>
  <c r="U167" i="49" s="1"/>
  <c r="V167" i="49" s="1"/>
  <c r="W167" i="49" s="1"/>
  <c r="X167" i="49" s="1"/>
  <c r="Y167" i="49" s="1"/>
  <c r="Z167" i="49" s="1"/>
  <c r="AA167" i="49" s="1"/>
  <c r="H165" i="49"/>
  <c r="H168" i="49"/>
  <c r="I168" i="49" s="1"/>
  <c r="J168" i="49" s="1"/>
  <c r="K168" i="49" s="1"/>
  <c r="L168" i="49" s="1"/>
  <c r="M168" i="49" s="1"/>
  <c r="N168" i="49" s="1"/>
  <c r="O168" i="49" s="1"/>
  <c r="P168" i="49" s="1"/>
  <c r="Q168" i="49" s="1"/>
  <c r="R168" i="49" s="1"/>
  <c r="S168" i="49" s="1"/>
  <c r="T168" i="49" s="1"/>
  <c r="U168" i="49" s="1"/>
  <c r="V168" i="49" s="1"/>
  <c r="W168" i="49" s="1"/>
  <c r="X168" i="49" s="1"/>
  <c r="Y168" i="49" s="1"/>
  <c r="Z168" i="49" s="1"/>
  <c r="AA168" i="49" s="1"/>
  <c r="H166" i="49"/>
  <c r="I166" i="49" s="1"/>
  <c r="J166" i="49" s="1"/>
  <c r="K166" i="49" s="1"/>
  <c r="L166" i="49" s="1"/>
  <c r="M166" i="49" s="1"/>
  <c r="N166" i="49" s="1"/>
  <c r="O166" i="49" s="1"/>
  <c r="P166" i="49" s="1"/>
  <c r="Q166" i="49" s="1"/>
  <c r="R166" i="49" s="1"/>
  <c r="S166" i="49" s="1"/>
  <c r="T166" i="49" s="1"/>
  <c r="U166" i="49" s="1"/>
  <c r="V166" i="49" s="1"/>
  <c r="W166" i="49" s="1"/>
  <c r="X166" i="49" s="1"/>
  <c r="Y166" i="49" s="1"/>
  <c r="Z166" i="49" s="1"/>
  <c r="AA166" i="49" s="1"/>
  <c r="H145" i="49"/>
  <c r="I145" i="49" s="1"/>
  <c r="J145" i="49" s="1"/>
  <c r="K145" i="49" s="1"/>
  <c r="L145" i="49" s="1"/>
  <c r="M145" i="49" s="1"/>
  <c r="N145" i="49" s="1"/>
  <c r="O145" i="49" s="1"/>
  <c r="P145" i="49" s="1"/>
  <c r="Q145" i="49" s="1"/>
  <c r="R145" i="49" s="1"/>
  <c r="S145" i="49" s="1"/>
  <c r="T145" i="49" s="1"/>
  <c r="U145" i="49" s="1"/>
  <c r="V145" i="49" s="1"/>
  <c r="W145" i="49" s="1"/>
  <c r="X145" i="49" s="1"/>
  <c r="Y145" i="49" s="1"/>
  <c r="Z145" i="49" s="1"/>
  <c r="AA145" i="49" s="1"/>
  <c r="H144" i="49"/>
  <c r="H126" i="49"/>
  <c r="I126" i="49" s="1"/>
  <c r="J126" i="49" s="1"/>
  <c r="K126" i="49" s="1"/>
  <c r="L126" i="49" s="1"/>
  <c r="M126" i="49" s="1"/>
  <c r="N126" i="49" s="1"/>
  <c r="O126" i="49" s="1"/>
  <c r="P126" i="49" s="1"/>
  <c r="Q126" i="49" s="1"/>
  <c r="R126" i="49" s="1"/>
  <c r="S126" i="49" s="1"/>
  <c r="T126" i="49" s="1"/>
  <c r="U126" i="49" s="1"/>
  <c r="V126" i="49" s="1"/>
  <c r="W126" i="49" s="1"/>
  <c r="X126" i="49" s="1"/>
  <c r="Y126" i="49" s="1"/>
  <c r="Z126" i="49" s="1"/>
  <c r="AA126" i="49" s="1"/>
  <c r="H105" i="49"/>
  <c r="I105" i="49" s="1"/>
  <c r="J105" i="49" s="1"/>
  <c r="K105" i="49" s="1"/>
  <c r="L105" i="49" s="1"/>
  <c r="M105" i="49" s="1"/>
  <c r="N105" i="49" s="1"/>
  <c r="O105" i="49" s="1"/>
  <c r="P105" i="49" s="1"/>
  <c r="Q105" i="49" s="1"/>
  <c r="R105" i="49" s="1"/>
  <c r="S105" i="49" s="1"/>
  <c r="T105" i="49" s="1"/>
  <c r="U105" i="49" s="1"/>
  <c r="V105" i="49" s="1"/>
  <c r="W105" i="49" s="1"/>
  <c r="X105" i="49" s="1"/>
  <c r="Y105" i="49" s="1"/>
  <c r="Z105" i="49" s="1"/>
  <c r="AA105" i="49" s="1"/>
  <c r="H147" i="49"/>
  <c r="I147" i="49" s="1"/>
  <c r="J147" i="49" s="1"/>
  <c r="K147" i="49" s="1"/>
  <c r="L147" i="49" s="1"/>
  <c r="M147" i="49" s="1"/>
  <c r="N147" i="49" s="1"/>
  <c r="O147" i="49" s="1"/>
  <c r="P147" i="49" s="1"/>
  <c r="Q147" i="49" s="1"/>
  <c r="R147" i="49" s="1"/>
  <c r="S147" i="49" s="1"/>
  <c r="T147" i="49" s="1"/>
  <c r="U147" i="49" s="1"/>
  <c r="V147" i="49" s="1"/>
  <c r="W147" i="49" s="1"/>
  <c r="X147" i="49" s="1"/>
  <c r="Y147" i="49" s="1"/>
  <c r="Z147" i="49" s="1"/>
  <c r="AA147" i="49" s="1"/>
  <c r="H125" i="49"/>
  <c r="I125" i="49" s="1"/>
  <c r="J125" i="49" s="1"/>
  <c r="K125" i="49" s="1"/>
  <c r="L125" i="49" s="1"/>
  <c r="M125" i="49" s="1"/>
  <c r="N125" i="49" s="1"/>
  <c r="O125" i="49" s="1"/>
  <c r="P125" i="49" s="1"/>
  <c r="Q125" i="49" s="1"/>
  <c r="R125" i="49" s="1"/>
  <c r="S125" i="49" s="1"/>
  <c r="T125" i="49" s="1"/>
  <c r="U125" i="49" s="1"/>
  <c r="V125" i="49" s="1"/>
  <c r="W125" i="49" s="1"/>
  <c r="X125" i="49" s="1"/>
  <c r="Y125" i="49" s="1"/>
  <c r="Z125" i="49" s="1"/>
  <c r="AA125" i="49" s="1"/>
  <c r="Z37" i="49"/>
  <c r="J269" i="49"/>
  <c r="J301" i="49"/>
  <c r="R269" i="49"/>
  <c r="R301" i="49"/>
  <c r="Z269" i="49"/>
  <c r="Z301" i="49"/>
  <c r="K82" i="49"/>
  <c r="M301" i="49"/>
  <c r="M269" i="49"/>
  <c r="H193" i="49"/>
  <c r="I193" i="49" s="1"/>
  <c r="J193" i="49" s="1"/>
  <c r="K193" i="49" s="1"/>
  <c r="L193" i="49" s="1"/>
  <c r="M193" i="49" s="1"/>
  <c r="N193" i="49" s="1"/>
  <c r="O193" i="49" s="1"/>
  <c r="P193" i="49" s="1"/>
  <c r="Q193" i="49" s="1"/>
  <c r="R193" i="49" s="1"/>
  <c r="S193" i="49" s="1"/>
  <c r="T193" i="49" s="1"/>
  <c r="U193" i="49" s="1"/>
  <c r="V193" i="49" s="1"/>
  <c r="W193" i="49" s="1"/>
  <c r="X193" i="49" s="1"/>
  <c r="Y193" i="49" s="1"/>
  <c r="Z193" i="49" s="1"/>
  <c r="AA193" i="49" s="1"/>
  <c r="Q82" i="49"/>
  <c r="X268" i="49"/>
  <c r="X300" i="49"/>
  <c r="X37" i="49"/>
  <c r="AA68" i="49"/>
  <c r="S82" i="49"/>
  <c r="U301" i="49"/>
  <c r="U269" i="49"/>
  <c r="W268" i="49"/>
  <c r="W300" i="49"/>
  <c r="S269" i="49"/>
  <c r="S301" i="49"/>
  <c r="Z300" i="49"/>
  <c r="Z268" i="49"/>
  <c r="Y37" i="49"/>
  <c r="J68" i="49"/>
  <c r="J85" i="49" s="1"/>
  <c r="Y82" i="49"/>
  <c r="Y85" i="49" s="1"/>
  <c r="V301" i="49"/>
  <c r="V269" i="49"/>
  <c r="AA269" i="49"/>
  <c r="AA301" i="49"/>
  <c r="N301" i="49"/>
  <c r="N269" i="49"/>
  <c r="T301" i="49"/>
  <c r="T269" i="49"/>
  <c r="AA300" i="49"/>
  <c r="AA268" i="49"/>
  <c r="AA37" i="49"/>
  <c r="G301" i="49"/>
  <c r="G269" i="49"/>
  <c r="O301" i="49"/>
  <c r="O269" i="49"/>
  <c r="W301" i="49"/>
  <c r="W269" i="49"/>
  <c r="K68" i="49"/>
  <c r="X82" i="49"/>
  <c r="X85" i="49" s="1"/>
  <c r="Z82" i="49"/>
  <c r="Z85" i="49" s="1"/>
  <c r="G16" i="49"/>
  <c r="H84" i="49"/>
  <c r="H235" i="49" s="1"/>
  <c r="P84" i="49"/>
  <c r="P235" i="49" s="1"/>
  <c r="X84" i="49"/>
  <c r="X235" i="49" s="1"/>
  <c r="Q68" i="49"/>
  <c r="AA82" i="49"/>
  <c r="I84" i="49"/>
  <c r="I235" i="49" s="1"/>
  <c r="Q84" i="49"/>
  <c r="Q235" i="49" s="1"/>
  <c r="Y84" i="49"/>
  <c r="Y235" i="49" s="1"/>
  <c r="L301" i="49"/>
  <c r="L269" i="49"/>
  <c r="L68" i="49"/>
  <c r="T68" i="49"/>
  <c r="T85" i="49" s="1"/>
  <c r="L82" i="49"/>
  <c r="T82" i="49"/>
  <c r="I141" i="49"/>
  <c r="I142" i="49"/>
  <c r="I140" i="49"/>
  <c r="M68" i="49"/>
  <c r="U68" i="49"/>
  <c r="M82" i="49"/>
  <c r="U82" i="49"/>
  <c r="J136" i="49"/>
  <c r="K133" i="49"/>
  <c r="J140" i="49"/>
  <c r="J149" i="49" s="1"/>
  <c r="G289" i="49"/>
  <c r="G257" i="49"/>
  <c r="N68" i="49"/>
  <c r="N85" i="49" s="1"/>
  <c r="V68" i="49"/>
  <c r="N82" i="49"/>
  <c r="V82" i="49"/>
  <c r="H293" i="49"/>
  <c r="H261" i="49"/>
  <c r="P293" i="49"/>
  <c r="P261" i="49"/>
  <c r="X306" i="49"/>
  <c r="X274" i="49"/>
  <c r="G68" i="49"/>
  <c r="O68" i="49"/>
  <c r="W68" i="49"/>
  <c r="W85" i="49" s="1"/>
  <c r="G82" i="49"/>
  <c r="O82" i="49"/>
  <c r="W82" i="49"/>
  <c r="Z174" i="49"/>
  <c r="Z217" i="49" s="1"/>
  <c r="H163" i="49"/>
  <c r="H161" i="49"/>
  <c r="H162" i="49"/>
  <c r="T261" i="49"/>
  <c r="T293" i="49"/>
  <c r="Y300" i="49"/>
  <c r="Y268" i="49"/>
  <c r="H68" i="49"/>
  <c r="P68" i="49"/>
  <c r="H82" i="49"/>
  <c r="P82" i="49"/>
  <c r="J141" i="49"/>
  <c r="I157" i="49"/>
  <c r="J154" i="49"/>
  <c r="I161" i="49"/>
  <c r="I162" i="49"/>
  <c r="N302" i="49"/>
  <c r="N270" i="49"/>
  <c r="V270" i="49"/>
  <c r="V302" i="49"/>
  <c r="N240" i="49"/>
  <c r="N227" i="49"/>
  <c r="V293" i="49"/>
  <c r="V261" i="49"/>
  <c r="O240" i="49"/>
  <c r="O227" i="49"/>
  <c r="W274" i="49"/>
  <c r="W306" i="49"/>
  <c r="O270" i="49"/>
  <c r="W227" i="49"/>
  <c r="G302" i="49"/>
  <c r="G270" i="49"/>
  <c r="W270" i="49"/>
  <c r="W302" i="49"/>
  <c r="H192" i="49"/>
  <c r="AA293" i="49"/>
  <c r="AA261" i="49"/>
  <c r="I227" i="49"/>
  <c r="I240" i="49"/>
  <c r="Q293" i="49"/>
  <c r="Q261" i="49"/>
  <c r="Y240" i="49"/>
  <c r="Y227" i="49"/>
  <c r="G293" i="49"/>
  <c r="G261" i="49"/>
  <c r="R293" i="49"/>
  <c r="R261" i="49"/>
  <c r="Z306" i="49"/>
  <c r="Z274" i="49"/>
  <c r="K227" i="49"/>
  <c r="G305" i="49"/>
  <c r="G273" i="49"/>
  <c r="J306" i="49"/>
  <c r="J274" i="49"/>
  <c r="K306" i="49"/>
  <c r="K274" i="49"/>
  <c r="S306" i="49"/>
  <c r="S274" i="49"/>
  <c r="AA306" i="49"/>
  <c r="AA274" i="49"/>
  <c r="L293" i="49"/>
  <c r="L261" i="49"/>
  <c r="J302" i="49"/>
  <c r="J270" i="49"/>
  <c r="R302" i="49"/>
  <c r="R270" i="49"/>
  <c r="Z302" i="49"/>
  <c r="Z270" i="49"/>
  <c r="P274" i="49"/>
  <c r="P306" i="49"/>
  <c r="L306" i="49"/>
  <c r="L274" i="49"/>
  <c r="T306" i="49"/>
  <c r="T274" i="49"/>
  <c r="Q240" i="49"/>
  <c r="M306" i="49"/>
  <c r="M274" i="49"/>
  <c r="U306" i="49"/>
  <c r="U274" i="49"/>
  <c r="S227" i="49"/>
  <c r="V274" i="49"/>
  <c r="AB274" i="49" s="1"/>
  <c r="AB240" i="49"/>
  <c r="V306" i="49"/>
  <c r="AB306" i="49" s="1"/>
  <c r="J261" i="49"/>
  <c r="G291" i="49"/>
  <c r="G259" i="49"/>
  <c r="M227" i="49"/>
  <c r="U227" i="49"/>
  <c r="H240" i="49"/>
  <c r="R240" i="49"/>
  <c r="I302" i="49"/>
  <c r="I270" i="49"/>
  <c r="Q302" i="49"/>
  <c r="Q270" i="49"/>
  <c r="U302" i="49"/>
  <c r="G290" i="49"/>
  <c r="G258" i="49"/>
  <c r="G238" i="49"/>
  <c r="X227" i="49"/>
  <c r="K302" i="49"/>
  <c r="K270" i="49"/>
  <c r="S302" i="49"/>
  <c r="S270" i="49"/>
  <c r="AA302" i="49"/>
  <c r="AA270" i="49"/>
  <c r="P270" i="49"/>
  <c r="L302" i="49"/>
  <c r="L270" i="49"/>
  <c r="T302" i="49"/>
  <c r="T270" i="49"/>
  <c r="G303" i="49"/>
  <c r="G271" i="49"/>
  <c r="X270" i="49"/>
  <c r="Z227" i="49"/>
  <c r="M302" i="49"/>
  <c r="M270" i="49"/>
  <c r="Y270" i="49"/>
  <c r="G307" i="49"/>
  <c r="G275" i="49"/>
  <c r="G306" i="49"/>
  <c r="H26" i="48"/>
  <c r="H234" i="48" s="1"/>
  <c r="H268" i="48" s="1"/>
  <c r="S26" i="48"/>
  <c r="S234" i="48" s="1"/>
  <c r="S268" i="48" s="1"/>
  <c r="L29" i="48"/>
  <c r="Z29" i="48"/>
  <c r="I26" i="48"/>
  <c r="I234" i="48" s="1"/>
  <c r="I300" i="48" s="1"/>
  <c r="K29" i="48"/>
  <c r="AA29" i="48"/>
  <c r="P26" i="48"/>
  <c r="P234" i="48" s="1"/>
  <c r="P300" i="48" s="1"/>
  <c r="T29" i="48"/>
  <c r="U82" i="48"/>
  <c r="M82" i="48"/>
  <c r="J82" i="48"/>
  <c r="Q82" i="48"/>
  <c r="I82" i="48"/>
  <c r="T82" i="48"/>
  <c r="L82" i="48"/>
  <c r="Z82" i="48"/>
  <c r="AA82" i="48"/>
  <c r="S82" i="48"/>
  <c r="K82" i="48"/>
  <c r="R82" i="48"/>
  <c r="Y82" i="48"/>
  <c r="H82" i="48"/>
  <c r="O26" i="48"/>
  <c r="O234" i="48" s="1"/>
  <c r="M301" i="48"/>
  <c r="M269" i="48"/>
  <c r="U301" i="48"/>
  <c r="U269" i="48"/>
  <c r="N68" i="48"/>
  <c r="N85" i="48" s="1"/>
  <c r="N82" i="48"/>
  <c r="K269" i="48"/>
  <c r="K301" i="48"/>
  <c r="AA269" i="48"/>
  <c r="AA301" i="48"/>
  <c r="L300" i="48"/>
  <c r="L268" i="48"/>
  <c r="N301" i="48"/>
  <c r="N269" i="48"/>
  <c r="O68" i="48"/>
  <c r="O85" i="48" s="1"/>
  <c r="M300" i="48"/>
  <c r="M268" i="48"/>
  <c r="U300" i="48"/>
  <c r="U268" i="48"/>
  <c r="W288" i="48"/>
  <c r="W256" i="48"/>
  <c r="G301" i="48"/>
  <c r="G269" i="48"/>
  <c r="O301" i="48"/>
  <c r="O269" i="48"/>
  <c r="W301" i="48"/>
  <c r="W269" i="48"/>
  <c r="P68" i="48"/>
  <c r="P85" i="48" s="1"/>
  <c r="P82" i="48"/>
  <c r="Q301" i="48"/>
  <c r="Q269" i="48"/>
  <c r="I301" i="48"/>
  <c r="I269" i="48"/>
  <c r="J301" i="48"/>
  <c r="J269" i="48"/>
  <c r="T300" i="48"/>
  <c r="T268" i="48"/>
  <c r="O82" i="48"/>
  <c r="N26" i="48"/>
  <c r="N234" i="48" s="1"/>
  <c r="N29" i="48"/>
  <c r="V26" i="48"/>
  <c r="V234" i="48" s="1"/>
  <c r="V29" i="48"/>
  <c r="X288" i="48"/>
  <c r="X256" i="48"/>
  <c r="H301" i="48"/>
  <c r="H269" i="48"/>
  <c r="P301" i="48"/>
  <c r="P269" i="48"/>
  <c r="X301" i="48"/>
  <c r="X269" i="48"/>
  <c r="V82" i="48"/>
  <c r="V85" i="48" s="1"/>
  <c r="R301" i="48"/>
  <c r="R269" i="48"/>
  <c r="AA288" i="48"/>
  <c r="AA256" i="48"/>
  <c r="Y301" i="48"/>
  <c r="Y269" i="48"/>
  <c r="U68" i="48"/>
  <c r="M68" i="48"/>
  <c r="Z68" i="48"/>
  <c r="Z85" i="48" s="1"/>
  <c r="Q68" i="48"/>
  <c r="Q85" i="48" s="1"/>
  <c r="T68" i="48"/>
  <c r="T85" i="48" s="1"/>
  <c r="L68" i="48"/>
  <c r="L85" i="48" s="1"/>
  <c r="J68" i="48"/>
  <c r="J85" i="48" s="1"/>
  <c r="AA68" i="48"/>
  <c r="S68" i="48"/>
  <c r="K68" i="48"/>
  <c r="K85" i="48" s="1"/>
  <c r="R68" i="48"/>
  <c r="R85" i="48" s="1"/>
  <c r="Y68" i="48"/>
  <c r="Y85" i="48" s="1"/>
  <c r="I68" i="48"/>
  <c r="I85" i="48" s="1"/>
  <c r="Z301" i="48"/>
  <c r="Z269" i="48"/>
  <c r="V301" i="48"/>
  <c r="V269" i="48"/>
  <c r="L301" i="48"/>
  <c r="L269" i="48"/>
  <c r="Y288" i="48"/>
  <c r="Y256" i="48"/>
  <c r="G50" i="48"/>
  <c r="W68" i="48"/>
  <c r="W82" i="48"/>
  <c r="S269" i="48"/>
  <c r="S301" i="48"/>
  <c r="X268" i="48"/>
  <c r="X300" i="48"/>
  <c r="H68" i="48"/>
  <c r="H85" i="48" s="1"/>
  <c r="W26" i="48"/>
  <c r="W234" i="48" s="1"/>
  <c r="Z288" i="48"/>
  <c r="Z256" i="48"/>
  <c r="X68" i="48"/>
  <c r="X85" i="48" s="1"/>
  <c r="X82" i="48"/>
  <c r="G288" i="48"/>
  <c r="G256" i="48"/>
  <c r="Z300" i="48"/>
  <c r="Z268" i="48"/>
  <c r="AA45" i="48"/>
  <c r="K227" i="48"/>
  <c r="K240" i="48"/>
  <c r="S227" i="48"/>
  <c r="S240" i="48"/>
  <c r="AA227" i="48"/>
  <c r="AA240" i="48"/>
  <c r="R300" i="48"/>
  <c r="R268" i="48"/>
  <c r="T301" i="48"/>
  <c r="T269" i="48"/>
  <c r="I192" i="48"/>
  <c r="S135" i="48"/>
  <c r="J300" i="48"/>
  <c r="J268" i="48"/>
  <c r="T293" i="48"/>
  <c r="T261" i="48"/>
  <c r="K300" i="48"/>
  <c r="K268" i="48"/>
  <c r="AA300" i="48"/>
  <c r="AA268" i="48"/>
  <c r="H142" i="48"/>
  <c r="H140" i="48"/>
  <c r="H162" i="48"/>
  <c r="H163" i="48"/>
  <c r="H161" i="48"/>
  <c r="H170" i="48" s="1"/>
  <c r="L240" i="48"/>
  <c r="L227" i="48"/>
  <c r="T306" i="48"/>
  <c r="T274" i="48"/>
  <c r="I133" i="48"/>
  <c r="I154" i="48"/>
  <c r="Q306" i="48"/>
  <c r="Q274" i="48"/>
  <c r="N240" i="48"/>
  <c r="N227" i="48"/>
  <c r="V240" i="48"/>
  <c r="V227" i="48"/>
  <c r="Y306" i="48"/>
  <c r="Y274" i="48"/>
  <c r="G289" i="48"/>
  <c r="G257" i="48"/>
  <c r="P306" i="48"/>
  <c r="P274" i="48"/>
  <c r="H302" i="48"/>
  <c r="H270" i="48"/>
  <c r="G305" i="48"/>
  <c r="G273" i="48"/>
  <c r="M306" i="48"/>
  <c r="M274" i="48"/>
  <c r="U306" i="48"/>
  <c r="U274" i="48"/>
  <c r="G291" i="48"/>
  <c r="G259" i="48"/>
  <c r="M227" i="48"/>
  <c r="X240" i="48"/>
  <c r="O240" i="48"/>
  <c r="O227" i="48"/>
  <c r="W240" i="48"/>
  <c r="W227" i="48"/>
  <c r="U227" i="48"/>
  <c r="H293" i="48"/>
  <c r="H261" i="48"/>
  <c r="P293" i="48"/>
  <c r="P261" i="48"/>
  <c r="X293" i="48"/>
  <c r="X261" i="48"/>
  <c r="G290" i="48"/>
  <c r="G258" i="48"/>
  <c r="G238" i="48"/>
  <c r="Q261" i="48"/>
  <c r="G270" i="48"/>
  <c r="H240" i="48"/>
  <c r="J227" i="48"/>
  <c r="J240" i="48"/>
  <c r="R227" i="48"/>
  <c r="R240" i="48"/>
  <c r="Z227" i="48"/>
  <c r="Z240" i="48"/>
  <c r="W302" i="48"/>
  <c r="W270" i="48"/>
  <c r="I240" i="48"/>
  <c r="Y261" i="48"/>
  <c r="O270" i="48"/>
  <c r="I270" i="48"/>
  <c r="Q270" i="48"/>
  <c r="Z302" i="48"/>
  <c r="Z270" i="48"/>
  <c r="J270" i="48"/>
  <c r="R270" i="48"/>
  <c r="AA302" i="48"/>
  <c r="AA270" i="48"/>
  <c r="K270" i="48"/>
  <c r="S270" i="48"/>
  <c r="N302" i="48"/>
  <c r="G303" i="48"/>
  <c r="G271" i="48"/>
  <c r="G307" i="48"/>
  <c r="G275" i="48"/>
  <c r="L270" i="48"/>
  <c r="T270" i="48"/>
  <c r="V302" i="48"/>
  <c r="G261" i="48"/>
  <c r="M270" i="48"/>
  <c r="U270" i="48"/>
  <c r="G306" i="48"/>
  <c r="Q300" i="48" l="1"/>
  <c r="Y300" i="48"/>
  <c r="U29" i="49"/>
  <c r="I268" i="48"/>
  <c r="W42" i="49"/>
  <c r="W222" i="49" s="1"/>
  <c r="H300" i="48"/>
  <c r="L29" i="49"/>
  <c r="U268" i="49"/>
  <c r="V26" i="49"/>
  <c r="V234" i="49" s="1"/>
  <c r="V300" i="49" s="1"/>
  <c r="L268" i="49"/>
  <c r="L300" i="49"/>
  <c r="H170" i="49"/>
  <c r="P85" i="49"/>
  <c r="J29" i="49"/>
  <c r="K85" i="49"/>
  <c r="J268" i="49"/>
  <c r="M85" i="49"/>
  <c r="W288" i="49"/>
  <c r="W256" i="49"/>
  <c r="X45" i="49"/>
  <c r="X42" i="49"/>
  <c r="X222" i="49" s="1"/>
  <c r="T26" i="49"/>
  <c r="T234" i="49" s="1"/>
  <c r="T29" i="49"/>
  <c r="H301" i="49"/>
  <c r="H269" i="49"/>
  <c r="I165" i="49"/>
  <c r="H171" i="49"/>
  <c r="M261" i="49"/>
  <c r="M293" i="49"/>
  <c r="I306" i="49"/>
  <c r="I274" i="49"/>
  <c r="I293" i="49"/>
  <c r="I261" i="49"/>
  <c r="W293" i="49"/>
  <c r="W261" i="49"/>
  <c r="N293" i="49"/>
  <c r="N261" i="49"/>
  <c r="I170" i="49"/>
  <c r="H85" i="49"/>
  <c r="O85" i="49"/>
  <c r="U85" i="49"/>
  <c r="L85" i="49"/>
  <c r="R29" i="49"/>
  <c r="R26" i="49"/>
  <c r="R234" i="49" s="1"/>
  <c r="AA42" i="49"/>
  <c r="AA222" i="49" s="1"/>
  <c r="AA45" i="49"/>
  <c r="N26" i="49"/>
  <c r="N234" i="49" s="1"/>
  <c r="N29" i="49"/>
  <c r="I26" i="49"/>
  <c r="I234" i="49" s="1"/>
  <c r="I29" i="49"/>
  <c r="U261" i="49"/>
  <c r="U293" i="49"/>
  <c r="N274" i="49"/>
  <c r="N306" i="49"/>
  <c r="H29" i="49"/>
  <c r="H26" i="49"/>
  <c r="H234" i="49" s="1"/>
  <c r="O29" i="49"/>
  <c r="O26" i="49"/>
  <c r="O234" i="49" s="1"/>
  <c r="K136" i="49"/>
  <c r="L133" i="49"/>
  <c r="K141" i="49"/>
  <c r="K140" i="49"/>
  <c r="K149" i="49" s="1"/>
  <c r="K142" i="49"/>
  <c r="I149" i="49"/>
  <c r="Q301" i="49"/>
  <c r="Q269" i="49"/>
  <c r="Y42" i="49"/>
  <c r="Y222" i="49" s="1"/>
  <c r="Y45" i="49"/>
  <c r="K154" i="49"/>
  <c r="J162" i="49"/>
  <c r="J163" i="49"/>
  <c r="J157" i="49"/>
  <c r="J161" i="49"/>
  <c r="G85" i="49"/>
  <c r="Y301" i="49"/>
  <c r="Y269" i="49"/>
  <c r="P29" i="49"/>
  <c r="P26" i="49"/>
  <c r="P234" i="49" s="1"/>
  <c r="Q306" i="49"/>
  <c r="Q274" i="49"/>
  <c r="Y293" i="49"/>
  <c r="Y261" i="49"/>
  <c r="Q85" i="49"/>
  <c r="M26" i="49"/>
  <c r="M234" i="49" s="1"/>
  <c r="M29" i="49"/>
  <c r="H150" i="49"/>
  <c r="I144" i="49"/>
  <c r="Z293" i="49"/>
  <c r="Z261" i="49"/>
  <c r="G304" i="49"/>
  <c r="G272" i="49"/>
  <c r="R306" i="49"/>
  <c r="R274" i="49"/>
  <c r="K293" i="49"/>
  <c r="K261" i="49"/>
  <c r="Y306" i="49"/>
  <c r="Y274" i="49"/>
  <c r="O293" i="49"/>
  <c r="O261" i="49"/>
  <c r="X301" i="49"/>
  <c r="X269" i="49"/>
  <c r="Z42" i="49"/>
  <c r="Z222" i="49" s="1"/>
  <c r="Z45" i="49"/>
  <c r="K29" i="49"/>
  <c r="K26" i="49"/>
  <c r="K234" i="49" s="1"/>
  <c r="S261" i="49"/>
  <c r="S293" i="49"/>
  <c r="X293" i="49"/>
  <c r="X261" i="49"/>
  <c r="I192" i="49"/>
  <c r="I301" i="49"/>
  <c r="I269" i="49"/>
  <c r="Q26" i="49"/>
  <c r="Q234" i="49" s="1"/>
  <c r="Q29" i="49"/>
  <c r="H306" i="49"/>
  <c r="H274" i="49"/>
  <c r="O274" i="49"/>
  <c r="O306" i="49"/>
  <c r="V85" i="49"/>
  <c r="P301" i="49"/>
  <c r="P269" i="49"/>
  <c r="AA85" i="49"/>
  <c r="S29" i="49"/>
  <c r="S26" i="49"/>
  <c r="S234" i="49" s="1"/>
  <c r="S300" i="48"/>
  <c r="P268" i="48"/>
  <c r="W293" i="48"/>
  <c r="W261" i="48"/>
  <c r="H171" i="48"/>
  <c r="S293" i="48"/>
  <c r="S261" i="48"/>
  <c r="AA293" i="48"/>
  <c r="AA261" i="48"/>
  <c r="R293" i="48"/>
  <c r="R261" i="48"/>
  <c r="I171" i="48"/>
  <c r="I162" i="48"/>
  <c r="I157" i="48"/>
  <c r="J154" i="48"/>
  <c r="I161" i="48"/>
  <c r="I163" i="48"/>
  <c r="O293" i="48"/>
  <c r="O261" i="48"/>
  <c r="I136" i="48"/>
  <c r="J133" i="48"/>
  <c r="I140" i="48"/>
  <c r="I149" i="48" s="1"/>
  <c r="I141" i="48"/>
  <c r="I142" i="48"/>
  <c r="K306" i="48"/>
  <c r="K274" i="48"/>
  <c r="O300" i="48"/>
  <c r="O268" i="48"/>
  <c r="R306" i="48"/>
  <c r="R274" i="48"/>
  <c r="W274" i="48"/>
  <c r="W306" i="48"/>
  <c r="J306" i="48"/>
  <c r="J274" i="48"/>
  <c r="I306" i="48"/>
  <c r="I274" i="48"/>
  <c r="J293" i="48"/>
  <c r="J261" i="48"/>
  <c r="O274" i="48"/>
  <c r="O306" i="48"/>
  <c r="V293" i="48"/>
  <c r="V261" i="48"/>
  <c r="H149" i="48"/>
  <c r="H150" i="48"/>
  <c r="K293" i="48"/>
  <c r="K261" i="48"/>
  <c r="W300" i="48"/>
  <c r="W268" i="48"/>
  <c r="V300" i="48"/>
  <c r="V268" i="48"/>
  <c r="Z293" i="48"/>
  <c r="Z261" i="48"/>
  <c r="U293" i="48"/>
  <c r="U261" i="48"/>
  <c r="G304" i="48"/>
  <c r="G272" i="48"/>
  <c r="V274" i="48"/>
  <c r="AB274" i="48" s="1"/>
  <c r="V306" i="48"/>
  <c r="AB306" i="48" s="1"/>
  <c r="AB240" i="48"/>
  <c r="M85" i="48"/>
  <c r="S85" i="48"/>
  <c r="U85" i="48"/>
  <c r="N300" i="48"/>
  <c r="N268" i="48"/>
  <c r="M293" i="48"/>
  <c r="M261" i="48"/>
  <c r="J192" i="48"/>
  <c r="S306" i="48"/>
  <c r="S274" i="48"/>
  <c r="N293" i="48"/>
  <c r="N261" i="48"/>
  <c r="L293" i="48"/>
  <c r="L261" i="48"/>
  <c r="Z306" i="48"/>
  <c r="Z274" i="48"/>
  <c r="H306" i="48"/>
  <c r="H274" i="48"/>
  <c r="X306" i="48"/>
  <c r="X274" i="48"/>
  <c r="N274" i="48"/>
  <c r="N306" i="48"/>
  <c r="L306" i="48"/>
  <c r="L274" i="48"/>
  <c r="AA306" i="48"/>
  <c r="AA274" i="48"/>
  <c r="W85" i="48"/>
  <c r="AA85" i="48"/>
  <c r="V268" i="49" l="1"/>
  <c r="J170" i="49"/>
  <c r="I300" i="49"/>
  <c r="I268" i="49"/>
  <c r="Z288" i="49"/>
  <c r="Z256" i="49"/>
  <c r="L142" i="49"/>
  <c r="L140" i="49"/>
  <c r="L141" i="49"/>
  <c r="M133" i="49"/>
  <c r="L136" i="49"/>
  <c r="R300" i="49"/>
  <c r="R268" i="49"/>
  <c r="H268" i="49"/>
  <c r="H300" i="49"/>
  <c r="J165" i="49"/>
  <c r="I171" i="49"/>
  <c r="Q268" i="49"/>
  <c r="Q300" i="49"/>
  <c r="P268" i="49"/>
  <c r="P300" i="49"/>
  <c r="N300" i="49"/>
  <c r="N268" i="49"/>
  <c r="M300" i="49"/>
  <c r="M268" i="49"/>
  <c r="S300" i="49"/>
  <c r="S268" i="49"/>
  <c r="J192" i="49"/>
  <c r="K300" i="49"/>
  <c r="K268" i="49"/>
  <c r="J144" i="49"/>
  <c r="I150" i="49"/>
  <c r="T300" i="49"/>
  <c r="T268" i="49"/>
  <c r="X288" i="49"/>
  <c r="X256" i="49"/>
  <c r="Y288" i="49"/>
  <c r="Y256" i="49"/>
  <c r="K163" i="49"/>
  <c r="K161" i="49"/>
  <c r="K162" i="49"/>
  <c r="L154" i="49"/>
  <c r="K157" i="49"/>
  <c r="O300" i="49"/>
  <c r="O268" i="49"/>
  <c r="AA288" i="49"/>
  <c r="AA256" i="49"/>
  <c r="J157" i="48"/>
  <c r="K154" i="48"/>
  <c r="J162" i="48"/>
  <c r="J161" i="48"/>
  <c r="J163" i="48"/>
  <c r="J141" i="48"/>
  <c r="K133" i="48"/>
  <c r="J142" i="48"/>
  <c r="J136" i="48"/>
  <c r="J140" i="48"/>
  <c r="J149" i="48" s="1"/>
  <c r="I150" i="48"/>
  <c r="K192" i="48"/>
  <c r="I170" i="48"/>
  <c r="K170" i="49" l="1"/>
  <c r="K144" i="49"/>
  <c r="J150" i="49"/>
  <c r="K165" i="49"/>
  <c r="J171" i="49"/>
  <c r="M142" i="49"/>
  <c r="M140" i="49"/>
  <c r="M141" i="49"/>
  <c r="N133" i="49"/>
  <c r="M136" i="49"/>
  <c r="K192" i="49"/>
  <c r="L162" i="49"/>
  <c r="L157" i="49"/>
  <c r="L163" i="49"/>
  <c r="M154" i="49"/>
  <c r="L161" i="49"/>
  <c r="L149" i="49"/>
  <c r="L192" i="48"/>
  <c r="J170" i="48"/>
  <c r="J150" i="48"/>
  <c r="K157" i="48"/>
  <c r="L154" i="48"/>
  <c r="K163" i="48"/>
  <c r="K161" i="48"/>
  <c r="K162" i="48"/>
  <c r="K171" i="48" s="1"/>
  <c r="K141" i="48"/>
  <c r="K142" i="48"/>
  <c r="K140" i="48"/>
  <c r="L133" i="48"/>
  <c r="K150" i="48"/>
  <c r="K136" i="48"/>
  <c r="J171" i="48"/>
  <c r="M157" i="49" l="1"/>
  <c r="N154" i="49"/>
  <c r="M162" i="49"/>
  <c r="M163" i="49"/>
  <c r="M161" i="49"/>
  <c r="M149" i="49"/>
  <c r="L144" i="49"/>
  <c r="K150" i="49"/>
  <c r="L192" i="49"/>
  <c r="L165" i="49"/>
  <c r="K171" i="49"/>
  <c r="L170" i="49"/>
  <c r="N136" i="49"/>
  <c r="O133" i="49"/>
  <c r="N140" i="49"/>
  <c r="N142" i="49"/>
  <c r="N141" i="49"/>
  <c r="L171" i="48"/>
  <c r="L163" i="48"/>
  <c r="L161" i="48"/>
  <c r="L162" i="48"/>
  <c r="M154" i="48"/>
  <c r="L157" i="48"/>
  <c r="K149" i="48"/>
  <c r="M192" i="48"/>
  <c r="L141" i="48"/>
  <c r="L136" i="48"/>
  <c r="M133" i="48"/>
  <c r="L142" i="48"/>
  <c r="L140" i="48"/>
  <c r="L149" i="48" s="1"/>
  <c r="K170" i="48"/>
  <c r="N149" i="49" l="1"/>
  <c r="M170" i="49"/>
  <c r="M192" i="49"/>
  <c r="O136" i="49"/>
  <c r="P133" i="49"/>
  <c r="O140" i="49"/>
  <c r="O142" i="49"/>
  <c r="O141" i="49"/>
  <c r="M165" i="49"/>
  <c r="L171" i="49"/>
  <c r="M144" i="49"/>
  <c r="L150" i="49"/>
  <c r="N157" i="49"/>
  <c r="O154" i="49"/>
  <c r="N162" i="49"/>
  <c r="N161" i="49"/>
  <c r="N163" i="49"/>
  <c r="M163" i="48"/>
  <c r="M161" i="48"/>
  <c r="M170" i="48" s="1"/>
  <c r="N154" i="48"/>
  <c r="M162" i="48"/>
  <c r="M157" i="48"/>
  <c r="N192" i="48"/>
  <c r="L150" i="48"/>
  <c r="L170" i="48"/>
  <c r="M136" i="48"/>
  <c r="N133" i="48"/>
  <c r="M142" i="48"/>
  <c r="M141" i="48"/>
  <c r="M140" i="48"/>
  <c r="M149" i="48" s="1"/>
  <c r="N165" i="49" l="1"/>
  <c r="M171" i="49"/>
  <c r="O162" i="49"/>
  <c r="O163" i="49"/>
  <c r="O161" i="49"/>
  <c r="P154" i="49"/>
  <c r="O157" i="49"/>
  <c r="N192" i="49"/>
  <c r="P141" i="49"/>
  <c r="P142" i="49"/>
  <c r="P140" i="49"/>
  <c r="Q133" i="49"/>
  <c r="P136" i="49"/>
  <c r="N144" i="49"/>
  <c r="M150" i="49"/>
  <c r="O149" i="49"/>
  <c r="N170" i="49"/>
  <c r="M171" i="48"/>
  <c r="O192" i="48"/>
  <c r="N150" i="48"/>
  <c r="N136" i="48"/>
  <c r="O133" i="48"/>
  <c r="N142" i="48"/>
  <c r="N140" i="48"/>
  <c r="N141" i="48"/>
  <c r="M150" i="48"/>
  <c r="N157" i="48"/>
  <c r="O154" i="48"/>
  <c r="N161" i="48"/>
  <c r="N162" i="48"/>
  <c r="N171" i="48" s="1"/>
  <c r="N163" i="48"/>
  <c r="P149" i="49" l="1"/>
  <c r="Q141" i="49"/>
  <c r="Q142" i="49"/>
  <c r="Q140" i="49"/>
  <c r="Q149" i="49" s="1"/>
  <c r="R133" i="49"/>
  <c r="Q136" i="49"/>
  <c r="O165" i="49"/>
  <c r="N171" i="49"/>
  <c r="O144" i="49"/>
  <c r="N150" i="49"/>
  <c r="O192" i="49"/>
  <c r="O170" i="49"/>
  <c r="P163" i="49"/>
  <c r="P161" i="49"/>
  <c r="Q154" i="49"/>
  <c r="P157" i="49"/>
  <c r="P162" i="49"/>
  <c r="P192" i="48"/>
  <c r="N149" i="48"/>
  <c r="N170" i="48"/>
  <c r="O162" i="48"/>
  <c r="O161" i="48"/>
  <c r="O157" i="48"/>
  <c r="O163" i="48"/>
  <c r="P154" i="48"/>
  <c r="O142" i="48"/>
  <c r="O140" i="48"/>
  <c r="O141" i="48"/>
  <c r="O150" i="48"/>
  <c r="O136" i="48"/>
  <c r="P133" i="48"/>
  <c r="P144" i="49" l="1"/>
  <c r="O150" i="49"/>
  <c r="R136" i="49"/>
  <c r="S133" i="49"/>
  <c r="R140" i="49"/>
  <c r="R142" i="49"/>
  <c r="R141" i="49"/>
  <c r="Q157" i="49"/>
  <c r="R154" i="49"/>
  <c r="Q163" i="49"/>
  <c r="Q161" i="49"/>
  <c r="Q162" i="49"/>
  <c r="P170" i="49"/>
  <c r="P192" i="49"/>
  <c r="P165" i="49"/>
  <c r="O171" i="49"/>
  <c r="P162" i="48"/>
  <c r="P163" i="48"/>
  <c r="P161" i="48"/>
  <c r="P170" i="48" s="1"/>
  <c r="P171" i="48"/>
  <c r="P157" i="48"/>
  <c r="Q154" i="48"/>
  <c r="Q192" i="48"/>
  <c r="O170" i="48"/>
  <c r="O171" i="48"/>
  <c r="O149" i="48"/>
  <c r="P142" i="48"/>
  <c r="P140" i="48"/>
  <c r="P136" i="48"/>
  <c r="P141" i="48"/>
  <c r="P150" i="48" s="1"/>
  <c r="Q133" i="48"/>
  <c r="Q170" i="49" l="1"/>
  <c r="Q165" i="49"/>
  <c r="P171" i="49"/>
  <c r="Q144" i="49"/>
  <c r="P150" i="49"/>
  <c r="S154" i="49"/>
  <c r="R163" i="49"/>
  <c r="R157" i="49"/>
  <c r="R162" i="49"/>
  <c r="R161" i="49"/>
  <c r="R170" i="49" s="1"/>
  <c r="R149" i="49"/>
  <c r="Q192" i="49"/>
  <c r="S136" i="49"/>
  <c r="T133" i="49"/>
  <c r="S142" i="49"/>
  <c r="S141" i="49"/>
  <c r="S140" i="49"/>
  <c r="Q162" i="48"/>
  <c r="Q171" i="48" s="1"/>
  <c r="Q157" i="48"/>
  <c r="R154" i="48"/>
  <c r="Q163" i="48"/>
  <c r="Q161" i="48"/>
  <c r="Q136" i="48"/>
  <c r="R133" i="48"/>
  <c r="Q142" i="48"/>
  <c r="Q141" i="48"/>
  <c r="Q150" i="48" s="1"/>
  <c r="Q140" i="48"/>
  <c r="R192" i="48"/>
  <c r="P149" i="48"/>
  <c r="S149" i="49" l="1"/>
  <c r="R144" i="49"/>
  <c r="Q150" i="49"/>
  <c r="S163" i="49"/>
  <c r="S161" i="49"/>
  <c r="S162" i="49"/>
  <c r="S157" i="49"/>
  <c r="T154" i="49"/>
  <c r="R165" i="49"/>
  <c r="Q171" i="49"/>
  <c r="T142" i="49"/>
  <c r="T140" i="49"/>
  <c r="T141" i="49"/>
  <c r="T136" i="49"/>
  <c r="U133" i="49"/>
  <c r="R192" i="49"/>
  <c r="R141" i="48"/>
  <c r="R136" i="48"/>
  <c r="R140" i="48"/>
  <c r="R149" i="48" s="1"/>
  <c r="R142" i="48"/>
  <c r="S133" i="48"/>
  <c r="R157" i="48"/>
  <c r="S154" i="48"/>
  <c r="R163" i="48"/>
  <c r="R162" i="48"/>
  <c r="R161" i="48"/>
  <c r="R170" i="48" s="1"/>
  <c r="Q170" i="48"/>
  <c r="S192" i="48"/>
  <c r="Q149" i="48"/>
  <c r="S144" i="49" l="1"/>
  <c r="R150" i="49"/>
  <c r="S170" i="49"/>
  <c r="S192" i="49"/>
  <c r="S165" i="49"/>
  <c r="R171" i="49"/>
  <c r="U142" i="49"/>
  <c r="U140" i="49"/>
  <c r="U141" i="49"/>
  <c r="U136" i="49"/>
  <c r="V133" i="49"/>
  <c r="T162" i="49"/>
  <c r="T163" i="49"/>
  <c r="T161" i="49"/>
  <c r="T170" i="49" s="1"/>
  <c r="T157" i="49"/>
  <c r="U154" i="49"/>
  <c r="T149" i="49"/>
  <c r="R171" i="48"/>
  <c r="T192" i="48"/>
  <c r="S157" i="48"/>
  <c r="T154" i="48"/>
  <c r="S163" i="48"/>
  <c r="S161" i="48"/>
  <c r="S162" i="48"/>
  <c r="S141" i="48"/>
  <c r="S142" i="48"/>
  <c r="S140" i="48"/>
  <c r="S149" i="48" s="1"/>
  <c r="T133" i="48"/>
  <c r="S136" i="48"/>
  <c r="R150" i="48"/>
  <c r="T192" i="49" l="1"/>
  <c r="U149" i="49"/>
  <c r="T144" i="49"/>
  <c r="S150" i="49"/>
  <c r="U157" i="49"/>
  <c r="V154" i="49"/>
  <c r="U161" i="49"/>
  <c r="U162" i="49"/>
  <c r="U163" i="49"/>
  <c r="V136" i="49"/>
  <c r="W133" i="49"/>
  <c r="V142" i="49"/>
  <c r="V141" i="49"/>
  <c r="V140" i="49"/>
  <c r="T165" i="49"/>
  <c r="S171" i="49"/>
  <c r="S150" i="48"/>
  <c r="T141" i="48"/>
  <c r="T136" i="48"/>
  <c r="U133" i="48"/>
  <c r="T140" i="48"/>
  <c r="T149" i="48" s="1"/>
  <c r="T142" i="48"/>
  <c r="T163" i="48"/>
  <c r="T171" i="48" s="1"/>
  <c r="T161" i="48"/>
  <c r="T162" i="48"/>
  <c r="T157" i="48"/>
  <c r="U154" i="48"/>
  <c r="U192" i="48"/>
  <c r="S170" i="48"/>
  <c r="S171" i="48"/>
  <c r="V149" i="49" l="1"/>
  <c r="U170" i="49"/>
  <c r="U144" i="49"/>
  <c r="T150" i="49"/>
  <c r="V157" i="49"/>
  <c r="W154" i="49"/>
  <c r="V161" i="49"/>
  <c r="V162" i="49"/>
  <c r="V163" i="49"/>
  <c r="W136" i="49"/>
  <c r="X133" i="49"/>
  <c r="W141" i="49"/>
  <c r="W140" i="49"/>
  <c r="W142" i="49"/>
  <c r="U165" i="49"/>
  <c r="T171" i="49"/>
  <c r="U192" i="49"/>
  <c r="V192" i="48"/>
  <c r="U163" i="48"/>
  <c r="U161" i="48"/>
  <c r="U170" i="48" s="1"/>
  <c r="U157" i="48"/>
  <c r="U162" i="48"/>
  <c r="V154" i="48"/>
  <c r="U136" i="48"/>
  <c r="V133" i="48"/>
  <c r="U141" i="48"/>
  <c r="U140" i="48"/>
  <c r="U149" i="48" s="1"/>
  <c r="U142" i="48"/>
  <c r="T150" i="48"/>
  <c r="T170" i="48"/>
  <c r="V192" i="49" l="1"/>
  <c r="V170" i="49"/>
  <c r="X141" i="49"/>
  <c r="X142" i="49"/>
  <c r="X140" i="49"/>
  <c r="X149" i="49" s="1"/>
  <c r="X136" i="49"/>
  <c r="Y133" i="49"/>
  <c r="W162" i="49"/>
  <c r="W163" i="49"/>
  <c r="W161" i="49"/>
  <c r="X154" i="49"/>
  <c r="W157" i="49"/>
  <c r="V144" i="49"/>
  <c r="U150" i="49"/>
  <c r="W149" i="49"/>
  <c r="V165" i="49"/>
  <c r="U171" i="49"/>
  <c r="V150" i="48"/>
  <c r="V136" i="48"/>
  <c r="W133" i="48"/>
  <c r="V142" i="48"/>
  <c r="V140" i="48"/>
  <c r="V141" i="48"/>
  <c r="W192" i="48"/>
  <c r="U171" i="48"/>
  <c r="U150" i="48"/>
  <c r="V157" i="48"/>
  <c r="W154" i="48"/>
  <c r="V163" i="48"/>
  <c r="V162" i="48"/>
  <c r="V161" i="48"/>
  <c r="V170" i="48" s="1"/>
  <c r="W144" i="49" l="1"/>
  <c r="V150" i="49"/>
  <c r="X163" i="49"/>
  <c r="X161" i="49"/>
  <c r="Y154" i="49"/>
  <c r="X157" i="49"/>
  <c r="X162" i="49"/>
  <c r="Y141" i="49"/>
  <c r="Y142" i="49"/>
  <c r="Y140" i="49"/>
  <c r="Y136" i="49"/>
  <c r="Z133" i="49"/>
  <c r="W192" i="49"/>
  <c r="W165" i="49"/>
  <c r="V171" i="49"/>
  <c r="W170" i="49"/>
  <c r="X192" i="48"/>
  <c r="W162" i="48"/>
  <c r="W163" i="48"/>
  <c r="X154" i="48"/>
  <c r="W157" i="48"/>
  <c r="W161" i="48"/>
  <c r="W170" i="48" s="1"/>
  <c r="V149" i="48"/>
  <c r="V171" i="48"/>
  <c r="W142" i="48"/>
  <c r="W140" i="48"/>
  <c r="W149" i="48" s="1"/>
  <c r="W141" i="48"/>
  <c r="X133" i="48"/>
  <c r="W136" i="48"/>
  <c r="X144" i="49" l="1"/>
  <c r="W150" i="49"/>
  <c r="X165" i="49"/>
  <c r="W171" i="49"/>
  <c r="Z136" i="49"/>
  <c r="AA133" i="49"/>
  <c r="Z141" i="49"/>
  <c r="Z140" i="49"/>
  <c r="Z142" i="49"/>
  <c r="Y157" i="49"/>
  <c r="Z154" i="49"/>
  <c r="Y162" i="49"/>
  <c r="Y163" i="49"/>
  <c r="Y161" i="49"/>
  <c r="Y149" i="49"/>
  <c r="X170" i="49"/>
  <c r="X192" i="49"/>
  <c r="X162" i="48"/>
  <c r="X163" i="48"/>
  <c r="X161" i="48"/>
  <c r="X170" i="48" s="1"/>
  <c r="Y154" i="48"/>
  <c r="X171" i="48"/>
  <c r="X157" i="48"/>
  <c r="W171" i="48"/>
  <c r="Y192" i="48"/>
  <c r="X142" i="48"/>
  <c r="X140" i="48"/>
  <c r="Y133" i="48"/>
  <c r="X141" i="48"/>
  <c r="X136" i="48"/>
  <c r="W150" i="48"/>
  <c r="Y165" i="49" l="1"/>
  <c r="X171" i="49"/>
  <c r="AA136" i="49"/>
  <c r="AA141" i="49"/>
  <c r="AA140" i="49"/>
  <c r="AA142" i="49"/>
  <c r="Y144" i="49"/>
  <c r="X150" i="49"/>
  <c r="Z162" i="49"/>
  <c r="Z163" i="49"/>
  <c r="Z157" i="49"/>
  <c r="Z161" i="49"/>
  <c r="AA154" i="49"/>
  <c r="Y192" i="49"/>
  <c r="Z149" i="49"/>
  <c r="Y170" i="49"/>
  <c r="Y136" i="48"/>
  <c r="Z133" i="48"/>
  <c r="Y140" i="48"/>
  <c r="Y142" i="48"/>
  <c r="Y141" i="48"/>
  <c r="X149" i="48"/>
  <c r="Y162" i="48"/>
  <c r="Y157" i="48"/>
  <c r="Z154" i="48"/>
  <c r="Y161" i="48"/>
  <c r="Y170" i="48" s="1"/>
  <c r="Y163" i="48"/>
  <c r="Z192" i="48"/>
  <c r="X150" i="48"/>
  <c r="Z170" i="49" l="1"/>
  <c r="Z165" i="49"/>
  <c r="Y171" i="49"/>
  <c r="AA149" i="49"/>
  <c r="AA163" i="49"/>
  <c r="AA161" i="49"/>
  <c r="AA162" i="49"/>
  <c r="AA157" i="49"/>
  <c r="Z144" i="49"/>
  <c r="Y150" i="49"/>
  <c r="Z192" i="49"/>
  <c r="Z157" i="48"/>
  <c r="AA154" i="48"/>
  <c r="Z162" i="48"/>
  <c r="Z161" i="48"/>
  <c r="Z170" i="48" s="1"/>
  <c r="Z171" i="48"/>
  <c r="Z163" i="48"/>
  <c r="Y149" i="48"/>
  <c r="Z141" i="48"/>
  <c r="Z150" i="48" s="1"/>
  <c r="AA133" i="48"/>
  <c r="Z142" i="48"/>
  <c r="Z136" i="48"/>
  <c r="Z140" i="48"/>
  <c r="AA192" i="48"/>
  <c r="Y171" i="48"/>
  <c r="Y150" i="48"/>
  <c r="AA192" i="49" l="1"/>
  <c r="AA144" i="49"/>
  <c r="AA150" i="49" s="1"/>
  <c r="Z150" i="49"/>
  <c r="AA170" i="49"/>
  <c r="AA165" i="49"/>
  <c r="AA171" i="49" s="1"/>
  <c r="Z171" i="49"/>
  <c r="AA141" i="48"/>
  <c r="AA142" i="48"/>
  <c r="AA140" i="48"/>
  <c r="AA149" i="48" s="1"/>
  <c r="AA150" i="48"/>
  <c r="AA136" i="48"/>
  <c r="Z149" i="48"/>
  <c r="AA171" i="48"/>
  <c r="AA157" i="48"/>
  <c r="AA163" i="48"/>
  <c r="AA161" i="48"/>
  <c r="AA170" i="48" s="1"/>
  <c r="AA162" i="48"/>
  <c r="T2" i="47" l="1"/>
  <c r="U2" i="47" s="1"/>
  <c r="V2" i="47" s="1"/>
  <c r="W2" i="47" s="1"/>
  <c r="D7" i="35" l="1"/>
  <c r="E156" i="34" l="1"/>
  <c r="E157" i="34" s="1"/>
  <c r="G192" i="14"/>
  <c r="R21" i="14"/>
  <c r="S21" i="14"/>
  <c r="T21" i="14"/>
  <c r="U21" i="14"/>
  <c r="V21" i="14"/>
  <c r="E145" i="34"/>
  <c r="E141" i="34"/>
  <c r="E140" i="34"/>
  <c r="E139" i="34"/>
  <c r="E138" i="34"/>
  <c r="E134" i="34"/>
  <c r="E135" i="34" s="1"/>
  <c r="E133" i="34"/>
  <c r="E132" i="34"/>
  <c r="E131" i="34"/>
  <c r="E142" i="34" l="1"/>
  <c r="H95" i="46" l="1"/>
  <c r="H116" i="29"/>
  <c r="H95" i="29"/>
  <c r="H116" i="10"/>
  <c r="I116" i="10" s="1"/>
  <c r="J116" i="10" s="1"/>
  <c r="K116" i="10" s="1"/>
  <c r="L116" i="10" s="1"/>
  <c r="M116" i="10" s="1"/>
  <c r="N116" i="10" s="1"/>
  <c r="O116" i="10" s="1"/>
  <c r="P116" i="10" s="1"/>
  <c r="Q116" i="10" s="1"/>
  <c r="R116" i="10" s="1"/>
  <c r="S116" i="10" s="1"/>
  <c r="T116" i="10" s="1"/>
  <c r="U116" i="10" s="1"/>
  <c r="V116" i="10" s="1"/>
  <c r="W116" i="10" s="1"/>
  <c r="X116" i="10" s="1"/>
  <c r="Y116" i="10" s="1"/>
  <c r="Z116" i="10" s="1"/>
  <c r="AA116" i="10" s="1"/>
  <c r="H95" i="10"/>
  <c r="I95" i="10" s="1"/>
  <c r="J95" i="10" s="1"/>
  <c r="K95" i="10" s="1"/>
  <c r="L95" i="10" s="1"/>
  <c r="M95" i="10" s="1"/>
  <c r="N95" i="10" s="1"/>
  <c r="O95" i="10" s="1"/>
  <c r="P95" i="10" s="1"/>
  <c r="Q95" i="10" s="1"/>
  <c r="R95" i="10" s="1"/>
  <c r="S95" i="10" s="1"/>
  <c r="T95" i="10" s="1"/>
  <c r="U95" i="10" s="1"/>
  <c r="V95" i="10" s="1"/>
  <c r="W95" i="10" s="1"/>
  <c r="X95" i="10" s="1"/>
  <c r="Y95" i="10" s="1"/>
  <c r="Z95" i="10" s="1"/>
  <c r="AA95" i="10" s="1"/>
  <c r="H95" i="4"/>
  <c r="G193" i="13"/>
  <c r="I95" i="25"/>
  <c r="M116" i="25"/>
  <c r="H88" i="11"/>
  <c r="H116" i="21"/>
  <c r="H95" i="21"/>
  <c r="I95" i="21" s="1"/>
  <c r="J95" i="21" s="1"/>
  <c r="K95" i="21" s="1"/>
  <c r="L95" i="21" s="1"/>
  <c r="M95" i="21" s="1"/>
  <c r="N95" i="21" s="1"/>
  <c r="O95" i="21" s="1"/>
  <c r="P95" i="21" s="1"/>
  <c r="Q95" i="21" s="1"/>
  <c r="R95" i="21" s="1"/>
  <c r="S95" i="21" s="1"/>
  <c r="T95" i="21" s="1"/>
  <c r="U95" i="21" s="1"/>
  <c r="V95" i="21" s="1"/>
  <c r="W95" i="21" s="1"/>
  <c r="X95" i="21" s="1"/>
  <c r="Y95" i="21" s="1"/>
  <c r="Z95" i="21" s="1"/>
  <c r="AA95" i="21" s="1"/>
  <c r="I95" i="16"/>
  <c r="J95" i="16"/>
  <c r="K95" i="16"/>
  <c r="L95" i="16"/>
  <c r="M95" i="16"/>
  <c r="N95" i="16"/>
  <c r="O95" i="16"/>
  <c r="P95" i="16"/>
  <c r="Q95" i="16"/>
  <c r="R95" i="16"/>
  <c r="S95" i="16"/>
  <c r="T95" i="16"/>
  <c r="U95" i="16"/>
  <c r="V95" i="16"/>
  <c r="W95" i="16"/>
  <c r="X95" i="16"/>
  <c r="Y95" i="16"/>
  <c r="Z95" i="16"/>
  <c r="AA95" i="16"/>
  <c r="H95" i="16"/>
  <c r="I116" i="14"/>
  <c r="J116" i="14"/>
  <c r="K116" i="14"/>
  <c r="L116" i="14"/>
  <c r="M116" i="14"/>
  <c r="N116" i="14"/>
  <c r="O116" i="14"/>
  <c r="P116" i="14"/>
  <c r="Q116" i="14"/>
  <c r="R116" i="14"/>
  <c r="S116" i="14"/>
  <c r="T116" i="14"/>
  <c r="U116" i="14"/>
  <c r="V116" i="14"/>
  <c r="W116" i="14"/>
  <c r="X116" i="14"/>
  <c r="Y116" i="14"/>
  <c r="Z116" i="14"/>
  <c r="AA116" i="14"/>
  <c r="H116" i="14"/>
  <c r="M39" i="34"/>
  <c r="N39" i="34"/>
  <c r="O39" i="34"/>
  <c r="P39" i="34"/>
  <c r="Q39" i="34"/>
  <c r="R39" i="34"/>
  <c r="S39" i="34"/>
  <c r="T39" i="34"/>
  <c r="U39" i="34"/>
  <c r="V39" i="34"/>
  <c r="H116" i="49" l="1"/>
  <c r="I116" i="49" s="1"/>
  <c r="J116" i="49" s="1"/>
  <c r="K116" i="49" s="1"/>
  <c r="L116" i="49" s="1"/>
  <c r="M116" i="49" s="1"/>
  <c r="N116" i="49" s="1"/>
  <c r="O116" i="49" s="1"/>
  <c r="P116" i="49" s="1"/>
  <c r="Q116" i="49" s="1"/>
  <c r="R116" i="49" s="1"/>
  <c r="S116" i="49" s="1"/>
  <c r="T116" i="49" s="1"/>
  <c r="U116" i="49" s="1"/>
  <c r="V116" i="49" s="1"/>
  <c r="W116" i="49" s="1"/>
  <c r="X116" i="49" s="1"/>
  <c r="Y116" i="49" s="1"/>
  <c r="Z116" i="49" s="1"/>
  <c r="AA116" i="49" s="1"/>
  <c r="N95" i="25"/>
  <c r="V95" i="25"/>
  <c r="H116" i="11"/>
  <c r="T116" i="11"/>
  <c r="L116" i="11"/>
  <c r="X95" i="25"/>
  <c r="P95" i="25"/>
  <c r="H116" i="25"/>
  <c r="T116" i="25"/>
  <c r="L116" i="25"/>
  <c r="AA116" i="11"/>
  <c r="S116" i="11"/>
  <c r="K116" i="11"/>
  <c r="W95" i="25"/>
  <c r="O95" i="25"/>
  <c r="AA116" i="25"/>
  <c r="S116" i="25"/>
  <c r="K116" i="25"/>
  <c r="Z116" i="25"/>
  <c r="Y116" i="11"/>
  <c r="Q116" i="11"/>
  <c r="I116" i="11"/>
  <c r="U95" i="25"/>
  <c r="M95" i="25"/>
  <c r="Y116" i="25"/>
  <c r="Q116" i="25"/>
  <c r="I116" i="25"/>
  <c r="J116" i="11"/>
  <c r="J116" i="25"/>
  <c r="H95" i="13"/>
  <c r="I95" i="13" s="1"/>
  <c r="J95" i="13" s="1"/>
  <c r="K95" i="13" s="1"/>
  <c r="L95" i="13" s="1"/>
  <c r="M95" i="13" s="1"/>
  <c r="N95" i="13" s="1"/>
  <c r="O95" i="13" s="1"/>
  <c r="P95" i="13" s="1"/>
  <c r="Q95" i="13" s="1"/>
  <c r="R95" i="13" s="1"/>
  <c r="S95" i="13" s="1"/>
  <c r="T95" i="13" s="1"/>
  <c r="U95" i="13" s="1"/>
  <c r="V95" i="13" s="1"/>
  <c r="W95" i="13" s="1"/>
  <c r="X95" i="13" s="1"/>
  <c r="Y95" i="13" s="1"/>
  <c r="Z95" i="13" s="1"/>
  <c r="AA95" i="13" s="1"/>
  <c r="X116" i="11"/>
  <c r="P116" i="11"/>
  <c r="H95" i="25"/>
  <c r="T95" i="25"/>
  <c r="L95" i="25"/>
  <c r="X116" i="25"/>
  <c r="P116" i="25"/>
  <c r="R116" i="11"/>
  <c r="W116" i="11"/>
  <c r="O116" i="11"/>
  <c r="AA95" i="25"/>
  <c r="S95" i="25"/>
  <c r="K95" i="25"/>
  <c r="W116" i="25"/>
  <c r="O116" i="25"/>
  <c r="Z116" i="11"/>
  <c r="V116" i="11"/>
  <c r="N116" i="11"/>
  <c r="Z95" i="25"/>
  <c r="R95" i="25"/>
  <c r="J95" i="25"/>
  <c r="V116" i="25"/>
  <c r="N116" i="25"/>
  <c r="R116" i="25"/>
  <c r="H95" i="11"/>
  <c r="U116" i="11"/>
  <c r="M116" i="11"/>
  <c r="Y95" i="25"/>
  <c r="Q95" i="25"/>
  <c r="U116" i="25"/>
  <c r="I114" i="46" l="1"/>
  <c r="A320" i="46"/>
  <c r="X306" i="46"/>
  <c r="O302" i="46"/>
  <c r="G302" i="46"/>
  <c r="A283" i="46"/>
  <c r="P274" i="46"/>
  <c r="Q270" i="46"/>
  <c r="K270" i="46"/>
  <c r="G241" i="46"/>
  <c r="L240" i="46"/>
  <c r="J240" i="46"/>
  <c r="G240" i="46"/>
  <c r="G239" i="46"/>
  <c r="G237" i="46"/>
  <c r="AA236" i="46"/>
  <c r="Z236" i="46"/>
  <c r="Y236" i="46"/>
  <c r="Y302" i="46" s="1"/>
  <c r="X236" i="46"/>
  <c r="X302" i="46" s="1"/>
  <c r="W236" i="46"/>
  <c r="W270" i="46" s="1"/>
  <c r="V236" i="46"/>
  <c r="V302" i="46" s="1"/>
  <c r="U236" i="46"/>
  <c r="U270" i="46" s="1"/>
  <c r="T236" i="46"/>
  <c r="T302" i="46" s="1"/>
  <c r="S236" i="46"/>
  <c r="S302" i="46" s="1"/>
  <c r="R236" i="46"/>
  <c r="R302" i="46" s="1"/>
  <c r="Q236" i="46"/>
  <c r="Q302" i="46" s="1"/>
  <c r="P236" i="46"/>
  <c r="P302" i="46" s="1"/>
  <c r="O236" i="46"/>
  <c r="O270" i="46" s="1"/>
  <c r="N236" i="46"/>
  <c r="N302" i="46" s="1"/>
  <c r="M236" i="46"/>
  <c r="M270" i="46" s="1"/>
  <c r="L236" i="46"/>
  <c r="L302" i="46" s="1"/>
  <c r="K236" i="46"/>
  <c r="K302" i="46" s="1"/>
  <c r="J236" i="46"/>
  <c r="J302" i="46" s="1"/>
  <c r="I236" i="46"/>
  <c r="I302" i="46" s="1"/>
  <c r="H236" i="46"/>
  <c r="H302" i="46" s="1"/>
  <c r="G236" i="46"/>
  <c r="G270" i="46" s="1"/>
  <c r="N227" i="46"/>
  <c r="M227" i="46"/>
  <c r="G227" i="46"/>
  <c r="G225" i="46"/>
  <c r="G224" i="46"/>
  <c r="G223" i="46"/>
  <c r="G289" i="46" s="1"/>
  <c r="A213" i="46"/>
  <c r="A212" i="46"/>
  <c r="A211" i="46"/>
  <c r="K214" i="46"/>
  <c r="K241" i="46" s="1"/>
  <c r="J214" i="46"/>
  <c r="J241" i="46" s="1"/>
  <c r="I214" i="46"/>
  <c r="I241" i="46" s="1"/>
  <c r="H214" i="46"/>
  <c r="H241" i="46" s="1"/>
  <c r="A210" i="46"/>
  <c r="AA207" i="46"/>
  <c r="AA240" i="46" s="1"/>
  <c r="Z207" i="46"/>
  <c r="Z227" i="46" s="1"/>
  <c r="Y207" i="46"/>
  <c r="Y240" i="46" s="1"/>
  <c r="X207" i="46"/>
  <c r="X240" i="46" s="1"/>
  <c r="X274" i="46" s="1"/>
  <c r="W207" i="46"/>
  <c r="W240" i="46" s="1"/>
  <c r="V207" i="46"/>
  <c r="V240" i="46" s="1"/>
  <c r="U207" i="46"/>
  <c r="U240" i="46" s="1"/>
  <c r="T207" i="46"/>
  <c r="T227" i="46" s="1"/>
  <c r="S207" i="46"/>
  <c r="S240" i="46" s="1"/>
  <c r="R207" i="46"/>
  <c r="R227" i="46" s="1"/>
  <c r="Q207" i="46"/>
  <c r="Q240" i="46" s="1"/>
  <c r="P207" i="46"/>
  <c r="P240" i="46" s="1"/>
  <c r="P306" i="46" s="1"/>
  <c r="O207" i="46"/>
  <c r="O240" i="46" s="1"/>
  <c r="N207" i="46"/>
  <c r="N240" i="46" s="1"/>
  <c r="M207" i="46"/>
  <c r="M240" i="46" s="1"/>
  <c r="L207" i="46"/>
  <c r="L227" i="46" s="1"/>
  <c r="K207" i="46"/>
  <c r="K240" i="46" s="1"/>
  <c r="J207" i="46"/>
  <c r="J227" i="46" s="1"/>
  <c r="I207" i="46"/>
  <c r="I240" i="46" s="1"/>
  <c r="H207" i="46"/>
  <c r="H240" i="46" s="1"/>
  <c r="A206" i="46"/>
  <c r="A205" i="46"/>
  <c r="A204" i="46"/>
  <c r="A203" i="46"/>
  <c r="A198" i="46"/>
  <c r="A197" i="46"/>
  <c r="A194" i="46"/>
  <c r="G193" i="46"/>
  <c r="A193" i="46"/>
  <c r="A192" i="46"/>
  <c r="A191" i="46"/>
  <c r="A186" i="46"/>
  <c r="A185" i="46"/>
  <c r="A184" i="46"/>
  <c r="C183" i="46"/>
  <c r="A165" i="46"/>
  <c r="A164" i="46"/>
  <c r="I163" i="46"/>
  <c r="A160" i="46"/>
  <c r="A158" i="46"/>
  <c r="H157" i="46"/>
  <c r="AA156" i="46"/>
  <c r="Z156" i="46"/>
  <c r="Y156" i="46"/>
  <c r="X156" i="46"/>
  <c r="W156" i="46"/>
  <c r="V156" i="46"/>
  <c r="T156" i="46"/>
  <c r="S156" i="46"/>
  <c r="Q156" i="46"/>
  <c r="P156" i="46"/>
  <c r="O156" i="46"/>
  <c r="N156" i="46"/>
  <c r="M156" i="46"/>
  <c r="L156" i="46"/>
  <c r="K156" i="46"/>
  <c r="J156" i="46"/>
  <c r="I156" i="46"/>
  <c r="H156" i="46"/>
  <c r="A155" i="46"/>
  <c r="I154" i="46"/>
  <c r="I161" i="46" s="1"/>
  <c r="H154" i="46"/>
  <c r="V153" i="46"/>
  <c r="U153" i="46"/>
  <c r="U156" i="46" s="1"/>
  <c r="T153" i="46"/>
  <c r="S153" i="46"/>
  <c r="R153" i="46"/>
  <c r="R156" i="46" s="1"/>
  <c r="A153" i="46"/>
  <c r="A144" i="46"/>
  <c r="A143" i="46"/>
  <c r="H141" i="46"/>
  <c r="A139" i="46"/>
  <c r="A137" i="46"/>
  <c r="AA135" i="46"/>
  <c r="Z135" i="46"/>
  <c r="Y135" i="46"/>
  <c r="X135" i="46"/>
  <c r="W135" i="46"/>
  <c r="V135" i="46"/>
  <c r="Q135" i="46"/>
  <c r="P135" i="46"/>
  <c r="O135" i="46"/>
  <c r="N135" i="46"/>
  <c r="M135" i="46"/>
  <c r="L135" i="46"/>
  <c r="K135" i="46"/>
  <c r="J135" i="46"/>
  <c r="I135" i="46"/>
  <c r="H135" i="46"/>
  <c r="A134" i="46"/>
  <c r="H133" i="46"/>
  <c r="V132" i="46"/>
  <c r="U132" i="46"/>
  <c r="U135" i="46" s="1"/>
  <c r="T132" i="46"/>
  <c r="T135" i="46" s="1"/>
  <c r="S132" i="46"/>
  <c r="S135" i="46" s="1"/>
  <c r="R132" i="46"/>
  <c r="R135" i="46" s="1"/>
  <c r="A132" i="46"/>
  <c r="A123" i="46"/>
  <c r="A122" i="46"/>
  <c r="J116" i="46"/>
  <c r="K116" i="46" s="1"/>
  <c r="L116" i="46" s="1"/>
  <c r="M116" i="46" s="1"/>
  <c r="N116" i="46" s="1"/>
  <c r="O116" i="46" s="1"/>
  <c r="P116" i="46" s="1"/>
  <c r="Q116" i="46" s="1"/>
  <c r="R116" i="46" s="1"/>
  <c r="S116" i="46" s="1"/>
  <c r="T116" i="46" s="1"/>
  <c r="U116" i="46" s="1"/>
  <c r="V116" i="46" s="1"/>
  <c r="W116" i="46" s="1"/>
  <c r="X116" i="46" s="1"/>
  <c r="Y116" i="46" s="1"/>
  <c r="Z116" i="46" s="1"/>
  <c r="AA116" i="46" s="1"/>
  <c r="I116" i="46"/>
  <c r="A116" i="46"/>
  <c r="AA114" i="46"/>
  <c r="Z114" i="46"/>
  <c r="Y114" i="46"/>
  <c r="X114" i="46"/>
  <c r="W114" i="46"/>
  <c r="H114" i="46"/>
  <c r="A113" i="46"/>
  <c r="H112" i="46"/>
  <c r="A111" i="46"/>
  <c r="A102" i="46"/>
  <c r="A101" i="46"/>
  <c r="I95" i="46"/>
  <c r="J95" i="46" s="1"/>
  <c r="K95" i="46" s="1"/>
  <c r="L95" i="46" s="1"/>
  <c r="M95" i="46" s="1"/>
  <c r="N95" i="46" s="1"/>
  <c r="O95" i="46" s="1"/>
  <c r="P95" i="46" s="1"/>
  <c r="Q95" i="46" s="1"/>
  <c r="R95" i="46" s="1"/>
  <c r="S95" i="46" s="1"/>
  <c r="T95" i="46" s="1"/>
  <c r="U95" i="46" s="1"/>
  <c r="V95" i="46" s="1"/>
  <c r="W95" i="46" s="1"/>
  <c r="X95" i="46" s="1"/>
  <c r="Y95" i="46" s="1"/>
  <c r="Z95" i="46" s="1"/>
  <c r="AA95" i="46" s="1"/>
  <c r="A95" i="46"/>
  <c r="AA93" i="46"/>
  <c r="AA174" i="46" s="1"/>
  <c r="AA217" i="46" s="1"/>
  <c r="Z93" i="46"/>
  <c r="Z174" i="46" s="1"/>
  <c r="Z217" i="46" s="1"/>
  <c r="Y93" i="46"/>
  <c r="Y174" i="46" s="1"/>
  <c r="Y217" i="46" s="1"/>
  <c r="X93" i="46"/>
  <c r="X174" i="46" s="1"/>
  <c r="X217" i="46" s="1"/>
  <c r="W93" i="46"/>
  <c r="W174" i="46" s="1"/>
  <c r="W217" i="46" s="1"/>
  <c r="A92" i="46"/>
  <c r="A90" i="46"/>
  <c r="C87" i="46"/>
  <c r="Y84" i="46"/>
  <c r="Y235" i="46" s="1"/>
  <c r="W84" i="46"/>
  <c r="W235" i="46" s="1"/>
  <c r="U84" i="46"/>
  <c r="U235" i="46" s="1"/>
  <c r="N84" i="46"/>
  <c r="N235" i="46" s="1"/>
  <c r="M84" i="46"/>
  <c r="M235" i="46" s="1"/>
  <c r="I84" i="46"/>
  <c r="I235" i="46" s="1"/>
  <c r="L82" i="46"/>
  <c r="AA80" i="46"/>
  <c r="Z80" i="46"/>
  <c r="Y80" i="46"/>
  <c r="X80" i="46"/>
  <c r="W80" i="46"/>
  <c r="V80" i="46"/>
  <c r="U80" i="46"/>
  <c r="T80" i="46"/>
  <c r="S80" i="46"/>
  <c r="R80" i="46"/>
  <c r="Q80" i="46"/>
  <c r="P80" i="46"/>
  <c r="O80" i="46"/>
  <c r="N80" i="46"/>
  <c r="M80" i="46"/>
  <c r="L80" i="46"/>
  <c r="K80" i="46"/>
  <c r="J80" i="46"/>
  <c r="I80" i="46"/>
  <c r="H80" i="46"/>
  <c r="G80" i="46"/>
  <c r="E80" i="46"/>
  <c r="AA79" i="46"/>
  <c r="Z79" i="46"/>
  <c r="Y79" i="46"/>
  <c r="X79" i="46"/>
  <c r="W79" i="46"/>
  <c r="V79" i="46"/>
  <c r="U79" i="46"/>
  <c r="T79" i="46"/>
  <c r="S79" i="46"/>
  <c r="R79" i="46"/>
  <c r="Q79" i="46"/>
  <c r="P79" i="46"/>
  <c r="O79" i="46"/>
  <c r="N79" i="46"/>
  <c r="M79" i="46"/>
  <c r="L79" i="46"/>
  <c r="K79" i="46"/>
  <c r="J79" i="46"/>
  <c r="I79" i="46"/>
  <c r="H79" i="46"/>
  <c r="G79" i="46"/>
  <c r="E79" i="46"/>
  <c r="AA78" i="46"/>
  <c r="Z78" i="46"/>
  <c r="Y78" i="46"/>
  <c r="X78" i="46"/>
  <c r="W78" i="46"/>
  <c r="V78" i="46"/>
  <c r="U78" i="46"/>
  <c r="T78" i="46"/>
  <c r="S78" i="46"/>
  <c r="R78" i="46"/>
  <c r="Q78" i="46"/>
  <c r="P78" i="46"/>
  <c r="O78" i="46"/>
  <c r="N78" i="46"/>
  <c r="M78" i="46"/>
  <c r="L78" i="46"/>
  <c r="V82" i="46" s="1"/>
  <c r="K78" i="46"/>
  <c r="J78" i="46"/>
  <c r="I78" i="46"/>
  <c r="H78" i="46"/>
  <c r="G78" i="46"/>
  <c r="AA75" i="46"/>
  <c r="Z75" i="46"/>
  <c r="Y75" i="46"/>
  <c r="X75" i="46"/>
  <c r="W75" i="46"/>
  <c r="V75" i="46"/>
  <c r="U75" i="46"/>
  <c r="T75" i="46"/>
  <c r="S75" i="46"/>
  <c r="R75" i="46"/>
  <c r="Q75" i="46"/>
  <c r="P75" i="46"/>
  <c r="O75" i="46"/>
  <c r="N75" i="46"/>
  <c r="M75" i="46"/>
  <c r="L75" i="46"/>
  <c r="K75" i="46"/>
  <c r="J75" i="46"/>
  <c r="I75" i="46"/>
  <c r="H75" i="46"/>
  <c r="G75" i="46"/>
  <c r="E73" i="46"/>
  <c r="E72" i="46"/>
  <c r="E71" i="46"/>
  <c r="E78" i="46" s="1"/>
  <c r="A70" i="46"/>
  <c r="K68" i="46"/>
  <c r="AA66" i="46"/>
  <c r="Z66" i="46"/>
  <c r="Y66" i="46"/>
  <c r="X66" i="46"/>
  <c r="W66" i="46"/>
  <c r="V66" i="46"/>
  <c r="U66" i="46"/>
  <c r="T66" i="46"/>
  <c r="S66" i="46"/>
  <c r="R66" i="46"/>
  <c r="Q66" i="46"/>
  <c r="P66" i="46"/>
  <c r="O66" i="46"/>
  <c r="N66" i="46"/>
  <c r="M66" i="46"/>
  <c r="L66" i="46"/>
  <c r="K66" i="46"/>
  <c r="J66" i="46"/>
  <c r="I66" i="46"/>
  <c r="H66" i="46"/>
  <c r="I68" i="46" s="1"/>
  <c r="G66" i="46"/>
  <c r="E66" i="46"/>
  <c r="AA65" i="46"/>
  <c r="Z65" i="46"/>
  <c r="Y65" i="46"/>
  <c r="X65" i="46"/>
  <c r="W65" i="46"/>
  <c r="V65" i="46"/>
  <c r="U65" i="46"/>
  <c r="T65" i="46"/>
  <c r="S65" i="46"/>
  <c r="R65" i="46"/>
  <c r="Q65" i="46"/>
  <c r="P65" i="46"/>
  <c r="O65" i="46"/>
  <c r="N65" i="46"/>
  <c r="M65" i="46"/>
  <c r="L65" i="46"/>
  <c r="K65" i="46"/>
  <c r="J65" i="46"/>
  <c r="I65" i="46"/>
  <c r="H65" i="46"/>
  <c r="G65" i="46"/>
  <c r="E65" i="46"/>
  <c r="AA64" i="46"/>
  <c r="Z64" i="46"/>
  <c r="Y64" i="46"/>
  <c r="X64" i="46"/>
  <c r="W64" i="46"/>
  <c r="V64" i="46"/>
  <c r="U64" i="46"/>
  <c r="T64" i="46"/>
  <c r="S64" i="46"/>
  <c r="R64" i="46"/>
  <c r="Q64" i="46"/>
  <c r="P64" i="46"/>
  <c r="O64" i="46"/>
  <c r="N64" i="46"/>
  <c r="M64" i="46"/>
  <c r="L64" i="46"/>
  <c r="AA68" i="46" s="1"/>
  <c r="K64" i="46"/>
  <c r="J64" i="46"/>
  <c r="I64" i="46"/>
  <c r="H64" i="46"/>
  <c r="G64" i="46"/>
  <c r="AA61" i="46"/>
  <c r="AA84" i="46" s="1"/>
  <c r="AA235" i="46" s="1"/>
  <c r="Z61" i="46"/>
  <c r="Z84" i="46" s="1"/>
  <c r="Z235" i="46" s="1"/>
  <c r="Y61" i="46"/>
  <c r="X61" i="46"/>
  <c r="X84" i="46" s="1"/>
  <c r="X235" i="46" s="1"/>
  <c r="W61" i="46"/>
  <c r="V61" i="46"/>
  <c r="V84" i="46" s="1"/>
  <c r="V235" i="46" s="1"/>
  <c r="U61" i="46"/>
  <c r="T61" i="46"/>
  <c r="T84" i="46" s="1"/>
  <c r="T235" i="46" s="1"/>
  <c r="S61" i="46"/>
  <c r="S84" i="46" s="1"/>
  <c r="S235" i="46" s="1"/>
  <c r="R61" i="46"/>
  <c r="R84" i="46" s="1"/>
  <c r="R235" i="46" s="1"/>
  <c r="Q61" i="46"/>
  <c r="Q84" i="46" s="1"/>
  <c r="Q235" i="46" s="1"/>
  <c r="P61" i="46"/>
  <c r="P84" i="46" s="1"/>
  <c r="P235" i="46" s="1"/>
  <c r="O61" i="46"/>
  <c r="O84" i="46" s="1"/>
  <c r="O235" i="46" s="1"/>
  <c r="N61" i="46"/>
  <c r="M61" i="46"/>
  <c r="L61" i="46"/>
  <c r="L84" i="46" s="1"/>
  <c r="L235" i="46" s="1"/>
  <c r="K61" i="46"/>
  <c r="K84" i="46" s="1"/>
  <c r="K235" i="46" s="1"/>
  <c r="J61" i="46"/>
  <c r="J84" i="46" s="1"/>
  <c r="J235" i="46" s="1"/>
  <c r="I61" i="46"/>
  <c r="H61" i="46"/>
  <c r="H84" i="46" s="1"/>
  <c r="H235" i="46" s="1"/>
  <c r="G61" i="46"/>
  <c r="G84" i="46" s="1"/>
  <c r="G235" i="46" s="1"/>
  <c r="E59" i="46"/>
  <c r="E58" i="46"/>
  <c r="E57" i="46"/>
  <c r="E64" i="46" s="1"/>
  <c r="A56" i="46"/>
  <c r="A52" i="46"/>
  <c r="AA48" i="46"/>
  <c r="Z48" i="46"/>
  <c r="Y48" i="46"/>
  <c r="X48" i="46"/>
  <c r="W48" i="46"/>
  <c r="V48" i="46"/>
  <c r="U48" i="46"/>
  <c r="T48" i="46"/>
  <c r="S48" i="46"/>
  <c r="R48" i="46"/>
  <c r="Q48" i="46"/>
  <c r="P48" i="46"/>
  <c r="O48" i="46"/>
  <c r="N48" i="46"/>
  <c r="M48" i="46"/>
  <c r="L48" i="46"/>
  <c r="K48" i="46"/>
  <c r="J48" i="46"/>
  <c r="I48" i="46"/>
  <c r="H48" i="46"/>
  <c r="G48" i="46"/>
  <c r="AA47" i="46"/>
  <c r="Z47" i="46"/>
  <c r="Y47" i="46"/>
  <c r="X47" i="46"/>
  <c r="W47" i="46"/>
  <c r="V47" i="46"/>
  <c r="U47" i="46"/>
  <c r="T47" i="46"/>
  <c r="S47" i="46"/>
  <c r="R47" i="46"/>
  <c r="Q47" i="46"/>
  <c r="P47" i="46"/>
  <c r="O47" i="46"/>
  <c r="N47" i="46"/>
  <c r="M47" i="46"/>
  <c r="L47" i="46"/>
  <c r="K47" i="46"/>
  <c r="J47" i="46"/>
  <c r="I47" i="46"/>
  <c r="H47" i="46"/>
  <c r="G47" i="46"/>
  <c r="AA46" i="46"/>
  <c r="Z46" i="46"/>
  <c r="Y46" i="46"/>
  <c r="X46" i="46"/>
  <c r="W46" i="46"/>
  <c r="V46" i="46"/>
  <c r="U46" i="46"/>
  <c r="T46" i="46"/>
  <c r="S46" i="46"/>
  <c r="R46" i="46"/>
  <c r="Q46" i="46"/>
  <c r="P46" i="46"/>
  <c r="O46" i="46"/>
  <c r="N46" i="46"/>
  <c r="M46" i="46"/>
  <c r="L46" i="46"/>
  <c r="K46" i="46"/>
  <c r="J46" i="46"/>
  <c r="I46" i="46"/>
  <c r="H46" i="46"/>
  <c r="G46" i="46"/>
  <c r="E46" i="46"/>
  <c r="G45" i="46"/>
  <c r="G42" i="46"/>
  <c r="G222" i="46" s="1"/>
  <c r="E40" i="46"/>
  <c r="E48" i="46" s="1"/>
  <c r="E39" i="46"/>
  <c r="E47" i="46" s="1"/>
  <c r="E38" i="46"/>
  <c r="E37" i="46"/>
  <c r="E45" i="46" s="1"/>
  <c r="A36" i="46"/>
  <c r="AA32" i="46"/>
  <c r="Z32" i="46"/>
  <c r="Y32" i="46"/>
  <c r="X32" i="46"/>
  <c r="W32" i="46"/>
  <c r="V32" i="46"/>
  <c r="U32" i="46"/>
  <c r="T32" i="46"/>
  <c r="S32" i="46"/>
  <c r="R32" i="46"/>
  <c r="Q32" i="46"/>
  <c r="P32" i="46"/>
  <c r="O32" i="46"/>
  <c r="N32" i="46"/>
  <c r="M32" i="46"/>
  <c r="L32" i="46"/>
  <c r="K32" i="46"/>
  <c r="J32" i="46"/>
  <c r="I32" i="46"/>
  <c r="H32" i="46"/>
  <c r="G32" i="46"/>
  <c r="E32" i="46"/>
  <c r="AA31" i="46"/>
  <c r="Z31" i="46"/>
  <c r="Y31" i="46"/>
  <c r="X31" i="46"/>
  <c r="W31" i="46"/>
  <c r="V31" i="46"/>
  <c r="U31" i="46"/>
  <c r="T31" i="46"/>
  <c r="S31" i="46"/>
  <c r="R31" i="46"/>
  <c r="Q31" i="46"/>
  <c r="P31" i="46"/>
  <c r="O31" i="46"/>
  <c r="N31" i="46"/>
  <c r="M31" i="46"/>
  <c r="L31" i="46"/>
  <c r="K31" i="46"/>
  <c r="J31" i="46"/>
  <c r="I31" i="46"/>
  <c r="H31" i="46"/>
  <c r="G31" i="46"/>
  <c r="AA30" i="46"/>
  <c r="Z30" i="46"/>
  <c r="Y30" i="46"/>
  <c r="X30" i="46"/>
  <c r="W30" i="46"/>
  <c r="V30" i="46"/>
  <c r="U30" i="46"/>
  <c r="T30" i="46"/>
  <c r="S30" i="46"/>
  <c r="R30" i="46"/>
  <c r="Q30" i="46"/>
  <c r="P30" i="46"/>
  <c r="O30" i="46"/>
  <c r="N30" i="46"/>
  <c r="M30" i="46"/>
  <c r="L30" i="46"/>
  <c r="K30" i="46"/>
  <c r="J30" i="46"/>
  <c r="I30" i="46"/>
  <c r="H30" i="46"/>
  <c r="G30" i="46"/>
  <c r="E30" i="46"/>
  <c r="AA29" i="46"/>
  <c r="Z29" i="46"/>
  <c r="Y29" i="46"/>
  <c r="X29" i="46"/>
  <c r="W29" i="46"/>
  <c r="AA26" i="46"/>
  <c r="AA234" i="46" s="1"/>
  <c r="Z26" i="46"/>
  <c r="Z234" i="46" s="1"/>
  <c r="Y26" i="46"/>
  <c r="Y234" i="46" s="1"/>
  <c r="X26" i="46"/>
  <c r="X234" i="46" s="1"/>
  <c r="W26" i="46"/>
  <c r="W234" i="46" s="1"/>
  <c r="E23" i="46"/>
  <c r="E31" i="46" s="1"/>
  <c r="E22" i="46"/>
  <c r="E21" i="46"/>
  <c r="E29" i="46" s="1"/>
  <c r="A20" i="46"/>
  <c r="A18" i="46"/>
  <c r="G15" i="46"/>
  <c r="A15" i="46"/>
  <c r="G14" i="46"/>
  <c r="X37" i="46" s="1"/>
  <c r="A14" i="46"/>
  <c r="A10" i="46"/>
  <c r="A9" i="46"/>
  <c r="A8" i="46"/>
  <c r="A7" i="46"/>
  <c r="A4" i="46"/>
  <c r="D35" i="35"/>
  <c r="G192" i="4"/>
  <c r="G193" i="25"/>
  <c r="G193" i="11"/>
  <c r="L29" i="46" l="1"/>
  <c r="W37" i="46"/>
  <c r="W45" i="46" s="1"/>
  <c r="Y37" i="46"/>
  <c r="Y45" i="46" s="1"/>
  <c r="Z37" i="46"/>
  <c r="Z42" i="46" s="1"/>
  <c r="Z222" i="46" s="1"/>
  <c r="Z256" i="46" s="1"/>
  <c r="O26" i="46"/>
  <c r="O234" i="46" s="1"/>
  <c r="O300" i="46" s="1"/>
  <c r="V26" i="46"/>
  <c r="V234" i="46" s="1"/>
  <c r="V268" i="46" s="1"/>
  <c r="N26" i="46"/>
  <c r="N234" i="46" s="1"/>
  <c r="N300" i="46" s="1"/>
  <c r="H120" i="46"/>
  <c r="Z300" i="46"/>
  <c r="Z268" i="46"/>
  <c r="Q301" i="46"/>
  <c r="Q269" i="46"/>
  <c r="I85" i="46"/>
  <c r="Z82" i="46"/>
  <c r="I170" i="46"/>
  <c r="J269" i="46"/>
  <c r="J301" i="46"/>
  <c r="R301" i="46"/>
  <c r="R269" i="46"/>
  <c r="Z301" i="46"/>
  <c r="Z269" i="46"/>
  <c r="X45" i="46"/>
  <c r="X42" i="46"/>
  <c r="X222" i="46" s="1"/>
  <c r="L269" i="46"/>
  <c r="L301" i="46"/>
  <c r="T301" i="46"/>
  <c r="T269" i="46"/>
  <c r="X68" i="46"/>
  <c r="X85" i="46" s="1"/>
  <c r="Y82" i="46"/>
  <c r="M301" i="46"/>
  <c r="M269" i="46"/>
  <c r="N293" i="46"/>
  <c r="N261" i="46"/>
  <c r="V301" i="46"/>
  <c r="V269" i="46"/>
  <c r="S68" i="46"/>
  <c r="G301" i="46"/>
  <c r="G269" i="46"/>
  <c r="O301" i="46"/>
  <c r="O269" i="46"/>
  <c r="L68" i="46"/>
  <c r="L85" i="46" s="1"/>
  <c r="G288" i="46"/>
  <c r="G256" i="46"/>
  <c r="H301" i="46"/>
  <c r="H269" i="46"/>
  <c r="P301" i="46"/>
  <c r="P269" i="46"/>
  <c r="W301" i="46"/>
  <c r="W269" i="46"/>
  <c r="X301" i="46"/>
  <c r="X269" i="46"/>
  <c r="Q68" i="46"/>
  <c r="Q85" i="46" s="1"/>
  <c r="Y68" i="46"/>
  <c r="J82" i="46"/>
  <c r="T82" i="46"/>
  <c r="I301" i="46"/>
  <c r="I269" i="46"/>
  <c r="U301" i="46"/>
  <c r="U269" i="46"/>
  <c r="AA300" i="46"/>
  <c r="AA268" i="46"/>
  <c r="J68" i="46"/>
  <c r="J85" i="46" s="1"/>
  <c r="R68" i="46"/>
  <c r="R85" i="46" s="1"/>
  <c r="Z68" i="46"/>
  <c r="Z85" i="46" s="1"/>
  <c r="K82" i="46"/>
  <c r="K85" i="46" s="1"/>
  <c r="U82" i="46"/>
  <c r="M261" i="46"/>
  <c r="M293" i="46"/>
  <c r="AA301" i="46"/>
  <c r="AA269" i="46"/>
  <c r="T68" i="46"/>
  <c r="T85" i="46" s="1"/>
  <c r="M82" i="46"/>
  <c r="J293" i="46"/>
  <c r="J261" i="46"/>
  <c r="R293" i="46"/>
  <c r="R261" i="46"/>
  <c r="Z293" i="46"/>
  <c r="Z261" i="46"/>
  <c r="H185" i="46"/>
  <c r="H147" i="46"/>
  <c r="I147" i="46" s="1"/>
  <c r="J147" i="46" s="1"/>
  <c r="K147" i="46" s="1"/>
  <c r="L147" i="46" s="1"/>
  <c r="M147" i="46" s="1"/>
  <c r="N147" i="46" s="1"/>
  <c r="O147" i="46" s="1"/>
  <c r="P147" i="46" s="1"/>
  <c r="Q147" i="46" s="1"/>
  <c r="R147" i="46" s="1"/>
  <c r="S147" i="46" s="1"/>
  <c r="T147" i="46" s="1"/>
  <c r="U147" i="46" s="1"/>
  <c r="V147" i="46" s="1"/>
  <c r="W147" i="46" s="1"/>
  <c r="X147" i="46" s="1"/>
  <c r="Y147" i="46" s="1"/>
  <c r="Z147" i="46" s="1"/>
  <c r="AA147" i="46" s="1"/>
  <c r="H145" i="46"/>
  <c r="I145" i="46" s="1"/>
  <c r="J145" i="46" s="1"/>
  <c r="K145" i="46" s="1"/>
  <c r="L145" i="46" s="1"/>
  <c r="M145" i="46" s="1"/>
  <c r="N145" i="46" s="1"/>
  <c r="O145" i="46" s="1"/>
  <c r="P145" i="46" s="1"/>
  <c r="Q145" i="46" s="1"/>
  <c r="R145" i="46" s="1"/>
  <c r="S145" i="46" s="1"/>
  <c r="T145" i="46" s="1"/>
  <c r="U145" i="46" s="1"/>
  <c r="V145" i="46" s="1"/>
  <c r="W145" i="46" s="1"/>
  <c r="X145" i="46" s="1"/>
  <c r="Y145" i="46" s="1"/>
  <c r="Z145" i="46" s="1"/>
  <c r="AA145" i="46" s="1"/>
  <c r="H167" i="46"/>
  <c r="I167" i="46" s="1"/>
  <c r="J167" i="46" s="1"/>
  <c r="K167" i="46" s="1"/>
  <c r="L167" i="46" s="1"/>
  <c r="M167" i="46" s="1"/>
  <c r="N167" i="46" s="1"/>
  <c r="O167" i="46" s="1"/>
  <c r="P167" i="46" s="1"/>
  <c r="Q167" i="46" s="1"/>
  <c r="R167" i="46" s="1"/>
  <c r="S167" i="46" s="1"/>
  <c r="T167" i="46" s="1"/>
  <c r="U167" i="46" s="1"/>
  <c r="V167" i="46" s="1"/>
  <c r="W167" i="46" s="1"/>
  <c r="X167" i="46" s="1"/>
  <c r="Y167" i="46" s="1"/>
  <c r="Z167" i="46" s="1"/>
  <c r="AA167" i="46" s="1"/>
  <c r="H165" i="46"/>
  <c r="I165" i="46" s="1"/>
  <c r="J165" i="46" s="1"/>
  <c r="K165" i="46" s="1"/>
  <c r="L165" i="46" s="1"/>
  <c r="M165" i="46" s="1"/>
  <c r="N165" i="46" s="1"/>
  <c r="O165" i="46" s="1"/>
  <c r="P165" i="46" s="1"/>
  <c r="Q165" i="46" s="1"/>
  <c r="R165" i="46" s="1"/>
  <c r="S165" i="46" s="1"/>
  <c r="T165" i="46" s="1"/>
  <c r="U165" i="46" s="1"/>
  <c r="V165" i="46" s="1"/>
  <c r="W165" i="46" s="1"/>
  <c r="X165" i="46" s="1"/>
  <c r="Y165" i="46" s="1"/>
  <c r="Z165" i="46" s="1"/>
  <c r="AA165" i="46" s="1"/>
  <c r="H146" i="46"/>
  <c r="I146" i="46" s="1"/>
  <c r="J146" i="46" s="1"/>
  <c r="K146" i="46" s="1"/>
  <c r="L146" i="46" s="1"/>
  <c r="M146" i="46" s="1"/>
  <c r="N146" i="46" s="1"/>
  <c r="O146" i="46" s="1"/>
  <c r="P146" i="46" s="1"/>
  <c r="Q146" i="46" s="1"/>
  <c r="R146" i="46" s="1"/>
  <c r="S146" i="46" s="1"/>
  <c r="T146" i="46" s="1"/>
  <c r="U146" i="46" s="1"/>
  <c r="V146" i="46" s="1"/>
  <c r="W146" i="46" s="1"/>
  <c r="X146" i="46" s="1"/>
  <c r="Y146" i="46" s="1"/>
  <c r="Z146" i="46" s="1"/>
  <c r="AA146" i="46" s="1"/>
  <c r="H144" i="46"/>
  <c r="I144" i="46" s="1"/>
  <c r="J144" i="46" s="1"/>
  <c r="K144" i="46" s="1"/>
  <c r="L144" i="46" s="1"/>
  <c r="M144" i="46" s="1"/>
  <c r="N144" i="46" s="1"/>
  <c r="O144" i="46" s="1"/>
  <c r="P144" i="46" s="1"/>
  <c r="Q144" i="46" s="1"/>
  <c r="R144" i="46" s="1"/>
  <c r="S144" i="46" s="1"/>
  <c r="T144" i="46" s="1"/>
  <c r="U144" i="46" s="1"/>
  <c r="V144" i="46" s="1"/>
  <c r="W144" i="46" s="1"/>
  <c r="X144" i="46" s="1"/>
  <c r="Y144" i="46" s="1"/>
  <c r="Z144" i="46" s="1"/>
  <c r="AA144" i="46" s="1"/>
  <c r="H168" i="46"/>
  <c r="I168" i="46" s="1"/>
  <c r="J168" i="46" s="1"/>
  <c r="K168" i="46" s="1"/>
  <c r="L168" i="46" s="1"/>
  <c r="M168" i="46" s="1"/>
  <c r="N168" i="46" s="1"/>
  <c r="O168" i="46" s="1"/>
  <c r="P168" i="46" s="1"/>
  <c r="Q168" i="46" s="1"/>
  <c r="R168" i="46" s="1"/>
  <c r="S168" i="46" s="1"/>
  <c r="T168" i="46" s="1"/>
  <c r="U168" i="46" s="1"/>
  <c r="V168" i="46" s="1"/>
  <c r="W168" i="46" s="1"/>
  <c r="X168" i="46" s="1"/>
  <c r="Y168" i="46" s="1"/>
  <c r="Z168" i="46" s="1"/>
  <c r="AA168" i="46" s="1"/>
  <c r="H166" i="46"/>
  <c r="I166" i="46" s="1"/>
  <c r="J166" i="46" s="1"/>
  <c r="K166" i="46" s="1"/>
  <c r="L166" i="46" s="1"/>
  <c r="M166" i="46" s="1"/>
  <c r="N166" i="46" s="1"/>
  <c r="O166" i="46" s="1"/>
  <c r="P166" i="46" s="1"/>
  <c r="Q166" i="46" s="1"/>
  <c r="R166" i="46" s="1"/>
  <c r="S166" i="46" s="1"/>
  <c r="T166" i="46" s="1"/>
  <c r="U166" i="46" s="1"/>
  <c r="V166" i="46" s="1"/>
  <c r="W166" i="46" s="1"/>
  <c r="X166" i="46" s="1"/>
  <c r="Y166" i="46" s="1"/>
  <c r="Z166" i="46" s="1"/>
  <c r="AA166" i="46" s="1"/>
  <c r="H125" i="46"/>
  <c r="I125" i="46" s="1"/>
  <c r="J125" i="46" s="1"/>
  <c r="K125" i="46" s="1"/>
  <c r="L125" i="46" s="1"/>
  <c r="M125" i="46" s="1"/>
  <c r="N125" i="46" s="1"/>
  <c r="O125" i="46" s="1"/>
  <c r="P125" i="46" s="1"/>
  <c r="Q125" i="46" s="1"/>
  <c r="R125" i="46" s="1"/>
  <c r="S125" i="46" s="1"/>
  <c r="T125" i="46" s="1"/>
  <c r="U125" i="46" s="1"/>
  <c r="V125" i="46" s="1"/>
  <c r="W125" i="46" s="1"/>
  <c r="X125" i="46" s="1"/>
  <c r="Y125" i="46" s="1"/>
  <c r="Z125" i="46" s="1"/>
  <c r="AA125" i="46" s="1"/>
  <c r="H104" i="46"/>
  <c r="I104" i="46" s="1"/>
  <c r="J104" i="46" s="1"/>
  <c r="K104" i="46" s="1"/>
  <c r="L104" i="46" s="1"/>
  <c r="M104" i="46" s="1"/>
  <c r="N104" i="46" s="1"/>
  <c r="O104" i="46" s="1"/>
  <c r="P104" i="46" s="1"/>
  <c r="Q104" i="46" s="1"/>
  <c r="R104" i="46" s="1"/>
  <c r="S104" i="46" s="1"/>
  <c r="T104" i="46" s="1"/>
  <c r="U104" i="46" s="1"/>
  <c r="V104" i="46" s="1"/>
  <c r="W104" i="46" s="1"/>
  <c r="X104" i="46" s="1"/>
  <c r="Y104" i="46" s="1"/>
  <c r="Z104" i="46" s="1"/>
  <c r="AA104" i="46" s="1"/>
  <c r="H123" i="46"/>
  <c r="I123" i="46" s="1"/>
  <c r="J123" i="46" s="1"/>
  <c r="K123" i="46" s="1"/>
  <c r="L123" i="46" s="1"/>
  <c r="M123" i="46" s="1"/>
  <c r="N123" i="46" s="1"/>
  <c r="O123" i="46" s="1"/>
  <c r="P123" i="46" s="1"/>
  <c r="Q123" i="46" s="1"/>
  <c r="R123" i="46" s="1"/>
  <c r="S123" i="46" s="1"/>
  <c r="T123" i="46" s="1"/>
  <c r="U123" i="46" s="1"/>
  <c r="V123" i="46" s="1"/>
  <c r="W123" i="46" s="1"/>
  <c r="X123" i="46" s="1"/>
  <c r="Y123" i="46" s="1"/>
  <c r="Z123" i="46" s="1"/>
  <c r="AA123" i="46" s="1"/>
  <c r="H102" i="46"/>
  <c r="I102" i="46" s="1"/>
  <c r="J102" i="46" s="1"/>
  <c r="K102" i="46" s="1"/>
  <c r="L102" i="46" s="1"/>
  <c r="M102" i="46" s="1"/>
  <c r="N102" i="46" s="1"/>
  <c r="O102" i="46" s="1"/>
  <c r="P102" i="46" s="1"/>
  <c r="Q102" i="46" s="1"/>
  <c r="R102" i="46" s="1"/>
  <c r="S102" i="46" s="1"/>
  <c r="T102" i="46" s="1"/>
  <c r="U102" i="46" s="1"/>
  <c r="V102" i="46" s="1"/>
  <c r="W102" i="46" s="1"/>
  <c r="X102" i="46" s="1"/>
  <c r="Y102" i="46" s="1"/>
  <c r="Z102" i="46" s="1"/>
  <c r="AA102" i="46" s="1"/>
  <c r="H126" i="46"/>
  <c r="I126" i="46" s="1"/>
  <c r="J126" i="46" s="1"/>
  <c r="K126" i="46" s="1"/>
  <c r="L126" i="46" s="1"/>
  <c r="M126" i="46" s="1"/>
  <c r="N126" i="46" s="1"/>
  <c r="O126" i="46" s="1"/>
  <c r="P126" i="46" s="1"/>
  <c r="Q126" i="46" s="1"/>
  <c r="R126" i="46" s="1"/>
  <c r="S126" i="46" s="1"/>
  <c r="T126" i="46" s="1"/>
  <c r="U126" i="46" s="1"/>
  <c r="V126" i="46" s="1"/>
  <c r="W126" i="46" s="1"/>
  <c r="X126" i="46" s="1"/>
  <c r="Y126" i="46" s="1"/>
  <c r="Z126" i="46" s="1"/>
  <c r="AA126" i="46" s="1"/>
  <c r="AA37" i="46"/>
  <c r="M68" i="46"/>
  <c r="M85" i="46" s="1"/>
  <c r="U68" i="46"/>
  <c r="U85" i="46" s="1"/>
  <c r="N82" i="46"/>
  <c r="K301" i="46"/>
  <c r="K269" i="46"/>
  <c r="Y301" i="46"/>
  <c r="Y269" i="46"/>
  <c r="W268" i="46"/>
  <c r="W300" i="46"/>
  <c r="G50" i="46"/>
  <c r="N68" i="46"/>
  <c r="N85" i="46" s="1"/>
  <c r="V68" i="46"/>
  <c r="V85" i="46" s="1"/>
  <c r="X82" i="46"/>
  <c r="P82" i="46"/>
  <c r="H82" i="46"/>
  <c r="W82" i="46"/>
  <c r="O82" i="46"/>
  <c r="Q82" i="46"/>
  <c r="AA82" i="46"/>
  <c r="AA85" i="46" s="1"/>
  <c r="H105" i="46"/>
  <c r="I105" i="46" s="1"/>
  <c r="J105" i="46" s="1"/>
  <c r="K105" i="46" s="1"/>
  <c r="L105" i="46" s="1"/>
  <c r="M105" i="46" s="1"/>
  <c r="N105" i="46" s="1"/>
  <c r="O105" i="46" s="1"/>
  <c r="P105" i="46" s="1"/>
  <c r="Q105" i="46" s="1"/>
  <c r="R105" i="46" s="1"/>
  <c r="S105" i="46" s="1"/>
  <c r="T105" i="46" s="1"/>
  <c r="U105" i="46" s="1"/>
  <c r="V105" i="46" s="1"/>
  <c r="W105" i="46" s="1"/>
  <c r="X105" i="46" s="1"/>
  <c r="Y105" i="46" s="1"/>
  <c r="Z105" i="46" s="1"/>
  <c r="AA105" i="46" s="1"/>
  <c r="S301" i="46"/>
  <c r="S269" i="46"/>
  <c r="X300" i="46"/>
  <c r="X268" i="46"/>
  <c r="G68" i="46"/>
  <c r="O68" i="46"/>
  <c r="O85" i="46" s="1"/>
  <c r="W68" i="46"/>
  <c r="W85" i="46" s="1"/>
  <c r="G82" i="46"/>
  <c r="R82" i="46"/>
  <c r="N301" i="46"/>
  <c r="N269" i="46"/>
  <c r="G16" i="46"/>
  <c r="Y268" i="46"/>
  <c r="Y300" i="46"/>
  <c r="H68" i="46"/>
  <c r="H85" i="46" s="1"/>
  <c r="P68" i="46"/>
  <c r="P85" i="46" s="1"/>
  <c r="I82" i="46"/>
  <c r="S82" i="46"/>
  <c r="I275" i="46"/>
  <c r="I307" i="46"/>
  <c r="I112" i="46"/>
  <c r="H115" i="46"/>
  <c r="H119" i="46"/>
  <c r="H121" i="46"/>
  <c r="H163" i="46"/>
  <c r="H161" i="46"/>
  <c r="H162" i="46"/>
  <c r="I162" i="46"/>
  <c r="I157" i="46"/>
  <c r="J154" i="46"/>
  <c r="L293" i="46"/>
  <c r="L261" i="46"/>
  <c r="T293" i="46"/>
  <c r="T261" i="46"/>
  <c r="U227" i="46"/>
  <c r="M306" i="46"/>
  <c r="M274" i="46"/>
  <c r="U306" i="46"/>
  <c r="U274" i="46"/>
  <c r="H275" i="46"/>
  <c r="H307" i="46"/>
  <c r="J307" i="46"/>
  <c r="J275" i="46"/>
  <c r="G291" i="46"/>
  <c r="G259" i="46"/>
  <c r="V227" i="46"/>
  <c r="J306" i="46"/>
  <c r="J274" i="46"/>
  <c r="H140" i="46"/>
  <c r="H149" i="46" s="1"/>
  <c r="H142" i="46"/>
  <c r="N274" i="46"/>
  <c r="N306" i="46"/>
  <c r="V274" i="46"/>
  <c r="AB274" i="46" s="1"/>
  <c r="V306" i="46"/>
  <c r="AB306" i="46" s="1"/>
  <c r="AB240" i="46"/>
  <c r="L306" i="46"/>
  <c r="L274" i="46"/>
  <c r="I133" i="46"/>
  <c r="H136" i="46"/>
  <c r="H192" i="46"/>
  <c r="H193" i="46"/>
  <c r="I193" i="46" s="1"/>
  <c r="J193" i="46" s="1"/>
  <c r="K193" i="46" s="1"/>
  <c r="L193" i="46" s="1"/>
  <c r="M193" i="46" s="1"/>
  <c r="N193" i="46" s="1"/>
  <c r="O193" i="46" s="1"/>
  <c r="P193" i="46" s="1"/>
  <c r="Q193" i="46" s="1"/>
  <c r="R193" i="46" s="1"/>
  <c r="S193" i="46" s="1"/>
  <c r="T193" i="46" s="1"/>
  <c r="U193" i="46" s="1"/>
  <c r="V193" i="46" s="1"/>
  <c r="W193" i="46" s="1"/>
  <c r="X193" i="46" s="1"/>
  <c r="Y193" i="46" s="1"/>
  <c r="Z193" i="46" s="1"/>
  <c r="AA193" i="46" s="1"/>
  <c r="O274" i="46"/>
  <c r="O306" i="46"/>
  <c r="W274" i="46"/>
  <c r="W306" i="46"/>
  <c r="K307" i="46"/>
  <c r="K275" i="46"/>
  <c r="G293" i="46"/>
  <c r="G261" i="46"/>
  <c r="O227" i="46"/>
  <c r="W227" i="46"/>
  <c r="R240" i="46"/>
  <c r="S270" i="46"/>
  <c r="H306" i="46"/>
  <c r="H274" i="46"/>
  <c r="G290" i="46"/>
  <c r="G258" i="46"/>
  <c r="G238" i="46"/>
  <c r="H227" i="46"/>
  <c r="P227" i="46"/>
  <c r="X227" i="46"/>
  <c r="T240" i="46"/>
  <c r="Y270" i="46"/>
  <c r="I306" i="46"/>
  <c r="I274" i="46"/>
  <c r="Q306" i="46"/>
  <c r="Q274" i="46"/>
  <c r="Y306" i="46"/>
  <c r="Y274" i="46"/>
  <c r="I227" i="46"/>
  <c r="Q227" i="46"/>
  <c r="Y227" i="46"/>
  <c r="AA302" i="46"/>
  <c r="AA270" i="46"/>
  <c r="Z240" i="46"/>
  <c r="K306" i="46"/>
  <c r="K274" i="46"/>
  <c r="S306" i="46"/>
  <c r="S274" i="46"/>
  <c r="AA306" i="46"/>
  <c r="AA274" i="46"/>
  <c r="K227" i="46"/>
  <c r="S227" i="46"/>
  <c r="AA227" i="46"/>
  <c r="G257" i="46"/>
  <c r="I270" i="46"/>
  <c r="Z302" i="46"/>
  <c r="Z270" i="46"/>
  <c r="J270" i="46"/>
  <c r="R270" i="46"/>
  <c r="M302" i="46"/>
  <c r="G303" i="46"/>
  <c r="G271" i="46"/>
  <c r="G307" i="46"/>
  <c r="G275" i="46"/>
  <c r="L270" i="46"/>
  <c r="T270" i="46"/>
  <c r="U302" i="46"/>
  <c r="W302" i="46"/>
  <c r="G274" i="46"/>
  <c r="G306" i="46"/>
  <c r="N270" i="46"/>
  <c r="V270" i="46"/>
  <c r="G305" i="46"/>
  <c r="G273" i="46"/>
  <c r="H270" i="46"/>
  <c r="P270" i="46"/>
  <c r="X270" i="46"/>
  <c r="H128" i="46" l="1"/>
  <c r="V300" i="46"/>
  <c r="Z45" i="46"/>
  <c r="N29" i="46"/>
  <c r="N268" i="46"/>
  <c r="Z288" i="46"/>
  <c r="H171" i="46"/>
  <c r="W42" i="46"/>
  <c r="W222" i="46" s="1"/>
  <c r="O29" i="46"/>
  <c r="L26" i="46"/>
  <c r="L234" i="46" s="1"/>
  <c r="L268" i="46" s="1"/>
  <c r="O268" i="46"/>
  <c r="V29" i="46"/>
  <c r="Y42" i="46"/>
  <c r="Y222" i="46" s="1"/>
  <c r="Y256" i="46" s="1"/>
  <c r="T26" i="46"/>
  <c r="T234" i="46" s="1"/>
  <c r="T29" i="46"/>
  <c r="J114" i="46"/>
  <c r="Z306" i="46"/>
  <c r="Z274" i="46"/>
  <c r="H293" i="46"/>
  <c r="H261" i="46"/>
  <c r="G304" i="46"/>
  <c r="G272" i="46"/>
  <c r="V293" i="46"/>
  <c r="V261" i="46"/>
  <c r="I185" i="46"/>
  <c r="M26" i="46"/>
  <c r="M234" i="46" s="1"/>
  <c r="M29" i="46"/>
  <c r="S293" i="46"/>
  <c r="S261" i="46"/>
  <c r="W293" i="46"/>
  <c r="W261" i="46"/>
  <c r="U293" i="46"/>
  <c r="U261" i="46"/>
  <c r="P26" i="46"/>
  <c r="P234" i="46" s="1"/>
  <c r="P29" i="46"/>
  <c r="K293" i="46"/>
  <c r="K261" i="46"/>
  <c r="O293" i="46"/>
  <c r="O261" i="46"/>
  <c r="H170" i="46"/>
  <c r="Q26" i="46"/>
  <c r="Q234" i="46" s="1"/>
  <c r="Q29" i="46"/>
  <c r="G85" i="46"/>
  <c r="I26" i="46"/>
  <c r="I234" i="46" s="1"/>
  <c r="I29" i="46"/>
  <c r="S85" i="46"/>
  <c r="W288" i="46"/>
  <c r="W256" i="46"/>
  <c r="P293" i="46"/>
  <c r="P261" i="46"/>
  <c r="K29" i="46"/>
  <c r="K26" i="46"/>
  <c r="K234" i="46" s="1"/>
  <c r="H26" i="46"/>
  <c r="H234" i="46" s="1"/>
  <c r="H29" i="46"/>
  <c r="Y293" i="46"/>
  <c r="Y261" i="46"/>
  <c r="I192" i="46"/>
  <c r="J162" i="46"/>
  <c r="J157" i="46"/>
  <c r="K154" i="46"/>
  <c r="J161" i="46"/>
  <c r="J171" i="46" s="1"/>
  <c r="J163" i="46"/>
  <c r="R29" i="46"/>
  <c r="R26" i="46"/>
  <c r="R234" i="46" s="1"/>
  <c r="Q293" i="46"/>
  <c r="Q261" i="46"/>
  <c r="H150" i="46"/>
  <c r="J29" i="46"/>
  <c r="J26" i="46"/>
  <c r="J234" i="46" s="1"/>
  <c r="S29" i="46"/>
  <c r="S26" i="46"/>
  <c r="S234" i="46" s="1"/>
  <c r="I293" i="46"/>
  <c r="I261" i="46"/>
  <c r="T306" i="46"/>
  <c r="T274" i="46"/>
  <c r="I150" i="46"/>
  <c r="I136" i="46"/>
  <c r="J133" i="46"/>
  <c r="I142" i="46"/>
  <c r="I140" i="46"/>
  <c r="I149" i="46" s="1"/>
  <c r="I141" i="46"/>
  <c r="I171" i="46"/>
  <c r="AA42" i="46"/>
  <c r="AA222" i="46" s="1"/>
  <c r="AA45" i="46"/>
  <c r="X288" i="46"/>
  <c r="X256" i="46"/>
  <c r="AA293" i="46"/>
  <c r="AA261" i="46"/>
  <c r="R306" i="46"/>
  <c r="R274" i="46"/>
  <c r="X293" i="46"/>
  <c r="X261" i="46"/>
  <c r="I121" i="46"/>
  <c r="I119" i="46"/>
  <c r="I115" i="46"/>
  <c r="J112" i="46"/>
  <c r="I120" i="46"/>
  <c r="U26" i="46"/>
  <c r="U234" i="46" s="1"/>
  <c r="U29" i="46"/>
  <c r="Y85" i="46"/>
  <c r="Y288" i="46" l="1"/>
  <c r="L300" i="46"/>
  <c r="T268" i="46"/>
  <c r="T300" i="46"/>
  <c r="K114" i="46"/>
  <c r="S300" i="46"/>
  <c r="S268" i="46"/>
  <c r="J300" i="46"/>
  <c r="J268" i="46"/>
  <c r="R300" i="46"/>
  <c r="R268" i="46"/>
  <c r="H300" i="46"/>
  <c r="H268" i="46"/>
  <c r="Q268" i="46"/>
  <c r="Q300" i="46"/>
  <c r="P300" i="46"/>
  <c r="P268" i="46"/>
  <c r="J170" i="46"/>
  <c r="K162" i="46"/>
  <c r="K171" i="46" s="1"/>
  <c r="K157" i="46"/>
  <c r="L154" i="46"/>
  <c r="K163" i="46"/>
  <c r="K161" i="46"/>
  <c r="J120" i="46"/>
  <c r="J121" i="46"/>
  <c r="J115" i="46"/>
  <c r="K112" i="46"/>
  <c r="J119" i="46"/>
  <c r="U300" i="46"/>
  <c r="U268" i="46"/>
  <c r="AA288" i="46"/>
  <c r="AA256" i="46"/>
  <c r="J142" i="46"/>
  <c r="J140" i="46"/>
  <c r="J141" i="46"/>
  <c r="K133" i="46"/>
  <c r="J150" i="46"/>
  <c r="J136" i="46"/>
  <c r="I300" i="46"/>
  <c r="I268" i="46"/>
  <c r="M300" i="46"/>
  <c r="M268" i="46"/>
  <c r="I128" i="46"/>
  <c r="J192" i="46"/>
  <c r="K300" i="46"/>
  <c r="K268" i="46"/>
  <c r="J185" i="46"/>
  <c r="M111" i="46" l="1"/>
  <c r="L114" i="46"/>
  <c r="J128" i="46"/>
  <c r="K120" i="46"/>
  <c r="K121" i="46"/>
  <c r="K115" i="46"/>
  <c r="K119" i="46"/>
  <c r="L112" i="46"/>
  <c r="K192" i="46"/>
  <c r="K142" i="46"/>
  <c r="K140" i="46"/>
  <c r="K141" i="46"/>
  <c r="L133" i="46"/>
  <c r="K136" i="46"/>
  <c r="L162" i="46"/>
  <c r="L157" i="46"/>
  <c r="M154" i="46"/>
  <c r="L163" i="46"/>
  <c r="L161" i="46"/>
  <c r="L170" i="46" s="1"/>
  <c r="K185" i="46"/>
  <c r="J149" i="46"/>
  <c r="K170" i="46"/>
  <c r="M114" i="46" l="1"/>
  <c r="N111" i="46"/>
  <c r="K128" i="46"/>
  <c r="K149" i="46"/>
  <c r="M157" i="46"/>
  <c r="N154" i="46"/>
  <c r="M163" i="46"/>
  <c r="M161" i="46"/>
  <c r="M170" i="46" s="1"/>
  <c r="M162" i="46"/>
  <c r="L192" i="46"/>
  <c r="L185" i="46"/>
  <c r="L171" i="46"/>
  <c r="L141" i="46"/>
  <c r="L150" i="46" s="1"/>
  <c r="L136" i="46"/>
  <c r="M133" i="46"/>
  <c r="L142" i="46"/>
  <c r="L140" i="46"/>
  <c r="K150" i="46"/>
  <c r="L120" i="46"/>
  <c r="L121" i="46"/>
  <c r="L119" i="46"/>
  <c r="L115" i="46"/>
  <c r="M112" i="46"/>
  <c r="G193" i="29"/>
  <c r="G193" i="10"/>
  <c r="G193" i="4"/>
  <c r="I95" i="14"/>
  <c r="J95" i="14"/>
  <c r="K95" i="14"/>
  <c r="L95" i="14"/>
  <c r="M95" i="14"/>
  <c r="N95" i="14"/>
  <c r="O95" i="14"/>
  <c r="P95" i="14"/>
  <c r="Q95" i="14"/>
  <c r="R95" i="14"/>
  <c r="S95" i="14"/>
  <c r="T95" i="14"/>
  <c r="U95" i="14"/>
  <c r="V95" i="14"/>
  <c r="W95" i="14"/>
  <c r="X95" i="14"/>
  <c r="Y95" i="14"/>
  <c r="Z95" i="14"/>
  <c r="AA95" i="14"/>
  <c r="H95" i="14"/>
  <c r="O111" i="46" l="1"/>
  <c r="N114" i="46"/>
  <c r="L128" i="46"/>
  <c r="M141" i="46"/>
  <c r="M150" i="46" s="1"/>
  <c r="M136" i="46"/>
  <c r="N133" i="46"/>
  <c r="M142" i="46"/>
  <c r="M140" i="46"/>
  <c r="M185" i="46"/>
  <c r="M120" i="46"/>
  <c r="M121" i="46"/>
  <c r="M119" i="46"/>
  <c r="M115" i="46"/>
  <c r="N112" i="46"/>
  <c r="M192" i="46"/>
  <c r="N157" i="46"/>
  <c r="O154" i="46"/>
  <c r="N163" i="46"/>
  <c r="N161" i="46"/>
  <c r="N170" i="46" s="1"/>
  <c r="N162" i="46"/>
  <c r="M171" i="46"/>
  <c r="L149" i="46"/>
  <c r="P111" i="46" l="1"/>
  <c r="O114" i="46"/>
  <c r="M128" i="46"/>
  <c r="N171" i="46"/>
  <c r="N192" i="46"/>
  <c r="O163" i="46"/>
  <c r="O161" i="46"/>
  <c r="O162" i="46"/>
  <c r="P154" i="46"/>
  <c r="O157" i="46"/>
  <c r="N185" i="46"/>
  <c r="M149" i="46"/>
  <c r="N121" i="46"/>
  <c r="N119" i="46"/>
  <c r="N115" i="46"/>
  <c r="O112" i="46"/>
  <c r="N120" i="46"/>
  <c r="N141" i="46"/>
  <c r="N136" i="46"/>
  <c r="O133" i="46"/>
  <c r="N142" i="46"/>
  <c r="N150" i="46" s="1"/>
  <c r="N140" i="46"/>
  <c r="N128" i="46" l="1"/>
  <c r="P114" i="46"/>
  <c r="Q111" i="46"/>
  <c r="O170" i="46"/>
  <c r="O171" i="46"/>
  <c r="O185" i="46"/>
  <c r="O192" i="46"/>
  <c r="O141" i="46"/>
  <c r="O136" i="46"/>
  <c r="P133" i="46"/>
  <c r="O142" i="46"/>
  <c r="O140" i="46"/>
  <c r="O121" i="46"/>
  <c r="O119" i="46"/>
  <c r="O115" i="46"/>
  <c r="P112" i="46"/>
  <c r="O120" i="46"/>
  <c r="N149" i="46"/>
  <c r="P163" i="46"/>
  <c r="P161" i="46"/>
  <c r="P171" i="46"/>
  <c r="P162" i="46"/>
  <c r="Q154" i="46"/>
  <c r="P157" i="46"/>
  <c r="Q114" i="46" l="1"/>
  <c r="R111" i="46"/>
  <c r="Q162" i="46"/>
  <c r="Q157" i="46"/>
  <c r="R154" i="46"/>
  <c r="Q163" i="46"/>
  <c r="Q161" i="46"/>
  <c r="Q170" i="46" s="1"/>
  <c r="P192" i="46"/>
  <c r="O149" i="46"/>
  <c r="P170" i="46"/>
  <c r="P121" i="46"/>
  <c r="P119" i="46"/>
  <c r="P115" i="46"/>
  <c r="Q112" i="46"/>
  <c r="P120" i="46"/>
  <c r="P136" i="46"/>
  <c r="Q133" i="46"/>
  <c r="P142" i="46"/>
  <c r="P140" i="46"/>
  <c r="P149" i="46" s="1"/>
  <c r="P141" i="46"/>
  <c r="P185" i="46"/>
  <c r="O128" i="46"/>
  <c r="O150" i="46"/>
  <c r="S111" i="46" l="1"/>
  <c r="R114" i="46"/>
  <c r="P128" i="46"/>
  <c r="Q150" i="46"/>
  <c r="Q136" i="46"/>
  <c r="R133" i="46"/>
  <c r="Q142" i="46"/>
  <c r="Q140" i="46"/>
  <c r="Q141" i="46"/>
  <c r="R162" i="46"/>
  <c r="R171" i="46" s="1"/>
  <c r="R157" i="46"/>
  <c r="S154" i="46"/>
  <c r="R163" i="46"/>
  <c r="R161" i="46"/>
  <c r="Q192" i="46"/>
  <c r="P150" i="46"/>
  <c r="Q185" i="46"/>
  <c r="Q171" i="46"/>
  <c r="Q121" i="46"/>
  <c r="Q119" i="46"/>
  <c r="Q115" i="46"/>
  <c r="R112" i="46"/>
  <c r="Q120" i="46"/>
  <c r="S114" i="46" l="1"/>
  <c r="T111" i="46"/>
  <c r="S171" i="46"/>
  <c r="S162" i="46"/>
  <c r="S157" i="46"/>
  <c r="T154" i="46"/>
  <c r="S163" i="46"/>
  <c r="S161" i="46"/>
  <c r="S170" i="46" s="1"/>
  <c r="R142" i="46"/>
  <c r="R140" i="46"/>
  <c r="R149" i="46" s="1"/>
  <c r="R141" i="46"/>
  <c r="S133" i="46"/>
  <c r="R136" i="46"/>
  <c r="R120" i="46"/>
  <c r="R121" i="46"/>
  <c r="R115" i="46"/>
  <c r="S112" i="46"/>
  <c r="R119" i="46"/>
  <c r="R192" i="46"/>
  <c r="Q128" i="46"/>
  <c r="R185" i="46"/>
  <c r="R170" i="46"/>
  <c r="Q149" i="46"/>
  <c r="T114" i="46" l="1"/>
  <c r="U111" i="46"/>
  <c r="S192" i="46"/>
  <c r="R150" i="46"/>
  <c r="T162" i="46"/>
  <c r="T157" i="46"/>
  <c r="U154" i="46"/>
  <c r="T163" i="46"/>
  <c r="T161" i="46"/>
  <c r="T170" i="46" s="1"/>
  <c r="R128" i="46"/>
  <c r="S142" i="46"/>
  <c r="S140" i="46"/>
  <c r="S141" i="46"/>
  <c r="S150" i="46" s="1"/>
  <c r="T133" i="46"/>
  <c r="S136" i="46"/>
  <c r="S185" i="46"/>
  <c r="S120" i="46"/>
  <c r="S121" i="46"/>
  <c r="S115" i="46"/>
  <c r="S119" i="46"/>
  <c r="T112" i="46"/>
  <c r="V111" i="46" l="1"/>
  <c r="U114" i="46"/>
  <c r="T192" i="46"/>
  <c r="T141" i="46"/>
  <c r="T136" i="46"/>
  <c r="U133" i="46"/>
  <c r="T142" i="46"/>
  <c r="T150" i="46" s="1"/>
  <c r="T140" i="46"/>
  <c r="T120" i="46"/>
  <c r="T121" i="46"/>
  <c r="T119" i="46"/>
  <c r="T115" i="46"/>
  <c r="U112" i="46"/>
  <c r="S149" i="46"/>
  <c r="S128" i="46"/>
  <c r="U171" i="46"/>
  <c r="U157" i="46"/>
  <c r="V154" i="46"/>
  <c r="U163" i="46"/>
  <c r="U161" i="46"/>
  <c r="U162" i="46"/>
  <c r="T185" i="46"/>
  <c r="T171" i="46"/>
  <c r="V114" i="46" l="1"/>
  <c r="T128" i="46"/>
  <c r="U185" i="46"/>
  <c r="U141" i="46"/>
  <c r="U150" i="46" s="1"/>
  <c r="U136" i="46"/>
  <c r="V133" i="46"/>
  <c r="U142" i="46"/>
  <c r="U140" i="46"/>
  <c r="U120" i="46"/>
  <c r="U121" i="46"/>
  <c r="U119" i="46"/>
  <c r="U115" i="46"/>
  <c r="V112" i="46"/>
  <c r="U170" i="46"/>
  <c r="V157" i="46"/>
  <c r="W154" i="46"/>
  <c r="V163" i="46"/>
  <c r="V161" i="46"/>
  <c r="V170" i="46" s="1"/>
  <c r="V162" i="46"/>
  <c r="T149" i="46"/>
  <c r="U192" i="46"/>
  <c r="W163" i="46" l="1"/>
  <c r="W161" i="46"/>
  <c r="W162" i="46"/>
  <c r="W157" i="46"/>
  <c r="X154" i="46"/>
  <c r="V192" i="46"/>
  <c r="V171" i="46"/>
  <c r="V121" i="46"/>
  <c r="V119" i="46"/>
  <c r="V115" i="46"/>
  <c r="W112" i="46"/>
  <c r="V120" i="46"/>
  <c r="V185" i="46"/>
  <c r="U149" i="46"/>
  <c r="U128" i="46"/>
  <c r="V141" i="46"/>
  <c r="V136" i="46"/>
  <c r="W133" i="46"/>
  <c r="V142" i="46"/>
  <c r="V140" i="46"/>
  <c r="V149" i="46" s="1"/>
  <c r="W121" i="46" l="1"/>
  <c r="W119" i="46"/>
  <c r="W115" i="46"/>
  <c r="X112" i="46"/>
  <c r="W120" i="46"/>
  <c r="X163" i="46"/>
  <c r="X161" i="46"/>
  <c r="X170" i="46" s="1"/>
  <c r="X162" i="46"/>
  <c r="X157" i="46"/>
  <c r="Y154" i="46"/>
  <c r="W141" i="46"/>
  <c r="W150" i="46"/>
  <c r="W136" i="46"/>
  <c r="X133" i="46"/>
  <c r="W142" i="46"/>
  <c r="W140" i="46"/>
  <c r="V128" i="46"/>
  <c r="V150" i="46"/>
  <c r="W170" i="46"/>
  <c r="W185" i="46"/>
  <c r="W192" i="46"/>
  <c r="W171" i="46"/>
  <c r="W128" i="46" l="1"/>
  <c r="X192" i="46"/>
  <c r="X185" i="46"/>
  <c r="X171" i="46"/>
  <c r="W149" i="46"/>
  <c r="Y162" i="46"/>
  <c r="Y171" i="46" s="1"/>
  <c r="Y157" i="46"/>
  <c r="Z154" i="46"/>
  <c r="Y163" i="46"/>
  <c r="Y161" i="46"/>
  <c r="X150" i="46"/>
  <c r="X136" i="46"/>
  <c r="Y133" i="46"/>
  <c r="X142" i="46"/>
  <c r="X140" i="46"/>
  <c r="X141" i="46"/>
  <c r="X121" i="46"/>
  <c r="X119" i="46"/>
  <c r="X115" i="46"/>
  <c r="Y112" i="46"/>
  <c r="X120" i="46"/>
  <c r="X128" i="46" l="1"/>
  <c r="Y192" i="46"/>
  <c r="Y136" i="46"/>
  <c r="Z133" i="46"/>
  <c r="Y142" i="46"/>
  <c r="Y140" i="46"/>
  <c r="Y149" i="46" s="1"/>
  <c r="Y141" i="46"/>
  <c r="Y170" i="46"/>
  <c r="Y185" i="46"/>
  <c r="X149" i="46"/>
  <c r="Y121" i="46"/>
  <c r="Y119" i="46"/>
  <c r="Y115" i="46"/>
  <c r="Z112" i="46"/>
  <c r="Y120" i="46"/>
  <c r="Z162" i="46"/>
  <c r="Z157" i="46"/>
  <c r="AA154" i="46"/>
  <c r="Z163" i="46"/>
  <c r="Z161" i="46"/>
  <c r="Z170" i="46" s="1"/>
  <c r="Y128" i="46" l="1"/>
  <c r="Z171" i="46"/>
  <c r="Z142" i="46"/>
  <c r="Z140" i="46"/>
  <c r="Z141" i="46"/>
  <c r="Z150" i="46"/>
  <c r="Z136" i="46"/>
  <c r="AA133" i="46"/>
  <c r="AA162" i="46"/>
  <c r="AA157" i="46"/>
  <c r="AA163" i="46"/>
  <c r="AA161" i="46"/>
  <c r="AA170" i="46" s="1"/>
  <c r="Z185" i="46"/>
  <c r="Y150" i="46"/>
  <c r="Z192" i="46"/>
  <c r="Z120" i="46"/>
  <c r="Z121" i="46"/>
  <c r="Z115" i="46"/>
  <c r="AA112" i="46"/>
  <c r="Z119" i="46"/>
  <c r="Z128" i="46" l="1"/>
  <c r="AA142" i="46"/>
  <c r="AA140" i="46"/>
  <c r="AA150" i="46" s="1"/>
  <c r="AA141" i="46"/>
  <c r="AA136" i="46"/>
  <c r="AA120" i="46"/>
  <c r="AA119" i="46"/>
  <c r="AA121" i="46"/>
  <c r="AA115" i="46"/>
  <c r="AA171" i="46"/>
  <c r="Z149" i="46"/>
  <c r="AA192" i="46"/>
  <c r="AA185" i="46"/>
  <c r="AA149" i="46" l="1"/>
  <c r="AA128" i="46"/>
  <c r="G192" i="25" l="1"/>
  <c r="G192" i="13"/>
  <c r="G192" i="11"/>
  <c r="G91" i="25"/>
  <c r="G91" i="13"/>
  <c r="G112" i="11"/>
  <c r="G91" i="11"/>
  <c r="G112" i="21"/>
  <c r="G91" i="21"/>
  <c r="G91" i="16"/>
  <c r="G91" i="14"/>
  <c r="G112" i="14"/>
  <c r="I95" i="29" l="1"/>
  <c r="J95" i="29" s="1"/>
  <c r="K95" i="29" s="1"/>
  <c r="L95" i="29" s="1"/>
  <c r="M95" i="29" s="1"/>
  <c r="N95" i="29" s="1"/>
  <c r="O95" i="29" s="1"/>
  <c r="P95" i="29" s="1"/>
  <c r="Q95" i="29" s="1"/>
  <c r="R95" i="29" s="1"/>
  <c r="S95" i="29" s="1"/>
  <c r="T95" i="29" s="1"/>
  <c r="U95" i="29" s="1"/>
  <c r="V95" i="29" s="1"/>
  <c r="W95" i="29" s="1"/>
  <c r="X95" i="29" s="1"/>
  <c r="Y95" i="29" s="1"/>
  <c r="Z95" i="29" s="1"/>
  <c r="AA95" i="29" s="1"/>
  <c r="I116" i="29"/>
  <c r="J116" i="29" s="1"/>
  <c r="K116" i="29" s="1"/>
  <c r="L116" i="29" s="1"/>
  <c r="M116" i="29" s="1"/>
  <c r="N116" i="29" s="1"/>
  <c r="O116" i="29" s="1"/>
  <c r="P116" i="29" s="1"/>
  <c r="Q116" i="29" s="1"/>
  <c r="R116" i="29" s="1"/>
  <c r="S116" i="29" s="1"/>
  <c r="T116" i="29" s="1"/>
  <c r="U116" i="29" s="1"/>
  <c r="V116" i="29" s="1"/>
  <c r="W116" i="29" s="1"/>
  <c r="X116" i="29" s="1"/>
  <c r="Y116" i="29" s="1"/>
  <c r="Z116" i="29" s="1"/>
  <c r="AA116" i="29" s="1"/>
  <c r="I116" i="21"/>
  <c r="J116" i="21" s="1"/>
  <c r="K116" i="21" s="1"/>
  <c r="L116" i="21" s="1"/>
  <c r="M116" i="21" s="1"/>
  <c r="N116" i="21" s="1"/>
  <c r="O116" i="21" s="1"/>
  <c r="P116" i="21" s="1"/>
  <c r="Q116" i="21" s="1"/>
  <c r="R116" i="21" s="1"/>
  <c r="S116" i="21" s="1"/>
  <c r="T116" i="21" s="1"/>
  <c r="U116" i="21" s="1"/>
  <c r="V116" i="21" s="1"/>
  <c r="W116" i="21" s="1"/>
  <c r="X116" i="21" s="1"/>
  <c r="Y116" i="21" s="1"/>
  <c r="Z116" i="21" s="1"/>
  <c r="AA116" i="21" s="1"/>
  <c r="J116" i="4"/>
  <c r="K116" i="4" s="1"/>
  <c r="L116" i="4" s="1"/>
  <c r="M116" i="4" s="1"/>
  <c r="N116" i="4" s="1"/>
  <c r="O116" i="4" s="1"/>
  <c r="P116" i="4" s="1"/>
  <c r="Q116" i="4" s="1"/>
  <c r="R116" i="4" s="1"/>
  <c r="S116" i="4" s="1"/>
  <c r="T116" i="4" s="1"/>
  <c r="U116" i="4" s="1"/>
  <c r="V116" i="4" s="1"/>
  <c r="W116" i="4" s="1"/>
  <c r="X116" i="4" s="1"/>
  <c r="Y116" i="4" s="1"/>
  <c r="Z116" i="4" s="1"/>
  <c r="AA116" i="4" s="1"/>
  <c r="I116" i="4"/>
  <c r="V51" i="34" l="1"/>
  <c r="U51" i="34"/>
  <c r="V50" i="34"/>
  <c r="V52" i="34"/>
  <c r="U52" i="34"/>
  <c r="I95" i="4" l="1"/>
  <c r="J95" i="4" s="1"/>
  <c r="K95" i="4" s="1"/>
  <c r="L95" i="4" s="1"/>
  <c r="M95" i="4" s="1"/>
  <c r="N95" i="4" s="1"/>
  <c r="O95" i="4" s="1"/>
  <c r="P95" i="4" s="1"/>
  <c r="Q95" i="4" s="1"/>
  <c r="R95" i="4" s="1"/>
  <c r="S95" i="4" s="1"/>
  <c r="T95" i="4" s="1"/>
  <c r="U95" i="4" s="1"/>
  <c r="V95" i="4" s="1"/>
  <c r="W95" i="4" s="1"/>
  <c r="X95" i="4" s="1"/>
  <c r="Y95" i="4" s="1"/>
  <c r="Z95" i="4" s="1"/>
  <c r="AA95" i="4" s="1"/>
  <c r="E22" i="32"/>
  <c r="G15" i="4"/>
  <c r="G14" i="4"/>
  <c r="G15" i="25"/>
  <c r="G14" i="25"/>
  <c r="P21" i="34"/>
  <c r="O21" i="34"/>
  <c r="O51" i="34" s="1"/>
  <c r="O64" i="34" s="1"/>
  <c r="G15" i="13"/>
  <c r="G14" i="13"/>
  <c r="H193" i="13" s="1"/>
  <c r="C34" i="35"/>
  <c r="D34" i="35" s="1"/>
  <c r="C35" i="35"/>
  <c r="C30" i="35"/>
  <c r="D30" i="35" s="1"/>
  <c r="E30" i="35" s="1"/>
  <c r="F30" i="35" s="1"/>
  <c r="G30" i="35" s="1"/>
  <c r="E19" i="32"/>
  <c r="E18" i="32"/>
  <c r="E15" i="32"/>
  <c r="E14" i="32"/>
  <c r="D23" i="35"/>
  <c r="D15" i="35"/>
  <c r="E15" i="35" s="1"/>
  <c r="D11" i="35"/>
  <c r="E11" i="35" s="1"/>
  <c r="I95" i="11"/>
  <c r="J95" i="11" s="1"/>
  <c r="K95" i="11" s="1"/>
  <c r="L95" i="11" s="1"/>
  <c r="M95" i="11" s="1"/>
  <c r="N95" i="11" s="1"/>
  <c r="O95" i="11" s="1"/>
  <c r="P95" i="11" s="1"/>
  <c r="Q95" i="11" s="1"/>
  <c r="R95" i="11" s="1"/>
  <c r="S95" i="11" s="1"/>
  <c r="T95" i="11" s="1"/>
  <c r="U95" i="11" s="1"/>
  <c r="V95" i="11" s="1"/>
  <c r="W95" i="11" s="1"/>
  <c r="X95" i="11" s="1"/>
  <c r="Y95" i="11" s="1"/>
  <c r="Z95" i="11" s="1"/>
  <c r="AA95" i="11" s="1"/>
  <c r="G15" i="11"/>
  <c r="G14" i="11"/>
  <c r="H193" i="11" s="1"/>
  <c r="G15" i="21"/>
  <c r="G14" i="21"/>
  <c r="G14" i="16"/>
  <c r="G15" i="16"/>
  <c r="I184" i="21"/>
  <c r="J184" i="21"/>
  <c r="H184" i="21"/>
  <c r="G124" i="21"/>
  <c r="G123" i="21"/>
  <c r="J184" i="16"/>
  <c r="I184" i="16"/>
  <c r="H184" i="16"/>
  <c r="C23" i="33" a="1"/>
  <c r="H23" i="33" s="1"/>
  <c r="T50" i="34"/>
  <c r="T58" i="34" s="1"/>
  <c r="T80" i="34" s="1"/>
  <c r="S50" i="34"/>
  <c r="S60" i="34" s="1"/>
  <c r="S82" i="34" s="1"/>
  <c r="R50" i="34"/>
  <c r="R60" i="34" s="1"/>
  <c r="R82" i="34" s="1"/>
  <c r="T52" i="34"/>
  <c r="T73" i="34" s="1"/>
  <c r="T95" i="34" s="1"/>
  <c r="S52" i="34"/>
  <c r="S74" i="34" s="1"/>
  <c r="S96" i="34" s="1"/>
  <c r="R52" i="34"/>
  <c r="Q52" i="34"/>
  <c r="T51" i="34"/>
  <c r="T64" i="34" s="1"/>
  <c r="T86" i="34" s="1"/>
  <c r="S51" i="34"/>
  <c r="S64" i="34" s="1"/>
  <c r="S86" i="34" s="1"/>
  <c r="R51" i="34"/>
  <c r="R64" i="34" s="1"/>
  <c r="R86" i="34" s="1"/>
  <c r="Q51" i="34"/>
  <c r="Q50" i="34"/>
  <c r="H126" i="16" l="1"/>
  <c r="H125" i="16"/>
  <c r="S4" i="73"/>
  <c r="S4" i="77"/>
  <c r="R4" i="73"/>
  <c r="R4" i="77"/>
  <c r="G103" i="25"/>
  <c r="G103" i="49"/>
  <c r="I103" i="49" s="1"/>
  <c r="J103" i="49" s="1"/>
  <c r="K103" i="49" s="1"/>
  <c r="L103" i="49" s="1"/>
  <c r="M103" i="49" s="1"/>
  <c r="N103" i="49" s="1"/>
  <c r="O103" i="49" s="1"/>
  <c r="P103" i="49" s="1"/>
  <c r="Q103" i="49" s="1"/>
  <c r="R103" i="49" s="1"/>
  <c r="S103" i="49" s="1"/>
  <c r="T103" i="49" s="1"/>
  <c r="U103" i="49" s="1"/>
  <c r="V103" i="49" s="1"/>
  <c r="W103" i="49" s="1"/>
  <c r="X103" i="49" s="1"/>
  <c r="Y103" i="49" s="1"/>
  <c r="Z103" i="49" s="1"/>
  <c r="AA103" i="49" s="1"/>
  <c r="G123" i="11"/>
  <c r="G123" i="49"/>
  <c r="H123" i="49" s="1"/>
  <c r="I123" i="49" s="1"/>
  <c r="J123" i="49" s="1"/>
  <c r="K123" i="49" s="1"/>
  <c r="L123" i="49" s="1"/>
  <c r="M123" i="49" s="1"/>
  <c r="N123" i="49" s="1"/>
  <c r="O123" i="49" s="1"/>
  <c r="P123" i="49" s="1"/>
  <c r="Q123" i="49" s="1"/>
  <c r="R123" i="49" s="1"/>
  <c r="S123" i="49" s="1"/>
  <c r="T123" i="49" s="1"/>
  <c r="U123" i="49" s="1"/>
  <c r="V123" i="49" s="1"/>
  <c r="W123" i="49" s="1"/>
  <c r="X123" i="49" s="1"/>
  <c r="Y123" i="49" s="1"/>
  <c r="Z123" i="49" s="1"/>
  <c r="AA123" i="49" s="1"/>
  <c r="G124" i="13"/>
  <c r="G124" i="49"/>
  <c r="H124" i="49" s="1"/>
  <c r="I124" i="49" s="1"/>
  <c r="J124" i="49" s="1"/>
  <c r="K124" i="49" s="1"/>
  <c r="L124" i="49" s="1"/>
  <c r="M124" i="49" s="1"/>
  <c r="N124" i="49" s="1"/>
  <c r="O124" i="49" s="1"/>
  <c r="P124" i="49" s="1"/>
  <c r="Q124" i="49" s="1"/>
  <c r="R124" i="49" s="1"/>
  <c r="S124" i="49" s="1"/>
  <c r="T124" i="49" s="1"/>
  <c r="U124" i="49" s="1"/>
  <c r="V124" i="49" s="1"/>
  <c r="W124" i="49" s="1"/>
  <c r="X124" i="49" s="1"/>
  <c r="Y124" i="49" s="1"/>
  <c r="Z124" i="49" s="1"/>
  <c r="AA124" i="49" s="1"/>
  <c r="H193" i="25"/>
  <c r="W37" i="25"/>
  <c r="X37" i="25"/>
  <c r="Y37" i="25"/>
  <c r="AA37" i="25"/>
  <c r="Z37" i="25"/>
  <c r="S21" i="4"/>
  <c r="R21" i="4"/>
  <c r="W37" i="16"/>
  <c r="X37" i="16"/>
  <c r="AA37" i="11"/>
  <c r="X37" i="11"/>
  <c r="W37" i="11"/>
  <c r="Y37" i="11"/>
  <c r="Z37" i="11"/>
  <c r="G185" i="49"/>
  <c r="H185" i="49" s="1"/>
  <c r="I185" i="49" s="1"/>
  <c r="J185" i="49" s="1"/>
  <c r="K185" i="49" s="1"/>
  <c r="L185" i="49" s="1"/>
  <c r="M185" i="49" s="1"/>
  <c r="N185" i="49" s="1"/>
  <c r="O185" i="49" s="1"/>
  <c r="P185" i="49" s="1"/>
  <c r="Q185" i="49" s="1"/>
  <c r="R185" i="49" s="1"/>
  <c r="S185" i="49" s="1"/>
  <c r="T185" i="49" s="1"/>
  <c r="U185" i="49" s="1"/>
  <c r="V185" i="49" s="1"/>
  <c r="W185" i="49" s="1"/>
  <c r="X185" i="49" s="1"/>
  <c r="Y185" i="49" s="1"/>
  <c r="Z185" i="49" s="1"/>
  <c r="AA185" i="49" s="1"/>
  <c r="G185" i="13"/>
  <c r="H185" i="13" s="1"/>
  <c r="I185" i="13" s="1"/>
  <c r="J185" i="13" s="1"/>
  <c r="K185" i="13" s="1"/>
  <c r="L185" i="13" s="1"/>
  <c r="G185" i="11"/>
  <c r="G185" i="48"/>
  <c r="H185" i="48" s="1"/>
  <c r="I185" i="48" s="1"/>
  <c r="J185" i="48" s="1"/>
  <c r="K185" i="48" s="1"/>
  <c r="L185" i="48" s="1"/>
  <c r="M185" i="48" s="1"/>
  <c r="N185" i="48" s="1"/>
  <c r="O185" i="48" s="1"/>
  <c r="P185" i="48" s="1"/>
  <c r="Q185" i="48" s="1"/>
  <c r="R185" i="48" s="1"/>
  <c r="S185" i="48" s="1"/>
  <c r="T185" i="48" s="1"/>
  <c r="U185" i="48" s="1"/>
  <c r="V185" i="48" s="1"/>
  <c r="W185" i="48" s="1"/>
  <c r="X185" i="48" s="1"/>
  <c r="Y185" i="48" s="1"/>
  <c r="Z185" i="48" s="1"/>
  <c r="AA185" i="48" s="1"/>
  <c r="X37" i="13"/>
  <c r="Y37" i="13"/>
  <c r="Z37" i="13"/>
  <c r="AA37" i="13"/>
  <c r="W37" i="13"/>
  <c r="G103" i="46"/>
  <c r="G102" i="13"/>
  <c r="G102" i="49"/>
  <c r="H102" i="49" s="1"/>
  <c r="I102" i="49" s="1"/>
  <c r="J102" i="49" s="1"/>
  <c r="K102" i="49" s="1"/>
  <c r="L102" i="49" s="1"/>
  <c r="M102" i="49" s="1"/>
  <c r="N102" i="49" s="1"/>
  <c r="O102" i="49" s="1"/>
  <c r="P102" i="49" s="1"/>
  <c r="Q102" i="49" s="1"/>
  <c r="R102" i="49" s="1"/>
  <c r="S102" i="49" s="1"/>
  <c r="T102" i="49" s="1"/>
  <c r="U102" i="49" s="1"/>
  <c r="V102" i="49" s="1"/>
  <c r="W102" i="49" s="1"/>
  <c r="X102" i="49" s="1"/>
  <c r="Y102" i="49" s="1"/>
  <c r="Z102" i="49" s="1"/>
  <c r="AA102" i="49" s="1"/>
  <c r="Q65" i="34"/>
  <c r="Q87" i="34" s="1"/>
  <c r="Q57" i="34"/>
  <c r="Q79" i="34" s="1"/>
  <c r="E23" i="35"/>
  <c r="F23" i="35" s="1"/>
  <c r="G23" i="35" s="1"/>
  <c r="V21" i="4"/>
  <c r="U21" i="4"/>
  <c r="T21" i="4"/>
  <c r="G124" i="11"/>
  <c r="G103" i="13"/>
  <c r="G123" i="25"/>
  <c r="G123" i="13"/>
  <c r="G124" i="25"/>
  <c r="G185" i="25"/>
  <c r="G102" i="11"/>
  <c r="G103" i="29"/>
  <c r="G124" i="29" s="1"/>
  <c r="G103" i="10"/>
  <c r="G103" i="11"/>
  <c r="G102" i="25"/>
  <c r="G103" i="4"/>
  <c r="G124" i="4" s="1"/>
  <c r="C17" i="35"/>
  <c r="F11" i="35"/>
  <c r="F15" i="35"/>
  <c r="E7" i="35"/>
  <c r="G23" i="33"/>
  <c r="M23" i="33"/>
  <c r="N23" i="33" s="1"/>
  <c r="O23" i="33" s="1"/>
  <c r="P23" i="33" s="1"/>
  <c r="Q23" i="33" s="1"/>
  <c r="R23" i="33" s="1"/>
  <c r="S23" i="33" s="1"/>
  <c r="T23" i="33" s="1"/>
  <c r="U23" i="33" s="1"/>
  <c r="V23" i="33" s="1"/>
  <c r="W23" i="33" s="1"/>
  <c r="X23" i="33" s="1"/>
  <c r="Y23" i="33" s="1"/>
  <c r="Z23" i="33" s="1"/>
  <c r="AA23" i="33" s="1"/>
  <c r="AB23" i="33" s="1"/>
  <c r="AC23" i="33" s="1"/>
  <c r="AD23" i="33" s="1"/>
  <c r="AE23" i="33" s="1"/>
  <c r="AF23" i="33" s="1"/>
  <c r="AG23" i="33" s="1"/>
  <c r="AH23" i="33" s="1"/>
  <c r="AI23" i="33" s="1"/>
  <c r="F23" i="33"/>
  <c r="E23" i="33"/>
  <c r="L23" i="33"/>
  <c r="K23" i="33"/>
  <c r="J23" i="33"/>
  <c r="I23" i="33"/>
  <c r="D23" i="33"/>
  <c r="C23" i="33"/>
  <c r="Q60" i="34"/>
  <c r="Q82" i="34" s="1"/>
  <c r="Q4" i="77" s="1"/>
  <c r="S58" i="34"/>
  <c r="S80" i="34" s="1"/>
  <c r="T72" i="34"/>
  <c r="T94" i="34" s="1"/>
  <c r="R71" i="34"/>
  <c r="R93" i="34" s="1"/>
  <c r="R74" i="34"/>
  <c r="R96" i="34" s="1"/>
  <c r="Q64" i="34"/>
  <c r="Q86" i="34" s="1"/>
  <c r="S73" i="34"/>
  <c r="S95" i="34" s="1"/>
  <c r="Q53" i="34"/>
  <c r="S59" i="34"/>
  <c r="S81" i="34" s="1"/>
  <c r="Q58" i="34"/>
  <c r="Q80" i="34" s="1"/>
  <c r="Q74" i="34"/>
  <c r="Q96" i="34" s="1"/>
  <c r="R73" i="34"/>
  <c r="R95" i="34" s="1"/>
  <c r="S72" i="34"/>
  <c r="S94" i="34" s="1"/>
  <c r="T71" i="34"/>
  <c r="T93" i="34" s="1"/>
  <c r="Q59" i="34"/>
  <c r="Q81" i="34" s="1"/>
  <c r="T67" i="34"/>
  <c r="T89" i="34" s="1"/>
  <c r="Q73" i="34"/>
  <c r="Q95" i="34" s="1"/>
  <c r="R72" i="34"/>
  <c r="R94" i="34" s="1"/>
  <c r="S71" i="34"/>
  <c r="S93" i="34" s="1"/>
  <c r="S67" i="34"/>
  <c r="S89" i="34" s="1"/>
  <c r="T66" i="34"/>
  <c r="T88" i="34" s="1"/>
  <c r="Q72" i="34"/>
  <c r="Q94" i="34" s="1"/>
  <c r="S53" i="34"/>
  <c r="R67" i="34"/>
  <c r="R89" i="34" s="1"/>
  <c r="S66" i="34"/>
  <c r="S88" i="34" s="1"/>
  <c r="T65" i="34"/>
  <c r="T87" i="34" s="1"/>
  <c r="Q71" i="34"/>
  <c r="Q67" i="34"/>
  <c r="R66" i="34"/>
  <c r="R88" i="34" s="1"/>
  <c r="S65" i="34"/>
  <c r="S87" i="34" s="1"/>
  <c r="Q66" i="34"/>
  <c r="Q88" i="34" s="1"/>
  <c r="R65" i="34"/>
  <c r="R87" i="34" s="1"/>
  <c r="T74" i="34"/>
  <c r="T96" i="34" s="1"/>
  <c r="T59" i="34"/>
  <c r="T81" i="34" s="1"/>
  <c r="T57" i="34"/>
  <c r="T79" i="34" s="1"/>
  <c r="T60" i="34"/>
  <c r="T82" i="34" s="1"/>
  <c r="T53" i="34"/>
  <c r="S57" i="34"/>
  <c r="S79" i="34" s="1"/>
  <c r="R57" i="34"/>
  <c r="R79" i="34" s="1"/>
  <c r="R59" i="34"/>
  <c r="R81" i="34" s="1"/>
  <c r="R58" i="34"/>
  <c r="R80" i="34" s="1"/>
  <c r="R53" i="34"/>
  <c r="T4" i="75" l="1"/>
  <c r="T4" i="79"/>
  <c r="R4" i="75"/>
  <c r="R4" i="79"/>
  <c r="T4" i="73"/>
  <c r="T4" i="77"/>
  <c r="S4" i="75"/>
  <c r="S4" i="79"/>
  <c r="Q4" i="73"/>
  <c r="Q89" i="34"/>
  <c r="Q4" i="79" s="1"/>
  <c r="Q93" i="34"/>
  <c r="D17" i="35"/>
  <c r="G124" i="46"/>
  <c r="H124" i="46" s="1"/>
  <c r="H103" i="46"/>
  <c r="I103" i="46" s="1"/>
  <c r="J103" i="46" s="1"/>
  <c r="K103" i="46" s="1"/>
  <c r="L103" i="46" s="1"/>
  <c r="M103" i="46" s="1"/>
  <c r="N103" i="46" s="1"/>
  <c r="O103" i="46" s="1"/>
  <c r="P103" i="46" s="1"/>
  <c r="Q103" i="46" s="1"/>
  <c r="R103" i="46" s="1"/>
  <c r="S103" i="46" s="1"/>
  <c r="T103" i="46" s="1"/>
  <c r="U103" i="46" s="1"/>
  <c r="V103" i="46" s="1"/>
  <c r="W103" i="46" s="1"/>
  <c r="X103" i="46" s="1"/>
  <c r="Y103" i="46" s="1"/>
  <c r="Z103" i="46" s="1"/>
  <c r="AA103" i="46" s="1"/>
  <c r="Q61" i="34"/>
  <c r="Q83" i="34" s="1"/>
  <c r="T61" i="34"/>
  <c r="T83" i="34" s="1"/>
  <c r="F7" i="35"/>
  <c r="E17" i="35"/>
  <c r="G15" i="35"/>
  <c r="G11" i="35"/>
  <c r="R75" i="34"/>
  <c r="R97" i="34" s="1"/>
  <c r="S75" i="34"/>
  <c r="S97" i="34" s="1"/>
  <c r="S68" i="34"/>
  <c r="S90" i="34" s="1"/>
  <c r="R68" i="34"/>
  <c r="R90" i="34" s="1"/>
  <c r="S61" i="34"/>
  <c r="S83" i="34" s="1"/>
  <c r="Q75" i="34"/>
  <c r="Q97" i="34" s="1"/>
  <c r="T75" i="34"/>
  <c r="T97" i="34" s="1"/>
  <c r="Q68" i="34"/>
  <c r="Q90" i="34" s="1"/>
  <c r="R61" i="34"/>
  <c r="R83" i="34" s="1"/>
  <c r="T68" i="34"/>
  <c r="T90" i="34" s="1"/>
  <c r="Q4" i="75" l="1"/>
  <c r="I124" i="46"/>
  <c r="H129" i="46"/>
  <c r="G7" i="35"/>
  <c r="G17" i="35" s="1"/>
  <c r="F17" i="35"/>
  <c r="J124" i="46" l="1"/>
  <c r="I129" i="46"/>
  <c r="U21" i="34"/>
  <c r="T21" i="34"/>
  <c r="S21" i="34"/>
  <c r="R21" i="34"/>
  <c r="Q21" i="34"/>
  <c r="P51" i="34"/>
  <c r="N21" i="34"/>
  <c r="M21" i="34"/>
  <c r="M51" i="34" s="1"/>
  <c r="L21" i="34"/>
  <c r="L51" i="34" s="1"/>
  <c r="K21" i="34"/>
  <c r="K51" i="34" s="1"/>
  <c r="J21" i="34"/>
  <c r="J51" i="34" s="1"/>
  <c r="I21" i="34"/>
  <c r="I51" i="34" s="1"/>
  <c r="H21" i="34"/>
  <c r="H51" i="34" s="1"/>
  <c r="G21" i="34"/>
  <c r="G51" i="34" s="1"/>
  <c r="F21" i="34"/>
  <c r="F51" i="34" s="1"/>
  <c r="E21" i="34"/>
  <c r="U13" i="34"/>
  <c r="T13" i="34"/>
  <c r="S13" i="34"/>
  <c r="R13" i="34"/>
  <c r="Q13" i="34"/>
  <c r="P13" i="34"/>
  <c r="P52" i="34" s="1"/>
  <c r="O13" i="34"/>
  <c r="O52" i="34" s="1"/>
  <c r="N13" i="34"/>
  <c r="N52" i="34" s="1"/>
  <c r="M13" i="34"/>
  <c r="M52" i="34" s="1"/>
  <c r="L13" i="34"/>
  <c r="L52" i="34" s="1"/>
  <c r="K13" i="34"/>
  <c r="K52" i="34" s="1"/>
  <c r="J13" i="34"/>
  <c r="J52" i="34" s="1"/>
  <c r="I13" i="34"/>
  <c r="I52" i="34" s="1"/>
  <c r="H13" i="34"/>
  <c r="H52" i="34" s="1"/>
  <c r="G13" i="34"/>
  <c r="G52" i="34" s="1"/>
  <c r="F13" i="34"/>
  <c r="F52" i="34" s="1"/>
  <c r="E13" i="34"/>
  <c r="E52" i="34" s="1"/>
  <c r="U7" i="34"/>
  <c r="T7" i="34"/>
  <c r="S7" i="34"/>
  <c r="R7" i="34"/>
  <c r="Q7" i="34"/>
  <c r="P7" i="34"/>
  <c r="P50" i="34" s="1"/>
  <c r="O7" i="34"/>
  <c r="O50" i="34" s="1"/>
  <c r="N7" i="34"/>
  <c r="M7" i="34"/>
  <c r="L7" i="34"/>
  <c r="L50" i="34" s="1"/>
  <c r="K7" i="34"/>
  <c r="K50" i="34" s="1"/>
  <c r="J7" i="34"/>
  <c r="J50" i="34" s="1"/>
  <c r="I7" i="34"/>
  <c r="I50" i="34" s="1"/>
  <c r="H7" i="34"/>
  <c r="H50" i="34" s="1"/>
  <c r="G7" i="34"/>
  <c r="G50" i="34" s="1"/>
  <c r="F7" i="34"/>
  <c r="F50" i="34" s="1"/>
  <c r="E7" i="34"/>
  <c r="H53" i="34" l="1"/>
  <c r="H58" i="34"/>
  <c r="H59" i="34"/>
  <c r="H60" i="34"/>
  <c r="H82" i="34" s="1"/>
  <c r="F53" i="34"/>
  <c r="F58" i="34"/>
  <c r="F59" i="34"/>
  <c r="F60" i="34"/>
  <c r="F82" i="34" s="1"/>
  <c r="E71" i="34"/>
  <c r="E72" i="34"/>
  <c r="E73" i="34"/>
  <c r="E74" i="34"/>
  <c r="L65" i="34"/>
  <c r="L64" i="34"/>
  <c r="L67" i="34"/>
  <c r="L66" i="34"/>
  <c r="F71" i="34"/>
  <c r="F75" i="34" s="1"/>
  <c r="F72" i="34"/>
  <c r="F73" i="34"/>
  <c r="F74" i="34"/>
  <c r="I53" i="34"/>
  <c r="I58" i="34"/>
  <c r="I59" i="34"/>
  <c r="I60" i="34"/>
  <c r="I82" i="34" s="1"/>
  <c r="H71" i="34"/>
  <c r="H75" i="34" s="1"/>
  <c r="H72" i="34"/>
  <c r="H73" i="34"/>
  <c r="H74" i="34"/>
  <c r="G67" i="34"/>
  <c r="G64" i="34"/>
  <c r="G65" i="34"/>
  <c r="G66" i="34"/>
  <c r="F64" i="34"/>
  <c r="F68" i="34" s="1"/>
  <c r="F67" i="34"/>
  <c r="F66" i="34"/>
  <c r="F65" i="34"/>
  <c r="J53" i="34"/>
  <c r="J58" i="34"/>
  <c r="J59" i="34"/>
  <c r="J60" i="34"/>
  <c r="J82" i="34" s="1"/>
  <c r="I71" i="34"/>
  <c r="I75" i="34" s="1"/>
  <c r="I72" i="34"/>
  <c r="I73" i="34"/>
  <c r="I74" i="34"/>
  <c r="H64" i="34"/>
  <c r="H65" i="34"/>
  <c r="H67" i="34"/>
  <c r="H66" i="34"/>
  <c r="K53" i="34"/>
  <c r="K58" i="34"/>
  <c r="K59" i="34"/>
  <c r="K60" i="34"/>
  <c r="K82" i="34" s="1"/>
  <c r="J71" i="34"/>
  <c r="J72" i="34"/>
  <c r="J73" i="34"/>
  <c r="J74" i="34"/>
  <c r="I64" i="34"/>
  <c r="I68" i="34" s="1"/>
  <c r="I67" i="34"/>
  <c r="I65" i="34"/>
  <c r="I66" i="34"/>
  <c r="E53" i="34"/>
  <c r="E66" i="34"/>
  <c r="E67" i="34"/>
  <c r="E64" i="34"/>
  <c r="E65" i="34"/>
  <c r="L58" i="34"/>
  <c r="L59" i="34"/>
  <c r="L53" i="34"/>
  <c r="L60" i="34"/>
  <c r="L82" i="34" s="1"/>
  <c r="K71" i="34"/>
  <c r="K72" i="34"/>
  <c r="K73" i="34"/>
  <c r="K74" i="34"/>
  <c r="J66" i="34"/>
  <c r="J65" i="34"/>
  <c r="J64" i="34"/>
  <c r="J67" i="34"/>
  <c r="G53" i="34"/>
  <c r="G58" i="34"/>
  <c r="G59" i="34"/>
  <c r="G60" i="34"/>
  <c r="G82" i="34" s="1"/>
  <c r="G71" i="34"/>
  <c r="G72" i="34"/>
  <c r="G73" i="34"/>
  <c r="G74" i="34"/>
  <c r="E58" i="34"/>
  <c r="E59" i="34"/>
  <c r="E60" i="34"/>
  <c r="E82" i="34" s="1"/>
  <c r="L71" i="34"/>
  <c r="L75" i="34" s="1"/>
  <c r="L72" i="34"/>
  <c r="L73" i="34"/>
  <c r="L74" i="34"/>
  <c r="K64" i="34"/>
  <c r="K65" i="34"/>
  <c r="K66" i="34"/>
  <c r="K67" i="34"/>
  <c r="V13" i="34"/>
  <c r="M57" i="34"/>
  <c r="M79" i="34" s="1"/>
  <c r="W52" i="34"/>
  <c r="K124" i="46"/>
  <c r="J129" i="46"/>
  <c r="M66" i="34"/>
  <c r="M65" i="34"/>
  <c r="G23" i="34"/>
  <c r="H23" i="34"/>
  <c r="Q23" i="34"/>
  <c r="P23" i="34"/>
  <c r="R23" i="34"/>
  <c r="U58" i="34"/>
  <c r="U80" i="34" s="1"/>
  <c r="U79" i="34"/>
  <c r="U59" i="34"/>
  <c r="U81" i="34" s="1"/>
  <c r="U60" i="34"/>
  <c r="U82" i="34" s="1"/>
  <c r="V7" i="34"/>
  <c r="U72" i="34"/>
  <c r="U94" i="34" s="1"/>
  <c r="U73" i="34"/>
  <c r="U95" i="34" s="1"/>
  <c r="U74" i="34"/>
  <c r="U96" i="34" s="1"/>
  <c r="U71" i="34"/>
  <c r="S23" i="34"/>
  <c r="V59" i="34"/>
  <c r="V81" i="34" s="1"/>
  <c r="V58" i="34"/>
  <c r="V80" i="34" s="1"/>
  <c r="V57" i="34"/>
  <c r="V79" i="34" s="1"/>
  <c r="V60" i="34"/>
  <c r="V82" i="34" s="1"/>
  <c r="N23" i="34"/>
  <c r="N50" i="34"/>
  <c r="W50" i="34" s="1"/>
  <c r="O60" i="34"/>
  <c r="O59" i="34"/>
  <c r="O58" i="34"/>
  <c r="O57" i="34"/>
  <c r="M72" i="34"/>
  <c r="M73" i="34"/>
  <c r="M74" i="34"/>
  <c r="M71" i="34"/>
  <c r="V71" i="34"/>
  <c r="V93" i="34" s="1"/>
  <c r="V72" i="34"/>
  <c r="V94" i="34" s="1"/>
  <c r="V73" i="34"/>
  <c r="V95" i="34" s="1"/>
  <c r="V74" i="34"/>
  <c r="V96" i="34" s="1"/>
  <c r="T23" i="34"/>
  <c r="U53" i="34"/>
  <c r="P60" i="34"/>
  <c r="P59" i="34"/>
  <c r="P58" i="34"/>
  <c r="P57" i="34"/>
  <c r="N71" i="34"/>
  <c r="N72" i="34"/>
  <c r="N73" i="34"/>
  <c r="N74" i="34"/>
  <c r="E23" i="34"/>
  <c r="M23" i="34"/>
  <c r="M53" i="34"/>
  <c r="U23" i="34"/>
  <c r="O53" i="34"/>
  <c r="O71" i="34"/>
  <c r="O72" i="34"/>
  <c r="O73" i="34"/>
  <c r="O74" i="34"/>
  <c r="V21" i="34"/>
  <c r="N51" i="34"/>
  <c r="W51" i="34" s="1"/>
  <c r="P53" i="34"/>
  <c r="P71" i="34"/>
  <c r="P72" i="34"/>
  <c r="P73" i="34"/>
  <c r="P74" i="34"/>
  <c r="O67" i="34"/>
  <c r="O66" i="34"/>
  <c r="O65" i="34"/>
  <c r="M58" i="34"/>
  <c r="M59" i="34"/>
  <c r="M60" i="34"/>
  <c r="P66" i="34"/>
  <c r="P65" i="34"/>
  <c r="P67" i="34"/>
  <c r="P64" i="34"/>
  <c r="O23" i="34"/>
  <c r="F23" i="34"/>
  <c r="I23" i="34"/>
  <c r="J23" i="34"/>
  <c r="K23" i="34"/>
  <c r="L23" i="34"/>
  <c r="V4" i="77" l="1"/>
  <c r="V4" i="73"/>
  <c r="W96" i="34"/>
  <c r="U93" i="34"/>
  <c r="W71" i="34"/>
  <c r="G21" i="10"/>
  <c r="W95" i="34"/>
  <c r="W94" i="34"/>
  <c r="G21" i="29"/>
  <c r="G21" i="16"/>
  <c r="W81" i="34"/>
  <c r="W80" i="34"/>
  <c r="G21" i="21"/>
  <c r="U4" i="73"/>
  <c r="U4" i="77"/>
  <c r="G21" i="48"/>
  <c r="W82" i="34"/>
  <c r="W79" i="34"/>
  <c r="G21" i="14"/>
  <c r="E68" i="34"/>
  <c r="G68" i="34"/>
  <c r="K68" i="34"/>
  <c r="J75" i="34"/>
  <c r="H68" i="34"/>
  <c r="J68" i="34"/>
  <c r="L68" i="34"/>
  <c r="G75" i="34"/>
  <c r="K75" i="34"/>
  <c r="E75" i="34"/>
  <c r="G21" i="46"/>
  <c r="L124" i="46"/>
  <c r="K129" i="46"/>
  <c r="W74" i="34"/>
  <c r="W73" i="34"/>
  <c r="W72" i="34"/>
  <c r="M75" i="34"/>
  <c r="U75" i="34"/>
  <c r="U97" i="34" s="1"/>
  <c r="O68" i="34"/>
  <c r="V75" i="34"/>
  <c r="V97" i="34" s="1"/>
  <c r="U61" i="34"/>
  <c r="U83" i="34" s="1"/>
  <c r="M61" i="34"/>
  <c r="M83" i="34" s="1"/>
  <c r="O75" i="34"/>
  <c r="P75" i="34"/>
  <c r="V61" i="34"/>
  <c r="V83" i="34" s="1"/>
  <c r="P68" i="34"/>
  <c r="N75" i="34"/>
  <c r="O61" i="34"/>
  <c r="N64" i="34"/>
  <c r="N65" i="34"/>
  <c r="N66" i="34"/>
  <c r="N67" i="34"/>
  <c r="M67" i="34"/>
  <c r="M64" i="34"/>
  <c r="V67" i="34"/>
  <c r="V89" i="34" s="1"/>
  <c r="V64" i="34"/>
  <c r="V86" i="34" s="1"/>
  <c r="V65" i="34"/>
  <c r="V87" i="34" s="1"/>
  <c r="V66" i="34"/>
  <c r="V88" i="34" s="1"/>
  <c r="P61" i="34"/>
  <c r="V53" i="34"/>
  <c r="U64" i="34"/>
  <c r="U86" i="34" s="1"/>
  <c r="U65" i="34"/>
  <c r="U87" i="34" s="1"/>
  <c r="U66" i="34"/>
  <c r="U88" i="34" s="1"/>
  <c r="U67" i="34"/>
  <c r="U89" i="34" s="1"/>
  <c r="N60" i="34"/>
  <c r="W60" i="34" s="1"/>
  <c r="N59" i="34"/>
  <c r="W59" i="34" s="1"/>
  <c r="N58" i="34"/>
  <c r="N53" i="34"/>
  <c r="N57" i="34"/>
  <c r="W88" i="34" l="1"/>
  <c r="G21" i="13" s="1"/>
  <c r="V4" i="79"/>
  <c r="V4" i="75"/>
  <c r="G21" i="11"/>
  <c r="W86" i="34"/>
  <c r="G21" i="25"/>
  <c r="W87" i="34"/>
  <c r="U4" i="79"/>
  <c r="U4" i="75"/>
  <c r="W89" i="34"/>
  <c r="G21" i="49"/>
  <c r="W97" i="34"/>
  <c r="W53" i="34"/>
  <c r="W54" i="34" s="1"/>
  <c r="G21" i="4"/>
  <c r="W93" i="34"/>
  <c r="W83" i="34"/>
  <c r="W66" i="34"/>
  <c r="W65" i="34"/>
  <c r="M124" i="46"/>
  <c r="L129" i="46"/>
  <c r="W58" i="34"/>
  <c r="W57" i="34"/>
  <c r="W75" i="34"/>
  <c r="X71" i="34" s="1"/>
  <c r="W67" i="34"/>
  <c r="W64" i="34"/>
  <c r="G26" i="46"/>
  <c r="G234" i="46" s="1"/>
  <c r="G29" i="46"/>
  <c r="V68" i="34"/>
  <c r="V90" i="34" s="1"/>
  <c r="N68" i="34"/>
  <c r="N61" i="34"/>
  <c r="W61" i="34" s="1"/>
  <c r="U68" i="34"/>
  <c r="U90" i="34" s="1"/>
  <c r="M68" i="34"/>
  <c r="W90" i="34" l="1"/>
  <c r="W68" i="34"/>
  <c r="W69" i="34" s="1"/>
  <c r="G29" i="49"/>
  <c r="G26" i="49"/>
  <c r="G234" i="49" s="1"/>
  <c r="G29" i="48"/>
  <c r="G26" i="48"/>
  <c r="G234" i="48" s="1"/>
  <c r="N124" i="46"/>
  <c r="M129" i="46"/>
  <c r="X74" i="34"/>
  <c r="X72" i="34"/>
  <c r="X59" i="34"/>
  <c r="X60" i="34"/>
  <c r="X57" i="34"/>
  <c r="G34" i="46"/>
  <c r="G226" i="46" s="1"/>
  <c r="Z34" i="46"/>
  <c r="X34" i="46"/>
  <c r="L34" i="46"/>
  <c r="U34" i="46"/>
  <c r="W34" i="46"/>
  <c r="Y34" i="46"/>
  <c r="P34" i="46"/>
  <c r="I34" i="46"/>
  <c r="Q34" i="46"/>
  <c r="AA34" i="46"/>
  <c r="R34" i="46"/>
  <c r="H34" i="46"/>
  <c r="K34" i="46"/>
  <c r="S34" i="46"/>
  <c r="N34" i="46"/>
  <c r="T34" i="46"/>
  <c r="O34" i="46"/>
  <c r="J34" i="46"/>
  <c r="V34" i="46"/>
  <c r="M34" i="46"/>
  <c r="G300" i="46"/>
  <c r="G268" i="46"/>
  <c r="X73" i="34"/>
  <c r="X58" i="34"/>
  <c r="G31" i="14"/>
  <c r="AI77" i="33"/>
  <c r="AH77" i="33"/>
  <c r="AG77" i="33"/>
  <c r="AF77" i="33"/>
  <c r="AE77" i="33"/>
  <c r="AD77" i="33"/>
  <c r="AC77" i="33"/>
  <c r="AB77" i="33"/>
  <c r="AA77" i="33"/>
  <c r="Z77" i="33"/>
  <c r="Y77" i="33"/>
  <c r="X77" i="33"/>
  <c r="W77" i="33"/>
  <c r="V77" i="33"/>
  <c r="U77" i="33"/>
  <c r="T77" i="33"/>
  <c r="S77" i="33"/>
  <c r="R77" i="33"/>
  <c r="Q77" i="33"/>
  <c r="P77" i="33"/>
  <c r="O77" i="33"/>
  <c r="N77" i="33"/>
  <c r="M77" i="33"/>
  <c r="L77" i="33"/>
  <c r="K77" i="33"/>
  <c r="J77" i="33"/>
  <c r="AI76" i="33"/>
  <c r="AI72" i="33" s="1"/>
  <c r="AH76" i="33"/>
  <c r="AH72" i="33" s="1"/>
  <c r="AG76" i="33"/>
  <c r="AG72" i="33" s="1"/>
  <c r="AF76" i="33"/>
  <c r="AF72" i="33" s="1"/>
  <c r="AE76" i="33"/>
  <c r="AE72" i="33" s="1"/>
  <c r="AD76" i="33"/>
  <c r="AD72" i="33" s="1"/>
  <c r="AC76" i="33"/>
  <c r="AC72" i="33" s="1"/>
  <c r="AB76" i="33"/>
  <c r="AB72" i="33" s="1"/>
  <c r="AA76" i="33"/>
  <c r="AA72" i="33" s="1"/>
  <c r="Z76" i="33"/>
  <c r="Z72" i="33" s="1"/>
  <c r="Y76" i="33"/>
  <c r="Y72" i="33" s="1"/>
  <c r="X76" i="33"/>
  <c r="X72" i="33" s="1"/>
  <c r="W76" i="33"/>
  <c r="W72" i="33" s="1"/>
  <c r="V76" i="33"/>
  <c r="V72" i="33" s="1"/>
  <c r="U76" i="33"/>
  <c r="U72" i="33" s="1"/>
  <c r="T76" i="33"/>
  <c r="T72" i="33" s="1"/>
  <c r="S76" i="33"/>
  <c r="S72" i="33" s="1"/>
  <c r="R76" i="33"/>
  <c r="R72" i="33" s="1"/>
  <c r="Q76" i="33"/>
  <c r="Q72" i="33" s="1"/>
  <c r="P76" i="33"/>
  <c r="P72" i="33" s="1"/>
  <c r="O76" i="33"/>
  <c r="O72" i="33" s="1"/>
  <c r="N76" i="33"/>
  <c r="N72" i="33" s="1"/>
  <c r="M76" i="33"/>
  <c r="M72" i="33" s="1"/>
  <c r="L76" i="33"/>
  <c r="L72" i="33" s="1"/>
  <c r="K76" i="33"/>
  <c r="K72" i="33" s="1"/>
  <c r="J76" i="33"/>
  <c r="J72" i="33" s="1"/>
  <c r="AI75" i="33"/>
  <c r="AH75" i="33"/>
  <c r="AG75" i="33"/>
  <c r="AF75" i="33"/>
  <c r="AE75" i="33"/>
  <c r="AD75" i="33"/>
  <c r="AC75" i="33"/>
  <c r="AB75" i="33"/>
  <c r="AA75" i="33"/>
  <c r="Z75" i="33"/>
  <c r="Y75" i="33"/>
  <c r="X75" i="33"/>
  <c r="W75" i="33"/>
  <c r="V75" i="33"/>
  <c r="U75" i="33"/>
  <c r="T75" i="33"/>
  <c r="S75" i="33"/>
  <c r="R75" i="33"/>
  <c r="Q75" i="33"/>
  <c r="P75" i="33"/>
  <c r="O75" i="33"/>
  <c r="N75" i="33"/>
  <c r="M75" i="33"/>
  <c r="L75" i="33"/>
  <c r="K75" i="33"/>
  <c r="J75" i="33"/>
  <c r="AI74" i="33"/>
  <c r="AH74" i="33"/>
  <c r="AG74" i="33"/>
  <c r="AF74" i="33"/>
  <c r="AE74" i="33"/>
  <c r="AD74" i="33"/>
  <c r="AC74" i="33"/>
  <c r="AB74" i="33"/>
  <c r="AA74" i="33"/>
  <c r="Z74" i="33"/>
  <c r="Y74" i="33"/>
  <c r="X74" i="33"/>
  <c r="W74" i="33"/>
  <c r="V74" i="33"/>
  <c r="U74" i="33"/>
  <c r="T74" i="33"/>
  <c r="S74" i="33"/>
  <c r="R74" i="33"/>
  <c r="Q74" i="33"/>
  <c r="P74" i="33"/>
  <c r="O74" i="33"/>
  <c r="N74" i="33"/>
  <c r="M74" i="33"/>
  <c r="L74" i="33"/>
  <c r="K74" i="33"/>
  <c r="J74" i="33"/>
  <c r="AI73" i="33"/>
  <c r="AH73" i="33"/>
  <c r="AG73" i="33"/>
  <c r="AF73" i="33"/>
  <c r="AE73" i="33"/>
  <c r="AD73" i="33"/>
  <c r="AC73" i="33"/>
  <c r="AB73" i="33"/>
  <c r="AA73" i="33"/>
  <c r="Z73" i="33"/>
  <c r="Y73" i="33"/>
  <c r="X73" i="33"/>
  <c r="W73" i="33"/>
  <c r="V73" i="33"/>
  <c r="U73" i="33"/>
  <c r="T73" i="33"/>
  <c r="S73" i="33"/>
  <c r="R73" i="33"/>
  <c r="Q73" i="33"/>
  <c r="P73" i="33"/>
  <c r="O73" i="33"/>
  <c r="N73" i="33"/>
  <c r="M73" i="33"/>
  <c r="L73" i="33"/>
  <c r="K73" i="33"/>
  <c r="J73" i="33"/>
  <c r="J70" i="33"/>
  <c r="I70" i="33"/>
  <c r="H70" i="33"/>
  <c r="G70" i="33"/>
  <c r="F70" i="33"/>
  <c r="E70" i="33"/>
  <c r="D70" i="33"/>
  <c r="C70" i="33"/>
  <c r="J69" i="33"/>
  <c r="I69" i="33"/>
  <c r="H69" i="33"/>
  <c r="G69" i="33"/>
  <c r="F69" i="33"/>
  <c r="E69" i="33"/>
  <c r="D69" i="33"/>
  <c r="C69" i="33"/>
  <c r="Z67" i="33"/>
  <c r="Y67" i="33"/>
  <c r="X67" i="33"/>
  <c r="W67" i="33"/>
  <c r="V67" i="33"/>
  <c r="U67" i="33"/>
  <c r="T67" i="33"/>
  <c r="S67" i="33"/>
  <c r="R67" i="33"/>
  <c r="Q67" i="33"/>
  <c r="P67" i="33"/>
  <c r="P68" i="33" s="1"/>
  <c r="O67" i="33"/>
  <c r="N67" i="33"/>
  <c r="M67" i="33"/>
  <c r="L67" i="33"/>
  <c r="K67" i="33"/>
  <c r="J67" i="33"/>
  <c r="I67" i="33"/>
  <c r="H67" i="33"/>
  <c r="H68" i="33" s="1"/>
  <c r="G67" i="33"/>
  <c r="F67" i="33"/>
  <c r="E67" i="33"/>
  <c r="D67" i="33"/>
  <c r="C67" i="33"/>
  <c r="Z60" i="33"/>
  <c r="AA60" i="33" s="1"/>
  <c r="AB60" i="33" s="1"/>
  <c r="AC60" i="33" s="1"/>
  <c r="AD60" i="33" s="1"/>
  <c r="AE60" i="33" s="1"/>
  <c r="AF60" i="33" s="1"/>
  <c r="AG60" i="33" s="1"/>
  <c r="AH60" i="33" s="1"/>
  <c r="AI60" i="33" s="1"/>
  <c r="Y60" i="33"/>
  <c r="X60" i="33"/>
  <c r="W60" i="33"/>
  <c r="V60" i="33"/>
  <c r="U60" i="33"/>
  <c r="T60" i="33"/>
  <c r="S60" i="33"/>
  <c r="R60" i="33"/>
  <c r="Q60" i="33"/>
  <c r="P60" i="33"/>
  <c r="O60" i="33"/>
  <c r="N60" i="33"/>
  <c r="M60" i="33"/>
  <c r="L60" i="33"/>
  <c r="K60" i="33"/>
  <c r="J60" i="33"/>
  <c r="I60" i="33"/>
  <c r="H60" i="33"/>
  <c r="G60" i="33"/>
  <c r="F60" i="33"/>
  <c r="E60" i="33"/>
  <c r="D60" i="33"/>
  <c r="C60" i="33"/>
  <c r="M56" i="33"/>
  <c r="N56" i="33" s="1"/>
  <c r="L56" i="33"/>
  <c r="K56" i="33"/>
  <c r="J56" i="33"/>
  <c r="I56" i="33"/>
  <c r="I52" i="33" a="1"/>
  <c r="K52" i="33" s="1"/>
  <c r="C42" i="33" a="1"/>
  <c r="K43" i="33" s="1"/>
  <c r="C26" i="33" a="1"/>
  <c r="F27" i="33" s="1"/>
  <c r="C3" i="33" a="1"/>
  <c r="J3" i="33" s="1"/>
  <c r="C2" i="33" a="1"/>
  <c r="G2" i="33" s="1"/>
  <c r="G109" i="33" s="1"/>
  <c r="AA1" i="33"/>
  <c r="AB1" i="33" s="1"/>
  <c r="AC1" i="33" s="1"/>
  <c r="AD1" i="33" s="1"/>
  <c r="AE1" i="33" s="1"/>
  <c r="AF1" i="33" s="1"/>
  <c r="AG1" i="33" s="1"/>
  <c r="AH1" i="33" s="1"/>
  <c r="AI1" i="33" s="1"/>
  <c r="I184" i="14"/>
  <c r="J184" i="14"/>
  <c r="H184" i="14"/>
  <c r="G124" i="14"/>
  <c r="G123" i="14"/>
  <c r="H123" i="14" s="1"/>
  <c r="X68" i="33" l="1"/>
  <c r="X66" i="34"/>
  <c r="X65" i="34"/>
  <c r="X67" i="34"/>
  <c r="X64" i="34"/>
  <c r="G300" i="48"/>
  <c r="G268" i="48"/>
  <c r="G300" i="49"/>
  <c r="G268" i="49"/>
  <c r="AA34" i="48"/>
  <c r="R34" i="48"/>
  <c r="K34" i="48"/>
  <c r="Y34" i="48"/>
  <c r="T34" i="48"/>
  <c r="M34" i="48"/>
  <c r="P34" i="48"/>
  <c r="N34" i="48"/>
  <c r="I34" i="48"/>
  <c r="W34" i="48"/>
  <c r="V34" i="48"/>
  <c r="H34" i="48"/>
  <c r="U34" i="48"/>
  <c r="Q34" i="48"/>
  <c r="S34" i="48"/>
  <c r="G34" i="48"/>
  <c r="G226" i="48" s="1"/>
  <c r="X34" i="48"/>
  <c r="J34" i="48"/>
  <c r="Z34" i="48"/>
  <c r="L34" i="48"/>
  <c r="O34" i="48"/>
  <c r="W34" i="49"/>
  <c r="S34" i="49"/>
  <c r="M34" i="49"/>
  <c r="N34" i="49"/>
  <c r="R34" i="49"/>
  <c r="O34" i="49"/>
  <c r="H34" i="49"/>
  <c r="Y34" i="49"/>
  <c r="P34" i="49"/>
  <c r="V34" i="49"/>
  <c r="K34" i="49"/>
  <c r="L34" i="49"/>
  <c r="T34" i="49"/>
  <c r="Q34" i="49"/>
  <c r="AA34" i="49"/>
  <c r="I34" i="49"/>
  <c r="U34" i="49"/>
  <c r="X34" i="49"/>
  <c r="G34" i="49"/>
  <c r="G226" i="49" s="1"/>
  <c r="Z34" i="49"/>
  <c r="J34" i="49"/>
  <c r="O124" i="46"/>
  <c r="N129" i="46"/>
  <c r="M68" i="33"/>
  <c r="U68" i="33"/>
  <c r="G68" i="33"/>
  <c r="O68" i="33"/>
  <c r="W68" i="33"/>
  <c r="H111" i="4"/>
  <c r="P111" i="4"/>
  <c r="G292" i="46"/>
  <c r="G260" i="46"/>
  <c r="G230" i="46"/>
  <c r="G231" i="46" s="1"/>
  <c r="G242" i="46" s="1"/>
  <c r="G243" i="46" s="1"/>
  <c r="G244" i="46" s="1"/>
  <c r="I68" i="33"/>
  <c r="J59" i="33"/>
  <c r="K68" i="33"/>
  <c r="L68" i="33"/>
  <c r="T68" i="33"/>
  <c r="Q68" i="33"/>
  <c r="J68" i="33"/>
  <c r="R68" i="33"/>
  <c r="AA67" i="33"/>
  <c r="Z68" i="33"/>
  <c r="S68" i="33"/>
  <c r="F68" i="33"/>
  <c r="N68" i="33"/>
  <c r="V68" i="33"/>
  <c r="Y68" i="33"/>
  <c r="I59" i="33"/>
  <c r="F59" i="33"/>
  <c r="G59" i="33"/>
  <c r="H59" i="33"/>
  <c r="G185" i="21"/>
  <c r="H185" i="21" s="1"/>
  <c r="G185" i="16"/>
  <c r="L2" i="33"/>
  <c r="L109" i="33" s="1"/>
  <c r="M2" i="33"/>
  <c r="G3" i="33"/>
  <c r="G22" i="33" s="1"/>
  <c r="M3" i="33"/>
  <c r="D2" i="33"/>
  <c r="D109" i="33" s="1"/>
  <c r="H2" i="33"/>
  <c r="C42" i="33"/>
  <c r="M43" i="33"/>
  <c r="C26" i="33"/>
  <c r="G42" i="33"/>
  <c r="C3" i="33"/>
  <c r="E26" i="33"/>
  <c r="H42" i="33"/>
  <c r="D3" i="33"/>
  <c r="K26" i="33"/>
  <c r="K42" i="33"/>
  <c r="L43" i="33"/>
  <c r="L50" i="33" s="1"/>
  <c r="M26" i="33"/>
  <c r="D43" i="33"/>
  <c r="E2" i="33"/>
  <c r="E109" i="33" s="1"/>
  <c r="H27" i="33"/>
  <c r="E43" i="33"/>
  <c r="L52" i="33"/>
  <c r="J27" i="33"/>
  <c r="H43" i="33"/>
  <c r="M52" i="33"/>
  <c r="N52" i="33" s="1"/>
  <c r="O52" i="33" s="1"/>
  <c r="P52" i="33" s="1"/>
  <c r="Q52" i="33" s="1"/>
  <c r="R52" i="33" s="1"/>
  <c r="S52" i="33" s="1"/>
  <c r="T52" i="33" s="1"/>
  <c r="U52" i="33" s="1"/>
  <c r="V52" i="33" s="1"/>
  <c r="W52" i="33" s="1"/>
  <c r="X52" i="33" s="1"/>
  <c r="Y52" i="33" s="1"/>
  <c r="Z52" i="33" s="1"/>
  <c r="AA52" i="33" s="1"/>
  <c r="AB52" i="33" s="1"/>
  <c r="AC52" i="33" s="1"/>
  <c r="AD52" i="33" s="1"/>
  <c r="AE52" i="33" s="1"/>
  <c r="AF52" i="33" s="1"/>
  <c r="AG52" i="33" s="1"/>
  <c r="AH52" i="33" s="1"/>
  <c r="AI52" i="33" s="1"/>
  <c r="I2" i="33"/>
  <c r="H3" i="33"/>
  <c r="J2" i="33"/>
  <c r="J22" i="33" s="1"/>
  <c r="C2" i="33"/>
  <c r="C109" i="33" s="1"/>
  <c r="K2" i="33"/>
  <c r="K3" i="33"/>
  <c r="I3" i="33"/>
  <c r="L3" i="33"/>
  <c r="F2" i="33"/>
  <c r="E3" i="33"/>
  <c r="F3" i="33"/>
  <c r="F26" i="33"/>
  <c r="C27" i="33"/>
  <c r="M27" i="33"/>
  <c r="G26" i="33"/>
  <c r="D27" i="33"/>
  <c r="H26" i="33"/>
  <c r="E27" i="33"/>
  <c r="F36" i="33" s="1"/>
  <c r="F37" i="33" s="1"/>
  <c r="O56" i="33"/>
  <c r="I26" i="33"/>
  <c r="L27" i="33"/>
  <c r="K27" i="33"/>
  <c r="J26" i="33"/>
  <c r="G27" i="33"/>
  <c r="G36" i="33" s="1"/>
  <c r="D26" i="33"/>
  <c r="L26" i="33"/>
  <c r="I27" i="33"/>
  <c r="I42" i="33"/>
  <c r="F43" i="33"/>
  <c r="J42" i="33"/>
  <c r="G43" i="33"/>
  <c r="D42" i="33"/>
  <c r="L42" i="33"/>
  <c r="I43" i="33"/>
  <c r="I52" i="33"/>
  <c r="E42" i="33"/>
  <c r="M42" i="33"/>
  <c r="J43" i="33"/>
  <c r="K50" i="33" s="1"/>
  <c r="J52" i="33"/>
  <c r="F42" i="33"/>
  <c r="C43" i="33"/>
  <c r="G260" i="49" l="1"/>
  <c r="G230" i="49"/>
  <c r="G231" i="49" s="1"/>
  <c r="G242" i="49" s="1"/>
  <c r="G243" i="49" s="1"/>
  <c r="G244" i="49" s="1"/>
  <c r="G292" i="49"/>
  <c r="G230" i="48"/>
  <c r="G231" i="48" s="1"/>
  <c r="G242" i="48" s="1"/>
  <c r="G243" i="48" s="1"/>
  <c r="G244" i="48" s="1"/>
  <c r="G292" i="48"/>
  <c r="G260" i="48"/>
  <c r="L22" i="33"/>
  <c r="P124" i="46"/>
  <c r="O129" i="46"/>
  <c r="F50" i="33"/>
  <c r="M5" i="33"/>
  <c r="M8" i="33" s="1"/>
  <c r="O111" i="4"/>
  <c r="D22" i="33"/>
  <c r="K111" i="4"/>
  <c r="L111" i="4"/>
  <c r="J111" i="4"/>
  <c r="M111" i="4"/>
  <c r="Q111" i="4"/>
  <c r="R111" i="4"/>
  <c r="N111" i="4"/>
  <c r="I111" i="4"/>
  <c r="AB67" i="33"/>
  <c r="AA68" i="33"/>
  <c r="L36" i="33"/>
  <c r="L37" i="33" s="1"/>
  <c r="BY43" i="33"/>
  <c r="G29" i="33"/>
  <c r="G33" i="33" s="1"/>
  <c r="I29" i="33"/>
  <c r="I32" i="33" s="1"/>
  <c r="I36" i="33"/>
  <c r="I39" i="33" s="1"/>
  <c r="E22" i="33"/>
  <c r="L53" i="33"/>
  <c r="G38" i="33"/>
  <c r="G40" i="33"/>
  <c r="G37" i="33"/>
  <c r="G39" i="33"/>
  <c r="K36" i="33"/>
  <c r="H36" i="33"/>
  <c r="M22" i="33"/>
  <c r="N22" i="33" s="1"/>
  <c r="O22" i="33" s="1"/>
  <c r="P22" i="33" s="1"/>
  <c r="Q22" i="33" s="1"/>
  <c r="R22" i="33" s="1"/>
  <c r="S22" i="33" s="1"/>
  <c r="T22" i="33" s="1"/>
  <c r="U22" i="33" s="1"/>
  <c r="V22" i="33" s="1"/>
  <c r="W22" i="33" s="1"/>
  <c r="X22" i="33" s="1"/>
  <c r="Y22" i="33" s="1"/>
  <c r="Z22" i="33" s="1"/>
  <c r="AA22" i="33" s="1"/>
  <c r="AB22" i="33" s="1"/>
  <c r="AC22" i="33" s="1"/>
  <c r="AD22" i="33" s="1"/>
  <c r="AE22" i="33" s="1"/>
  <c r="AF22" i="33" s="1"/>
  <c r="AG22" i="33" s="1"/>
  <c r="AH22" i="33" s="1"/>
  <c r="AI22" i="33" s="1"/>
  <c r="K29" i="33"/>
  <c r="K33" i="33" s="1"/>
  <c r="F38" i="33"/>
  <c r="F39" i="33"/>
  <c r="F40" i="33"/>
  <c r="L29" i="33"/>
  <c r="L31" i="33" s="1"/>
  <c r="M36" i="33"/>
  <c r="J36" i="33"/>
  <c r="F29" i="33"/>
  <c r="F31" i="33" s="1"/>
  <c r="M29" i="33"/>
  <c r="J29" i="33"/>
  <c r="BY26" i="33"/>
  <c r="H29" i="33"/>
  <c r="H22" i="33"/>
  <c r="C22" i="33"/>
  <c r="I22" i="33"/>
  <c r="F11" i="33"/>
  <c r="F14" i="33" s="1"/>
  <c r="F22" i="33"/>
  <c r="K11" i="33"/>
  <c r="K14" i="33" s="1"/>
  <c r="K22" i="33"/>
  <c r="H11" i="33"/>
  <c r="H12" i="33" s="1"/>
  <c r="H18" i="33" s="1"/>
  <c r="BY18" i="33" s="1"/>
  <c r="I5" i="33"/>
  <c r="I9" i="33" s="1"/>
  <c r="H50" i="33"/>
  <c r="I11" i="33"/>
  <c r="I14" i="33" s="1"/>
  <c r="BY42" i="33"/>
  <c r="BY27" i="33"/>
  <c r="M11" i="33"/>
  <c r="G11" i="33"/>
  <c r="L11" i="33"/>
  <c r="J11" i="33"/>
  <c r="L49" i="33"/>
  <c r="K49" i="33"/>
  <c r="K5" i="33"/>
  <c r="M109" i="33"/>
  <c r="M110" i="33"/>
  <c r="M53" i="33"/>
  <c r="N2" i="33"/>
  <c r="N5" i="33" s="1"/>
  <c r="E50" i="33"/>
  <c r="F109" i="33"/>
  <c r="F5" i="33"/>
  <c r="F7" i="33" s="1"/>
  <c r="G5" i="33"/>
  <c r="H49" i="33"/>
  <c r="H109" i="33"/>
  <c r="H5" i="33"/>
  <c r="J5" i="33"/>
  <c r="L5" i="33"/>
  <c r="M50" i="33"/>
  <c r="G49" i="33"/>
  <c r="F49" i="33"/>
  <c r="J50" i="33"/>
  <c r="G50" i="33"/>
  <c r="BY3" i="33"/>
  <c r="J53" i="33"/>
  <c r="J109" i="33"/>
  <c r="J49" i="33"/>
  <c r="I53" i="33"/>
  <c r="I109" i="33"/>
  <c r="P56" i="33"/>
  <c r="I49" i="33"/>
  <c r="K53" i="33"/>
  <c r="K109" i="33"/>
  <c r="M49" i="33"/>
  <c r="I50" i="33"/>
  <c r="E49" i="33"/>
  <c r="BY2" i="33"/>
  <c r="F62" i="33" l="1"/>
  <c r="F118" i="33"/>
  <c r="M63" i="33"/>
  <c r="M119" i="33"/>
  <c r="I64" i="33"/>
  <c r="I120" i="33"/>
  <c r="M6" i="33"/>
  <c r="G32" i="33"/>
  <c r="M7" i="33"/>
  <c r="M9" i="33"/>
  <c r="F41" i="33"/>
  <c r="K30" i="33"/>
  <c r="Q124" i="46"/>
  <c r="P129" i="46"/>
  <c r="I31" i="33"/>
  <c r="I30" i="33"/>
  <c r="K32" i="33"/>
  <c r="S111" i="4"/>
  <c r="G30" i="33"/>
  <c r="G31" i="33"/>
  <c r="I37" i="33"/>
  <c r="AC67" i="33"/>
  <c r="AB68" i="33"/>
  <c r="L40" i="33"/>
  <c r="L39" i="33"/>
  <c r="I33" i="33"/>
  <c r="L38" i="33"/>
  <c r="I40" i="33"/>
  <c r="I38" i="33"/>
  <c r="F12" i="33"/>
  <c r="F18" i="33" s="1"/>
  <c r="I7" i="33"/>
  <c r="I8" i="33"/>
  <c r="K31" i="33"/>
  <c r="F13" i="33"/>
  <c r="L32" i="33"/>
  <c r="H38" i="33"/>
  <c r="H40" i="33"/>
  <c r="H37" i="33"/>
  <c r="H39" i="33"/>
  <c r="K39" i="33"/>
  <c r="K37" i="33"/>
  <c r="K38" i="33"/>
  <c r="K40" i="33"/>
  <c r="L30" i="33"/>
  <c r="G41" i="33"/>
  <c r="M40" i="33"/>
  <c r="M37" i="33"/>
  <c r="M39" i="33"/>
  <c r="M38" i="33"/>
  <c r="I6" i="33"/>
  <c r="L33" i="33"/>
  <c r="J39" i="33"/>
  <c r="J40" i="33"/>
  <c r="J38" i="33"/>
  <c r="J37" i="33"/>
  <c r="F33" i="33"/>
  <c r="F15" i="33"/>
  <c r="F32" i="33"/>
  <c r="F30" i="33"/>
  <c r="I13" i="33"/>
  <c r="H32" i="33"/>
  <c r="H30" i="33"/>
  <c r="H31" i="33"/>
  <c r="H33" i="33"/>
  <c r="I15" i="33"/>
  <c r="J33" i="33"/>
  <c r="J30" i="33"/>
  <c r="J32" i="33"/>
  <c r="J31" i="33"/>
  <c r="I12" i="33"/>
  <c r="I18" i="33" s="1"/>
  <c r="M31" i="33"/>
  <c r="M33" i="33"/>
  <c r="M30" i="33"/>
  <c r="M32" i="33"/>
  <c r="K13" i="33"/>
  <c r="K12" i="33"/>
  <c r="K18" i="33" s="1"/>
  <c r="K15" i="33"/>
  <c r="H14" i="33"/>
  <c r="H13" i="33"/>
  <c r="H15" i="33"/>
  <c r="G13" i="33"/>
  <c r="G14" i="33"/>
  <c r="G12" i="33"/>
  <c r="G18" i="33" s="1"/>
  <c r="G15" i="33"/>
  <c r="M12" i="33"/>
  <c r="M18" i="33" s="1"/>
  <c r="M13" i="33"/>
  <c r="M14" i="33"/>
  <c r="M15" i="33"/>
  <c r="L13" i="33"/>
  <c r="L14" i="33"/>
  <c r="L15" i="33"/>
  <c r="L12" i="33"/>
  <c r="L18" i="33" s="1"/>
  <c r="J14" i="33"/>
  <c r="J12" i="33"/>
  <c r="J18" i="33" s="1"/>
  <c r="J15" i="33"/>
  <c r="J13" i="33"/>
  <c r="N8" i="33"/>
  <c r="N7" i="33"/>
  <c r="N9" i="33"/>
  <c r="N6" i="33"/>
  <c r="L7" i="33"/>
  <c r="L9" i="33"/>
  <c r="L6" i="33"/>
  <c r="L8" i="33"/>
  <c r="F8" i="33"/>
  <c r="F9" i="33"/>
  <c r="F6" i="33"/>
  <c r="J7" i="33"/>
  <c r="J9" i="33"/>
  <c r="J6" i="33"/>
  <c r="J8" i="33"/>
  <c r="H9" i="33"/>
  <c r="H6" i="33"/>
  <c r="H8" i="33"/>
  <c r="H7" i="33"/>
  <c r="K7" i="33"/>
  <c r="K9" i="33"/>
  <c r="K6" i="33"/>
  <c r="K8" i="33"/>
  <c r="G6" i="33"/>
  <c r="G8" i="33"/>
  <c r="G9" i="33"/>
  <c r="G7" i="33"/>
  <c r="N53" i="33"/>
  <c r="N26" i="33" s="1"/>
  <c r="N110" i="33"/>
  <c r="N3" i="33"/>
  <c r="O2" i="33"/>
  <c r="Q56" i="33"/>
  <c r="O5" i="33" l="1"/>
  <c r="AL10" i="33"/>
  <c r="M61" i="33"/>
  <c r="M117" i="33"/>
  <c r="M17" i="33"/>
  <c r="M19" i="33" s="1"/>
  <c r="K62" i="33"/>
  <c r="K118" i="33"/>
  <c r="H62" i="33"/>
  <c r="H118" i="33"/>
  <c r="H63" i="33"/>
  <c r="H119" i="33"/>
  <c r="N62" i="33"/>
  <c r="N118" i="33"/>
  <c r="I61" i="33"/>
  <c r="I117" i="33"/>
  <c r="I17" i="33"/>
  <c r="I19" i="33" s="1"/>
  <c r="L62" i="33"/>
  <c r="L118" i="33"/>
  <c r="G62" i="33"/>
  <c r="G118" i="33"/>
  <c r="F61" i="33"/>
  <c r="F117" i="33"/>
  <c r="F17" i="33"/>
  <c r="F19" i="33" s="1"/>
  <c r="N64" i="33"/>
  <c r="N120" i="33"/>
  <c r="G64" i="33"/>
  <c r="G120" i="33"/>
  <c r="F64" i="33"/>
  <c r="F120" i="33"/>
  <c r="G63" i="33"/>
  <c r="G119" i="33"/>
  <c r="H61" i="33"/>
  <c r="H117" i="33"/>
  <c r="H17" i="33"/>
  <c r="H19" i="33" s="1"/>
  <c r="BY19" i="33" s="1"/>
  <c r="F63" i="33"/>
  <c r="F119" i="33"/>
  <c r="N63" i="33"/>
  <c r="N119" i="33"/>
  <c r="M64" i="33"/>
  <c r="M120" i="33"/>
  <c r="K64" i="33"/>
  <c r="K120" i="33"/>
  <c r="J62" i="33"/>
  <c r="J118" i="33"/>
  <c r="H64" i="33"/>
  <c r="H120" i="33"/>
  <c r="M62" i="33"/>
  <c r="M118" i="33"/>
  <c r="M121" i="33" s="1"/>
  <c r="N61" i="33"/>
  <c r="N117" i="33"/>
  <c r="N17" i="33"/>
  <c r="L63" i="33"/>
  <c r="L119" i="33"/>
  <c r="K63" i="33"/>
  <c r="K119" i="33"/>
  <c r="J63" i="33"/>
  <c r="J119" i="33"/>
  <c r="L61" i="33"/>
  <c r="L117" i="33"/>
  <c r="L17" i="33"/>
  <c r="L19" i="33" s="1"/>
  <c r="I62" i="33"/>
  <c r="I118" i="33"/>
  <c r="J64" i="33"/>
  <c r="J120" i="33"/>
  <c r="G61" i="33"/>
  <c r="G117" i="33"/>
  <c r="G17" i="33"/>
  <c r="G19" i="33" s="1"/>
  <c r="I63" i="33"/>
  <c r="I119" i="33"/>
  <c r="K61" i="33"/>
  <c r="K117" i="33"/>
  <c r="K17" i="33"/>
  <c r="K19" i="33" s="1"/>
  <c r="J61" i="33"/>
  <c r="J117" i="33"/>
  <c r="J17" i="33"/>
  <c r="J19" i="33" s="1"/>
  <c r="L64" i="33"/>
  <c r="L120" i="33"/>
  <c r="K34" i="33"/>
  <c r="G34" i="33"/>
  <c r="I34" i="33"/>
  <c r="R124" i="46"/>
  <c r="Q129" i="46"/>
  <c r="L41" i="33"/>
  <c r="I41" i="33"/>
  <c r="T111" i="4"/>
  <c r="L34" i="33"/>
  <c r="AD67" i="33"/>
  <c r="AC68" i="33"/>
  <c r="J41" i="33"/>
  <c r="K41" i="33"/>
  <c r="M41" i="33"/>
  <c r="H41" i="33"/>
  <c r="N11" i="33"/>
  <c r="N13" i="33" s="1"/>
  <c r="C31" i="35"/>
  <c r="C32" i="35" s="1"/>
  <c r="F34" i="33"/>
  <c r="N27" i="33"/>
  <c r="N36" i="33" s="1"/>
  <c r="N29" i="33"/>
  <c r="H34" i="33"/>
  <c r="M34" i="33"/>
  <c r="J34" i="33"/>
  <c r="O110" i="33"/>
  <c r="O53" i="33"/>
  <c r="O26" i="33" s="1"/>
  <c r="O6" i="33"/>
  <c r="O8" i="33"/>
  <c r="O119" i="33" s="1"/>
  <c r="O7" i="33"/>
  <c r="O9" i="33"/>
  <c r="P2" i="33"/>
  <c r="P5" i="33" s="1"/>
  <c r="O3" i="33"/>
  <c r="AM10" i="33" s="1"/>
  <c r="R56" i="33"/>
  <c r="AM12" i="33" l="1"/>
  <c r="AM13" i="33"/>
  <c r="H54" i="54" s="1"/>
  <c r="H58" i="54" s="1"/>
  <c r="H21" i="83" s="1"/>
  <c r="AL12" i="33"/>
  <c r="AL13" i="33"/>
  <c r="H53" i="54" s="1"/>
  <c r="I57" i="54" s="1"/>
  <c r="I21" i="82" s="1"/>
  <c r="I121" i="33"/>
  <c r="K121" i="33"/>
  <c r="J121" i="33"/>
  <c r="G121" i="33"/>
  <c r="P119" i="33"/>
  <c r="N121" i="33"/>
  <c r="L121" i="33"/>
  <c r="H121" i="33"/>
  <c r="F121" i="33"/>
  <c r="O64" i="33"/>
  <c r="O120" i="33"/>
  <c r="P120" i="33" s="1"/>
  <c r="O62" i="33"/>
  <c r="O118" i="33"/>
  <c r="P118" i="33" s="1"/>
  <c r="O61" i="33"/>
  <c r="O117" i="33"/>
  <c r="P117" i="33" s="1"/>
  <c r="O17" i="33"/>
  <c r="S124" i="46"/>
  <c r="R129" i="46"/>
  <c r="U111" i="4"/>
  <c r="N14" i="33"/>
  <c r="N12" i="33"/>
  <c r="N18" i="33" s="1"/>
  <c r="N19" i="33" s="1"/>
  <c r="N15" i="33"/>
  <c r="AE67" i="33"/>
  <c r="AD68" i="33"/>
  <c r="O63" i="33"/>
  <c r="O11" i="33"/>
  <c r="O14" i="33" s="1"/>
  <c r="D31" i="35"/>
  <c r="D32" i="35" s="1"/>
  <c r="N40" i="33"/>
  <c r="N37" i="33"/>
  <c r="N39" i="33"/>
  <c r="N38" i="33"/>
  <c r="O27" i="33"/>
  <c r="O36" i="33" s="1"/>
  <c r="O29" i="33"/>
  <c r="N31" i="33"/>
  <c r="N33" i="33"/>
  <c r="N30" i="33"/>
  <c r="N32" i="33"/>
  <c r="Q2" i="33"/>
  <c r="Q5" i="33" s="1"/>
  <c r="H90" i="21"/>
  <c r="P3" i="33"/>
  <c r="P110" i="33"/>
  <c r="P53" i="33"/>
  <c r="P26" i="33" s="1"/>
  <c r="S56" i="33"/>
  <c r="H57" i="54" l="1"/>
  <c r="H21" i="82" s="1"/>
  <c r="N5" i="77"/>
  <c r="N7" i="77" s="1"/>
  <c r="M5" i="77"/>
  <c r="M7" i="77" s="1"/>
  <c r="Q5" i="77"/>
  <c r="Q7" i="77" s="1"/>
  <c r="P5" i="77"/>
  <c r="P7" i="77" s="1"/>
  <c r="O5" i="77"/>
  <c r="O7" i="77" s="1"/>
  <c r="O5" i="73"/>
  <c r="O7" i="73" s="1"/>
  <c r="I5" i="73"/>
  <c r="I7" i="73" s="1"/>
  <c r="D60" i="54"/>
  <c r="F5" i="73"/>
  <c r="F7" i="73" s="1"/>
  <c r="J5" i="73"/>
  <c r="J7" i="73" s="1"/>
  <c r="P5" i="73"/>
  <c r="P7" i="73" s="1"/>
  <c r="K5" i="73"/>
  <c r="K7" i="73" s="1"/>
  <c r="N5" i="73"/>
  <c r="N7" i="73" s="1"/>
  <c r="G5" i="73"/>
  <c r="G7" i="73" s="1"/>
  <c r="Q5" i="73"/>
  <c r="Q7" i="73" s="1"/>
  <c r="E5" i="73"/>
  <c r="E7" i="73" s="1"/>
  <c r="H5" i="73"/>
  <c r="H7" i="73" s="1"/>
  <c r="C60" i="54"/>
  <c r="L5" i="73"/>
  <c r="L7" i="73" s="1"/>
  <c r="M5" i="73"/>
  <c r="M7" i="73" s="1"/>
  <c r="F57" i="54"/>
  <c r="G57" i="54"/>
  <c r="C57" i="54"/>
  <c r="E57" i="54"/>
  <c r="D57" i="54"/>
  <c r="C52" i="54"/>
  <c r="L57" i="54"/>
  <c r="L21" i="82" s="1"/>
  <c r="R57" i="54"/>
  <c r="R21" i="82" s="1"/>
  <c r="Z57" i="54"/>
  <c r="Z21" i="82" s="1"/>
  <c r="AA57" i="54"/>
  <c r="AA21" i="82" s="1"/>
  <c r="T57" i="54"/>
  <c r="T21" i="82" s="1"/>
  <c r="W57" i="54"/>
  <c r="W21" i="82" s="1"/>
  <c r="J57" i="54"/>
  <c r="J21" i="82" s="1"/>
  <c r="K57" i="54"/>
  <c r="K21" i="82" s="1"/>
  <c r="O57" i="54"/>
  <c r="O21" i="82" s="1"/>
  <c r="S57" i="54"/>
  <c r="S21" i="82" s="1"/>
  <c r="Y57" i="54"/>
  <c r="Y21" i="82" s="1"/>
  <c r="Q57" i="54"/>
  <c r="Q21" i="82" s="1"/>
  <c r="U57" i="54"/>
  <c r="U21" i="82" s="1"/>
  <c r="N57" i="54"/>
  <c r="N21" i="82" s="1"/>
  <c r="V57" i="54"/>
  <c r="V21" i="82" s="1"/>
  <c r="X57" i="54"/>
  <c r="X21" i="82" s="1"/>
  <c r="P57" i="54"/>
  <c r="P21" i="82" s="1"/>
  <c r="M57" i="54"/>
  <c r="M21" i="82" s="1"/>
  <c r="Q5" i="79"/>
  <c r="Q7" i="79" s="1"/>
  <c r="P5" i="79"/>
  <c r="P7" i="79" s="1"/>
  <c r="N5" i="79"/>
  <c r="N7" i="79" s="1"/>
  <c r="M5" i="79"/>
  <c r="M7" i="79" s="1"/>
  <c r="O5" i="79"/>
  <c r="O7" i="79" s="1"/>
  <c r="Q5" i="75"/>
  <c r="Q7" i="75" s="1"/>
  <c r="L5" i="75"/>
  <c r="L7" i="75" s="1"/>
  <c r="G5" i="75"/>
  <c r="G7" i="75" s="1"/>
  <c r="K5" i="75"/>
  <c r="K7" i="75" s="1"/>
  <c r="E5" i="75"/>
  <c r="E7" i="75" s="1"/>
  <c r="J5" i="75"/>
  <c r="J7" i="75" s="1"/>
  <c r="N5" i="75"/>
  <c r="N7" i="75" s="1"/>
  <c r="M5" i="75"/>
  <c r="M7" i="75" s="1"/>
  <c r="F5" i="75"/>
  <c r="F7" i="75" s="1"/>
  <c r="H5" i="75"/>
  <c r="H7" i="75" s="1"/>
  <c r="P5" i="75"/>
  <c r="P7" i="75" s="1"/>
  <c r="O5" i="75"/>
  <c r="O7" i="75" s="1"/>
  <c r="I5" i="75"/>
  <c r="I7" i="75" s="1"/>
  <c r="C61" i="54"/>
  <c r="D61" i="54"/>
  <c r="F58" i="54"/>
  <c r="G58" i="54"/>
  <c r="D58" i="54"/>
  <c r="C58" i="54"/>
  <c r="E58" i="54"/>
  <c r="V58" i="54"/>
  <c r="L58" i="54"/>
  <c r="L21" i="83" s="1"/>
  <c r="I58" i="54"/>
  <c r="I21" i="83" s="1"/>
  <c r="J58" i="54"/>
  <c r="J21" i="83" s="1"/>
  <c r="S58" i="54"/>
  <c r="S21" i="83" s="1"/>
  <c r="T58" i="54"/>
  <c r="O58" i="54"/>
  <c r="O21" i="83" s="1"/>
  <c r="Q58" i="54"/>
  <c r="Q21" i="83" s="1"/>
  <c r="W58" i="54"/>
  <c r="X58" i="54"/>
  <c r="M58" i="54"/>
  <c r="M21" i="83" s="1"/>
  <c r="N58" i="54"/>
  <c r="N21" i="83" s="1"/>
  <c r="AA58" i="54"/>
  <c r="Z58" i="54"/>
  <c r="P58" i="54"/>
  <c r="P21" i="83" s="1"/>
  <c r="U58" i="54"/>
  <c r="K58" i="54"/>
  <c r="K21" i="83" s="1"/>
  <c r="R58" i="54"/>
  <c r="R21" i="83" s="1"/>
  <c r="Y58" i="54"/>
  <c r="G186" i="49"/>
  <c r="G186" i="80"/>
  <c r="G186" i="76"/>
  <c r="G186" i="83"/>
  <c r="O121" i="33"/>
  <c r="P121" i="33" s="1"/>
  <c r="T124" i="46"/>
  <c r="S129" i="46"/>
  <c r="H91" i="48"/>
  <c r="H93" i="48"/>
  <c r="V111" i="4"/>
  <c r="P61" i="33"/>
  <c r="G186" i="11"/>
  <c r="G186" i="13"/>
  <c r="AF67" i="33"/>
  <c r="AE68" i="33"/>
  <c r="O13" i="33"/>
  <c r="O12" i="33"/>
  <c r="O18" i="33" s="1"/>
  <c r="O19" i="33" s="1"/>
  <c r="O15" i="33"/>
  <c r="P62" i="33"/>
  <c r="Q62" i="33"/>
  <c r="H90" i="16"/>
  <c r="H90" i="82" s="1"/>
  <c r="P64" i="33"/>
  <c r="H91" i="21"/>
  <c r="P63" i="33"/>
  <c r="H90" i="29" s="1"/>
  <c r="H37" i="29" s="1"/>
  <c r="P11" i="33"/>
  <c r="E31" i="35"/>
  <c r="E32" i="35" s="1"/>
  <c r="O38" i="33"/>
  <c r="O39" i="33"/>
  <c r="G112" i="25" s="1"/>
  <c r="O40" i="33"/>
  <c r="O37" i="33"/>
  <c r="N41" i="33"/>
  <c r="G186" i="25"/>
  <c r="N34" i="33"/>
  <c r="P27" i="33"/>
  <c r="P36" i="33" s="1"/>
  <c r="P29" i="33"/>
  <c r="O32" i="33"/>
  <c r="O31" i="33"/>
  <c r="O33" i="33"/>
  <c r="O30" i="33"/>
  <c r="Q110" i="33"/>
  <c r="R2" i="33"/>
  <c r="R5" i="33" s="1"/>
  <c r="Q3" i="33"/>
  <c r="Q53" i="33"/>
  <c r="Q26" i="33" s="1"/>
  <c r="T56" i="33"/>
  <c r="H93" i="82" l="1"/>
  <c r="H91" i="82"/>
  <c r="E60" i="54"/>
  <c r="H21" i="74"/>
  <c r="H21" i="78"/>
  <c r="P21" i="80"/>
  <c r="P21" i="76"/>
  <c r="O21" i="76"/>
  <c r="O21" i="80"/>
  <c r="H21" i="80"/>
  <c r="H21" i="76"/>
  <c r="N21" i="80"/>
  <c r="N21" i="76"/>
  <c r="J21" i="80"/>
  <c r="J21" i="76"/>
  <c r="Q21" i="76"/>
  <c r="Q21" i="80"/>
  <c r="M21" i="80"/>
  <c r="M21" i="76"/>
  <c r="I21" i="80"/>
  <c r="I21" i="76"/>
  <c r="L21" i="76"/>
  <c r="L21" i="80"/>
  <c r="K21" i="76"/>
  <c r="K21" i="80"/>
  <c r="AA21" i="74"/>
  <c r="AA21" i="78"/>
  <c r="T21" i="74"/>
  <c r="T21" i="78"/>
  <c r="Y21" i="74"/>
  <c r="Y21" i="78"/>
  <c r="Z21" i="74"/>
  <c r="Z21" i="78"/>
  <c r="S21" i="74"/>
  <c r="S21" i="78"/>
  <c r="X21" i="74"/>
  <c r="X21" i="78"/>
  <c r="V21" i="74"/>
  <c r="V21" i="78"/>
  <c r="U21" i="74"/>
  <c r="U21" i="78"/>
  <c r="W21" i="74"/>
  <c r="W21" i="78"/>
  <c r="R21" i="74"/>
  <c r="R21" i="78"/>
  <c r="Q21" i="74"/>
  <c r="Q21" i="78"/>
  <c r="M21" i="74"/>
  <c r="M21" i="78"/>
  <c r="P21" i="74"/>
  <c r="P21" i="78"/>
  <c r="O21" i="74"/>
  <c r="O21" i="78"/>
  <c r="L21" i="74"/>
  <c r="L21" i="78"/>
  <c r="K21" i="74"/>
  <c r="K21" i="78"/>
  <c r="N21" i="74"/>
  <c r="N21" i="78"/>
  <c r="J21" i="74"/>
  <c r="J21" i="78"/>
  <c r="I21" i="74"/>
  <c r="I21" i="78"/>
  <c r="T18" i="75"/>
  <c r="K18" i="75"/>
  <c r="I18" i="75"/>
  <c r="U18" i="75"/>
  <c r="M18" i="75"/>
  <c r="N18" i="75"/>
  <c r="P18" i="75"/>
  <c r="R18" i="75"/>
  <c r="S18" i="75"/>
  <c r="L18" i="75"/>
  <c r="J18" i="75"/>
  <c r="O18" i="75"/>
  <c r="Q18" i="75"/>
  <c r="V18" i="75"/>
  <c r="R5" i="77"/>
  <c r="R7" i="77" s="1"/>
  <c r="R5" i="73"/>
  <c r="R7" i="73" s="1"/>
  <c r="R5" i="79"/>
  <c r="R7" i="79" s="1"/>
  <c r="E61" i="54"/>
  <c r="R5" i="75"/>
  <c r="R7" i="75" s="1"/>
  <c r="T24" i="75"/>
  <c r="R24" i="75"/>
  <c r="P24" i="75"/>
  <c r="U24" i="75"/>
  <c r="O24" i="75"/>
  <c r="Q24" i="75"/>
  <c r="V24" i="75"/>
  <c r="S24" i="75"/>
  <c r="N20" i="75"/>
  <c r="M20" i="75"/>
  <c r="Q20" i="75"/>
  <c r="O20" i="75"/>
  <c r="S20" i="75"/>
  <c r="R20" i="75"/>
  <c r="V20" i="75"/>
  <c r="U20" i="75"/>
  <c r="L20" i="75"/>
  <c r="P20" i="75"/>
  <c r="T20" i="75"/>
  <c r="K20" i="75"/>
  <c r="V26" i="79"/>
  <c r="T26" i="79"/>
  <c r="S26" i="79"/>
  <c r="R26" i="79"/>
  <c r="U26" i="79"/>
  <c r="Q26" i="79"/>
  <c r="V5" i="73"/>
  <c r="V7" i="73" s="1"/>
  <c r="V31" i="73" s="1"/>
  <c r="V5" i="77"/>
  <c r="V7" i="77" s="1"/>
  <c r="V31" i="77" s="1"/>
  <c r="K16" i="73"/>
  <c r="N16" i="73"/>
  <c r="R16" i="73"/>
  <c r="G16" i="73"/>
  <c r="O16" i="73"/>
  <c r="T16" i="73"/>
  <c r="J16" i="73"/>
  <c r="M16" i="73"/>
  <c r="S16" i="73"/>
  <c r="V16" i="73"/>
  <c r="H16" i="73"/>
  <c r="Q16" i="73"/>
  <c r="L16" i="73"/>
  <c r="I16" i="73"/>
  <c r="P16" i="73"/>
  <c r="U16" i="73"/>
  <c r="Q24" i="73"/>
  <c r="S24" i="73"/>
  <c r="O24" i="73"/>
  <c r="U24" i="73"/>
  <c r="V24" i="73"/>
  <c r="T24" i="73"/>
  <c r="R24" i="73"/>
  <c r="P24" i="73"/>
  <c r="Z21" i="83"/>
  <c r="Z21" i="76"/>
  <c r="Z21" i="80"/>
  <c r="T21" i="83"/>
  <c r="T21" i="76"/>
  <c r="T21" i="80"/>
  <c r="S5" i="75"/>
  <c r="S7" i="75" s="1"/>
  <c r="S5" i="79"/>
  <c r="S7" i="79" s="1"/>
  <c r="T25" i="75"/>
  <c r="R25" i="75"/>
  <c r="P25" i="75"/>
  <c r="V25" i="75"/>
  <c r="S25" i="75"/>
  <c r="U25" i="75"/>
  <c r="Q25" i="75"/>
  <c r="L16" i="75"/>
  <c r="V16" i="75"/>
  <c r="I16" i="75"/>
  <c r="G16" i="75"/>
  <c r="H16" i="75"/>
  <c r="O16" i="75"/>
  <c r="R16" i="75"/>
  <c r="M16" i="75"/>
  <c r="P16" i="75"/>
  <c r="N16" i="75"/>
  <c r="S16" i="75"/>
  <c r="U16" i="75"/>
  <c r="T16" i="75"/>
  <c r="Q16" i="75"/>
  <c r="K16" i="75"/>
  <c r="J16" i="75"/>
  <c r="U5" i="73"/>
  <c r="U7" i="73" s="1"/>
  <c r="U30" i="73" s="1"/>
  <c r="U5" i="77"/>
  <c r="U7" i="77" s="1"/>
  <c r="N23" i="73"/>
  <c r="V23" i="73"/>
  <c r="T23" i="73"/>
  <c r="S23" i="73"/>
  <c r="R23" i="73"/>
  <c r="U23" i="73"/>
  <c r="P23" i="73"/>
  <c r="O23" i="73"/>
  <c r="Q23" i="73"/>
  <c r="Q24" i="77"/>
  <c r="U24" i="77"/>
  <c r="O24" i="77"/>
  <c r="P24" i="77"/>
  <c r="V24" i="77"/>
  <c r="T24" i="77"/>
  <c r="R24" i="77"/>
  <c r="S24" i="77"/>
  <c r="R18" i="73"/>
  <c r="T18" i="73"/>
  <c r="S18" i="73"/>
  <c r="O18" i="73"/>
  <c r="P18" i="73"/>
  <c r="U18" i="73"/>
  <c r="Q18" i="73"/>
  <c r="K18" i="73"/>
  <c r="J18" i="73"/>
  <c r="V18" i="73"/>
  <c r="L18" i="73"/>
  <c r="I18" i="73"/>
  <c r="N18" i="73"/>
  <c r="M18" i="73"/>
  <c r="AA21" i="83"/>
  <c r="AA21" i="76"/>
  <c r="AA21" i="80"/>
  <c r="S21" i="76"/>
  <c r="S21" i="80"/>
  <c r="Q17" i="75"/>
  <c r="O17" i="75"/>
  <c r="N17" i="75"/>
  <c r="S17" i="75"/>
  <c r="K17" i="75"/>
  <c r="M17" i="75"/>
  <c r="R17" i="75"/>
  <c r="I17" i="75"/>
  <c r="H17" i="75"/>
  <c r="V17" i="75"/>
  <c r="P17" i="75"/>
  <c r="J17" i="75"/>
  <c r="T17" i="75"/>
  <c r="U17" i="75"/>
  <c r="L17" i="75"/>
  <c r="R21" i="75"/>
  <c r="N21" i="75"/>
  <c r="L21" i="75"/>
  <c r="U21" i="75"/>
  <c r="M21" i="75"/>
  <c r="S21" i="75"/>
  <c r="O21" i="75"/>
  <c r="T21" i="75"/>
  <c r="Q21" i="75"/>
  <c r="P21" i="75"/>
  <c r="V21" i="75"/>
  <c r="M22" i="73"/>
  <c r="R22" i="73"/>
  <c r="P22" i="73"/>
  <c r="Q22" i="73"/>
  <c r="O22" i="73"/>
  <c r="U22" i="73"/>
  <c r="S22" i="73"/>
  <c r="T22" i="73"/>
  <c r="V22" i="73"/>
  <c r="N22" i="73"/>
  <c r="L20" i="73"/>
  <c r="S20" i="73"/>
  <c r="U20" i="73"/>
  <c r="M20" i="73"/>
  <c r="K20" i="73"/>
  <c r="N20" i="73"/>
  <c r="R20" i="73"/>
  <c r="Q20" i="73"/>
  <c r="T20" i="73"/>
  <c r="P20" i="73"/>
  <c r="V20" i="73"/>
  <c r="O20" i="73"/>
  <c r="V25" i="77"/>
  <c r="P25" i="77"/>
  <c r="Q25" i="77"/>
  <c r="U25" i="77"/>
  <c r="S25" i="77"/>
  <c r="R25" i="77"/>
  <c r="T25" i="77"/>
  <c r="Q14" i="75"/>
  <c r="U14" i="75"/>
  <c r="M14" i="75"/>
  <c r="K14" i="75"/>
  <c r="R14" i="75"/>
  <c r="E14" i="75"/>
  <c r="E32" i="75" s="1"/>
  <c r="T14" i="75"/>
  <c r="F14" i="75"/>
  <c r="S14" i="75"/>
  <c r="O14" i="75"/>
  <c r="I14" i="75"/>
  <c r="J14" i="75"/>
  <c r="P14" i="75"/>
  <c r="V14" i="75"/>
  <c r="L14" i="75"/>
  <c r="H14" i="75"/>
  <c r="N14" i="75"/>
  <c r="G14" i="75"/>
  <c r="V5" i="75"/>
  <c r="V7" i="75" s="1"/>
  <c r="V31" i="75" s="1"/>
  <c r="V5" i="79"/>
  <c r="V7" i="79" s="1"/>
  <c r="V31" i="79" s="1"/>
  <c r="O15" i="75"/>
  <c r="P15" i="75"/>
  <c r="K15" i="75"/>
  <c r="M15" i="75"/>
  <c r="J15" i="75"/>
  <c r="V15" i="75"/>
  <c r="Q15" i="75"/>
  <c r="T15" i="75"/>
  <c r="L15" i="75"/>
  <c r="R15" i="75"/>
  <c r="G15" i="75"/>
  <c r="H15" i="75"/>
  <c r="N15" i="75"/>
  <c r="I15" i="75"/>
  <c r="U15" i="75"/>
  <c r="S15" i="75"/>
  <c r="F15" i="75"/>
  <c r="T26" i="75"/>
  <c r="S26" i="75"/>
  <c r="U26" i="75"/>
  <c r="R26" i="75"/>
  <c r="Q26" i="75"/>
  <c r="V26" i="75"/>
  <c r="R21" i="73"/>
  <c r="S21" i="73"/>
  <c r="M21" i="73"/>
  <c r="V21" i="73"/>
  <c r="O21" i="73"/>
  <c r="N21" i="73"/>
  <c r="Q21" i="73"/>
  <c r="L21" i="73"/>
  <c r="T21" i="73"/>
  <c r="P21" i="73"/>
  <c r="U21" i="73"/>
  <c r="T25" i="73"/>
  <c r="Q25" i="73"/>
  <c r="R25" i="73"/>
  <c r="U25" i="73"/>
  <c r="P25" i="73"/>
  <c r="V25" i="73"/>
  <c r="S25" i="73"/>
  <c r="V26" i="77"/>
  <c r="S26" i="77"/>
  <c r="U26" i="77"/>
  <c r="T26" i="77"/>
  <c r="Q26" i="77"/>
  <c r="R26" i="77"/>
  <c r="U21" i="83"/>
  <c r="U21" i="76"/>
  <c r="U21" i="80"/>
  <c r="T5" i="75"/>
  <c r="T7" i="75" s="1"/>
  <c r="T5" i="79"/>
  <c r="T7" i="79" s="1"/>
  <c r="Y21" i="83"/>
  <c r="Y21" i="76"/>
  <c r="Y21" i="80"/>
  <c r="U5" i="79"/>
  <c r="U7" i="79" s="1"/>
  <c r="U5" i="75"/>
  <c r="U7" i="75" s="1"/>
  <c r="S22" i="75"/>
  <c r="T22" i="75"/>
  <c r="V22" i="75"/>
  <c r="O22" i="75"/>
  <c r="U22" i="75"/>
  <c r="P22" i="75"/>
  <c r="R22" i="75"/>
  <c r="M22" i="75"/>
  <c r="Q22" i="75"/>
  <c r="N22" i="75"/>
  <c r="S24" i="79"/>
  <c r="T24" i="79"/>
  <c r="R24" i="79"/>
  <c r="U24" i="79"/>
  <c r="O24" i="79"/>
  <c r="Q24" i="79"/>
  <c r="V24" i="79"/>
  <c r="P24" i="79"/>
  <c r="U19" i="73"/>
  <c r="K19" i="73"/>
  <c r="J19" i="73"/>
  <c r="R19" i="73"/>
  <c r="P19" i="73"/>
  <c r="V19" i="73"/>
  <c r="Q19" i="73"/>
  <c r="T19" i="73"/>
  <c r="M19" i="73"/>
  <c r="S19" i="73"/>
  <c r="N19" i="73"/>
  <c r="O19" i="73"/>
  <c r="L19" i="73"/>
  <c r="O22" i="77"/>
  <c r="U22" i="77"/>
  <c r="N22" i="77"/>
  <c r="S22" i="77"/>
  <c r="R22" i="77"/>
  <c r="V22" i="77"/>
  <c r="M22" i="77"/>
  <c r="M32" i="77" s="1"/>
  <c r="P22" i="77"/>
  <c r="Q22" i="77"/>
  <c r="T22" i="77"/>
  <c r="Q26" i="73"/>
  <c r="V26" i="73"/>
  <c r="S26" i="73"/>
  <c r="T26" i="73"/>
  <c r="R26" i="73"/>
  <c r="U26" i="73"/>
  <c r="R21" i="76"/>
  <c r="R21" i="80"/>
  <c r="X21" i="83"/>
  <c r="X21" i="76"/>
  <c r="X21" i="80"/>
  <c r="U23" i="75"/>
  <c r="V23" i="75"/>
  <c r="P23" i="75"/>
  <c r="O23" i="75"/>
  <c r="T23" i="75"/>
  <c r="R23" i="75"/>
  <c r="S23" i="75"/>
  <c r="Q23" i="75"/>
  <c r="N23" i="75"/>
  <c r="R22" i="79"/>
  <c r="T22" i="79"/>
  <c r="P22" i="79"/>
  <c r="M22" i="79"/>
  <c r="M32" i="79" s="1"/>
  <c r="U22" i="79"/>
  <c r="N22" i="79"/>
  <c r="O22" i="79"/>
  <c r="Q22" i="79"/>
  <c r="S22" i="79"/>
  <c r="V22" i="79"/>
  <c r="S5" i="73"/>
  <c r="S7" i="73" s="1"/>
  <c r="S5" i="77"/>
  <c r="S7" i="77" s="1"/>
  <c r="I17" i="73"/>
  <c r="Q17" i="73"/>
  <c r="V17" i="73"/>
  <c r="L17" i="73"/>
  <c r="H17" i="73"/>
  <c r="K17" i="73"/>
  <c r="U17" i="73"/>
  <c r="J17" i="73"/>
  <c r="N17" i="73"/>
  <c r="R17" i="73"/>
  <c r="P17" i="73"/>
  <c r="T17" i="73"/>
  <c r="M17" i="73"/>
  <c r="S17" i="73"/>
  <c r="O17" i="73"/>
  <c r="S15" i="73"/>
  <c r="M15" i="73"/>
  <c r="O15" i="73"/>
  <c r="H15" i="73"/>
  <c r="U15" i="73"/>
  <c r="G15" i="73"/>
  <c r="J15" i="73"/>
  <c r="P15" i="73"/>
  <c r="V15" i="73"/>
  <c r="R15" i="73"/>
  <c r="N15" i="73"/>
  <c r="F15" i="73"/>
  <c r="L15" i="73"/>
  <c r="T15" i="73"/>
  <c r="Q15" i="73"/>
  <c r="K15" i="73"/>
  <c r="I15" i="73"/>
  <c r="O23" i="77"/>
  <c r="Q23" i="77"/>
  <c r="P23" i="77"/>
  <c r="R23" i="77"/>
  <c r="T23" i="77"/>
  <c r="U23" i="77"/>
  <c r="S23" i="77"/>
  <c r="V23" i="77"/>
  <c r="N23" i="77"/>
  <c r="S25" i="79"/>
  <c r="P25" i="79"/>
  <c r="R25" i="79"/>
  <c r="U25" i="79"/>
  <c r="Q25" i="79"/>
  <c r="V25" i="79"/>
  <c r="T25" i="79"/>
  <c r="W21" i="83"/>
  <c r="W21" i="76"/>
  <c r="W21" i="80"/>
  <c r="V21" i="83"/>
  <c r="V21" i="76"/>
  <c r="V21" i="80"/>
  <c r="S19" i="75"/>
  <c r="T19" i="75"/>
  <c r="Q19" i="75"/>
  <c r="V19" i="75"/>
  <c r="O19" i="75"/>
  <c r="L19" i="75"/>
  <c r="U19" i="75"/>
  <c r="K19" i="75"/>
  <c r="N19" i="75"/>
  <c r="P19" i="75"/>
  <c r="R19" i="75"/>
  <c r="M19" i="75"/>
  <c r="J19" i="75"/>
  <c r="R23" i="79"/>
  <c r="U23" i="79"/>
  <c r="S23" i="79"/>
  <c r="N23" i="79"/>
  <c r="V23" i="79"/>
  <c r="T23" i="79"/>
  <c r="O23" i="79"/>
  <c r="Q23" i="79"/>
  <c r="P23" i="79"/>
  <c r="T5" i="77"/>
  <c r="T7" i="77" s="1"/>
  <c r="T5" i="73"/>
  <c r="T7" i="73" s="1"/>
  <c r="M14" i="73"/>
  <c r="F14" i="73"/>
  <c r="G14" i="73"/>
  <c r="E14" i="73"/>
  <c r="E32" i="73" s="1"/>
  <c r="R14" i="73"/>
  <c r="T14" i="73"/>
  <c r="Q14" i="73"/>
  <c r="V14" i="73"/>
  <c r="J14" i="73"/>
  <c r="P14" i="73"/>
  <c r="L14" i="73"/>
  <c r="I14" i="73"/>
  <c r="H14" i="73"/>
  <c r="K14" i="73"/>
  <c r="S14" i="73"/>
  <c r="O14" i="73"/>
  <c r="U14" i="73"/>
  <c r="N14" i="73"/>
  <c r="H99" i="82"/>
  <c r="H100" i="82"/>
  <c r="H98" i="82"/>
  <c r="H94" i="82"/>
  <c r="H108" i="82"/>
  <c r="H90" i="10"/>
  <c r="H37" i="10" s="1"/>
  <c r="O41" i="33"/>
  <c r="J93" i="48"/>
  <c r="H90" i="13"/>
  <c r="H93" i="49"/>
  <c r="I90" i="21"/>
  <c r="H90" i="25"/>
  <c r="H90" i="83" s="1"/>
  <c r="U124" i="46"/>
  <c r="T129" i="46"/>
  <c r="I93" i="48"/>
  <c r="I91" i="48"/>
  <c r="H100" i="48"/>
  <c r="H99" i="48"/>
  <c r="H98" i="48"/>
  <c r="H94" i="48"/>
  <c r="Q61" i="33"/>
  <c r="H90" i="4"/>
  <c r="H37" i="4" s="1"/>
  <c r="H91" i="16"/>
  <c r="H90" i="46"/>
  <c r="I90" i="4"/>
  <c r="I37" i="4" s="1"/>
  <c r="R61" i="33"/>
  <c r="H93" i="14"/>
  <c r="H91" i="14"/>
  <c r="AG67" i="33"/>
  <c r="AF68" i="33"/>
  <c r="I90" i="16"/>
  <c r="Q64" i="33"/>
  <c r="Q63" i="33"/>
  <c r="I90" i="29" s="1"/>
  <c r="I37" i="29" s="1"/>
  <c r="P38" i="33"/>
  <c r="P40" i="33"/>
  <c r="P37" i="33"/>
  <c r="H111" i="49" s="1"/>
  <c r="P39" i="33"/>
  <c r="H111" i="25" s="1"/>
  <c r="Q11" i="33"/>
  <c r="F31" i="35"/>
  <c r="F32" i="35" s="1"/>
  <c r="J90" i="21"/>
  <c r="O34" i="33"/>
  <c r="Q27" i="33"/>
  <c r="Q36" i="33" s="1"/>
  <c r="Q29" i="33"/>
  <c r="P32" i="33"/>
  <c r="H111" i="21" s="1"/>
  <c r="P30" i="33"/>
  <c r="P31" i="33"/>
  <c r="P33" i="33"/>
  <c r="S2" i="33"/>
  <c r="S5" i="33" s="1"/>
  <c r="R3" i="33"/>
  <c r="R110" i="33"/>
  <c r="R53" i="33"/>
  <c r="R26" i="33" s="1"/>
  <c r="U56" i="33"/>
  <c r="W7" i="73" l="1"/>
  <c r="I32" i="73"/>
  <c r="I90" i="82"/>
  <c r="I93" i="82" s="1"/>
  <c r="H107" i="82"/>
  <c r="H210" i="82" s="1"/>
  <c r="H214" i="82" s="1"/>
  <c r="H241" i="82" s="1"/>
  <c r="O32" i="79"/>
  <c r="W7" i="79"/>
  <c r="G32" i="73"/>
  <c r="M32" i="73"/>
  <c r="H32" i="73"/>
  <c r="G32" i="75"/>
  <c r="H32" i="75"/>
  <c r="K32" i="73"/>
  <c r="L32" i="73"/>
  <c r="N32" i="73"/>
  <c r="P32" i="73"/>
  <c r="J32" i="73"/>
  <c r="W7" i="75"/>
  <c r="H26" i="74"/>
  <c r="H234" i="74" s="1"/>
  <c r="H29" i="74"/>
  <c r="W26" i="78"/>
  <c r="W234" i="78" s="1"/>
  <c r="W29" i="78"/>
  <c r="W29" i="83"/>
  <c r="W26" i="83"/>
  <c r="W234" i="83" s="1"/>
  <c r="J29" i="82"/>
  <c r="J26" i="82"/>
  <c r="J234" i="82" s="1"/>
  <c r="L29" i="80"/>
  <c r="L26" i="80"/>
  <c r="L234" i="80" s="1"/>
  <c r="R26" i="83"/>
  <c r="R234" i="83" s="1"/>
  <c r="R29" i="83"/>
  <c r="O32" i="77"/>
  <c r="K29" i="82"/>
  <c r="K26" i="82"/>
  <c r="K234" i="82" s="1"/>
  <c r="I26" i="80"/>
  <c r="I234" i="80" s="1"/>
  <c r="I29" i="80"/>
  <c r="Y26" i="83"/>
  <c r="Y234" i="83" s="1"/>
  <c r="Y29" i="83"/>
  <c r="U26" i="83"/>
  <c r="U234" i="83" s="1"/>
  <c r="U29" i="83"/>
  <c r="X26" i="78"/>
  <c r="X234" i="78" s="1"/>
  <c r="X29" i="78"/>
  <c r="N26" i="83"/>
  <c r="N234" i="83" s="1"/>
  <c r="N29" i="83"/>
  <c r="J32" i="75"/>
  <c r="K32" i="75"/>
  <c r="P29" i="74"/>
  <c r="P26" i="74"/>
  <c r="P234" i="74" s="1"/>
  <c r="S29" i="76"/>
  <c r="S26" i="76"/>
  <c r="S234" i="76" s="1"/>
  <c r="Z29" i="82"/>
  <c r="Z26" i="82"/>
  <c r="Z234" i="82" s="1"/>
  <c r="T29" i="80"/>
  <c r="T26" i="80"/>
  <c r="T234" i="80" s="1"/>
  <c r="U29" i="82"/>
  <c r="U26" i="82"/>
  <c r="U234" i="82" s="1"/>
  <c r="AA29" i="82"/>
  <c r="AA26" i="82"/>
  <c r="AA234" i="82" s="1"/>
  <c r="V27" i="79"/>
  <c r="U28" i="79"/>
  <c r="S27" i="79"/>
  <c r="R27" i="79"/>
  <c r="R32" i="79" s="1"/>
  <c r="T27" i="79"/>
  <c r="T28" i="79"/>
  <c r="S28" i="79"/>
  <c r="V28" i="79"/>
  <c r="U27" i="79"/>
  <c r="R27" i="73"/>
  <c r="R32" i="73" s="1"/>
  <c r="V27" i="73"/>
  <c r="U27" i="73"/>
  <c r="T27" i="73"/>
  <c r="S27" i="73"/>
  <c r="H26" i="82"/>
  <c r="H234" i="82" s="1"/>
  <c r="H29" i="82"/>
  <c r="W29" i="82"/>
  <c r="W26" i="82"/>
  <c r="W234" i="82" s="1"/>
  <c r="K26" i="80"/>
  <c r="K234" i="80" s="1"/>
  <c r="K29" i="80"/>
  <c r="F32" i="73"/>
  <c r="N26" i="78"/>
  <c r="N234" i="78" s="1"/>
  <c r="N29" i="78"/>
  <c r="N32" i="79"/>
  <c r="L26" i="76"/>
  <c r="L234" i="76" s="1"/>
  <c r="L29" i="76"/>
  <c r="P32" i="77"/>
  <c r="V26" i="78"/>
  <c r="V234" i="78" s="1"/>
  <c r="V29" i="78"/>
  <c r="I29" i="76"/>
  <c r="I26" i="76"/>
  <c r="I234" i="76" s="1"/>
  <c r="T26" i="78"/>
  <c r="T234" i="78" s="1"/>
  <c r="T29" i="78"/>
  <c r="L29" i="78"/>
  <c r="L26" i="78"/>
  <c r="L234" i="78" s="1"/>
  <c r="X26" i="82"/>
  <c r="X234" i="82" s="1"/>
  <c r="X29" i="82"/>
  <c r="I32" i="75"/>
  <c r="M32" i="75"/>
  <c r="R29" i="74"/>
  <c r="R26" i="74"/>
  <c r="R234" i="74" s="1"/>
  <c r="P26" i="82"/>
  <c r="P234" i="82" s="1"/>
  <c r="P29" i="82"/>
  <c r="S26" i="83"/>
  <c r="S234" i="83" s="1"/>
  <c r="S29" i="83"/>
  <c r="Y29" i="74"/>
  <c r="Y26" i="74"/>
  <c r="Y234" i="74" s="1"/>
  <c r="T26" i="76"/>
  <c r="T234" i="76" s="1"/>
  <c r="T29" i="76"/>
  <c r="Q26" i="80"/>
  <c r="Q234" i="80" s="1"/>
  <c r="Q29" i="80"/>
  <c r="Q26" i="74"/>
  <c r="Q234" i="74" s="1"/>
  <c r="Q29" i="74"/>
  <c r="O26" i="80"/>
  <c r="O234" i="80" s="1"/>
  <c r="O29" i="80"/>
  <c r="S27" i="77"/>
  <c r="V27" i="77"/>
  <c r="U27" i="77"/>
  <c r="R27" i="77"/>
  <c r="T27" i="77"/>
  <c r="I26" i="78"/>
  <c r="I234" i="78" s="1"/>
  <c r="I29" i="78"/>
  <c r="K29" i="76"/>
  <c r="K26" i="76"/>
  <c r="K234" i="76" s="1"/>
  <c r="N29" i="74"/>
  <c r="N26" i="74"/>
  <c r="N234" i="74" s="1"/>
  <c r="L29" i="83"/>
  <c r="L26" i="83"/>
  <c r="L234" i="83" s="1"/>
  <c r="V26" i="74"/>
  <c r="V234" i="74" s="1"/>
  <c r="V29" i="74"/>
  <c r="I26" i="83"/>
  <c r="I234" i="83" s="1"/>
  <c r="I29" i="83"/>
  <c r="T26" i="74"/>
  <c r="T234" i="74" s="1"/>
  <c r="T29" i="74"/>
  <c r="Q32" i="77"/>
  <c r="L29" i="74"/>
  <c r="L26" i="74"/>
  <c r="L234" i="74" s="1"/>
  <c r="O32" i="75"/>
  <c r="R26" i="78"/>
  <c r="R234" i="78" s="1"/>
  <c r="R29" i="78"/>
  <c r="AA29" i="80"/>
  <c r="AA26" i="80"/>
  <c r="AA234" i="80" s="1"/>
  <c r="Y26" i="78"/>
  <c r="Y234" i="78" s="1"/>
  <c r="Y29" i="78"/>
  <c r="T29" i="83"/>
  <c r="T26" i="83"/>
  <c r="T234" i="83" s="1"/>
  <c r="Q29" i="76"/>
  <c r="Q26" i="76"/>
  <c r="Q234" i="76" s="1"/>
  <c r="Q26" i="78"/>
  <c r="Q234" i="78" s="1"/>
  <c r="Q29" i="78"/>
  <c r="O29" i="76"/>
  <c r="O26" i="76"/>
  <c r="O234" i="76" s="1"/>
  <c r="I26" i="74"/>
  <c r="I234" i="74" s="1"/>
  <c r="I29" i="74"/>
  <c r="V26" i="80"/>
  <c r="V234" i="80" s="1"/>
  <c r="V29" i="80"/>
  <c r="K29" i="83"/>
  <c r="K26" i="83"/>
  <c r="K234" i="83" s="1"/>
  <c r="N26" i="82"/>
  <c r="N234" i="82" s="1"/>
  <c r="N29" i="82"/>
  <c r="X26" i="80"/>
  <c r="X234" i="80" s="1"/>
  <c r="X29" i="80"/>
  <c r="V26" i="82"/>
  <c r="V234" i="82" s="1"/>
  <c r="V29" i="82"/>
  <c r="M29" i="80"/>
  <c r="M26" i="80"/>
  <c r="M234" i="80" s="1"/>
  <c r="T26" i="82"/>
  <c r="T234" i="82" s="1"/>
  <c r="T29" i="82"/>
  <c r="L26" i="82"/>
  <c r="L234" i="82" s="1"/>
  <c r="L29" i="82"/>
  <c r="Q32" i="75"/>
  <c r="J26" i="80"/>
  <c r="J234" i="80" s="1"/>
  <c r="J29" i="80"/>
  <c r="N32" i="75"/>
  <c r="R29" i="82"/>
  <c r="R26" i="82"/>
  <c r="R234" i="82" s="1"/>
  <c r="AA26" i="76"/>
  <c r="AA234" i="76" s="1"/>
  <c r="AA29" i="76"/>
  <c r="Y26" i="82"/>
  <c r="Y234" i="82" s="1"/>
  <c r="Y29" i="82"/>
  <c r="Z26" i="80"/>
  <c r="Z234" i="80" s="1"/>
  <c r="Z29" i="80"/>
  <c r="Q26" i="83"/>
  <c r="Q234" i="83" s="1"/>
  <c r="Q29" i="83"/>
  <c r="Q29" i="82"/>
  <c r="Q26" i="82"/>
  <c r="Q234" i="82" s="1"/>
  <c r="O29" i="83"/>
  <c r="O26" i="83"/>
  <c r="O234" i="83" s="1"/>
  <c r="I26" i="82"/>
  <c r="I234" i="82" s="1"/>
  <c r="I29" i="82"/>
  <c r="V26" i="76"/>
  <c r="V234" i="76" s="1"/>
  <c r="V29" i="76"/>
  <c r="U28" i="77"/>
  <c r="V28" i="77"/>
  <c r="T28" i="77"/>
  <c r="S28" i="77"/>
  <c r="P32" i="79"/>
  <c r="X29" i="76"/>
  <c r="X26" i="76"/>
  <c r="X234" i="76" s="1"/>
  <c r="R32" i="77"/>
  <c r="M26" i="76"/>
  <c r="M234" i="76" s="1"/>
  <c r="M29" i="76"/>
  <c r="V29" i="79"/>
  <c r="U29" i="79"/>
  <c r="T29" i="79"/>
  <c r="O29" i="78"/>
  <c r="O26" i="78"/>
  <c r="O234" i="78" s="1"/>
  <c r="J26" i="76"/>
  <c r="J234" i="76" s="1"/>
  <c r="J29" i="76"/>
  <c r="F32" i="75"/>
  <c r="S26" i="74"/>
  <c r="S234" i="74" s="1"/>
  <c r="S29" i="74"/>
  <c r="H26" i="80"/>
  <c r="H234" i="80" s="1"/>
  <c r="H29" i="80"/>
  <c r="AA29" i="83"/>
  <c r="AA26" i="83"/>
  <c r="AA234" i="83" s="1"/>
  <c r="U30" i="77"/>
  <c r="V30" i="77"/>
  <c r="M29" i="78"/>
  <c r="M26" i="78"/>
  <c r="M234" i="78" s="1"/>
  <c r="Z26" i="76"/>
  <c r="Z234" i="76" s="1"/>
  <c r="Z29" i="76"/>
  <c r="Q32" i="79"/>
  <c r="P29" i="80"/>
  <c r="P26" i="80"/>
  <c r="P234" i="80" s="1"/>
  <c r="O32" i="73"/>
  <c r="V29" i="73"/>
  <c r="T29" i="73"/>
  <c r="U29" i="73"/>
  <c r="V26" i="83"/>
  <c r="V234" i="83" s="1"/>
  <c r="V29" i="83"/>
  <c r="S28" i="73"/>
  <c r="T28" i="73"/>
  <c r="V28" i="73"/>
  <c r="U28" i="73"/>
  <c r="X29" i="83"/>
  <c r="X26" i="83"/>
  <c r="X234" i="83" s="1"/>
  <c r="M26" i="83"/>
  <c r="M234" i="83" s="1"/>
  <c r="M29" i="83"/>
  <c r="U29" i="75"/>
  <c r="V29" i="75"/>
  <c r="T29" i="75"/>
  <c r="O26" i="74"/>
  <c r="O234" i="74" s="1"/>
  <c r="O29" i="74"/>
  <c r="J26" i="83"/>
  <c r="J234" i="83" s="1"/>
  <c r="J29" i="83"/>
  <c r="L32" i="75"/>
  <c r="S26" i="78"/>
  <c r="S234" i="78" s="1"/>
  <c r="S29" i="78"/>
  <c r="H29" i="76"/>
  <c r="H26" i="76"/>
  <c r="H234" i="76" s="1"/>
  <c r="V30" i="73"/>
  <c r="M29" i="74"/>
  <c r="M26" i="74"/>
  <c r="M234" i="74" s="1"/>
  <c r="Z26" i="83"/>
  <c r="Z234" i="83" s="1"/>
  <c r="Z29" i="83"/>
  <c r="P29" i="76"/>
  <c r="P26" i="76"/>
  <c r="P234" i="76" s="1"/>
  <c r="W7" i="77"/>
  <c r="V29" i="77"/>
  <c r="T29" i="77"/>
  <c r="U29" i="77"/>
  <c r="W29" i="80"/>
  <c r="W26" i="80"/>
  <c r="W234" i="80" s="1"/>
  <c r="J29" i="78"/>
  <c r="J26" i="78"/>
  <c r="J234" i="78" s="1"/>
  <c r="R26" i="80"/>
  <c r="R234" i="80" s="1"/>
  <c r="R29" i="80"/>
  <c r="Q32" i="73"/>
  <c r="N32" i="77"/>
  <c r="K26" i="74"/>
  <c r="K234" i="74" s="1"/>
  <c r="K29" i="74"/>
  <c r="V30" i="75"/>
  <c r="U30" i="75"/>
  <c r="Y26" i="80"/>
  <c r="Y234" i="80" s="1"/>
  <c r="Y29" i="80"/>
  <c r="U29" i="80"/>
  <c r="U26" i="80"/>
  <c r="U234" i="80" s="1"/>
  <c r="O29" i="82"/>
  <c r="O26" i="82"/>
  <c r="O234" i="82" s="1"/>
  <c r="N29" i="80"/>
  <c r="N26" i="80"/>
  <c r="N234" i="80" s="1"/>
  <c r="S29" i="82"/>
  <c r="S26" i="82"/>
  <c r="S234" i="82" s="1"/>
  <c r="H29" i="83"/>
  <c r="H26" i="83"/>
  <c r="H234" i="83" s="1"/>
  <c r="Z29" i="74"/>
  <c r="Z26" i="74"/>
  <c r="Z234" i="74" s="1"/>
  <c r="M29" i="82"/>
  <c r="M26" i="82"/>
  <c r="M234" i="82" s="1"/>
  <c r="U29" i="74"/>
  <c r="U26" i="74"/>
  <c r="U234" i="74" s="1"/>
  <c r="AA26" i="74"/>
  <c r="AA234" i="74" s="1"/>
  <c r="AA29" i="74"/>
  <c r="S28" i="75"/>
  <c r="V27" i="75"/>
  <c r="T28" i="75"/>
  <c r="S27" i="75"/>
  <c r="V28" i="75"/>
  <c r="U28" i="75"/>
  <c r="R27" i="75"/>
  <c r="R32" i="75" s="1"/>
  <c r="U27" i="75"/>
  <c r="T27" i="75"/>
  <c r="P26" i="83"/>
  <c r="P234" i="83" s="1"/>
  <c r="P29" i="83"/>
  <c r="H29" i="78"/>
  <c r="H26" i="78"/>
  <c r="H234" i="78" s="1"/>
  <c r="W26" i="74"/>
  <c r="W234" i="74" s="1"/>
  <c r="W29" i="74"/>
  <c r="W29" i="76"/>
  <c r="W26" i="76"/>
  <c r="W234" i="76" s="1"/>
  <c r="J26" i="74"/>
  <c r="J234" i="74" s="1"/>
  <c r="J29" i="74"/>
  <c r="R26" i="76"/>
  <c r="R234" i="76" s="1"/>
  <c r="R29" i="76"/>
  <c r="K26" i="78"/>
  <c r="K234" i="78" s="1"/>
  <c r="K29" i="78"/>
  <c r="V30" i="79"/>
  <c r="U30" i="79"/>
  <c r="Y26" i="76"/>
  <c r="Y234" i="76" s="1"/>
  <c r="Y29" i="76"/>
  <c r="U26" i="76"/>
  <c r="U234" i="76" s="1"/>
  <c r="U29" i="76"/>
  <c r="X26" i="74"/>
  <c r="X234" i="74" s="1"/>
  <c r="X29" i="74"/>
  <c r="N26" i="76"/>
  <c r="N234" i="76" s="1"/>
  <c r="N29" i="76"/>
  <c r="P32" i="75"/>
  <c r="P26" i="78"/>
  <c r="P234" i="78" s="1"/>
  <c r="P29" i="78"/>
  <c r="S26" i="80"/>
  <c r="S234" i="80" s="1"/>
  <c r="S29" i="80"/>
  <c r="Z29" i="78"/>
  <c r="Z26" i="78"/>
  <c r="Z234" i="78" s="1"/>
  <c r="U29" i="78"/>
  <c r="U26" i="78"/>
  <c r="U234" i="78" s="1"/>
  <c r="AA26" i="78"/>
  <c r="AA234" i="78" s="1"/>
  <c r="AA29" i="78"/>
  <c r="H93" i="83"/>
  <c r="H91" i="83"/>
  <c r="I91" i="82"/>
  <c r="H275" i="82"/>
  <c r="H307" i="82"/>
  <c r="H111" i="74"/>
  <c r="H111" i="76"/>
  <c r="H111" i="78"/>
  <c r="H111" i="80"/>
  <c r="H37" i="25"/>
  <c r="I90" i="10"/>
  <c r="H94" i="14"/>
  <c r="H111" i="48"/>
  <c r="H37" i="48" s="1"/>
  <c r="H91" i="49"/>
  <c r="H100" i="49" s="1"/>
  <c r="I93" i="49"/>
  <c r="V124" i="46"/>
  <c r="U129" i="46"/>
  <c r="H107" i="48"/>
  <c r="H210" i="48" s="1"/>
  <c r="H214" i="48" s="1"/>
  <c r="H241" i="48" s="1"/>
  <c r="H114" i="49"/>
  <c r="H174" i="49" s="1"/>
  <c r="H217" i="49" s="1"/>
  <c r="H112" i="49"/>
  <c r="H37" i="49"/>
  <c r="I100" i="48"/>
  <c r="I98" i="48"/>
  <c r="J91" i="48"/>
  <c r="I94" i="48"/>
  <c r="I99" i="48"/>
  <c r="H111" i="11"/>
  <c r="H37" i="46"/>
  <c r="H93" i="46"/>
  <c r="H174" i="46" s="1"/>
  <c r="H217" i="46" s="1"/>
  <c r="H91" i="46"/>
  <c r="H90" i="11"/>
  <c r="J90" i="46"/>
  <c r="I90" i="46"/>
  <c r="H111" i="14"/>
  <c r="AG68" i="33"/>
  <c r="AH67" i="33"/>
  <c r="R63" i="33"/>
  <c r="J90" i="29" s="1"/>
  <c r="J37" i="29" s="1"/>
  <c r="K90" i="16"/>
  <c r="S64" i="33"/>
  <c r="S3" i="33"/>
  <c r="S11" i="33" s="1"/>
  <c r="R62" i="33"/>
  <c r="J90" i="16"/>
  <c r="J90" i="82" s="1"/>
  <c r="J93" i="82" s="1"/>
  <c r="R64" i="33"/>
  <c r="R11" i="33"/>
  <c r="J90" i="25" s="1"/>
  <c r="G31" i="35"/>
  <c r="G32" i="35" s="1"/>
  <c r="I90" i="25"/>
  <c r="I90" i="13"/>
  <c r="P41" i="33"/>
  <c r="S110" i="33"/>
  <c r="Q37" i="33"/>
  <c r="I111" i="49" s="1"/>
  <c r="Q39" i="33"/>
  <c r="I111" i="25" s="1"/>
  <c r="Q38" i="33"/>
  <c r="Q40" i="33"/>
  <c r="S53" i="33"/>
  <c r="S26" i="33" s="1"/>
  <c r="S27" i="33" s="1"/>
  <c r="H112" i="21"/>
  <c r="H37" i="21"/>
  <c r="K90" i="21"/>
  <c r="P34" i="33"/>
  <c r="R27" i="33"/>
  <c r="R36" i="33" s="1"/>
  <c r="R29" i="33"/>
  <c r="Q30" i="33"/>
  <c r="Q32" i="33"/>
  <c r="I111" i="21" s="1"/>
  <c r="Q31" i="33"/>
  <c r="Q33" i="33"/>
  <c r="T2" i="33"/>
  <c r="T5" i="33" s="1"/>
  <c r="V56" i="33"/>
  <c r="T32" i="79" l="1"/>
  <c r="I90" i="83"/>
  <c r="I93" i="83" s="1"/>
  <c r="S32" i="73"/>
  <c r="K90" i="82"/>
  <c r="K93" i="82" s="1"/>
  <c r="T32" i="75"/>
  <c r="S32" i="75"/>
  <c r="W32" i="75" s="1"/>
  <c r="W33" i="75" s="1"/>
  <c r="G21" i="76" s="1"/>
  <c r="U32" i="75"/>
  <c r="U32" i="73"/>
  <c r="S32" i="77"/>
  <c r="T32" i="73"/>
  <c r="U32" i="77"/>
  <c r="U32" i="79"/>
  <c r="V32" i="79"/>
  <c r="V32" i="75"/>
  <c r="S32" i="79"/>
  <c r="T32" i="77"/>
  <c r="V32" i="73"/>
  <c r="Y300" i="80"/>
  <c r="Y268" i="80"/>
  <c r="V300" i="76"/>
  <c r="V268" i="76"/>
  <c r="Z268" i="80"/>
  <c r="Z300" i="80"/>
  <c r="Y268" i="74"/>
  <c r="Y300" i="74"/>
  <c r="H300" i="83"/>
  <c r="H268" i="83"/>
  <c r="O300" i="82"/>
  <c r="O268" i="82"/>
  <c r="J300" i="78"/>
  <c r="J268" i="78"/>
  <c r="J300" i="83"/>
  <c r="J268" i="83"/>
  <c r="M300" i="83"/>
  <c r="M268" i="83"/>
  <c r="O268" i="83"/>
  <c r="O300" i="83"/>
  <c r="J300" i="80"/>
  <c r="J268" i="80"/>
  <c r="K268" i="83"/>
  <c r="K300" i="83"/>
  <c r="AA268" i="80"/>
  <c r="AA300" i="80"/>
  <c r="O300" i="80"/>
  <c r="O268" i="80"/>
  <c r="AA300" i="82"/>
  <c r="AA268" i="82"/>
  <c r="S300" i="76"/>
  <c r="S268" i="76"/>
  <c r="K300" i="82"/>
  <c r="K268" i="82"/>
  <c r="R268" i="80"/>
  <c r="R300" i="80"/>
  <c r="H300" i="80"/>
  <c r="H268" i="80"/>
  <c r="AA268" i="74"/>
  <c r="AA300" i="74"/>
  <c r="K268" i="74"/>
  <c r="K300" i="74"/>
  <c r="P268" i="80"/>
  <c r="P300" i="80"/>
  <c r="Y300" i="82"/>
  <c r="Y268" i="82"/>
  <c r="V268" i="82"/>
  <c r="V300" i="82"/>
  <c r="Q300" i="78"/>
  <c r="Q268" i="78"/>
  <c r="L300" i="83"/>
  <c r="L268" i="83"/>
  <c r="I268" i="78"/>
  <c r="I300" i="78"/>
  <c r="N268" i="78"/>
  <c r="N300" i="78"/>
  <c r="H268" i="82"/>
  <c r="H300" i="82"/>
  <c r="X268" i="78"/>
  <c r="X300" i="78"/>
  <c r="W300" i="83"/>
  <c r="W268" i="83"/>
  <c r="N268" i="80"/>
  <c r="N300" i="80"/>
  <c r="Q300" i="83"/>
  <c r="Q268" i="83"/>
  <c r="N268" i="76"/>
  <c r="N300" i="76"/>
  <c r="S268" i="74"/>
  <c r="S300" i="74"/>
  <c r="I300" i="76"/>
  <c r="I268" i="76"/>
  <c r="J300" i="82"/>
  <c r="J268" i="82"/>
  <c r="S268" i="80"/>
  <c r="S300" i="80"/>
  <c r="X300" i="74"/>
  <c r="X268" i="74"/>
  <c r="K268" i="78"/>
  <c r="K300" i="78"/>
  <c r="W300" i="74"/>
  <c r="W268" i="74"/>
  <c r="U300" i="74"/>
  <c r="U268" i="74"/>
  <c r="S300" i="82"/>
  <c r="S268" i="82"/>
  <c r="U300" i="80"/>
  <c r="U268" i="80"/>
  <c r="W268" i="80"/>
  <c r="W300" i="80"/>
  <c r="P300" i="76"/>
  <c r="P268" i="76"/>
  <c r="H268" i="76"/>
  <c r="H300" i="76"/>
  <c r="AA300" i="83"/>
  <c r="AA268" i="83"/>
  <c r="J268" i="76"/>
  <c r="J300" i="76"/>
  <c r="M268" i="76"/>
  <c r="M300" i="76"/>
  <c r="Q300" i="82"/>
  <c r="Q268" i="82"/>
  <c r="Q300" i="76"/>
  <c r="Q268" i="76"/>
  <c r="T300" i="74"/>
  <c r="T268" i="74"/>
  <c r="Q268" i="74"/>
  <c r="Q300" i="74"/>
  <c r="S268" i="83"/>
  <c r="S300" i="83"/>
  <c r="X300" i="82"/>
  <c r="X268" i="82"/>
  <c r="V268" i="78"/>
  <c r="V300" i="78"/>
  <c r="U300" i="82"/>
  <c r="U268" i="82"/>
  <c r="P268" i="74"/>
  <c r="P300" i="74"/>
  <c r="S300" i="78"/>
  <c r="S268" i="78"/>
  <c r="Z300" i="78"/>
  <c r="Z268" i="78"/>
  <c r="N268" i="82"/>
  <c r="N300" i="82"/>
  <c r="I300" i="80"/>
  <c r="I268" i="80"/>
  <c r="H300" i="78"/>
  <c r="H268" i="78"/>
  <c r="O300" i="74"/>
  <c r="O268" i="74"/>
  <c r="X268" i="83"/>
  <c r="X300" i="83"/>
  <c r="AA268" i="76"/>
  <c r="AA300" i="76"/>
  <c r="L268" i="82"/>
  <c r="L300" i="82"/>
  <c r="V300" i="80"/>
  <c r="V268" i="80"/>
  <c r="R268" i="78"/>
  <c r="R300" i="78"/>
  <c r="L268" i="78"/>
  <c r="L300" i="78"/>
  <c r="U300" i="83"/>
  <c r="U268" i="83"/>
  <c r="U300" i="78"/>
  <c r="U268" i="78"/>
  <c r="W300" i="76"/>
  <c r="W268" i="76"/>
  <c r="I268" i="82"/>
  <c r="I300" i="82"/>
  <c r="Y268" i="78"/>
  <c r="Y300" i="78"/>
  <c r="N300" i="83"/>
  <c r="N268" i="83"/>
  <c r="AA268" i="78"/>
  <c r="AA300" i="78"/>
  <c r="P300" i="78"/>
  <c r="P268" i="78"/>
  <c r="U300" i="76"/>
  <c r="U268" i="76"/>
  <c r="R300" i="76"/>
  <c r="R268" i="76"/>
  <c r="M300" i="82"/>
  <c r="M268" i="82"/>
  <c r="V300" i="83"/>
  <c r="V268" i="83"/>
  <c r="O268" i="78"/>
  <c r="O300" i="78"/>
  <c r="R300" i="82"/>
  <c r="R268" i="82"/>
  <c r="X300" i="80"/>
  <c r="X268" i="80"/>
  <c r="T300" i="83"/>
  <c r="T268" i="83"/>
  <c r="I300" i="83"/>
  <c r="I268" i="83"/>
  <c r="N300" i="74"/>
  <c r="N268" i="74"/>
  <c r="Q268" i="80"/>
  <c r="Q300" i="80"/>
  <c r="P300" i="82"/>
  <c r="P268" i="82"/>
  <c r="K300" i="80"/>
  <c r="K268" i="80"/>
  <c r="T300" i="80"/>
  <c r="T268" i="80"/>
  <c r="R268" i="83"/>
  <c r="R300" i="83"/>
  <c r="W268" i="78"/>
  <c r="W300" i="78"/>
  <c r="Y300" i="83"/>
  <c r="Y268" i="83"/>
  <c r="L300" i="80"/>
  <c r="L268" i="80"/>
  <c r="Z268" i="83"/>
  <c r="Z300" i="83"/>
  <c r="Z268" i="76"/>
  <c r="Z300" i="76"/>
  <c r="X268" i="76"/>
  <c r="X300" i="76"/>
  <c r="T300" i="82"/>
  <c r="T268" i="82"/>
  <c r="I300" i="74"/>
  <c r="I268" i="74"/>
  <c r="R300" i="74"/>
  <c r="R268" i="74"/>
  <c r="W268" i="82"/>
  <c r="W300" i="82"/>
  <c r="Y300" i="76"/>
  <c r="Y268" i="76"/>
  <c r="J268" i="74"/>
  <c r="J300" i="74"/>
  <c r="P300" i="83"/>
  <c r="P268" i="83"/>
  <c r="Z268" i="74"/>
  <c r="Z300" i="74"/>
  <c r="V32" i="77"/>
  <c r="M268" i="74"/>
  <c r="M300" i="74"/>
  <c r="M268" i="78"/>
  <c r="M300" i="78"/>
  <c r="M300" i="80"/>
  <c r="M268" i="80"/>
  <c r="O300" i="76"/>
  <c r="O268" i="76"/>
  <c r="L268" i="74"/>
  <c r="L300" i="74"/>
  <c r="V268" i="74"/>
  <c r="V300" i="74"/>
  <c r="K268" i="76"/>
  <c r="K300" i="76"/>
  <c r="T300" i="76"/>
  <c r="T268" i="76"/>
  <c r="T300" i="78"/>
  <c r="T268" i="78"/>
  <c r="L300" i="76"/>
  <c r="L268" i="76"/>
  <c r="Z268" i="82"/>
  <c r="Z300" i="82"/>
  <c r="H300" i="74"/>
  <c r="H268" i="74"/>
  <c r="I100" i="82"/>
  <c r="I94" i="82"/>
  <c r="I99" i="82"/>
  <c r="J91" i="82"/>
  <c r="I98" i="82"/>
  <c r="H99" i="83"/>
  <c r="H94" i="83"/>
  <c r="I91" i="83"/>
  <c r="H98" i="83"/>
  <c r="H100" i="83"/>
  <c r="I111" i="76"/>
  <c r="I111" i="74"/>
  <c r="I111" i="78"/>
  <c r="I111" i="80"/>
  <c r="H114" i="80"/>
  <c r="H174" i="80" s="1"/>
  <c r="H217" i="80" s="1"/>
  <c r="H112" i="80"/>
  <c r="H37" i="80"/>
  <c r="H114" i="78"/>
  <c r="H174" i="78" s="1"/>
  <c r="H217" i="78" s="1"/>
  <c r="H112" i="78"/>
  <c r="H37" i="78"/>
  <c r="H114" i="76"/>
  <c r="H174" i="76" s="1"/>
  <c r="H217" i="76" s="1"/>
  <c r="H112" i="76"/>
  <c r="H37" i="76"/>
  <c r="H114" i="74"/>
  <c r="H174" i="74" s="1"/>
  <c r="H217" i="74" s="1"/>
  <c r="H112" i="74"/>
  <c r="H37" i="74"/>
  <c r="K90" i="10"/>
  <c r="K37" i="10" s="1"/>
  <c r="J90" i="10"/>
  <c r="J37" i="10" s="1"/>
  <c r="I37" i="21"/>
  <c r="I37" i="10"/>
  <c r="H186" i="49"/>
  <c r="I91" i="49"/>
  <c r="I99" i="49" s="1"/>
  <c r="H99" i="49"/>
  <c r="H94" i="49"/>
  <c r="H98" i="49"/>
  <c r="I111" i="48"/>
  <c r="I114" i="48" s="1"/>
  <c r="I174" i="48" s="1"/>
  <c r="I217" i="48" s="1"/>
  <c r="I114" i="49"/>
  <c r="I174" i="49" s="1"/>
  <c r="H114" i="48"/>
  <c r="H174" i="48" s="1"/>
  <c r="H217" i="48" s="1"/>
  <c r="K91" i="48"/>
  <c r="H112" i="48"/>
  <c r="H120" i="48" s="1"/>
  <c r="W124" i="46"/>
  <c r="V129" i="46"/>
  <c r="H42" i="48"/>
  <c r="H222" i="48" s="1"/>
  <c r="H45" i="48"/>
  <c r="H120" i="49"/>
  <c r="H115" i="49"/>
  <c r="I112" i="49"/>
  <c r="H121" i="49"/>
  <c r="H119" i="49"/>
  <c r="H45" i="49"/>
  <c r="H42" i="49"/>
  <c r="H222" i="49" s="1"/>
  <c r="H307" i="48"/>
  <c r="H275" i="48"/>
  <c r="J100" i="48"/>
  <c r="J98" i="48"/>
  <c r="J94" i="48"/>
  <c r="J99" i="48"/>
  <c r="I107" i="48"/>
  <c r="I37" i="25"/>
  <c r="I37" i="49"/>
  <c r="H112" i="14"/>
  <c r="H37" i="14"/>
  <c r="I37" i="46"/>
  <c r="I93" i="46"/>
  <c r="I174" i="46" s="1"/>
  <c r="I217" i="46" s="1"/>
  <c r="I111" i="14"/>
  <c r="I37" i="14" s="1"/>
  <c r="H98" i="46"/>
  <c r="H94" i="46"/>
  <c r="H175" i="46" s="1"/>
  <c r="I91" i="46"/>
  <c r="H99" i="46"/>
  <c r="H100" i="46"/>
  <c r="K90" i="11"/>
  <c r="J90" i="11"/>
  <c r="S61" i="33"/>
  <c r="J37" i="46"/>
  <c r="J93" i="46"/>
  <c r="J174" i="46" s="1"/>
  <c r="J217" i="46" s="1"/>
  <c r="H45" i="46"/>
  <c r="H42" i="46"/>
  <c r="H222" i="46" s="1"/>
  <c r="J90" i="4"/>
  <c r="J37" i="4" s="1"/>
  <c r="I90" i="11"/>
  <c r="H37" i="11"/>
  <c r="AI67" i="33"/>
  <c r="AI68" i="33" s="1"/>
  <c r="AH68" i="33"/>
  <c r="J90" i="13"/>
  <c r="J90" i="83" s="1"/>
  <c r="J93" i="83" s="1"/>
  <c r="S29" i="33"/>
  <c r="S31" i="33" s="1"/>
  <c r="K90" i="13"/>
  <c r="S62" i="33"/>
  <c r="K90" i="25"/>
  <c r="S63" i="33"/>
  <c r="K90" i="29" s="1"/>
  <c r="K37" i="29" s="1"/>
  <c r="R39" i="33"/>
  <c r="J111" i="25" s="1"/>
  <c r="R40" i="33"/>
  <c r="R38" i="33"/>
  <c r="R37" i="33"/>
  <c r="J111" i="49" s="1"/>
  <c r="Q41" i="33"/>
  <c r="I111" i="11"/>
  <c r="T3" i="33"/>
  <c r="BX3" i="33" s="1"/>
  <c r="U2" i="33"/>
  <c r="U5" i="33" s="1"/>
  <c r="S36" i="33"/>
  <c r="T110" i="33"/>
  <c r="T53" i="33"/>
  <c r="T26" i="33" s="1"/>
  <c r="T29" i="33" s="1"/>
  <c r="T33" i="33" s="1"/>
  <c r="L90" i="21"/>
  <c r="Q34" i="33"/>
  <c r="R33" i="33"/>
  <c r="R30" i="33"/>
  <c r="R32" i="33"/>
  <c r="J111" i="21" s="1"/>
  <c r="R31" i="33"/>
  <c r="BX2" i="33"/>
  <c r="W56" i="33"/>
  <c r="BX19" i="33"/>
  <c r="BX18" i="33"/>
  <c r="W32" i="73" l="1"/>
  <c r="W33" i="73" s="1"/>
  <c r="G21" i="74" s="1"/>
  <c r="K90" i="83"/>
  <c r="K93" i="83" s="1"/>
  <c r="H108" i="83"/>
  <c r="I107" i="82"/>
  <c r="I210" i="82" s="1"/>
  <c r="I214" i="82" s="1"/>
  <c r="I241" i="82" s="1"/>
  <c r="I275" i="82" s="1"/>
  <c r="W32" i="77"/>
  <c r="W33" i="77" s="1"/>
  <c r="G21" i="82" s="1"/>
  <c r="W32" i="79"/>
  <c r="W33" i="79" s="1"/>
  <c r="G21" i="83" s="1"/>
  <c r="I108" i="82"/>
  <c r="G29" i="74"/>
  <c r="G26" i="74"/>
  <c r="G234" i="74" s="1"/>
  <c r="G29" i="76"/>
  <c r="G26" i="76"/>
  <c r="G234" i="76" s="1"/>
  <c r="H107" i="83"/>
  <c r="H210" i="83" s="1"/>
  <c r="H214" i="83" s="1"/>
  <c r="H241" i="83" s="1"/>
  <c r="H307" i="83" s="1"/>
  <c r="K91" i="82"/>
  <c r="J100" i="82"/>
  <c r="J99" i="82"/>
  <c r="J98" i="82"/>
  <c r="J108" i="82" s="1"/>
  <c r="J94" i="82"/>
  <c r="J91" i="83"/>
  <c r="I99" i="83"/>
  <c r="I100" i="83"/>
  <c r="I94" i="83"/>
  <c r="I98" i="83"/>
  <c r="H121" i="74"/>
  <c r="H119" i="74"/>
  <c r="H120" i="74"/>
  <c r="H115" i="74"/>
  <c r="H175" i="74" s="1"/>
  <c r="I112" i="74"/>
  <c r="H45" i="80"/>
  <c r="H42" i="80"/>
  <c r="H222" i="80" s="1"/>
  <c r="H45" i="76"/>
  <c r="H42" i="76"/>
  <c r="H222" i="76" s="1"/>
  <c r="H120" i="80"/>
  <c r="H119" i="80"/>
  <c r="H121" i="80"/>
  <c r="H115" i="80"/>
  <c r="H175" i="80" s="1"/>
  <c r="I112" i="80"/>
  <c r="H186" i="80"/>
  <c r="H120" i="76"/>
  <c r="H121" i="76"/>
  <c r="I112" i="76"/>
  <c r="H119" i="76"/>
  <c r="H115" i="76"/>
  <c r="H175" i="76" s="1"/>
  <c r="H186" i="76"/>
  <c r="J111" i="76"/>
  <c r="J111" i="74"/>
  <c r="J111" i="80"/>
  <c r="J111" i="78"/>
  <c r="I114" i="80"/>
  <c r="I174" i="80" s="1"/>
  <c r="I217" i="80" s="1"/>
  <c r="I37" i="80"/>
  <c r="H42" i="78"/>
  <c r="H222" i="78" s="1"/>
  <c r="H45" i="78"/>
  <c r="I114" i="78"/>
  <c r="I174" i="78" s="1"/>
  <c r="I217" i="78" s="1"/>
  <c r="I37" i="78"/>
  <c r="H120" i="78"/>
  <c r="H115" i="78"/>
  <c r="H175" i="78" s="1"/>
  <c r="H121" i="78"/>
  <c r="H119" i="78"/>
  <c r="I112" i="78"/>
  <c r="I114" i="74"/>
  <c r="I174" i="74" s="1"/>
  <c r="I217" i="74" s="1"/>
  <c r="I37" i="74"/>
  <c r="H42" i="74"/>
  <c r="H222" i="74" s="1"/>
  <c r="H45" i="74"/>
  <c r="I114" i="76"/>
  <c r="I174" i="76" s="1"/>
  <c r="I217" i="76" s="1"/>
  <c r="I37" i="76"/>
  <c r="I37" i="48"/>
  <c r="I45" i="48" s="1"/>
  <c r="I50" i="48" s="1"/>
  <c r="I226" i="48" s="1"/>
  <c r="H108" i="49"/>
  <c r="J37" i="25"/>
  <c r="J37" i="21"/>
  <c r="I98" i="49"/>
  <c r="I100" i="49"/>
  <c r="I94" i="49"/>
  <c r="H175" i="49"/>
  <c r="H107" i="49"/>
  <c r="H210" i="49" s="1"/>
  <c r="H214" i="49" s="1"/>
  <c r="H241" i="49" s="1"/>
  <c r="H275" i="49" s="1"/>
  <c r="J91" i="49"/>
  <c r="J100" i="49" s="1"/>
  <c r="J93" i="49"/>
  <c r="J114" i="49"/>
  <c r="J111" i="48"/>
  <c r="J114" i="48" s="1"/>
  <c r="J174" i="48" s="1"/>
  <c r="J217" i="48" s="1"/>
  <c r="K93" i="48"/>
  <c r="H108" i="46"/>
  <c r="H177" i="46" s="1"/>
  <c r="H223" i="46" s="1"/>
  <c r="L93" i="48"/>
  <c r="H115" i="48"/>
  <c r="H175" i="48" s="1"/>
  <c r="I112" i="48"/>
  <c r="I121" i="48" s="1"/>
  <c r="H119" i="48"/>
  <c r="I217" i="49"/>
  <c r="H121" i="48"/>
  <c r="M93" i="48"/>
  <c r="S33" i="33"/>
  <c r="K93" i="49"/>
  <c r="X124" i="46"/>
  <c r="W129" i="46"/>
  <c r="H129" i="49"/>
  <c r="S30" i="33"/>
  <c r="H288" i="49"/>
  <c r="H256" i="49"/>
  <c r="I120" i="49"/>
  <c r="I115" i="49"/>
  <c r="J112" i="49"/>
  <c r="I121" i="49"/>
  <c r="I119" i="49"/>
  <c r="H50" i="49"/>
  <c r="H226" i="49" s="1"/>
  <c r="I37" i="11"/>
  <c r="K98" i="48"/>
  <c r="K94" i="48"/>
  <c r="K99" i="48"/>
  <c r="K100" i="48"/>
  <c r="I42" i="49"/>
  <c r="I222" i="49" s="1"/>
  <c r="I45" i="49"/>
  <c r="I50" i="49" s="1"/>
  <c r="I226" i="49" s="1"/>
  <c r="J107" i="48"/>
  <c r="I186" i="49"/>
  <c r="H50" i="48"/>
  <c r="H226" i="48" s="1"/>
  <c r="H256" i="48"/>
  <c r="H288" i="48"/>
  <c r="I210" i="48"/>
  <c r="I214" i="48" s="1"/>
  <c r="I241" i="48" s="1"/>
  <c r="H128" i="49"/>
  <c r="J37" i="49"/>
  <c r="J111" i="11"/>
  <c r="J37" i="11" s="1"/>
  <c r="H107" i="46"/>
  <c r="H176" i="46" s="1"/>
  <c r="L90" i="4"/>
  <c r="L37" i="4" s="1"/>
  <c r="K90" i="46"/>
  <c r="K90" i="4"/>
  <c r="K37" i="4" s="1"/>
  <c r="H50" i="46"/>
  <c r="H226" i="46" s="1"/>
  <c r="H288" i="46"/>
  <c r="H256" i="46"/>
  <c r="I45" i="46"/>
  <c r="I42" i="46"/>
  <c r="I222" i="46" s="1"/>
  <c r="U61" i="33"/>
  <c r="K111" i="14"/>
  <c r="K37" i="14" s="1"/>
  <c r="T61" i="33"/>
  <c r="J42" i="46"/>
  <c r="J222" i="46" s="1"/>
  <c r="J45" i="46"/>
  <c r="J111" i="14"/>
  <c r="J37" i="14" s="1"/>
  <c r="I94" i="46"/>
  <c r="I175" i="46" s="1"/>
  <c r="J91" i="46"/>
  <c r="I99" i="46"/>
  <c r="I98" i="46"/>
  <c r="I100" i="46"/>
  <c r="S32" i="33"/>
  <c r="K111" i="21" s="1"/>
  <c r="V2" i="33"/>
  <c r="V5" i="33" s="1"/>
  <c r="U3" i="33"/>
  <c r="BZ3" i="33" s="1"/>
  <c r="R41" i="33"/>
  <c r="M90" i="16"/>
  <c r="M90" i="21"/>
  <c r="U53" i="33"/>
  <c r="U26" i="33" s="1"/>
  <c r="U27" i="33" s="1"/>
  <c r="BZ2" i="33"/>
  <c r="U110" i="33"/>
  <c r="T30" i="33"/>
  <c r="T63" i="33"/>
  <c r="L90" i="29" s="1"/>
  <c r="L37" i="29" s="1"/>
  <c r="T27" i="33"/>
  <c r="BX27" i="33" s="1"/>
  <c r="L90" i="16"/>
  <c r="L90" i="82" s="1"/>
  <c r="L93" i="82" s="1"/>
  <c r="T64" i="33"/>
  <c r="T11" i="33"/>
  <c r="T32" i="33"/>
  <c r="L111" i="21" s="1"/>
  <c r="T31" i="33"/>
  <c r="BX26" i="33"/>
  <c r="S39" i="33"/>
  <c r="K111" i="25" s="1"/>
  <c r="S38" i="33"/>
  <c r="S40" i="33"/>
  <c r="S37" i="33"/>
  <c r="K111" i="49" s="1"/>
  <c r="R34" i="33"/>
  <c r="X56" i="33"/>
  <c r="I42" i="48" l="1"/>
  <c r="I222" i="48" s="1"/>
  <c r="H307" i="49"/>
  <c r="M90" i="82"/>
  <c r="M93" i="82" s="1"/>
  <c r="I307" i="82"/>
  <c r="G21" i="78"/>
  <c r="G29" i="78" s="1"/>
  <c r="G21" i="80"/>
  <c r="G26" i="80" s="1"/>
  <c r="G234" i="80" s="1"/>
  <c r="H177" i="49"/>
  <c r="H237" i="49" s="1"/>
  <c r="Q34" i="74"/>
  <c r="X34" i="74"/>
  <c r="M34" i="74"/>
  <c r="W34" i="74"/>
  <c r="G34" i="74"/>
  <c r="G226" i="74" s="1"/>
  <c r="U34" i="74"/>
  <c r="J34" i="74"/>
  <c r="K34" i="74"/>
  <c r="H34" i="74"/>
  <c r="T34" i="74"/>
  <c r="P34" i="74"/>
  <c r="Z34" i="74"/>
  <c r="L34" i="74"/>
  <c r="O34" i="74"/>
  <c r="V34" i="74"/>
  <c r="R34" i="74"/>
  <c r="Y34" i="74"/>
  <c r="AA34" i="74"/>
  <c r="S34" i="74"/>
  <c r="I34" i="74"/>
  <c r="N34" i="74"/>
  <c r="G29" i="83"/>
  <c r="G26" i="83"/>
  <c r="G234" i="83" s="1"/>
  <c r="H129" i="80"/>
  <c r="H177" i="80" s="1"/>
  <c r="H237" i="80" s="1"/>
  <c r="G268" i="76"/>
  <c r="G300" i="76"/>
  <c r="S34" i="76"/>
  <c r="J34" i="76"/>
  <c r="P34" i="76"/>
  <c r="Q34" i="76"/>
  <c r="W34" i="76"/>
  <c r="X34" i="76"/>
  <c r="R34" i="76"/>
  <c r="K34" i="76"/>
  <c r="T34" i="76"/>
  <c r="AA34" i="76"/>
  <c r="G34" i="76"/>
  <c r="G226" i="76" s="1"/>
  <c r="N34" i="76"/>
  <c r="U34" i="76"/>
  <c r="Z34" i="76"/>
  <c r="L34" i="76"/>
  <c r="I34" i="76"/>
  <c r="V34" i="76"/>
  <c r="Y34" i="76"/>
  <c r="H34" i="76"/>
  <c r="O34" i="76"/>
  <c r="M34" i="76"/>
  <c r="G26" i="78"/>
  <c r="G234" i="78" s="1"/>
  <c r="I107" i="83"/>
  <c r="I210" i="83" s="1"/>
  <c r="I214" i="83" s="1"/>
  <c r="I241" i="83" s="1"/>
  <c r="I275" i="83" s="1"/>
  <c r="G300" i="74"/>
  <c r="G268" i="74"/>
  <c r="G26" i="82"/>
  <c r="G234" i="82" s="1"/>
  <c r="G29" i="82"/>
  <c r="H275" i="83"/>
  <c r="J107" i="82"/>
  <c r="J210" i="82" s="1"/>
  <c r="J214" i="82" s="1"/>
  <c r="J241" i="82" s="1"/>
  <c r="J307" i="82" s="1"/>
  <c r="H129" i="74"/>
  <c r="H177" i="74" s="1"/>
  <c r="H180" i="74" s="1"/>
  <c r="I108" i="83"/>
  <c r="J99" i="83"/>
  <c r="J94" i="83"/>
  <c r="K91" i="83"/>
  <c r="J98" i="83"/>
  <c r="J100" i="83"/>
  <c r="K100" i="82"/>
  <c r="K99" i="82"/>
  <c r="K98" i="82"/>
  <c r="K94" i="82"/>
  <c r="L91" i="82"/>
  <c r="I175" i="49"/>
  <c r="H128" i="78"/>
  <c r="H176" i="78" s="1"/>
  <c r="I186" i="76"/>
  <c r="H129" i="76"/>
  <c r="H177" i="76" s="1"/>
  <c r="H237" i="76" s="1"/>
  <c r="H256" i="78"/>
  <c r="H288" i="78"/>
  <c r="I119" i="80"/>
  <c r="I115" i="80"/>
  <c r="I175" i="80" s="1"/>
  <c r="J112" i="80"/>
  <c r="I121" i="80"/>
  <c r="I120" i="80"/>
  <c r="H50" i="80"/>
  <c r="L111" i="74"/>
  <c r="L111" i="76"/>
  <c r="L111" i="80"/>
  <c r="L111" i="78"/>
  <c r="H288" i="74"/>
  <c r="H256" i="74"/>
  <c r="H128" i="76"/>
  <c r="H176" i="76" s="1"/>
  <c r="H200" i="76" s="1"/>
  <c r="I42" i="80"/>
  <c r="I222" i="80" s="1"/>
  <c r="I45" i="80"/>
  <c r="I50" i="80" s="1"/>
  <c r="I45" i="74"/>
  <c r="I50" i="74" s="1"/>
  <c r="I42" i="74"/>
  <c r="I222" i="74" s="1"/>
  <c r="J114" i="78"/>
  <c r="J174" i="78" s="1"/>
  <c r="J217" i="78" s="1"/>
  <c r="J37" i="78"/>
  <c r="I119" i="76"/>
  <c r="I115" i="76"/>
  <c r="I175" i="76" s="1"/>
  <c r="I120" i="76"/>
  <c r="J112" i="76"/>
  <c r="I121" i="76"/>
  <c r="H128" i="80"/>
  <c r="H176" i="80" s="1"/>
  <c r="J112" i="74"/>
  <c r="I121" i="74"/>
  <c r="I120" i="74"/>
  <c r="I119" i="74"/>
  <c r="I115" i="74"/>
  <c r="I175" i="74" s="1"/>
  <c r="H50" i="74"/>
  <c r="J114" i="80"/>
  <c r="J174" i="80" s="1"/>
  <c r="J217" i="80" s="1"/>
  <c r="J37" i="80"/>
  <c r="H129" i="78"/>
  <c r="H177" i="78" s="1"/>
  <c r="I42" i="78"/>
  <c r="I222" i="78" s="1"/>
  <c r="I45" i="78"/>
  <c r="I50" i="78" s="1"/>
  <c r="J114" i="74"/>
  <c r="J174" i="74" s="1"/>
  <c r="J217" i="74" s="1"/>
  <c r="J37" i="74"/>
  <c r="H288" i="76"/>
  <c r="H256" i="76"/>
  <c r="J112" i="78"/>
  <c r="I120" i="78"/>
  <c r="I119" i="78"/>
  <c r="I115" i="78"/>
  <c r="I175" i="78" s="1"/>
  <c r="I121" i="78"/>
  <c r="J114" i="76"/>
  <c r="J174" i="76" s="1"/>
  <c r="J217" i="76" s="1"/>
  <c r="J37" i="76"/>
  <c r="I186" i="80"/>
  <c r="J186" i="80" s="1"/>
  <c r="H50" i="76"/>
  <c r="H128" i="74"/>
  <c r="H176" i="74" s="1"/>
  <c r="K111" i="76"/>
  <c r="K111" i="74"/>
  <c r="K111" i="80"/>
  <c r="K111" i="78"/>
  <c r="I42" i="76"/>
  <c r="I222" i="76" s="1"/>
  <c r="I45" i="76"/>
  <c r="I50" i="76" s="1"/>
  <c r="I226" i="76" s="1"/>
  <c r="H200" i="78"/>
  <c r="H179" i="78"/>
  <c r="H50" i="78"/>
  <c r="H256" i="80"/>
  <c r="H288" i="80"/>
  <c r="H176" i="49"/>
  <c r="H187" i="49" s="1"/>
  <c r="J99" i="49"/>
  <c r="H129" i="48"/>
  <c r="K37" i="25"/>
  <c r="K37" i="21"/>
  <c r="L90" i="10"/>
  <c r="I107" i="49"/>
  <c r="I210" i="49" s="1"/>
  <c r="I214" i="49" s="1"/>
  <c r="I241" i="49" s="1"/>
  <c r="I275" i="49" s="1"/>
  <c r="J174" i="49"/>
  <c r="I108" i="49"/>
  <c r="J94" i="49"/>
  <c r="J98" i="49"/>
  <c r="J37" i="48"/>
  <c r="J42" i="48" s="1"/>
  <c r="J222" i="48" s="1"/>
  <c r="H181" i="46"/>
  <c r="H180" i="46"/>
  <c r="H237" i="46"/>
  <c r="H303" i="46" s="1"/>
  <c r="L91" i="48"/>
  <c r="L98" i="48" s="1"/>
  <c r="K114" i="49"/>
  <c r="H128" i="48"/>
  <c r="H176" i="48" s="1"/>
  <c r="H179" i="48" s="1"/>
  <c r="K91" i="49"/>
  <c r="K98" i="49" s="1"/>
  <c r="L111" i="48"/>
  <c r="L114" i="48" s="1"/>
  <c r="L174" i="48" s="1"/>
  <c r="L217" i="48" s="1"/>
  <c r="J112" i="48"/>
  <c r="J119" i="48" s="1"/>
  <c r="I108" i="46"/>
  <c r="I177" i="46" s="1"/>
  <c r="I180" i="46" s="1"/>
  <c r="I119" i="48"/>
  <c r="U36" i="33"/>
  <c r="U40" i="33" s="1"/>
  <c r="I120" i="48"/>
  <c r="K111" i="48"/>
  <c r="K114" i="48" s="1"/>
  <c r="K174" i="48" s="1"/>
  <c r="K217" i="48" s="1"/>
  <c r="I115" i="48"/>
  <c r="I175" i="48" s="1"/>
  <c r="U62" i="33"/>
  <c r="V3" i="33"/>
  <c r="V11" i="33" s="1"/>
  <c r="N90" i="13" s="1"/>
  <c r="L93" i="49"/>
  <c r="J217" i="49"/>
  <c r="J186" i="49"/>
  <c r="Y124" i="46"/>
  <c r="X129" i="46"/>
  <c r="H223" i="49"/>
  <c r="H289" i="49" s="1"/>
  <c r="H180" i="49"/>
  <c r="I128" i="49"/>
  <c r="J50" i="46"/>
  <c r="J226" i="46" s="1"/>
  <c r="J260" i="46" s="1"/>
  <c r="U63" i="33"/>
  <c r="M90" i="29" s="1"/>
  <c r="M37" i="29" s="1"/>
  <c r="H179" i="49"/>
  <c r="H224" i="49"/>
  <c r="H292" i="48"/>
  <c r="H260" i="48"/>
  <c r="I292" i="49"/>
  <c r="I260" i="49"/>
  <c r="I129" i="49"/>
  <c r="I288" i="48"/>
  <c r="I256" i="48"/>
  <c r="I260" i="48"/>
  <c r="I292" i="48"/>
  <c r="J210" i="48"/>
  <c r="J214" i="48" s="1"/>
  <c r="J241" i="48" s="1"/>
  <c r="CA3" i="33"/>
  <c r="N93" i="48"/>
  <c r="H200" i="49"/>
  <c r="I288" i="49"/>
  <c r="I256" i="49"/>
  <c r="H292" i="49"/>
  <c r="H260" i="49"/>
  <c r="J119" i="49"/>
  <c r="J120" i="49"/>
  <c r="J115" i="49"/>
  <c r="K112" i="49"/>
  <c r="J121" i="49"/>
  <c r="H181" i="49"/>
  <c r="I275" i="48"/>
  <c r="I307" i="48"/>
  <c r="K37" i="49"/>
  <c r="K107" i="48"/>
  <c r="K174" i="49"/>
  <c r="H271" i="49"/>
  <c r="H303" i="49"/>
  <c r="J42" i="49"/>
  <c r="J222" i="49" s="1"/>
  <c r="J45" i="49"/>
  <c r="V61" i="33"/>
  <c r="H271" i="46"/>
  <c r="W2" i="33"/>
  <c r="W5" i="33" s="1"/>
  <c r="L90" i="13"/>
  <c r="K111" i="11"/>
  <c r="K37" i="11" s="1"/>
  <c r="I256" i="46"/>
  <c r="I288" i="46"/>
  <c r="H292" i="46"/>
  <c r="H260" i="46"/>
  <c r="H179" i="46"/>
  <c r="H187" i="46"/>
  <c r="H224" i="46" s="1"/>
  <c r="V53" i="33"/>
  <c r="V26" i="33" s="1"/>
  <c r="V29" i="33" s="1"/>
  <c r="L90" i="25"/>
  <c r="K91" i="46"/>
  <c r="J99" i="46"/>
  <c r="J98" i="46"/>
  <c r="J94" i="46"/>
  <c r="J175" i="46" s="1"/>
  <c r="J100" i="46"/>
  <c r="J288" i="46"/>
  <c r="J256" i="46"/>
  <c r="I50" i="46"/>
  <c r="I226" i="46" s="1"/>
  <c r="H200" i="46"/>
  <c r="K37" i="46"/>
  <c r="K93" i="46"/>
  <c r="K174" i="46" s="1"/>
  <c r="K217" i="46" s="1"/>
  <c r="L90" i="46"/>
  <c r="U29" i="33"/>
  <c r="U33" i="33" s="1"/>
  <c r="L111" i="14"/>
  <c r="L37" i="14" s="1"/>
  <c r="M90" i="46"/>
  <c r="I107" i="46"/>
  <c r="I176" i="46" s="1"/>
  <c r="I200" i="46" s="1"/>
  <c r="H289" i="46"/>
  <c r="H257" i="46"/>
  <c r="V110" i="33"/>
  <c r="S41" i="33"/>
  <c r="U11" i="33"/>
  <c r="M90" i="25" s="1"/>
  <c r="U64" i="33"/>
  <c r="S34" i="33"/>
  <c r="L37" i="21"/>
  <c r="T36" i="33"/>
  <c r="T38" i="33" s="1"/>
  <c r="N90" i="16"/>
  <c r="V64" i="33"/>
  <c r="V62" i="33"/>
  <c r="T34" i="33"/>
  <c r="V63" i="33"/>
  <c r="N90" i="29" s="1"/>
  <c r="N37" i="29" s="1"/>
  <c r="M90" i="13"/>
  <c r="N90" i="25"/>
  <c r="O90" i="21"/>
  <c r="Y56" i="33"/>
  <c r="W53" i="33"/>
  <c r="W26" i="33" s="1"/>
  <c r="H223" i="74" l="1"/>
  <c r="H237" i="74"/>
  <c r="J107" i="49"/>
  <c r="J210" i="49" s="1"/>
  <c r="J214" i="49" s="1"/>
  <c r="J241" i="49" s="1"/>
  <c r="V27" i="33"/>
  <c r="V36" i="33" s="1"/>
  <c r="I307" i="83"/>
  <c r="H226" i="74"/>
  <c r="L90" i="83"/>
  <c r="L93" i="83" s="1"/>
  <c r="H223" i="80"/>
  <c r="H289" i="80" s="1"/>
  <c r="H180" i="80"/>
  <c r="J275" i="82"/>
  <c r="N90" i="83"/>
  <c r="N93" i="83" s="1"/>
  <c r="J108" i="49"/>
  <c r="I128" i="48"/>
  <c r="I176" i="48" s="1"/>
  <c r="M90" i="83"/>
  <c r="M93" i="83" s="1"/>
  <c r="H226" i="76"/>
  <c r="H292" i="76" s="1"/>
  <c r="I226" i="74"/>
  <c r="I292" i="74" s="1"/>
  <c r="G29" i="80"/>
  <c r="G34" i="80" s="1"/>
  <c r="G226" i="80" s="1"/>
  <c r="G300" i="78"/>
  <c r="G268" i="78"/>
  <c r="G292" i="74"/>
  <c r="G260" i="74"/>
  <c r="G230" i="74"/>
  <c r="G231" i="74" s="1"/>
  <c r="G242" i="74" s="1"/>
  <c r="G243" i="74" s="1"/>
  <c r="G244" i="74" s="1"/>
  <c r="H34" i="82"/>
  <c r="Q34" i="82"/>
  <c r="Z34" i="82"/>
  <c r="G34" i="82"/>
  <c r="G226" i="82" s="1"/>
  <c r="R34" i="82"/>
  <c r="L34" i="82"/>
  <c r="M34" i="82"/>
  <c r="V34" i="82"/>
  <c r="I34" i="82"/>
  <c r="X34" i="82"/>
  <c r="O34" i="82"/>
  <c r="N34" i="82"/>
  <c r="Y34" i="82"/>
  <c r="K34" i="82"/>
  <c r="W34" i="82"/>
  <c r="P34" i="82"/>
  <c r="U34" i="82"/>
  <c r="AA34" i="82"/>
  <c r="S34" i="82"/>
  <c r="T34" i="82"/>
  <c r="J34" i="82"/>
  <c r="H34" i="78"/>
  <c r="H226" i="78" s="1"/>
  <c r="N34" i="78"/>
  <c r="T34" i="78"/>
  <c r="I34" i="78"/>
  <c r="I226" i="78" s="1"/>
  <c r="L34" i="78"/>
  <c r="U34" i="78"/>
  <c r="G34" i="78"/>
  <c r="G226" i="78" s="1"/>
  <c r="J34" i="78"/>
  <c r="K34" i="78"/>
  <c r="P34" i="78"/>
  <c r="O34" i="78"/>
  <c r="Z34" i="78"/>
  <c r="Y34" i="78"/>
  <c r="Q34" i="78"/>
  <c r="V34" i="78"/>
  <c r="AA34" i="78"/>
  <c r="S34" i="78"/>
  <c r="X34" i="78"/>
  <c r="R34" i="78"/>
  <c r="M34" i="78"/>
  <c r="W34" i="78"/>
  <c r="G300" i="82"/>
  <c r="G268" i="82"/>
  <c r="I129" i="80"/>
  <c r="I177" i="80" s="1"/>
  <c r="I237" i="80" s="1"/>
  <c r="G268" i="80"/>
  <c r="G300" i="80"/>
  <c r="G292" i="76"/>
  <c r="G260" i="76"/>
  <c r="G230" i="76"/>
  <c r="G231" i="76" s="1"/>
  <c r="G242" i="76" s="1"/>
  <c r="G243" i="76" s="1"/>
  <c r="G244" i="76" s="1"/>
  <c r="G268" i="83"/>
  <c r="G300" i="83"/>
  <c r="K34" i="83"/>
  <c r="M34" i="83"/>
  <c r="AA34" i="83"/>
  <c r="P34" i="83"/>
  <c r="N34" i="83"/>
  <c r="G34" i="83"/>
  <c r="G226" i="83" s="1"/>
  <c r="S34" i="83"/>
  <c r="J34" i="83"/>
  <c r="X34" i="83"/>
  <c r="Z34" i="83"/>
  <c r="R34" i="83"/>
  <c r="U34" i="83"/>
  <c r="Q34" i="83"/>
  <c r="Y34" i="83"/>
  <c r="I34" i="83"/>
  <c r="T34" i="83"/>
  <c r="V34" i="83"/>
  <c r="O34" i="83"/>
  <c r="W34" i="83"/>
  <c r="H34" i="83"/>
  <c r="L34" i="83"/>
  <c r="J108" i="83"/>
  <c r="K107" i="82"/>
  <c r="K210" i="82" s="1"/>
  <c r="K214" i="82" s="1"/>
  <c r="K241" i="82" s="1"/>
  <c r="K108" i="82"/>
  <c r="J107" i="83"/>
  <c r="J210" i="83" s="1"/>
  <c r="J214" i="83" s="1"/>
  <c r="J241" i="83" s="1"/>
  <c r="L100" i="82"/>
  <c r="L99" i="82"/>
  <c r="L98" i="82"/>
  <c r="L94" i="82"/>
  <c r="M91" i="82"/>
  <c r="K100" i="83"/>
  <c r="K98" i="83"/>
  <c r="K99" i="83"/>
  <c r="K94" i="83"/>
  <c r="K100" i="49"/>
  <c r="K99" i="49"/>
  <c r="K94" i="49"/>
  <c r="J45" i="48"/>
  <c r="J50" i="48" s="1"/>
  <c r="J226" i="48" s="1"/>
  <c r="J292" i="48" s="1"/>
  <c r="I129" i="78"/>
  <c r="I177" i="78" s="1"/>
  <c r="I223" i="78" s="1"/>
  <c r="J186" i="76"/>
  <c r="I237" i="46"/>
  <c r="I128" i="78"/>
  <c r="I176" i="78" s="1"/>
  <c r="I200" i="78" s="1"/>
  <c r="I177" i="49"/>
  <c r="I129" i="74"/>
  <c r="I177" i="74" s="1"/>
  <c r="I237" i="74" s="1"/>
  <c r="J175" i="49"/>
  <c r="H181" i="76"/>
  <c r="H180" i="76"/>
  <c r="H223" i="76"/>
  <c r="H257" i="76" s="1"/>
  <c r="K114" i="74"/>
  <c r="K174" i="74" s="1"/>
  <c r="K217" i="74" s="1"/>
  <c r="K37" i="74"/>
  <c r="J45" i="76"/>
  <c r="J42" i="76"/>
  <c r="J222" i="76" s="1"/>
  <c r="I288" i="78"/>
  <c r="I256" i="78"/>
  <c r="J119" i="74"/>
  <c r="K112" i="74"/>
  <c r="J115" i="74"/>
  <c r="J175" i="74" s="1"/>
  <c r="J120" i="74"/>
  <c r="J121" i="74"/>
  <c r="J45" i="78"/>
  <c r="J42" i="78"/>
  <c r="J222" i="78" s="1"/>
  <c r="L114" i="80"/>
  <c r="L174" i="80" s="1"/>
  <c r="L217" i="80" s="1"/>
  <c r="L37" i="80"/>
  <c r="H179" i="74"/>
  <c r="I237" i="78"/>
  <c r="H239" i="76"/>
  <c r="H225" i="76"/>
  <c r="H187" i="80"/>
  <c r="H224" i="80" s="1"/>
  <c r="H179" i="80"/>
  <c r="I288" i="74"/>
  <c r="I256" i="74"/>
  <c r="L114" i="74"/>
  <c r="L174" i="74" s="1"/>
  <c r="L217" i="74" s="1"/>
  <c r="L37" i="74"/>
  <c r="J119" i="80"/>
  <c r="J115" i="80"/>
  <c r="J175" i="80" s="1"/>
  <c r="J121" i="80"/>
  <c r="K112" i="80"/>
  <c r="K186" i="80" s="1"/>
  <c r="J120" i="80"/>
  <c r="H181" i="80"/>
  <c r="H260" i="76"/>
  <c r="X2" i="33"/>
  <c r="X5" i="33" s="1"/>
  <c r="H239" i="78"/>
  <c r="H225" i="78"/>
  <c r="H260" i="74"/>
  <c r="H292" i="74"/>
  <c r="H271" i="74"/>
  <c r="H303" i="74"/>
  <c r="H271" i="80"/>
  <c r="H303" i="80"/>
  <c r="K114" i="76"/>
  <c r="K174" i="76" s="1"/>
  <c r="K217" i="76" s="1"/>
  <c r="K37" i="76"/>
  <c r="W3" i="33"/>
  <c r="W11" i="33" s="1"/>
  <c r="U38" i="33"/>
  <c r="H200" i="74"/>
  <c r="J119" i="76"/>
  <c r="J121" i="76"/>
  <c r="J115" i="76"/>
  <c r="J175" i="76" s="1"/>
  <c r="K112" i="76"/>
  <c r="J120" i="76"/>
  <c r="H200" i="80"/>
  <c r="H289" i="74"/>
  <c r="H257" i="74"/>
  <c r="I128" i="80"/>
  <c r="I176" i="80" s="1"/>
  <c r="W110" i="33"/>
  <c r="I288" i="76"/>
  <c r="I256" i="76"/>
  <c r="J45" i="74"/>
  <c r="J42" i="74"/>
  <c r="J222" i="74" s="1"/>
  <c r="J45" i="80"/>
  <c r="J50" i="80" s="1"/>
  <c r="J42" i="80"/>
  <c r="J222" i="80" s="1"/>
  <c r="I128" i="74"/>
  <c r="I176" i="74" s="1"/>
  <c r="L114" i="76"/>
  <c r="L174" i="76" s="1"/>
  <c r="L217" i="76" s="1"/>
  <c r="L37" i="76"/>
  <c r="K114" i="78"/>
  <c r="K174" i="78" s="1"/>
  <c r="K217" i="78" s="1"/>
  <c r="K37" i="78"/>
  <c r="I256" i="80"/>
  <c r="I288" i="80"/>
  <c r="H181" i="74"/>
  <c r="H223" i="78"/>
  <c r="H237" i="78"/>
  <c r="H180" i="78"/>
  <c r="H181" i="78"/>
  <c r="K114" i="80"/>
  <c r="K174" i="80" s="1"/>
  <c r="K217" i="80" s="1"/>
  <c r="K37" i="80"/>
  <c r="I292" i="76"/>
  <c r="I260" i="76"/>
  <c r="J120" i="78"/>
  <c r="J121" i="78"/>
  <c r="J119" i="78"/>
  <c r="K112" i="78"/>
  <c r="J115" i="78"/>
  <c r="J175" i="78" s="1"/>
  <c r="I129" i="76"/>
  <c r="I177" i="76" s="1"/>
  <c r="I128" i="76"/>
  <c r="I176" i="76" s="1"/>
  <c r="H187" i="76"/>
  <c r="H224" i="76" s="1"/>
  <c r="H179" i="76"/>
  <c r="L114" i="78"/>
  <c r="L174" i="78" s="1"/>
  <c r="L217" i="78" s="1"/>
  <c r="L37" i="78"/>
  <c r="H303" i="76"/>
  <c r="H271" i="76"/>
  <c r="K37" i="48"/>
  <c r="K45" i="48" s="1"/>
  <c r="U39" i="33"/>
  <c r="M111" i="25" s="1"/>
  <c r="M37" i="25" s="1"/>
  <c r="U37" i="33"/>
  <c r="M111" i="49" s="1"/>
  <c r="M114" i="49" s="1"/>
  <c r="I307" i="49"/>
  <c r="I176" i="49"/>
  <c r="I179" i="49" s="1"/>
  <c r="M90" i="4"/>
  <c r="M37" i="4" s="1"/>
  <c r="M90" i="10"/>
  <c r="M37" i="10" s="1"/>
  <c r="L37" i="10"/>
  <c r="N90" i="10"/>
  <c r="N37" i="10" s="1"/>
  <c r="L99" i="48"/>
  <c r="M91" i="48"/>
  <c r="M100" i="48" s="1"/>
  <c r="K112" i="48"/>
  <c r="K115" i="48" s="1"/>
  <c r="K175" i="48" s="1"/>
  <c r="U30" i="33"/>
  <c r="U32" i="33"/>
  <c r="M111" i="21" s="1"/>
  <c r="J121" i="48"/>
  <c r="L100" i="48"/>
  <c r="U31" i="33"/>
  <c r="L94" i="48"/>
  <c r="H200" i="48"/>
  <c r="H239" i="48" s="1"/>
  <c r="J120" i="48"/>
  <c r="L37" i="48"/>
  <c r="L42" i="48" s="1"/>
  <c r="L222" i="48" s="1"/>
  <c r="J115" i="48"/>
  <c r="J175" i="48" s="1"/>
  <c r="K186" i="49"/>
  <c r="L91" i="49"/>
  <c r="M91" i="49" s="1"/>
  <c r="H257" i="49"/>
  <c r="I223" i="46"/>
  <c r="I129" i="48"/>
  <c r="J108" i="46"/>
  <c r="J177" i="46" s="1"/>
  <c r="J237" i="46" s="1"/>
  <c r="T40" i="33"/>
  <c r="N90" i="21"/>
  <c r="K217" i="49"/>
  <c r="J129" i="49"/>
  <c r="K108" i="49"/>
  <c r="Z124" i="46"/>
  <c r="Y129" i="46"/>
  <c r="J292" i="46"/>
  <c r="M93" i="49"/>
  <c r="J307" i="49"/>
  <c r="J275" i="49"/>
  <c r="J288" i="49"/>
  <c r="J256" i="49"/>
  <c r="J50" i="49"/>
  <c r="J226" i="49" s="1"/>
  <c r="I200" i="48"/>
  <c r="H225" i="49"/>
  <c r="H239" i="49"/>
  <c r="K210" i="48"/>
  <c r="K214" i="48" s="1"/>
  <c r="K241" i="48" s="1"/>
  <c r="K120" i="49"/>
  <c r="K121" i="49"/>
  <c r="K119" i="49"/>
  <c r="K115" i="49"/>
  <c r="O93" i="48"/>
  <c r="K45" i="49"/>
  <c r="K42" i="49"/>
  <c r="K222" i="49" s="1"/>
  <c r="I179" i="48"/>
  <c r="I223" i="49"/>
  <c r="I180" i="49"/>
  <c r="I237" i="49"/>
  <c r="J307" i="48"/>
  <c r="J275" i="48"/>
  <c r="H290" i="49"/>
  <c r="H238" i="49"/>
  <c r="H258" i="49"/>
  <c r="J128" i="49"/>
  <c r="J176" i="49" s="1"/>
  <c r="J256" i="48"/>
  <c r="J288" i="48"/>
  <c r="K121" i="48"/>
  <c r="H258" i="46"/>
  <c r="H290" i="46"/>
  <c r="H238" i="46"/>
  <c r="H225" i="46"/>
  <c r="H239" i="46"/>
  <c r="J107" i="46"/>
  <c r="J176" i="46" s="1"/>
  <c r="J200" i="46" s="1"/>
  <c r="N90" i="46"/>
  <c r="M90" i="11"/>
  <c r="K99" i="46"/>
  <c r="K98" i="46"/>
  <c r="K94" i="46"/>
  <c r="K175" i="46" s="1"/>
  <c r="K100" i="46"/>
  <c r="L91" i="46"/>
  <c r="L111" i="11"/>
  <c r="M37" i="46"/>
  <c r="M93" i="46"/>
  <c r="M174" i="46" s="1"/>
  <c r="M217" i="46" s="1"/>
  <c r="K42" i="46"/>
  <c r="K222" i="46" s="1"/>
  <c r="K45" i="46"/>
  <c r="N90" i="4"/>
  <c r="N37" i="4" s="1"/>
  <c r="I181" i="46"/>
  <c r="I179" i="46"/>
  <c r="I187" i="46"/>
  <c r="I224" i="46" s="1"/>
  <c r="L37" i="46"/>
  <c r="L93" i="46"/>
  <c r="L174" i="46" s="1"/>
  <c r="L217" i="46" s="1"/>
  <c r="I260" i="46"/>
  <c r="I292" i="46"/>
  <c r="I271" i="46"/>
  <c r="I303" i="46"/>
  <c r="I239" i="46"/>
  <c r="I225" i="46"/>
  <c r="N90" i="11"/>
  <c r="T37" i="33"/>
  <c r="L111" i="49" s="1"/>
  <c r="L37" i="49" s="1"/>
  <c r="W61" i="33"/>
  <c r="L90" i="11"/>
  <c r="I257" i="46"/>
  <c r="I289" i="46"/>
  <c r="T39" i="33"/>
  <c r="W62" i="33"/>
  <c r="W63" i="33"/>
  <c r="O90" i="29" s="1"/>
  <c r="O37" i="29" s="1"/>
  <c r="O90" i="16"/>
  <c r="O90" i="82" s="1"/>
  <c r="O93" i="82" s="1"/>
  <c r="W64" i="33"/>
  <c r="V40" i="33"/>
  <c r="V37" i="33"/>
  <c r="N111" i="49" s="1"/>
  <c r="V38" i="33"/>
  <c r="V39" i="33"/>
  <c r="N111" i="25" s="1"/>
  <c r="W27" i="33"/>
  <c r="W36" i="33" s="1"/>
  <c r="W29" i="33"/>
  <c r="V32" i="33"/>
  <c r="N111" i="21" s="1"/>
  <c r="V31" i="33"/>
  <c r="V33" i="33"/>
  <c r="V30" i="33"/>
  <c r="O90" i="25"/>
  <c r="O90" i="13"/>
  <c r="P90" i="21"/>
  <c r="X110" i="33"/>
  <c r="Z56" i="33"/>
  <c r="I260" i="74" l="1"/>
  <c r="K107" i="49"/>
  <c r="K175" i="49"/>
  <c r="H257" i="80"/>
  <c r="P34" i="80"/>
  <c r="L107" i="48"/>
  <c r="L210" i="48" s="1"/>
  <c r="L214" i="48" s="1"/>
  <c r="L241" i="48" s="1"/>
  <c r="V34" i="80"/>
  <c r="H289" i="76"/>
  <c r="L34" i="80"/>
  <c r="K50" i="48"/>
  <c r="K226" i="48" s="1"/>
  <c r="J177" i="49"/>
  <c r="J223" i="49" s="1"/>
  <c r="I180" i="80"/>
  <c r="AA34" i="80"/>
  <c r="N90" i="82"/>
  <c r="N93" i="82" s="1"/>
  <c r="I223" i="80"/>
  <c r="L91" i="83"/>
  <c r="L99" i="83" s="1"/>
  <c r="N34" i="80"/>
  <c r="O90" i="83"/>
  <c r="O93" i="83" s="1"/>
  <c r="I200" i="49"/>
  <c r="I239" i="49" s="1"/>
  <c r="K186" i="76"/>
  <c r="I34" i="80"/>
  <c r="I226" i="80" s="1"/>
  <c r="I260" i="80" s="1"/>
  <c r="W34" i="80"/>
  <c r="S34" i="80"/>
  <c r="K34" i="80"/>
  <c r="Z34" i="80"/>
  <c r="X34" i="80"/>
  <c r="H34" i="80"/>
  <c r="H226" i="80" s="1"/>
  <c r="H292" i="80" s="1"/>
  <c r="Y34" i="80"/>
  <c r="J34" i="80"/>
  <c r="J226" i="80" s="1"/>
  <c r="J260" i="80" s="1"/>
  <c r="T34" i="80"/>
  <c r="U34" i="80"/>
  <c r="M34" i="80"/>
  <c r="O34" i="80"/>
  <c r="R34" i="80"/>
  <c r="Q34" i="80"/>
  <c r="H260" i="78"/>
  <c r="H292" i="78"/>
  <c r="J260" i="48"/>
  <c r="I292" i="80"/>
  <c r="I292" i="78"/>
  <c r="I260" i="78"/>
  <c r="H260" i="80"/>
  <c r="G260" i="83"/>
  <c r="G292" i="83"/>
  <c r="G230" i="83"/>
  <c r="G231" i="83" s="1"/>
  <c r="G242" i="83" s="1"/>
  <c r="G243" i="83" s="1"/>
  <c r="G244" i="83" s="1"/>
  <c r="L100" i="49"/>
  <c r="L99" i="49"/>
  <c r="G230" i="78"/>
  <c r="G231" i="78" s="1"/>
  <c r="G242" i="78" s="1"/>
  <c r="G243" i="78" s="1"/>
  <c r="G244" i="78" s="1"/>
  <c r="G260" i="78"/>
  <c r="G292" i="78"/>
  <c r="G292" i="82"/>
  <c r="G260" i="82"/>
  <c r="G230" i="82"/>
  <c r="G231" i="82" s="1"/>
  <c r="G242" i="82" s="1"/>
  <c r="G243" i="82" s="1"/>
  <c r="G244" i="82" s="1"/>
  <c r="G292" i="80"/>
  <c r="G230" i="80"/>
  <c r="G231" i="80" s="1"/>
  <c r="G242" i="80" s="1"/>
  <c r="G243" i="80" s="1"/>
  <c r="G244" i="80" s="1"/>
  <c r="G260" i="80"/>
  <c r="K107" i="83"/>
  <c r="K210" i="83" s="1"/>
  <c r="K214" i="83" s="1"/>
  <c r="K241" i="83" s="1"/>
  <c r="K275" i="83" s="1"/>
  <c r="L107" i="82"/>
  <c r="L210" i="82" s="1"/>
  <c r="L214" i="82" s="1"/>
  <c r="L241" i="82" s="1"/>
  <c r="L275" i="82" s="1"/>
  <c r="K42" i="48"/>
  <c r="K222" i="48" s="1"/>
  <c r="K288" i="48" s="1"/>
  <c r="I179" i="78"/>
  <c r="K307" i="83"/>
  <c r="J307" i="83"/>
  <c r="J275" i="83"/>
  <c r="I223" i="74"/>
  <c r="I289" i="74" s="1"/>
  <c r="I181" i="49"/>
  <c r="L108" i="82"/>
  <c r="I187" i="49"/>
  <c r="I224" i="49" s="1"/>
  <c r="I258" i="49" s="1"/>
  <c r="J129" i="80"/>
  <c r="J177" i="80" s="1"/>
  <c r="M98" i="82"/>
  <c r="M99" i="82"/>
  <c r="M94" i="82"/>
  <c r="N91" i="82"/>
  <c r="M100" i="82"/>
  <c r="K307" i="82"/>
  <c r="K275" i="82"/>
  <c r="K108" i="83"/>
  <c r="J129" i="74"/>
  <c r="J177" i="74" s="1"/>
  <c r="J180" i="74" s="1"/>
  <c r="Y2" i="33"/>
  <c r="Y5" i="33" s="1"/>
  <c r="X3" i="33"/>
  <c r="X11" i="33" s="1"/>
  <c r="K119" i="48"/>
  <c r="K120" i="48"/>
  <c r="X53" i="33"/>
  <c r="X26" i="33" s="1"/>
  <c r="L112" i="48"/>
  <c r="L119" i="48" s="1"/>
  <c r="I180" i="78"/>
  <c r="I181" i="78"/>
  <c r="J223" i="46"/>
  <c r="J129" i="78"/>
  <c r="J177" i="78" s="1"/>
  <c r="J223" i="78" s="1"/>
  <c r="M111" i="11"/>
  <c r="M37" i="11" s="1"/>
  <c r="J128" i="74"/>
  <c r="J176" i="74" s="1"/>
  <c r="J200" i="74" s="1"/>
  <c r="I180" i="74"/>
  <c r="J128" i="76"/>
  <c r="J176" i="76" s="1"/>
  <c r="J179" i="76" s="1"/>
  <c r="H305" i="78"/>
  <c r="H273" i="78"/>
  <c r="H305" i="76"/>
  <c r="H273" i="76"/>
  <c r="I303" i="74"/>
  <c r="I271" i="74"/>
  <c r="K45" i="78"/>
  <c r="K42" i="78"/>
  <c r="K222" i="78" s="1"/>
  <c r="K42" i="76"/>
  <c r="K222" i="76" s="1"/>
  <c r="K45" i="76"/>
  <c r="J180" i="46"/>
  <c r="H290" i="76"/>
  <c r="H238" i="76"/>
  <c r="H258" i="76"/>
  <c r="I179" i="74"/>
  <c r="I200" i="74"/>
  <c r="I257" i="78"/>
  <c r="I289" i="78"/>
  <c r="L45" i="80"/>
  <c r="L42" i="80"/>
  <c r="L222" i="80" s="1"/>
  <c r="J50" i="76"/>
  <c r="J226" i="76" s="1"/>
  <c r="J187" i="76"/>
  <c r="J224" i="76" s="1"/>
  <c r="J237" i="80"/>
  <c r="J223" i="80"/>
  <c r="J180" i="80"/>
  <c r="I187" i="76"/>
  <c r="I224" i="76" s="1"/>
  <c r="I179" i="76"/>
  <c r="H271" i="78"/>
  <c r="H303" i="78"/>
  <c r="J256" i="80"/>
  <c r="J288" i="80"/>
  <c r="H225" i="80"/>
  <c r="H239" i="80"/>
  <c r="K121" i="80"/>
  <c r="K120" i="80"/>
  <c r="K119" i="80"/>
  <c r="K115" i="80"/>
  <c r="K175" i="80" s="1"/>
  <c r="L112" i="80"/>
  <c r="I303" i="78"/>
  <c r="I271" i="78"/>
  <c r="K120" i="74"/>
  <c r="K119" i="74"/>
  <c r="K121" i="74"/>
  <c r="K115" i="74"/>
  <c r="K175" i="74" s="1"/>
  <c r="L112" i="74"/>
  <c r="K42" i="74"/>
  <c r="K222" i="74" s="1"/>
  <c r="K45" i="74"/>
  <c r="J180" i="78"/>
  <c r="J237" i="78"/>
  <c r="L42" i="74"/>
  <c r="L222" i="74" s="1"/>
  <c r="L45" i="74"/>
  <c r="I257" i="74"/>
  <c r="M111" i="76"/>
  <c r="M111" i="74"/>
  <c r="M111" i="78"/>
  <c r="M111" i="80"/>
  <c r="I180" i="76"/>
  <c r="I237" i="76"/>
  <c r="I223" i="76"/>
  <c r="I181" i="76"/>
  <c r="H257" i="78"/>
  <c r="H289" i="78"/>
  <c r="J256" i="78"/>
  <c r="J288" i="78"/>
  <c r="J179" i="74"/>
  <c r="L45" i="76"/>
  <c r="L42" i="76"/>
  <c r="L222" i="76" s="1"/>
  <c r="J256" i="74"/>
  <c r="J288" i="74"/>
  <c r="I200" i="80"/>
  <c r="I179" i="80"/>
  <c r="I187" i="80"/>
  <c r="I224" i="80" s="1"/>
  <c r="K115" i="76"/>
  <c r="K175" i="76" s="1"/>
  <c r="K120" i="76"/>
  <c r="K121" i="76"/>
  <c r="L112" i="76"/>
  <c r="L186" i="76" s="1"/>
  <c r="K119" i="76"/>
  <c r="H225" i="74"/>
  <c r="H239" i="74"/>
  <c r="J50" i="78"/>
  <c r="J226" i="78" s="1"/>
  <c r="K50" i="78"/>
  <c r="K226" i="78" s="1"/>
  <c r="I289" i="80"/>
  <c r="I257" i="80"/>
  <c r="K115" i="78"/>
  <c r="K175" i="78" s="1"/>
  <c r="K121" i="78"/>
  <c r="L112" i="78"/>
  <c r="K120" i="78"/>
  <c r="K119" i="78"/>
  <c r="K45" i="80"/>
  <c r="K50" i="80" s="1"/>
  <c r="K226" i="80" s="1"/>
  <c r="K42" i="80"/>
  <c r="K222" i="80" s="1"/>
  <c r="I200" i="76"/>
  <c r="J50" i="74"/>
  <c r="J226" i="74" s="1"/>
  <c r="J129" i="76"/>
  <c r="J177" i="76" s="1"/>
  <c r="I239" i="78"/>
  <c r="I225" i="78"/>
  <c r="J128" i="80"/>
  <c r="J176" i="80" s="1"/>
  <c r="H290" i="80"/>
  <c r="H238" i="80"/>
  <c r="H258" i="80"/>
  <c r="I181" i="74"/>
  <c r="I181" i="80"/>
  <c r="N111" i="76"/>
  <c r="N111" i="74"/>
  <c r="N111" i="80"/>
  <c r="N111" i="78"/>
  <c r="L45" i="78"/>
  <c r="L50" i="78" s="1"/>
  <c r="L226" i="78" s="1"/>
  <c r="L42" i="78"/>
  <c r="L222" i="78" s="1"/>
  <c r="J128" i="78"/>
  <c r="J176" i="78" s="1"/>
  <c r="J200" i="78" s="1"/>
  <c r="J200" i="76"/>
  <c r="H259" i="78"/>
  <c r="H291" i="78"/>
  <c r="H259" i="76"/>
  <c r="H264" i="76" s="1"/>
  <c r="H265" i="76" s="1"/>
  <c r="H276" i="76" s="1"/>
  <c r="H277" i="76" s="1"/>
  <c r="H291" i="76"/>
  <c r="J256" i="76"/>
  <c r="J288" i="76"/>
  <c r="I271" i="80"/>
  <c r="I303" i="80"/>
  <c r="U41" i="33"/>
  <c r="L45" i="48"/>
  <c r="L50" i="48" s="1"/>
  <c r="L226" i="48" s="1"/>
  <c r="L292" i="48" s="1"/>
  <c r="M174" i="49"/>
  <c r="M217" i="49" s="1"/>
  <c r="N91" i="48"/>
  <c r="N100" i="48" s="1"/>
  <c r="O90" i="10"/>
  <c r="O37" i="10" s="1"/>
  <c r="M98" i="48"/>
  <c r="M37" i="21"/>
  <c r="M99" i="48"/>
  <c r="N37" i="25"/>
  <c r="M111" i="14"/>
  <c r="M37" i="14" s="1"/>
  <c r="M94" i="48"/>
  <c r="M111" i="48"/>
  <c r="M114" i="48" s="1"/>
  <c r="M174" i="48" s="1"/>
  <c r="M217" i="48" s="1"/>
  <c r="L94" i="49"/>
  <c r="L98" i="49"/>
  <c r="L107" i="49" s="1"/>
  <c r="U34" i="33"/>
  <c r="L37" i="11"/>
  <c r="H225" i="48"/>
  <c r="H291" i="48" s="1"/>
  <c r="J129" i="48"/>
  <c r="J128" i="48"/>
  <c r="J176" i="48" s="1"/>
  <c r="J179" i="48" s="1"/>
  <c r="N37" i="21"/>
  <c r="M37" i="49"/>
  <c r="M42" i="49" s="1"/>
  <c r="M222" i="49" s="1"/>
  <c r="I225" i="49"/>
  <c r="I291" i="49" s="1"/>
  <c r="N111" i="48"/>
  <c r="N114" i="48" s="1"/>
  <c r="N174" i="48" s="1"/>
  <c r="N217" i="48" s="1"/>
  <c r="L112" i="49"/>
  <c r="M112" i="49" s="1"/>
  <c r="L114" i="49"/>
  <c r="L174" i="49" s="1"/>
  <c r="L217" i="49" s="1"/>
  <c r="N114" i="49"/>
  <c r="O93" i="49"/>
  <c r="N91" i="49"/>
  <c r="T41" i="33"/>
  <c r="J180" i="49"/>
  <c r="J237" i="49"/>
  <c r="J271" i="49" s="1"/>
  <c r="K108" i="46"/>
  <c r="K177" i="46" s="1"/>
  <c r="K180" i="46" s="1"/>
  <c r="AA124" i="46"/>
  <c r="AA129" i="46" s="1"/>
  <c r="Z129" i="46"/>
  <c r="K129" i="49"/>
  <c r="K177" i="49" s="1"/>
  <c r="K223" i="49" s="1"/>
  <c r="J292" i="49"/>
  <c r="J260" i="49"/>
  <c r="J179" i="49"/>
  <c r="J187" i="49"/>
  <c r="J224" i="49" s="1"/>
  <c r="L288" i="48"/>
  <c r="L256" i="48"/>
  <c r="I305" i="49"/>
  <c r="I273" i="49"/>
  <c r="H305" i="48"/>
  <c r="H273" i="48"/>
  <c r="K50" i="49"/>
  <c r="K226" i="49" s="1"/>
  <c r="I289" i="49"/>
  <c r="I257" i="49"/>
  <c r="K288" i="49"/>
  <c r="K256" i="49"/>
  <c r="L307" i="48"/>
  <c r="L275" i="48"/>
  <c r="K307" i="48"/>
  <c r="K275" i="48"/>
  <c r="I225" i="48"/>
  <c r="I239" i="48"/>
  <c r="L115" i="49"/>
  <c r="M45" i="49"/>
  <c r="K210" i="49"/>
  <c r="K214" i="49" s="1"/>
  <c r="K241" i="49" s="1"/>
  <c r="M94" i="49"/>
  <c r="M99" i="49"/>
  <c r="M100" i="49"/>
  <c r="M98" i="49"/>
  <c r="H273" i="49"/>
  <c r="H305" i="49"/>
  <c r="L45" i="49"/>
  <c r="L42" i="49"/>
  <c r="L222" i="49" s="1"/>
  <c r="J200" i="49"/>
  <c r="K128" i="49"/>
  <c r="K176" i="49" s="1"/>
  <c r="H291" i="49"/>
  <c r="H259" i="49"/>
  <c r="H264" i="49" s="1"/>
  <c r="H265" i="49" s="1"/>
  <c r="H276" i="49" s="1"/>
  <c r="H277" i="49" s="1"/>
  <c r="J181" i="49"/>
  <c r="L186" i="49"/>
  <c r="P93" i="48"/>
  <c r="H304" i="49"/>
  <c r="H272" i="49"/>
  <c r="I271" i="49"/>
  <c r="I303" i="49"/>
  <c r="K260" i="48"/>
  <c r="K292" i="48"/>
  <c r="J289" i="49"/>
  <c r="J257" i="49"/>
  <c r="H273" i="46"/>
  <c r="H305" i="46"/>
  <c r="O90" i="4"/>
  <c r="O37" i="4" s="1"/>
  <c r="H259" i="46"/>
  <c r="H264" i="46" s="1"/>
  <c r="H265" i="46" s="1"/>
  <c r="H276" i="46" s="1"/>
  <c r="H277" i="46" s="1"/>
  <c r="H291" i="46"/>
  <c r="K288" i="46"/>
  <c r="K256" i="46"/>
  <c r="J303" i="46"/>
  <c r="J271" i="46"/>
  <c r="X61" i="33"/>
  <c r="N111" i="14"/>
  <c r="N37" i="14" s="1"/>
  <c r="L111" i="25"/>
  <c r="I290" i="46"/>
  <c r="I258" i="46"/>
  <c r="I238" i="46"/>
  <c r="H304" i="46"/>
  <c r="H272" i="46"/>
  <c r="L99" i="46"/>
  <c r="L100" i="46"/>
  <c r="M91" i="46"/>
  <c r="L98" i="46"/>
  <c r="L94" i="46"/>
  <c r="L175" i="46" s="1"/>
  <c r="J225" i="46"/>
  <c r="J239" i="46"/>
  <c r="O90" i="11"/>
  <c r="I291" i="46"/>
  <c r="I259" i="46"/>
  <c r="L42" i="46"/>
  <c r="L222" i="46" s="1"/>
  <c r="L45" i="46"/>
  <c r="L50" i="46" s="1"/>
  <c r="L226" i="46" s="1"/>
  <c r="M42" i="46"/>
  <c r="M222" i="46" s="1"/>
  <c r="M45" i="46"/>
  <c r="J289" i="46"/>
  <c r="J257" i="46"/>
  <c r="N37" i="46"/>
  <c r="N93" i="46"/>
  <c r="N174" i="46" s="1"/>
  <c r="N217" i="46" s="1"/>
  <c r="I305" i="46"/>
  <c r="I273" i="46"/>
  <c r="K107" i="46"/>
  <c r="K176" i="46" s="1"/>
  <c r="N111" i="11"/>
  <c r="N37" i="11" s="1"/>
  <c r="O90" i="46"/>
  <c r="K50" i="46"/>
  <c r="K226" i="46" s="1"/>
  <c r="J187" i="46"/>
  <c r="J224" i="46" s="1"/>
  <c r="J179" i="46"/>
  <c r="J181" i="46"/>
  <c r="X63" i="33"/>
  <c r="P90" i="29" s="1"/>
  <c r="P37" i="29" s="1"/>
  <c r="V41" i="33"/>
  <c r="P90" i="16"/>
  <c r="P90" i="82" s="1"/>
  <c r="P93" i="82" s="1"/>
  <c r="X64" i="33"/>
  <c r="X62" i="33"/>
  <c r="W38" i="33"/>
  <c r="W39" i="33"/>
  <c r="O111" i="25" s="1"/>
  <c r="W40" i="33"/>
  <c r="W37" i="33"/>
  <c r="O111" i="49" s="1"/>
  <c r="V34" i="33"/>
  <c r="W32" i="33"/>
  <c r="O111" i="21" s="1"/>
  <c r="W31" i="33"/>
  <c r="W33" i="33"/>
  <c r="W30" i="33"/>
  <c r="X27" i="33"/>
  <c r="X36" i="33" s="1"/>
  <c r="X29" i="33"/>
  <c r="P90" i="25"/>
  <c r="P90" i="13"/>
  <c r="Q90" i="21"/>
  <c r="AA56" i="33"/>
  <c r="L98" i="83" l="1"/>
  <c r="M108" i="82"/>
  <c r="L94" i="83"/>
  <c r="M91" i="83"/>
  <c r="Y53" i="33"/>
  <c r="Y26" i="33" s="1"/>
  <c r="L100" i="83"/>
  <c r="L107" i="83" s="1"/>
  <c r="L210" i="83" s="1"/>
  <c r="L214" i="83" s="1"/>
  <c r="L241" i="83" s="1"/>
  <c r="K129" i="48"/>
  <c r="P90" i="83"/>
  <c r="P93" i="83" s="1"/>
  <c r="K256" i="48"/>
  <c r="J292" i="80"/>
  <c r="L119" i="49"/>
  <c r="L121" i="49"/>
  <c r="L120" i="49"/>
  <c r="L307" i="82"/>
  <c r="L121" i="48"/>
  <c r="L50" i="74"/>
  <c r="L226" i="74" s="1"/>
  <c r="L260" i="74" s="1"/>
  <c r="J237" i="74"/>
  <c r="J303" i="74" s="1"/>
  <c r="L260" i="48"/>
  <c r="I238" i="49"/>
  <c r="I304" i="49" s="1"/>
  <c r="N99" i="82"/>
  <c r="N94" i="82"/>
  <c r="N100" i="82"/>
  <c r="N98" i="82"/>
  <c r="O91" i="82"/>
  <c r="I290" i="49"/>
  <c r="L50" i="80"/>
  <c r="L226" i="80" s="1"/>
  <c r="L292" i="80" s="1"/>
  <c r="K128" i="48"/>
  <c r="K176" i="48" s="1"/>
  <c r="K179" i="48" s="1"/>
  <c r="M94" i="83"/>
  <c r="N91" i="83"/>
  <c r="M100" i="83"/>
  <c r="M98" i="83"/>
  <c r="M99" i="83"/>
  <c r="M107" i="82"/>
  <c r="M210" i="82" s="1"/>
  <c r="M214" i="82" s="1"/>
  <c r="M241" i="82" s="1"/>
  <c r="L115" i="48"/>
  <c r="L175" i="48" s="1"/>
  <c r="K128" i="76"/>
  <c r="K176" i="76" s="1"/>
  <c r="K187" i="76" s="1"/>
  <c r="K224" i="76" s="1"/>
  <c r="L120" i="48"/>
  <c r="Z2" i="33"/>
  <c r="Z5" i="33" s="1"/>
  <c r="J181" i="74"/>
  <c r="K129" i="78"/>
  <c r="K177" i="78" s="1"/>
  <c r="K223" i="78" s="1"/>
  <c r="J223" i="74"/>
  <c r="J257" i="74" s="1"/>
  <c r="Y3" i="33"/>
  <c r="Y11" i="33" s="1"/>
  <c r="Y110" i="33"/>
  <c r="K129" i="80"/>
  <c r="K177" i="80" s="1"/>
  <c r="K223" i="80" s="1"/>
  <c r="J225" i="74"/>
  <c r="J239" i="74"/>
  <c r="J273" i="74" s="1"/>
  <c r="L175" i="49"/>
  <c r="N94" i="48"/>
  <c r="K50" i="74"/>
  <c r="K226" i="74" s="1"/>
  <c r="K260" i="74" s="1"/>
  <c r="J181" i="78"/>
  <c r="K129" i="74"/>
  <c r="K177" i="74" s="1"/>
  <c r="K237" i="74" s="1"/>
  <c r="K180" i="78"/>
  <c r="O111" i="76"/>
  <c r="O111" i="74"/>
  <c r="O111" i="78"/>
  <c r="O111" i="80"/>
  <c r="N98" i="48"/>
  <c r="M107" i="48"/>
  <c r="M210" i="48" s="1"/>
  <c r="M214" i="48" s="1"/>
  <c r="M241" i="48" s="1"/>
  <c r="J179" i="78"/>
  <c r="I273" i="78"/>
  <c r="I305" i="78"/>
  <c r="M114" i="80"/>
  <c r="M174" i="80" s="1"/>
  <c r="M217" i="80" s="1"/>
  <c r="M37" i="80"/>
  <c r="L256" i="74"/>
  <c r="L288" i="74"/>
  <c r="L119" i="74"/>
  <c r="L115" i="74"/>
  <c r="L175" i="74" s="1"/>
  <c r="M112" i="74"/>
  <c r="L120" i="74"/>
  <c r="L121" i="74"/>
  <c r="H273" i="80"/>
  <c r="H305" i="80"/>
  <c r="J303" i="80"/>
  <c r="J271" i="80"/>
  <c r="J271" i="74"/>
  <c r="J239" i="76"/>
  <c r="J225" i="76"/>
  <c r="L288" i="78"/>
  <c r="L256" i="78"/>
  <c r="J180" i="76"/>
  <c r="J237" i="76"/>
  <c r="J223" i="76"/>
  <c r="J181" i="76"/>
  <c r="L260" i="78"/>
  <c r="L292" i="78"/>
  <c r="I258" i="80"/>
  <c r="I238" i="80"/>
  <c r="I290" i="80"/>
  <c r="J225" i="78"/>
  <c r="J239" i="78"/>
  <c r="M114" i="78"/>
  <c r="M174" i="78" s="1"/>
  <c r="M217" i="78" s="1"/>
  <c r="M37" i="78"/>
  <c r="L186" i="80"/>
  <c r="L121" i="80"/>
  <c r="L120" i="80"/>
  <c r="L119" i="80"/>
  <c r="L115" i="80"/>
  <c r="L175" i="80" s="1"/>
  <c r="M112" i="80"/>
  <c r="H259" i="80"/>
  <c r="H264" i="80" s="1"/>
  <c r="H265" i="80" s="1"/>
  <c r="H276" i="80" s="1"/>
  <c r="H277" i="80" s="1"/>
  <c r="H291" i="80"/>
  <c r="I238" i="76"/>
  <c r="I290" i="76"/>
  <c r="I258" i="76"/>
  <c r="J290" i="76"/>
  <c r="J238" i="76"/>
  <c r="J258" i="76"/>
  <c r="K50" i="76"/>
  <c r="K226" i="76" s="1"/>
  <c r="O91" i="48"/>
  <c r="O98" i="48" s="1"/>
  <c r="H304" i="80"/>
  <c r="H272" i="80"/>
  <c r="K128" i="78"/>
  <c r="K176" i="78" s="1"/>
  <c r="K292" i="78"/>
  <c r="K260" i="78"/>
  <c r="H273" i="74"/>
  <c r="H305" i="74"/>
  <c r="L50" i="76"/>
  <c r="L226" i="76" s="1"/>
  <c r="M114" i="74"/>
  <c r="M174" i="74" s="1"/>
  <c r="M217" i="74" s="1"/>
  <c r="M37" i="74"/>
  <c r="J303" i="78"/>
  <c r="J271" i="78"/>
  <c r="K288" i="76"/>
  <c r="K256" i="76"/>
  <c r="N114" i="78"/>
  <c r="N174" i="78" s="1"/>
  <c r="N217" i="78" s="1"/>
  <c r="N37" i="78"/>
  <c r="H291" i="74"/>
  <c r="H259" i="74"/>
  <c r="I225" i="80"/>
  <c r="I239" i="80"/>
  <c r="M114" i="76"/>
  <c r="M174" i="76" s="1"/>
  <c r="M217" i="76" s="1"/>
  <c r="M37" i="76"/>
  <c r="K128" i="74"/>
  <c r="K176" i="74" s="1"/>
  <c r="K200" i="74" s="1"/>
  <c r="K128" i="80"/>
  <c r="K176" i="80" s="1"/>
  <c r="J292" i="76"/>
  <c r="J260" i="76"/>
  <c r="I239" i="74"/>
  <c r="I225" i="74"/>
  <c r="K256" i="78"/>
  <c r="K288" i="78"/>
  <c r="N114" i="80"/>
  <c r="N174" i="80" s="1"/>
  <c r="N217" i="80" s="1"/>
  <c r="N37" i="80"/>
  <c r="J187" i="80"/>
  <c r="J224" i="80" s="1"/>
  <c r="J179" i="80"/>
  <c r="L119" i="78"/>
  <c r="M112" i="78"/>
  <c r="L115" i="78"/>
  <c r="L175" i="78" s="1"/>
  <c r="L120" i="78"/>
  <c r="L121" i="78"/>
  <c r="J292" i="78"/>
  <c r="J260" i="78"/>
  <c r="K179" i="76"/>
  <c r="I257" i="76"/>
  <c r="I289" i="76"/>
  <c r="J289" i="78"/>
  <c r="J257" i="78"/>
  <c r="N114" i="74"/>
  <c r="N174" i="74" s="1"/>
  <c r="N217" i="74" s="1"/>
  <c r="N37" i="74"/>
  <c r="I239" i="76"/>
  <c r="I225" i="76"/>
  <c r="L121" i="76"/>
  <c r="L120" i="76"/>
  <c r="L115" i="76"/>
  <c r="L175" i="76" s="1"/>
  <c r="M112" i="76"/>
  <c r="L119" i="76"/>
  <c r="I303" i="76"/>
  <c r="I271" i="76"/>
  <c r="J181" i="80"/>
  <c r="J291" i="74"/>
  <c r="J259" i="74"/>
  <c r="N99" i="48"/>
  <c r="N107" i="48" s="1"/>
  <c r="N114" i="76"/>
  <c r="N174" i="76" s="1"/>
  <c r="N217" i="76" s="1"/>
  <c r="N37" i="76"/>
  <c r="K260" i="80"/>
  <c r="K292" i="80"/>
  <c r="K256" i="80"/>
  <c r="K288" i="80"/>
  <c r="K200" i="78"/>
  <c r="K129" i="76"/>
  <c r="K177" i="76" s="1"/>
  <c r="L288" i="80"/>
  <c r="L256" i="80"/>
  <c r="J289" i="74"/>
  <c r="I291" i="78"/>
  <c r="I259" i="78"/>
  <c r="J260" i="74"/>
  <c r="J292" i="74"/>
  <c r="J200" i="80"/>
  <c r="L256" i="76"/>
  <c r="L288" i="76"/>
  <c r="K288" i="74"/>
  <c r="K256" i="74"/>
  <c r="J257" i="80"/>
  <c r="J289" i="80"/>
  <c r="H272" i="76"/>
  <c r="H278" i="76" s="1"/>
  <c r="H304" i="76"/>
  <c r="M112" i="48"/>
  <c r="M37" i="48"/>
  <c r="M45" i="48" s="1"/>
  <c r="L108" i="49"/>
  <c r="N37" i="48"/>
  <c r="O37" i="21"/>
  <c r="O37" i="25"/>
  <c r="P90" i="10"/>
  <c r="P37" i="10" s="1"/>
  <c r="L37" i="25"/>
  <c r="J303" i="49"/>
  <c r="H259" i="48"/>
  <c r="J200" i="48"/>
  <c r="J225" i="48" s="1"/>
  <c r="J291" i="48" s="1"/>
  <c r="K223" i="46"/>
  <c r="K257" i="46" s="1"/>
  <c r="K237" i="46"/>
  <c r="K271" i="46" s="1"/>
  <c r="K181" i="46"/>
  <c r="I259" i="49"/>
  <c r="I264" i="49" s="1"/>
  <c r="I265" i="49" s="1"/>
  <c r="I276" i="49" s="1"/>
  <c r="I277" i="49" s="1"/>
  <c r="I272" i="49"/>
  <c r="O114" i="49"/>
  <c r="O174" i="49" s="1"/>
  <c r="O217" i="49" s="1"/>
  <c r="N37" i="49"/>
  <c r="N42" i="49" s="1"/>
  <c r="N222" i="49" s="1"/>
  <c r="N93" i="49"/>
  <c r="N174" i="49" s="1"/>
  <c r="N217" i="49" s="1"/>
  <c r="O111" i="48"/>
  <c r="O114" i="48" s="1"/>
  <c r="O174" i="48" s="1"/>
  <c r="O217" i="48" s="1"/>
  <c r="K200" i="48"/>
  <c r="K225" i="48" s="1"/>
  <c r="P93" i="49"/>
  <c r="M186" i="49"/>
  <c r="M50" i="46"/>
  <c r="M226" i="46" s="1"/>
  <c r="M292" i="46" s="1"/>
  <c r="K237" i="49"/>
  <c r="K303" i="49" s="1"/>
  <c r="K180" i="49"/>
  <c r="H278" i="49"/>
  <c r="K179" i="49"/>
  <c r="K187" i="49"/>
  <c r="K224" i="49" s="1"/>
  <c r="K181" i="49"/>
  <c r="K200" i="49"/>
  <c r="N42" i="48"/>
  <c r="N222" i="48" s="1"/>
  <c r="N45" i="48"/>
  <c r="L288" i="49"/>
  <c r="L256" i="49"/>
  <c r="Q93" i="48"/>
  <c r="I264" i="46"/>
  <c r="I265" i="46" s="1"/>
  <c r="I276" i="46" s="1"/>
  <c r="I277" i="46" s="1"/>
  <c r="N100" i="49"/>
  <c r="N98" i="49"/>
  <c r="N94" i="49"/>
  <c r="O91" i="49"/>
  <c r="N99" i="49"/>
  <c r="M256" i="49"/>
  <c r="M288" i="49"/>
  <c r="L50" i="49"/>
  <c r="L226" i="49" s="1"/>
  <c r="K292" i="49"/>
  <c r="K260" i="49"/>
  <c r="J290" i="49"/>
  <c r="J258" i="49"/>
  <c r="J238" i="49"/>
  <c r="H278" i="46"/>
  <c r="O37" i="49"/>
  <c r="M50" i="49"/>
  <c r="M226" i="49" s="1"/>
  <c r="M119" i="48"/>
  <c r="M120" i="48"/>
  <c r="M115" i="48"/>
  <c r="M175" i="48" s="1"/>
  <c r="M121" i="48"/>
  <c r="N112" i="48"/>
  <c r="L210" i="49"/>
  <c r="L214" i="49" s="1"/>
  <c r="L241" i="49" s="1"/>
  <c r="K307" i="49"/>
  <c r="K275" i="49"/>
  <c r="I305" i="48"/>
  <c r="I273" i="48"/>
  <c r="K289" i="49"/>
  <c r="K257" i="49"/>
  <c r="J225" i="49"/>
  <c r="J239" i="49"/>
  <c r="M108" i="49"/>
  <c r="M107" i="49"/>
  <c r="I291" i="48"/>
  <c r="I259" i="48"/>
  <c r="O100" i="48"/>
  <c r="L107" i="46"/>
  <c r="L176" i="46" s="1"/>
  <c r="L179" i="46" s="1"/>
  <c r="M121" i="49"/>
  <c r="M119" i="49"/>
  <c r="M120" i="49"/>
  <c r="M115" i="49"/>
  <c r="M175" i="49" s="1"/>
  <c r="N112" i="49"/>
  <c r="M50" i="48"/>
  <c r="M226" i="48" s="1"/>
  <c r="M256" i="46"/>
  <c r="M288" i="46"/>
  <c r="P90" i="46"/>
  <c r="K289" i="46"/>
  <c r="K292" i="46"/>
  <c r="K260" i="46"/>
  <c r="P90" i="4"/>
  <c r="P37" i="4" s="1"/>
  <c r="N42" i="46"/>
  <c r="N222" i="46" s="1"/>
  <c r="N45" i="46"/>
  <c r="J305" i="46"/>
  <c r="J273" i="46"/>
  <c r="Y61" i="33"/>
  <c r="O111" i="14"/>
  <c r="O37" i="14" s="1"/>
  <c r="K187" i="46"/>
  <c r="K224" i="46" s="1"/>
  <c r="K179" i="46"/>
  <c r="K200" i="46"/>
  <c r="J259" i="46"/>
  <c r="J291" i="46"/>
  <c r="L288" i="46"/>
  <c r="L256" i="46"/>
  <c r="N91" i="46"/>
  <c r="M99" i="46"/>
  <c r="M100" i="46"/>
  <c r="M94" i="46"/>
  <c r="M175" i="46" s="1"/>
  <c r="M98" i="46"/>
  <c r="O111" i="11"/>
  <c r="O37" i="11" s="1"/>
  <c r="L108" i="46"/>
  <c r="L177" i="46" s="1"/>
  <c r="J258" i="46"/>
  <c r="J238" i="46"/>
  <c r="J290" i="46"/>
  <c r="O37" i="46"/>
  <c r="O93" i="46"/>
  <c r="O174" i="46" s="1"/>
  <c r="O217" i="46" s="1"/>
  <c r="P90" i="11"/>
  <c r="L260" i="46"/>
  <c r="L292" i="46"/>
  <c r="I304" i="46"/>
  <c r="I272" i="46"/>
  <c r="Y62" i="33"/>
  <c r="W41" i="33"/>
  <c r="Q90" i="16"/>
  <c r="Q90" i="82" s="1"/>
  <c r="Q93" i="82" s="1"/>
  <c r="Y64" i="33"/>
  <c r="Y63" i="33"/>
  <c r="Q90" i="29" s="1"/>
  <c r="Q37" i="29" s="1"/>
  <c r="X38" i="33"/>
  <c r="X40" i="33"/>
  <c r="X37" i="33"/>
  <c r="X39" i="33"/>
  <c r="P111" i="25" s="1"/>
  <c r="W34" i="33"/>
  <c r="Y27" i="33"/>
  <c r="Y36" i="33" s="1"/>
  <c r="Y29" i="33"/>
  <c r="X30" i="33"/>
  <c r="X32" i="33"/>
  <c r="P111" i="21" s="1"/>
  <c r="X31" i="33"/>
  <c r="X33" i="33"/>
  <c r="Q90" i="25"/>
  <c r="Q90" i="13"/>
  <c r="R90" i="21"/>
  <c r="AB56" i="33"/>
  <c r="Z53" i="33"/>
  <c r="Z26" i="33" s="1"/>
  <c r="Z110" i="33"/>
  <c r="Z3" i="33"/>
  <c r="Z11" i="33" s="1"/>
  <c r="AA2" i="33"/>
  <c r="AA5" i="33" s="1"/>
  <c r="K303" i="46" l="1"/>
  <c r="K180" i="74"/>
  <c r="K223" i="74"/>
  <c r="K237" i="78"/>
  <c r="L129" i="48"/>
  <c r="L128" i="49"/>
  <c r="L176" i="49" s="1"/>
  <c r="L275" i="83"/>
  <c r="L307" i="83"/>
  <c r="J239" i="48"/>
  <c r="J305" i="48" s="1"/>
  <c r="L108" i="83"/>
  <c r="L129" i="49"/>
  <c r="L177" i="49" s="1"/>
  <c r="J259" i="48"/>
  <c r="Q93" i="83"/>
  <c r="Q90" i="83"/>
  <c r="K200" i="76"/>
  <c r="K237" i="80"/>
  <c r="K271" i="80" s="1"/>
  <c r="N108" i="82"/>
  <c r="K180" i="80"/>
  <c r="L292" i="74"/>
  <c r="M107" i="83"/>
  <c r="M210" i="83" s="1"/>
  <c r="M214" i="83" s="1"/>
  <c r="M241" i="83" s="1"/>
  <c r="M307" i="83" s="1"/>
  <c r="L260" i="80"/>
  <c r="M108" i="83"/>
  <c r="O99" i="82"/>
  <c r="O94" i="82"/>
  <c r="O100" i="82"/>
  <c r="P91" i="82"/>
  <c r="O98" i="82"/>
  <c r="L129" i="74"/>
  <c r="L177" i="74" s="1"/>
  <c r="N107" i="82"/>
  <c r="N210" i="82" s="1"/>
  <c r="N214" i="82" s="1"/>
  <c r="N241" i="82" s="1"/>
  <c r="K181" i="74"/>
  <c r="M307" i="82"/>
  <c r="M275" i="82"/>
  <c r="O91" i="83"/>
  <c r="N100" i="83"/>
  <c r="N98" i="83"/>
  <c r="N99" i="83"/>
  <c r="N94" i="83"/>
  <c r="J305" i="74"/>
  <c r="O99" i="48"/>
  <c r="O107" i="48" s="1"/>
  <c r="L128" i="48"/>
  <c r="L176" i="48" s="1"/>
  <c r="L200" i="48" s="1"/>
  <c r="L239" i="48" s="1"/>
  <c r="O94" i="48"/>
  <c r="P91" i="48"/>
  <c r="M42" i="48"/>
  <c r="M222" i="48" s="1"/>
  <c r="M288" i="48" s="1"/>
  <c r="L129" i="78"/>
  <c r="L177" i="78" s="1"/>
  <c r="L223" i="78" s="1"/>
  <c r="K292" i="74"/>
  <c r="L129" i="80"/>
  <c r="L177" i="80" s="1"/>
  <c r="L237" i="80" s="1"/>
  <c r="L223" i="80"/>
  <c r="K225" i="74"/>
  <c r="K239" i="74"/>
  <c r="P111" i="74"/>
  <c r="P111" i="76"/>
  <c r="P111" i="78"/>
  <c r="P111" i="80"/>
  <c r="L128" i="76"/>
  <c r="L176" i="76" s="1"/>
  <c r="M42" i="76"/>
  <c r="M222" i="76" s="1"/>
  <c r="M45" i="76"/>
  <c r="K292" i="76"/>
  <c r="K260" i="76"/>
  <c r="J289" i="76"/>
  <c r="J257" i="76"/>
  <c r="K225" i="76"/>
  <c r="K239" i="76"/>
  <c r="I304" i="76"/>
  <c r="I272" i="76"/>
  <c r="I304" i="80"/>
  <c r="I272" i="80"/>
  <c r="N42" i="74"/>
  <c r="N222" i="74" s="1"/>
  <c r="N45" i="74"/>
  <c r="K238" i="76"/>
  <c r="K258" i="76"/>
  <c r="K290" i="76"/>
  <c r="N45" i="80"/>
  <c r="N42" i="80"/>
  <c r="N222" i="80" s="1"/>
  <c r="I259" i="74"/>
  <c r="I291" i="74"/>
  <c r="I305" i="80"/>
  <c r="I273" i="80"/>
  <c r="M42" i="74"/>
  <c r="M222" i="74" s="1"/>
  <c r="M45" i="74"/>
  <c r="K257" i="78"/>
  <c r="K289" i="78"/>
  <c r="K225" i="78"/>
  <c r="K239" i="78"/>
  <c r="M119" i="76"/>
  <c r="M120" i="76"/>
  <c r="M121" i="76"/>
  <c r="M115" i="76"/>
  <c r="M175" i="76" s="1"/>
  <c r="N112" i="76"/>
  <c r="K289" i="74"/>
  <c r="K257" i="74"/>
  <c r="I305" i="74"/>
  <c r="I273" i="74"/>
  <c r="I291" i="80"/>
  <c r="I259" i="80"/>
  <c r="I264" i="80" s="1"/>
  <c r="I265" i="80" s="1"/>
  <c r="I276" i="80" s="1"/>
  <c r="I277" i="80" s="1"/>
  <c r="K179" i="78"/>
  <c r="L128" i="74"/>
  <c r="L176" i="74" s="1"/>
  <c r="L200" i="74" s="1"/>
  <c r="O114" i="80"/>
  <c r="O174" i="80" s="1"/>
  <c r="O217" i="80" s="1"/>
  <c r="O37" i="80"/>
  <c r="K271" i="78"/>
  <c r="K303" i="78"/>
  <c r="K271" i="74"/>
  <c r="K303" i="74"/>
  <c r="L292" i="76"/>
  <c r="L260" i="76"/>
  <c r="H278" i="80"/>
  <c r="M42" i="78"/>
  <c r="M222" i="78" s="1"/>
  <c r="M45" i="78"/>
  <c r="O114" i="78"/>
  <c r="O174" i="78" s="1"/>
  <c r="O217" i="78" s="1"/>
  <c r="O37" i="78"/>
  <c r="J238" i="80"/>
  <c r="J290" i="80"/>
  <c r="J258" i="80"/>
  <c r="M121" i="74"/>
  <c r="M115" i="74"/>
  <c r="M175" i="74" s="1"/>
  <c r="N112" i="74"/>
  <c r="M120" i="74"/>
  <c r="M119" i="74"/>
  <c r="I259" i="76"/>
  <c r="I264" i="76" s="1"/>
  <c r="I265" i="76" s="1"/>
  <c r="I276" i="76" s="1"/>
  <c r="I291" i="76"/>
  <c r="J272" i="76"/>
  <c r="J304" i="76"/>
  <c r="M186" i="80"/>
  <c r="M119" i="80"/>
  <c r="M115" i="80"/>
  <c r="M175" i="80" s="1"/>
  <c r="N112" i="80"/>
  <c r="M121" i="80"/>
  <c r="M120" i="80"/>
  <c r="J291" i="76"/>
  <c r="J259" i="76"/>
  <c r="J264" i="76" s="1"/>
  <c r="J265" i="76" s="1"/>
  <c r="J276" i="76" s="1"/>
  <c r="J277" i="76" s="1"/>
  <c r="O114" i="74"/>
  <c r="O174" i="74" s="1"/>
  <c r="O217" i="74" s="1"/>
  <c r="O37" i="74"/>
  <c r="K181" i="78"/>
  <c r="N42" i="78"/>
  <c r="N222" i="78" s="1"/>
  <c r="N45" i="78"/>
  <c r="J239" i="80"/>
  <c r="J225" i="80"/>
  <c r="K180" i="76"/>
  <c r="K237" i="76"/>
  <c r="K223" i="76"/>
  <c r="K181" i="76"/>
  <c r="N42" i="76"/>
  <c r="N222" i="76" s="1"/>
  <c r="N45" i="76"/>
  <c r="I305" i="76"/>
  <c r="I273" i="76"/>
  <c r="M119" i="78"/>
  <c r="M115" i="78"/>
  <c r="M175" i="78" s="1"/>
  <c r="N112" i="78"/>
  <c r="M121" i="78"/>
  <c r="M120" i="78"/>
  <c r="K179" i="80"/>
  <c r="K187" i="80"/>
  <c r="K224" i="80" s="1"/>
  <c r="J305" i="78"/>
  <c r="J273" i="78"/>
  <c r="J273" i="76"/>
  <c r="J305" i="76"/>
  <c r="L223" i="74"/>
  <c r="L180" i="74"/>
  <c r="L237" i="74"/>
  <c r="M42" i="80"/>
  <c r="M222" i="80" s="1"/>
  <c r="M45" i="80"/>
  <c r="O114" i="76"/>
  <c r="O174" i="76" s="1"/>
  <c r="O217" i="76" s="1"/>
  <c r="O37" i="76"/>
  <c r="K181" i="80"/>
  <c r="L180" i="78"/>
  <c r="J303" i="76"/>
  <c r="J271" i="76"/>
  <c r="L129" i="76"/>
  <c r="L177" i="76" s="1"/>
  <c r="L128" i="78"/>
  <c r="L176" i="78" s="1"/>
  <c r="L200" i="78" s="1"/>
  <c r="K179" i="74"/>
  <c r="K200" i="80"/>
  <c r="L128" i="80"/>
  <c r="L176" i="80" s="1"/>
  <c r="J259" i="78"/>
  <c r="J291" i="78"/>
  <c r="M186" i="76"/>
  <c r="N186" i="76" s="1"/>
  <c r="K289" i="80"/>
  <c r="K257" i="80"/>
  <c r="N45" i="49"/>
  <c r="N50" i="49" s="1"/>
  <c r="N226" i="49" s="1"/>
  <c r="L200" i="46"/>
  <c r="L225" i="46" s="1"/>
  <c r="M260" i="46"/>
  <c r="Q90" i="10"/>
  <c r="Q37" i="10" s="1"/>
  <c r="P37" i="25"/>
  <c r="P37" i="21"/>
  <c r="K271" i="49"/>
  <c r="J273" i="48"/>
  <c r="O37" i="48"/>
  <c r="O42" i="48" s="1"/>
  <c r="O222" i="48" s="1"/>
  <c r="M256" i="48"/>
  <c r="K239" i="48"/>
  <c r="K273" i="48" s="1"/>
  <c r="P111" i="48"/>
  <c r="P114" i="48" s="1"/>
  <c r="P174" i="48" s="1"/>
  <c r="P217" i="48" s="1"/>
  <c r="P111" i="49"/>
  <c r="P114" i="49" s="1"/>
  <c r="P174" i="49" s="1"/>
  <c r="P217" i="49" s="1"/>
  <c r="I278" i="46"/>
  <c r="I278" i="49"/>
  <c r="J264" i="46"/>
  <c r="J265" i="46" s="1"/>
  <c r="J276" i="46" s="1"/>
  <c r="J277" i="46" s="1"/>
  <c r="L187" i="46"/>
  <c r="L224" i="46" s="1"/>
  <c r="L258" i="46" s="1"/>
  <c r="M129" i="48"/>
  <c r="N107" i="49"/>
  <c r="N210" i="49" s="1"/>
  <c r="N214" i="49" s="1"/>
  <c r="N241" i="49" s="1"/>
  <c r="M128" i="49"/>
  <c r="M176" i="49" s="1"/>
  <c r="M200" i="49" s="1"/>
  <c r="M107" i="46"/>
  <c r="M176" i="46" s="1"/>
  <c r="M200" i="46" s="1"/>
  <c r="M292" i="48"/>
  <c r="M260" i="48"/>
  <c r="L179" i="49"/>
  <c r="L187" i="49"/>
  <c r="L224" i="49" s="1"/>
  <c r="N210" i="48"/>
  <c r="N214" i="48" s="1"/>
  <c r="N241" i="48" s="1"/>
  <c r="O112" i="49"/>
  <c r="N115" i="49"/>
  <c r="N175" i="49" s="1"/>
  <c r="N120" i="49"/>
  <c r="N121" i="49"/>
  <c r="N119" i="49"/>
  <c r="P94" i="48"/>
  <c r="Q91" i="48"/>
  <c r="P99" i="48"/>
  <c r="P98" i="48"/>
  <c r="P100" i="48"/>
  <c r="N256" i="49"/>
  <c r="N288" i="49"/>
  <c r="K291" i="48"/>
  <c r="K259" i="48"/>
  <c r="L292" i="49"/>
  <c r="L260" i="49"/>
  <c r="M210" i="49"/>
  <c r="M214" i="49" s="1"/>
  <c r="M241" i="49" s="1"/>
  <c r="N120" i="48"/>
  <c r="N121" i="48"/>
  <c r="N119" i="48"/>
  <c r="O112" i="48"/>
  <c r="N115" i="48"/>
  <c r="N175" i="48" s="1"/>
  <c r="M292" i="49"/>
  <c r="M260" i="49"/>
  <c r="K225" i="49"/>
  <c r="K239" i="49"/>
  <c r="N108" i="49"/>
  <c r="Q93" i="49"/>
  <c r="M129" i="49"/>
  <c r="M177" i="49" s="1"/>
  <c r="J305" i="49"/>
  <c r="J273" i="49"/>
  <c r="L237" i="49"/>
  <c r="L180" i="49"/>
  <c r="L181" i="49"/>
  <c r="L223" i="49"/>
  <c r="J272" i="49"/>
  <c r="J304" i="49"/>
  <c r="N50" i="48"/>
  <c r="N226" i="48" s="1"/>
  <c r="K290" i="49"/>
  <c r="K238" i="49"/>
  <c r="K258" i="49"/>
  <c r="J291" i="49"/>
  <c r="J259" i="49"/>
  <c r="J264" i="49" s="1"/>
  <c r="J265" i="49" s="1"/>
  <c r="J276" i="49" s="1"/>
  <c r="J277" i="49" s="1"/>
  <c r="O45" i="49"/>
  <c r="O42" i="49"/>
  <c r="O222" i="49" s="1"/>
  <c r="O100" i="49"/>
  <c r="O98" i="49"/>
  <c r="O94" i="49"/>
  <c r="P91" i="49"/>
  <c r="O99" i="49"/>
  <c r="N288" i="48"/>
  <c r="N256" i="48"/>
  <c r="R93" i="48"/>
  <c r="M108" i="46"/>
  <c r="M177" i="46" s="1"/>
  <c r="M180" i="46" s="1"/>
  <c r="L307" i="49"/>
  <c r="L275" i="49"/>
  <c r="M128" i="48"/>
  <c r="M176" i="48" s="1"/>
  <c r="M200" i="48" s="1"/>
  <c r="N186" i="49"/>
  <c r="M307" i="48"/>
  <c r="M275" i="48"/>
  <c r="L200" i="49"/>
  <c r="Z61" i="33"/>
  <c r="Q90" i="4"/>
  <c r="Q37" i="4" s="1"/>
  <c r="L239" i="46"/>
  <c r="J272" i="46"/>
  <c r="J304" i="46"/>
  <c r="L237" i="46"/>
  <c r="L180" i="46"/>
  <c r="L223" i="46"/>
  <c r="L181" i="46"/>
  <c r="Q90" i="46"/>
  <c r="P111" i="11"/>
  <c r="P37" i="11" s="1"/>
  <c r="K239" i="46"/>
  <c r="K225" i="46"/>
  <c r="K290" i="46"/>
  <c r="K238" i="46"/>
  <c r="K258" i="46"/>
  <c r="N50" i="46"/>
  <c r="N226" i="46" s="1"/>
  <c r="O45" i="46"/>
  <c r="O42" i="46"/>
  <c r="O222" i="46" s="1"/>
  <c r="N288" i="46"/>
  <c r="N256" i="46"/>
  <c r="P37" i="46"/>
  <c r="P93" i="46"/>
  <c r="P174" i="46" s="1"/>
  <c r="P217" i="46" s="1"/>
  <c r="P111" i="14"/>
  <c r="P37" i="14" s="1"/>
  <c r="Q90" i="11"/>
  <c r="N94" i="46"/>
  <c r="N175" i="46" s="1"/>
  <c r="O91" i="46"/>
  <c r="N99" i="46"/>
  <c r="N98" i="46"/>
  <c r="N100" i="46"/>
  <c r="Z62" i="33"/>
  <c r="R90" i="16"/>
  <c r="R90" i="82" s="1"/>
  <c r="R93" i="82" s="1"/>
  <c r="Z64" i="33"/>
  <c r="Z63" i="33"/>
  <c r="R90" i="29" s="1"/>
  <c r="R37" i="29" s="1"/>
  <c r="X41" i="33"/>
  <c r="Y38" i="33"/>
  <c r="Y40" i="33"/>
  <c r="Y37" i="33"/>
  <c r="Q111" i="49" s="1"/>
  <c r="Y39" i="33"/>
  <c r="Q111" i="25" s="1"/>
  <c r="X34" i="33"/>
  <c r="Y30" i="33"/>
  <c r="Y33" i="33"/>
  <c r="Y32" i="33"/>
  <c r="Q111" i="21" s="1"/>
  <c r="Y31" i="33"/>
  <c r="Z27" i="33"/>
  <c r="Z36" i="33" s="1"/>
  <c r="Z29" i="33"/>
  <c r="R90" i="13"/>
  <c r="R90" i="25"/>
  <c r="S90" i="21"/>
  <c r="AC56" i="33"/>
  <c r="AA53" i="33"/>
  <c r="AA26" i="33" s="1"/>
  <c r="AA110" i="33"/>
  <c r="AA3" i="33"/>
  <c r="AA11" i="33" s="1"/>
  <c r="AB2" i="33"/>
  <c r="AB5" i="33" s="1"/>
  <c r="K303" i="80" l="1"/>
  <c r="L225" i="48"/>
  <c r="L179" i="48"/>
  <c r="R90" i="83"/>
  <c r="R93" i="83" s="1"/>
  <c r="L181" i="78"/>
  <c r="O108" i="82"/>
  <c r="M275" i="83"/>
  <c r="N108" i="83"/>
  <c r="N107" i="83"/>
  <c r="N210" i="83" s="1"/>
  <c r="N214" i="83" s="1"/>
  <c r="N241" i="83" s="1"/>
  <c r="N307" i="83" s="1"/>
  <c r="P91" i="83"/>
  <c r="O99" i="83"/>
  <c r="O98" i="83"/>
  <c r="O100" i="83"/>
  <c r="O94" i="83"/>
  <c r="O108" i="83"/>
  <c r="N275" i="82"/>
  <c r="N307" i="82"/>
  <c r="Q91" i="82"/>
  <c r="P99" i="82"/>
  <c r="P94" i="82"/>
  <c r="P100" i="82"/>
  <c r="P98" i="82"/>
  <c r="L180" i="80"/>
  <c r="O107" i="82"/>
  <c r="O210" i="82" s="1"/>
  <c r="O214" i="82" s="1"/>
  <c r="O241" i="82" s="1"/>
  <c r="L237" i="78"/>
  <c r="L303" i="78" s="1"/>
  <c r="M129" i="78"/>
  <c r="M177" i="78" s="1"/>
  <c r="M180" i="78" s="1"/>
  <c r="J278" i="76"/>
  <c r="O50" i="49"/>
  <c r="O226" i="49" s="1"/>
  <c r="O292" i="49" s="1"/>
  <c r="M129" i="80"/>
  <c r="M177" i="80" s="1"/>
  <c r="M237" i="80" s="1"/>
  <c r="M128" i="76"/>
  <c r="M176" i="76" s="1"/>
  <c r="M179" i="76" s="1"/>
  <c r="I277" i="76"/>
  <c r="I278" i="76" s="1"/>
  <c r="M237" i="78"/>
  <c r="J305" i="80"/>
  <c r="J273" i="80"/>
  <c r="M128" i="74"/>
  <c r="M176" i="74" s="1"/>
  <c r="M200" i="74" s="1"/>
  <c r="J304" i="80"/>
  <c r="J272" i="80"/>
  <c r="N119" i="76"/>
  <c r="N115" i="76"/>
  <c r="N175" i="76" s="1"/>
  <c r="O112" i="76"/>
  <c r="O186" i="76" s="1"/>
  <c r="N120" i="76"/>
  <c r="N121" i="76"/>
  <c r="N288" i="80"/>
  <c r="N256" i="80"/>
  <c r="I278" i="80"/>
  <c r="L181" i="76"/>
  <c r="L179" i="76"/>
  <c r="L187" i="76"/>
  <c r="L224" i="76" s="1"/>
  <c r="K291" i="74"/>
  <c r="K259" i="74"/>
  <c r="L237" i="76"/>
  <c r="L180" i="76"/>
  <c r="L223" i="76"/>
  <c r="O45" i="76"/>
  <c r="O42" i="76"/>
  <c r="O222" i="76" s="1"/>
  <c r="L239" i="78"/>
  <c r="L225" i="78"/>
  <c r="O42" i="80"/>
  <c r="O222" i="80" s="1"/>
  <c r="O45" i="80"/>
  <c r="O50" i="80" s="1"/>
  <c r="O226" i="80" s="1"/>
  <c r="L239" i="74"/>
  <c r="L225" i="74"/>
  <c r="Q111" i="76"/>
  <c r="Q111" i="74"/>
  <c r="Q111" i="78"/>
  <c r="Q111" i="80"/>
  <c r="N256" i="76"/>
  <c r="N288" i="76"/>
  <c r="N121" i="74"/>
  <c r="N119" i="74"/>
  <c r="N120" i="74"/>
  <c r="O112" i="74"/>
  <c r="N115" i="74"/>
  <c r="N175" i="74" s="1"/>
  <c r="M129" i="76"/>
  <c r="M177" i="76" s="1"/>
  <c r="M181" i="76" s="1"/>
  <c r="M50" i="74"/>
  <c r="M226" i="74" s="1"/>
  <c r="N50" i="74"/>
  <c r="N226" i="74" s="1"/>
  <c r="P114" i="80"/>
  <c r="P174" i="80" s="1"/>
  <c r="P217" i="80" s="1"/>
  <c r="P37" i="80"/>
  <c r="L187" i="80"/>
  <c r="L224" i="80" s="1"/>
  <c r="L179" i="80"/>
  <c r="N50" i="80"/>
  <c r="N226" i="80" s="1"/>
  <c r="M50" i="80"/>
  <c r="M226" i="80" s="1"/>
  <c r="N119" i="78"/>
  <c r="N115" i="78"/>
  <c r="N175" i="78" s="1"/>
  <c r="O112" i="78"/>
  <c r="N121" i="78"/>
  <c r="N120" i="78"/>
  <c r="N288" i="78"/>
  <c r="N256" i="78"/>
  <c r="N115" i="80"/>
  <c r="N175" i="80" s="1"/>
  <c r="O112" i="80"/>
  <c r="N120" i="80"/>
  <c r="N121" i="80"/>
  <c r="N119" i="80"/>
  <c r="O42" i="78"/>
  <c r="O222" i="78" s="1"/>
  <c r="O45" i="78"/>
  <c r="L181" i="74"/>
  <c r="L179" i="74"/>
  <c r="M256" i="74"/>
  <c r="M288" i="74"/>
  <c r="P114" i="78"/>
  <c r="P174" i="78" s="1"/>
  <c r="P217" i="78" s="1"/>
  <c r="P37" i="78"/>
  <c r="K239" i="80"/>
  <c r="K225" i="80"/>
  <c r="M256" i="80"/>
  <c r="M288" i="80"/>
  <c r="K289" i="76"/>
  <c r="K257" i="76"/>
  <c r="K272" i="76"/>
  <c r="K304" i="76"/>
  <c r="M50" i="76"/>
  <c r="M226" i="76" s="1"/>
  <c r="O50" i="76"/>
  <c r="O226" i="76" s="1"/>
  <c r="N50" i="76"/>
  <c r="N226" i="76" s="1"/>
  <c r="P114" i="76"/>
  <c r="P174" i="76" s="1"/>
  <c r="P217" i="76" s="1"/>
  <c r="P37" i="76"/>
  <c r="L181" i="80"/>
  <c r="L303" i="74"/>
  <c r="L271" i="74"/>
  <c r="L200" i="80"/>
  <c r="K303" i="76"/>
  <c r="K271" i="76"/>
  <c r="O42" i="74"/>
  <c r="O222" i="74" s="1"/>
  <c r="O45" i="74"/>
  <c r="M128" i="80"/>
  <c r="M176" i="80" s="1"/>
  <c r="M181" i="80" s="1"/>
  <c r="K305" i="78"/>
  <c r="K273" i="78"/>
  <c r="K273" i="76"/>
  <c r="K305" i="76"/>
  <c r="M288" i="76"/>
  <c r="M256" i="76"/>
  <c r="P114" i="74"/>
  <c r="P174" i="74" s="1"/>
  <c r="P217" i="74" s="1"/>
  <c r="P37" i="74"/>
  <c r="K290" i="80"/>
  <c r="K258" i="80"/>
  <c r="K238" i="80"/>
  <c r="M128" i="78"/>
  <c r="M176" i="78" s="1"/>
  <c r="M200" i="78" s="1"/>
  <c r="N186" i="80"/>
  <c r="N50" i="78"/>
  <c r="N226" i="78" s="1"/>
  <c r="M50" i="78"/>
  <c r="M226" i="78" s="1"/>
  <c r="K259" i="78"/>
  <c r="K291" i="78"/>
  <c r="N288" i="74"/>
  <c r="N256" i="74"/>
  <c r="K291" i="76"/>
  <c r="K259" i="76"/>
  <c r="L271" i="80"/>
  <c r="L303" i="80"/>
  <c r="L179" i="78"/>
  <c r="L257" i="78"/>
  <c r="L289" i="78"/>
  <c r="L289" i="74"/>
  <c r="L257" i="74"/>
  <c r="J291" i="80"/>
  <c r="J259" i="80"/>
  <c r="J264" i="80" s="1"/>
  <c r="J265" i="80" s="1"/>
  <c r="J276" i="80" s="1"/>
  <c r="J277" i="80" s="1"/>
  <c r="M129" i="74"/>
  <c r="M177" i="74" s="1"/>
  <c r="M288" i="78"/>
  <c r="M256" i="78"/>
  <c r="L200" i="76"/>
  <c r="K273" i="74"/>
  <c r="K305" i="74"/>
  <c r="L257" i="80"/>
  <c r="L289" i="80"/>
  <c r="L238" i="46"/>
  <c r="O45" i="48"/>
  <c r="O50" i="48" s="1"/>
  <c r="O226" i="48" s="1"/>
  <c r="Q37" i="25"/>
  <c r="Q37" i="21"/>
  <c r="R90" i="10"/>
  <c r="R37" i="10" s="1"/>
  <c r="P37" i="48"/>
  <c r="P42" i="48" s="1"/>
  <c r="P222" i="48" s="1"/>
  <c r="K305" i="48"/>
  <c r="L290" i="46"/>
  <c r="M179" i="46"/>
  <c r="Q114" i="49"/>
  <c r="Q174" i="49" s="1"/>
  <c r="Q217" i="49" s="1"/>
  <c r="P37" i="49"/>
  <c r="P45" i="49" s="1"/>
  <c r="P50" i="49" s="1"/>
  <c r="P226" i="49" s="1"/>
  <c r="Q111" i="48"/>
  <c r="Q114" i="48" s="1"/>
  <c r="Q174" i="48" s="1"/>
  <c r="Q217" i="48" s="1"/>
  <c r="J278" i="46"/>
  <c r="R93" i="49"/>
  <c r="S93" i="48"/>
  <c r="M223" i="46"/>
  <c r="M257" i="46" s="1"/>
  <c r="M237" i="46"/>
  <c r="M271" i="46" s="1"/>
  <c r="M187" i="46"/>
  <c r="M224" i="46" s="1"/>
  <c r="M290" i="46" s="1"/>
  <c r="M181" i="46"/>
  <c r="O186" i="49"/>
  <c r="N129" i="49"/>
  <c r="N177" i="49" s="1"/>
  <c r="O108" i="49"/>
  <c r="J278" i="49"/>
  <c r="N128" i="48"/>
  <c r="N176" i="48" s="1"/>
  <c r="N179" i="48" s="1"/>
  <c r="N108" i="46"/>
  <c r="N177" i="46" s="1"/>
  <c r="N180" i="46" s="1"/>
  <c r="M239" i="48"/>
  <c r="M225" i="48"/>
  <c r="M239" i="49"/>
  <c r="M225" i="49"/>
  <c r="M237" i="49"/>
  <c r="M223" i="49"/>
  <c r="M180" i="49"/>
  <c r="M181" i="49"/>
  <c r="M307" i="49"/>
  <c r="M275" i="49"/>
  <c r="N307" i="49"/>
  <c r="N275" i="49"/>
  <c r="L303" i="49"/>
  <c r="L271" i="49"/>
  <c r="N129" i="48"/>
  <c r="O210" i="48"/>
  <c r="O214" i="48" s="1"/>
  <c r="O241" i="48" s="1"/>
  <c r="N128" i="49"/>
  <c r="N176" i="49" s="1"/>
  <c r="N200" i="49" s="1"/>
  <c r="O288" i="48"/>
  <c r="O256" i="48"/>
  <c r="K272" i="49"/>
  <c r="K304" i="49"/>
  <c r="K305" i="49"/>
  <c r="K273" i="49"/>
  <c r="N307" i="48"/>
  <c r="N275" i="48"/>
  <c r="P100" i="49"/>
  <c r="P98" i="49"/>
  <c r="Q91" i="49"/>
  <c r="P94" i="49"/>
  <c r="P99" i="49"/>
  <c r="K291" i="49"/>
  <c r="K259" i="49"/>
  <c r="K264" i="49" s="1"/>
  <c r="K265" i="49" s="1"/>
  <c r="K276" i="49" s="1"/>
  <c r="K277" i="49" s="1"/>
  <c r="O115" i="48"/>
  <c r="O175" i="48" s="1"/>
  <c r="O120" i="48"/>
  <c r="O119" i="48"/>
  <c r="O121" i="48"/>
  <c r="P112" i="48"/>
  <c r="P107" i="48"/>
  <c r="M179" i="48"/>
  <c r="Q37" i="49"/>
  <c r="L258" i="49"/>
  <c r="L238" i="49"/>
  <c r="L290" i="49"/>
  <c r="O107" i="49"/>
  <c r="L291" i="48"/>
  <c r="L259" i="48"/>
  <c r="Q94" i="48"/>
  <c r="Q100" i="48"/>
  <c r="R91" i="48"/>
  <c r="Q98" i="48"/>
  <c r="Q99" i="48"/>
  <c r="O121" i="49"/>
  <c r="O115" i="49"/>
  <c r="O175" i="49" s="1"/>
  <c r="O119" i="49"/>
  <c r="P112" i="49"/>
  <c r="O120" i="49"/>
  <c r="L225" i="49"/>
  <c r="L239" i="49"/>
  <c r="N260" i="49"/>
  <c r="N292" i="49"/>
  <c r="L257" i="49"/>
  <c r="L289" i="49"/>
  <c r="L273" i="48"/>
  <c r="L305" i="48"/>
  <c r="O288" i="49"/>
  <c r="O256" i="49"/>
  <c r="N292" i="48"/>
  <c r="N260" i="48"/>
  <c r="M179" i="49"/>
  <c r="M187" i="49"/>
  <c r="M224" i="49" s="1"/>
  <c r="R90" i="4"/>
  <c r="R37" i="4" s="1"/>
  <c r="Q111" i="14"/>
  <c r="Q37" i="14" s="1"/>
  <c r="N107" i="46"/>
  <c r="N176" i="46" s="1"/>
  <c r="P45" i="46"/>
  <c r="P50" i="46" s="1"/>
  <c r="P226" i="46" s="1"/>
  <c r="P42" i="46"/>
  <c r="P222" i="46" s="1"/>
  <c r="N292" i="46"/>
  <c r="N260" i="46"/>
  <c r="K272" i="46"/>
  <c r="K304" i="46"/>
  <c r="M238" i="46"/>
  <c r="R90" i="46"/>
  <c r="O99" i="46"/>
  <c r="O100" i="46"/>
  <c r="O98" i="46"/>
  <c r="O94" i="46"/>
  <c r="O175" i="46" s="1"/>
  <c r="P91" i="46"/>
  <c r="K291" i="46"/>
  <c r="K259" i="46"/>
  <c r="K264" i="46" s="1"/>
  <c r="K265" i="46" s="1"/>
  <c r="K276" i="46" s="1"/>
  <c r="K277" i="46" s="1"/>
  <c r="L291" i="46"/>
  <c r="L259" i="46"/>
  <c r="L305" i="46"/>
  <c r="L273" i="46"/>
  <c r="K305" i="46"/>
  <c r="K273" i="46"/>
  <c r="O288" i="46"/>
  <c r="O256" i="46"/>
  <c r="O50" i="46"/>
  <c r="O226" i="46" s="1"/>
  <c r="L303" i="46"/>
  <c r="L271" i="46"/>
  <c r="R90" i="11"/>
  <c r="L304" i="46"/>
  <c r="L272" i="46"/>
  <c r="Q37" i="46"/>
  <c r="Q93" i="46"/>
  <c r="Q174" i="46" s="1"/>
  <c r="Q217" i="46" s="1"/>
  <c r="AA61" i="33"/>
  <c r="M239" i="46"/>
  <c r="M225" i="46"/>
  <c r="L257" i="46"/>
  <c r="L289" i="46"/>
  <c r="S90" i="16"/>
  <c r="S90" i="82" s="1"/>
  <c r="S93" i="82" s="1"/>
  <c r="AA64" i="33"/>
  <c r="AA62" i="33"/>
  <c r="AA63" i="33"/>
  <c r="S90" i="29" s="1"/>
  <c r="S37" i="29" s="1"/>
  <c r="Z39" i="33"/>
  <c r="R111" i="25" s="1"/>
  <c r="Z40" i="33"/>
  <c r="Z38" i="33"/>
  <c r="Z37" i="33"/>
  <c r="R111" i="49" s="1"/>
  <c r="Y41" i="33"/>
  <c r="Q111" i="11"/>
  <c r="Q37" i="11" s="1"/>
  <c r="Z33" i="33"/>
  <c r="Z30" i="33"/>
  <c r="Z32" i="33"/>
  <c r="R111" i="21" s="1"/>
  <c r="Z31" i="33"/>
  <c r="Y34" i="33"/>
  <c r="AA27" i="33"/>
  <c r="AA36" i="33" s="1"/>
  <c r="AA29" i="33"/>
  <c r="S90" i="25"/>
  <c r="S90" i="13"/>
  <c r="T90" i="21"/>
  <c r="AD56" i="33"/>
  <c r="AB53" i="33"/>
  <c r="AB26" i="33" s="1"/>
  <c r="AB110" i="33"/>
  <c r="AB3" i="33"/>
  <c r="AB11" i="33" s="1"/>
  <c r="AC2" i="33"/>
  <c r="AC5" i="33" s="1"/>
  <c r="M223" i="78" l="1"/>
  <c r="S90" i="83"/>
  <c r="S93" i="83" s="1"/>
  <c r="M200" i="76"/>
  <c r="M225" i="76" s="1"/>
  <c r="N275" i="83"/>
  <c r="O107" i="83"/>
  <c r="O210" i="83" s="1"/>
  <c r="O214" i="83" s="1"/>
  <c r="O241" i="83" s="1"/>
  <c r="O275" i="83" s="1"/>
  <c r="M289" i="46"/>
  <c r="P108" i="82"/>
  <c r="P107" i="82"/>
  <c r="P210" i="82" s="1"/>
  <c r="P214" i="82" s="1"/>
  <c r="P241" i="82" s="1"/>
  <c r="O260" i="49"/>
  <c r="L271" i="78"/>
  <c r="Q100" i="82"/>
  <c r="Q98" i="82"/>
  <c r="R91" i="82"/>
  <c r="Q94" i="82"/>
  <c r="Q99" i="82"/>
  <c r="O307" i="82"/>
  <c r="O275" i="82"/>
  <c r="P94" i="83"/>
  <c r="Q91" i="83"/>
  <c r="P98" i="83"/>
  <c r="P100" i="83"/>
  <c r="P99" i="83"/>
  <c r="K264" i="76"/>
  <c r="K265" i="76" s="1"/>
  <c r="K276" i="76" s="1"/>
  <c r="K277" i="76" s="1"/>
  <c r="K278" i="76" s="1"/>
  <c r="O186" i="80"/>
  <c r="M187" i="76"/>
  <c r="M224" i="76" s="1"/>
  <c r="M258" i="76" s="1"/>
  <c r="N128" i="76"/>
  <c r="N176" i="76" s="1"/>
  <c r="N179" i="76" s="1"/>
  <c r="N128" i="80"/>
  <c r="N176" i="80" s="1"/>
  <c r="N200" i="80" s="1"/>
  <c r="N225" i="80" s="1"/>
  <c r="N128" i="74"/>
  <c r="N176" i="74" s="1"/>
  <c r="N179" i="74" s="1"/>
  <c r="P45" i="48"/>
  <c r="P50" i="48" s="1"/>
  <c r="P226" i="48" s="1"/>
  <c r="P292" i="48" s="1"/>
  <c r="M223" i="80"/>
  <c r="M257" i="80" s="1"/>
  <c r="M180" i="80"/>
  <c r="M239" i="76"/>
  <c r="M305" i="76" s="1"/>
  <c r="M239" i="78"/>
  <c r="M225" i="78"/>
  <c r="L225" i="76"/>
  <c r="L239" i="76"/>
  <c r="M260" i="78"/>
  <c r="M292" i="78"/>
  <c r="K272" i="80"/>
  <c r="K304" i="80"/>
  <c r="O288" i="74"/>
  <c r="O256" i="74"/>
  <c r="K273" i="80"/>
  <c r="K305" i="80"/>
  <c r="O115" i="80"/>
  <c r="O175" i="80" s="1"/>
  <c r="O119" i="80"/>
  <c r="P112" i="80"/>
  <c r="O121" i="80"/>
  <c r="O120" i="80"/>
  <c r="N128" i="78"/>
  <c r="N176" i="78" s="1"/>
  <c r="Q114" i="76"/>
  <c r="Q174" i="76" s="1"/>
  <c r="Q217" i="76" s="1"/>
  <c r="Q37" i="76"/>
  <c r="N200" i="76"/>
  <c r="M181" i="78"/>
  <c r="L258" i="80"/>
  <c r="L238" i="80"/>
  <c r="L290" i="80"/>
  <c r="L291" i="78"/>
  <c r="L259" i="78"/>
  <c r="L289" i="76"/>
  <c r="L257" i="76"/>
  <c r="M260" i="76"/>
  <c r="M292" i="76"/>
  <c r="P42" i="78"/>
  <c r="P222" i="78" s="1"/>
  <c r="P45" i="78"/>
  <c r="P50" i="78" s="1"/>
  <c r="P226" i="78" s="1"/>
  <c r="O288" i="78"/>
  <c r="O256" i="78"/>
  <c r="L259" i="74"/>
  <c r="L291" i="74"/>
  <c r="L273" i="78"/>
  <c r="L305" i="78"/>
  <c r="M257" i="78"/>
  <c r="M289" i="78"/>
  <c r="R111" i="76"/>
  <c r="R111" i="74"/>
  <c r="R111" i="80"/>
  <c r="R111" i="78"/>
  <c r="O50" i="78"/>
  <c r="O226" i="78" s="1"/>
  <c r="P45" i="76"/>
  <c r="P42" i="76"/>
  <c r="P222" i="76" s="1"/>
  <c r="M239" i="74"/>
  <c r="M225" i="74"/>
  <c r="M292" i="80"/>
  <c r="M260" i="80"/>
  <c r="P45" i="80"/>
  <c r="P42" i="80"/>
  <c r="P222" i="80" s="1"/>
  <c r="N292" i="74"/>
  <c r="N260" i="74"/>
  <c r="O50" i="74"/>
  <c r="O226" i="74" s="1"/>
  <c r="L305" i="74"/>
  <c r="L273" i="74"/>
  <c r="L303" i="76"/>
  <c r="L271" i="76"/>
  <c r="J278" i="80"/>
  <c r="M271" i="78"/>
  <c r="M303" i="78"/>
  <c r="M223" i="74"/>
  <c r="M237" i="74"/>
  <c r="M181" i="74"/>
  <c r="M180" i="74"/>
  <c r="L239" i="80"/>
  <c r="L225" i="80"/>
  <c r="N129" i="80"/>
  <c r="N177" i="80" s="1"/>
  <c r="N129" i="78"/>
  <c r="N177" i="78" s="1"/>
  <c r="M237" i="76"/>
  <c r="M223" i="76"/>
  <c r="M180" i="76"/>
  <c r="N129" i="76"/>
  <c r="N177" i="76" s="1"/>
  <c r="O292" i="76"/>
  <c r="O260" i="76"/>
  <c r="M290" i="76"/>
  <c r="N179" i="80"/>
  <c r="N187" i="80"/>
  <c r="N224" i="80" s="1"/>
  <c r="O292" i="80"/>
  <c r="O260" i="80"/>
  <c r="Q114" i="80"/>
  <c r="Q174" i="80" s="1"/>
  <c r="Q217" i="80" s="1"/>
  <c r="Q37" i="80"/>
  <c r="M259" i="76"/>
  <c r="M291" i="76"/>
  <c r="M179" i="74"/>
  <c r="P45" i="74"/>
  <c r="P42" i="74"/>
  <c r="P222" i="74" s="1"/>
  <c r="M200" i="80"/>
  <c r="M179" i="80"/>
  <c r="M187" i="80"/>
  <c r="M224" i="80" s="1"/>
  <c r="O119" i="78"/>
  <c r="O115" i="78"/>
  <c r="O175" i="78" s="1"/>
  <c r="O121" i="78"/>
  <c r="P112" i="78"/>
  <c r="O120" i="78"/>
  <c r="O115" i="74"/>
  <c r="O175" i="74" s="1"/>
  <c r="P112" i="74"/>
  <c r="O120" i="74"/>
  <c r="O121" i="74"/>
  <c r="O119" i="74"/>
  <c r="Q114" i="78"/>
  <c r="Q174" i="78" s="1"/>
  <c r="Q217" i="78" s="1"/>
  <c r="Q37" i="78"/>
  <c r="M271" i="80"/>
  <c r="M303" i="80"/>
  <c r="L290" i="76"/>
  <c r="L238" i="76"/>
  <c r="L258" i="76"/>
  <c r="N260" i="78"/>
  <c r="N292" i="78"/>
  <c r="M179" i="78"/>
  <c r="N292" i="76"/>
  <c r="N260" i="76"/>
  <c r="K259" i="80"/>
  <c r="K264" i="80" s="1"/>
  <c r="K265" i="80" s="1"/>
  <c r="K276" i="80" s="1"/>
  <c r="K277" i="80" s="1"/>
  <c r="K291" i="80"/>
  <c r="N200" i="78"/>
  <c r="N292" i="80"/>
  <c r="N260" i="80"/>
  <c r="M260" i="74"/>
  <c r="M292" i="74"/>
  <c r="N129" i="74"/>
  <c r="N177" i="74" s="1"/>
  <c r="Q114" i="74"/>
  <c r="Q174" i="74" s="1"/>
  <c r="Q217" i="74" s="1"/>
  <c r="Q37" i="74"/>
  <c r="O288" i="80"/>
  <c r="O256" i="80"/>
  <c r="O288" i="76"/>
  <c r="O256" i="76"/>
  <c r="O121" i="76"/>
  <c r="O119" i="76"/>
  <c r="O115" i="76"/>
  <c r="O175" i="76" s="1"/>
  <c r="P112" i="76"/>
  <c r="P186" i="76" s="1"/>
  <c r="O120" i="76"/>
  <c r="R37" i="21"/>
  <c r="R37" i="25"/>
  <c r="L264" i="46"/>
  <c r="L265" i="46" s="1"/>
  <c r="L276" i="46" s="1"/>
  <c r="L277" i="46" s="1"/>
  <c r="S90" i="10"/>
  <c r="S37" i="10" s="1"/>
  <c r="Q37" i="48"/>
  <c r="Q45" i="48" s="1"/>
  <c r="R114" i="49"/>
  <c r="R174" i="49" s="1"/>
  <c r="R217" i="49" s="1"/>
  <c r="R111" i="48"/>
  <c r="R114" i="48" s="1"/>
  <c r="R174" i="48" s="1"/>
  <c r="R217" i="48" s="1"/>
  <c r="M303" i="46"/>
  <c r="P42" i="49"/>
  <c r="P222" i="49" s="1"/>
  <c r="P256" i="49" s="1"/>
  <c r="S93" i="49"/>
  <c r="T93" i="48"/>
  <c r="M258" i="46"/>
  <c r="N200" i="48"/>
  <c r="N239" i="48" s="1"/>
  <c r="Q107" i="48"/>
  <c r="Q210" i="48" s="1"/>
  <c r="Q214" i="48" s="1"/>
  <c r="Q241" i="48" s="1"/>
  <c r="O108" i="46"/>
  <c r="O177" i="46" s="1"/>
  <c r="O180" i="46" s="1"/>
  <c r="P108" i="49"/>
  <c r="P186" i="49"/>
  <c r="N223" i="46"/>
  <c r="N289" i="46" s="1"/>
  <c r="N237" i="46"/>
  <c r="N303" i="46" s="1"/>
  <c r="N181" i="46"/>
  <c r="K278" i="46"/>
  <c r="O129" i="49"/>
  <c r="O177" i="49" s="1"/>
  <c r="O237" i="49" s="1"/>
  <c r="N239" i="49"/>
  <c r="N225" i="49"/>
  <c r="R100" i="48"/>
  <c r="R98" i="48"/>
  <c r="R99" i="48"/>
  <c r="R94" i="48"/>
  <c r="S91" i="48"/>
  <c r="P210" i="48"/>
  <c r="P214" i="48" s="1"/>
  <c r="P241" i="48" s="1"/>
  <c r="M303" i="49"/>
  <c r="M271" i="49"/>
  <c r="O210" i="49"/>
  <c r="O214" i="49" s="1"/>
  <c r="O241" i="49" s="1"/>
  <c r="P292" i="49"/>
  <c r="P260" i="49"/>
  <c r="P119" i="49"/>
  <c r="P115" i="49"/>
  <c r="P175" i="49" s="1"/>
  <c r="Q112" i="49"/>
  <c r="P120" i="49"/>
  <c r="P121" i="49"/>
  <c r="P260" i="48"/>
  <c r="O292" i="48"/>
  <c r="O260" i="48"/>
  <c r="Q45" i="49"/>
  <c r="Q50" i="49" s="1"/>
  <c r="Q226" i="49" s="1"/>
  <c r="Q42" i="49"/>
  <c r="Q222" i="49" s="1"/>
  <c r="O128" i="49"/>
  <c r="O176" i="49" s="1"/>
  <c r="P121" i="48"/>
  <c r="P119" i="48"/>
  <c r="P115" i="48"/>
  <c r="P175" i="48" s="1"/>
  <c r="P120" i="48"/>
  <c r="Q112" i="48"/>
  <c r="P288" i="48"/>
  <c r="P256" i="48"/>
  <c r="O275" i="48"/>
  <c r="O307" i="48"/>
  <c r="M290" i="49"/>
  <c r="M258" i="49"/>
  <c r="M238" i="49"/>
  <c r="R37" i="49"/>
  <c r="M291" i="49"/>
  <c r="M259" i="49"/>
  <c r="N179" i="49"/>
  <c r="N187" i="49"/>
  <c r="N224" i="49" s="1"/>
  <c r="L304" i="49"/>
  <c r="L272" i="49"/>
  <c r="O128" i="48"/>
  <c r="O176" i="48" s="1"/>
  <c r="Q94" i="49"/>
  <c r="Q100" i="49"/>
  <c r="Q99" i="49"/>
  <c r="Q98" i="49"/>
  <c r="R91" i="49"/>
  <c r="K278" i="49"/>
  <c r="M273" i="49"/>
  <c r="M305" i="49"/>
  <c r="N223" i="49"/>
  <c r="N180" i="49"/>
  <c r="N181" i="49"/>
  <c r="N237" i="49"/>
  <c r="L273" i="49"/>
  <c r="L305" i="49"/>
  <c r="O129" i="48"/>
  <c r="P107" i="49"/>
  <c r="M291" i="48"/>
  <c r="M259" i="48"/>
  <c r="L291" i="49"/>
  <c r="L259" i="49"/>
  <c r="L264" i="49" s="1"/>
  <c r="L265" i="49" s="1"/>
  <c r="L276" i="49" s="1"/>
  <c r="L277" i="49" s="1"/>
  <c r="M257" i="49"/>
  <c r="M289" i="49"/>
  <c r="M305" i="48"/>
  <c r="M273" i="48"/>
  <c r="M273" i="46"/>
  <c r="M305" i="46"/>
  <c r="R111" i="14"/>
  <c r="R37" i="14" s="1"/>
  <c r="N179" i="46"/>
  <c r="N187" i="46"/>
  <c r="N224" i="46" s="1"/>
  <c r="S90" i="11"/>
  <c r="N200" i="46"/>
  <c r="O107" i="46"/>
  <c r="O176" i="46" s="1"/>
  <c r="O200" i="46" s="1"/>
  <c r="M304" i="46"/>
  <c r="M272" i="46"/>
  <c r="P260" i="46"/>
  <c r="P292" i="46"/>
  <c r="AB61" i="33"/>
  <c r="Q42" i="46"/>
  <c r="Q222" i="46" s="1"/>
  <c r="Q45" i="46"/>
  <c r="Q50" i="46" s="1"/>
  <c r="Q226" i="46" s="1"/>
  <c r="S90" i="46"/>
  <c r="R37" i="46"/>
  <c r="R93" i="46"/>
  <c r="R174" i="46" s="1"/>
  <c r="R217" i="46" s="1"/>
  <c r="R111" i="11"/>
  <c r="R37" i="11" s="1"/>
  <c r="P100" i="46"/>
  <c r="P98" i="46"/>
  <c r="P94" i="46"/>
  <c r="P175" i="46" s="1"/>
  <c r="Q91" i="46"/>
  <c r="P99" i="46"/>
  <c r="S90" i="4"/>
  <c r="S37" i="4" s="1"/>
  <c r="M291" i="46"/>
  <c r="M259" i="46"/>
  <c r="O292" i="46"/>
  <c r="O260" i="46"/>
  <c r="P288" i="46"/>
  <c r="P256" i="46"/>
  <c r="AB63" i="33"/>
  <c r="T90" i="29" s="1"/>
  <c r="T37" i="29" s="1"/>
  <c r="T90" i="16"/>
  <c r="T90" i="82" s="1"/>
  <c r="T93" i="82" s="1"/>
  <c r="AB64" i="33"/>
  <c r="AB62" i="33"/>
  <c r="Z41" i="33"/>
  <c r="AA39" i="33"/>
  <c r="S111" i="25" s="1"/>
  <c r="AA38" i="33"/>
  <c r="AA37" i="33"/>
  <c r="S111" i="49" s="1"/>
  <c r="AA40" i="33"/>
  <c r="AA33" i="33"/>
  <c r="AA30" i="33"/>
  <c r="AA32" i="33"/>
  <c r="S111" i="21" s="1"/>
  <c r="AA31" i="33"/>
  <c r="Z34" i="33"/>
  <c r="AB27" i="33"/>
  <c r="AB36" i="33" s="1"/>
  <c r="AB29" i="33"/>
  <c r="T90" i="25"/>
  <c r="T90" i="13"/>
  <c r="U90" i="21"/>
  <c r="AE56" i="33"/>
  <c r="AC110" i="33"/>
  <c r="AC53" i="33"/>
  <c r="AC26" i="33" s="1"/>
  <c r="AC3" i="33"/>
  <c r="AC11" i="33" s="1"/>
  <c r="AD2" i="33"/>
  <c r="AD5" i="33" s="1"/>
  <c r="P108" i="83" l="1"/>
  <c r="T90" i="83"/>
  <c r="T93" i="83" s="1"/>
  <c r="O307" i="83"/>
  <c r="Q108" i="82"/>
  <c r="K278" i="80"/>
  <c r="P107" i="83"/>
  <c r="P210" i="83" s="1"/>
  <c r="P214" i="83" s="1"/>
  <c r="P241" i="83" s="1"/>
  <c r="P275" i="82"/>
  <c r="P307" i="82"/>
  <c r="Q94" i="83"/>
  <c r="R91" i="83"/>
  <c r="Q99" i="83"/>
  <c r="Q100" i="83"/>
  <c r="Q98" i="83"/>
  <c r="R100" i="82"/>
  <c r="R98" i="82"/>
  <c r="S91" i="82"/>
  <c r="R99" i="82"/>
  <c r="R94" i="82"/>
  <c r="Q107" i="82"/>
  <c r="Q210" i="82" s="1"/>
  <c r="Q214" i="82" s="1"/>
  <c r="Q241" i="82" s="1"/>
  <c r="M238" i="76"/>
  <c r="O129" i="78"/>
  <c r="O177" i="78" s="1"/>
  <c r="O223" i="78" s="1"/>
  <c r="M289" i="80"/>
  <c r="N187" i="76"/>
  <c r="N224" i="76" s="1"/>
  <c r="N238" i="76" s="1"/>
  <c r="O128" i="74"/>
  <c r="O176" i="74" s="1"/>
  <c r="O200" i="74" s="1"/>
  <c r="P186" i="80"/>
  <c r="O129" i="80"/>
  <c r="O177" i="80" s="1"/>
  <c r="O223" i="80" s="1"/>
  <c r="O129" i="76"/>
  <c r="O177" i="76" s="1"/>
  <c r="O237" i="76" s="1"/>
  <c r="M273" i="76"/>
  <c r="N200" i="74"/>
  <c r="O128" i="78"/>
  <c r="O176" i="78" s="1"/>
  <c r="O200" i="78" s="1"/>
  <c r="N239" i="80"/>
  <c r="N273" i="80" s="1"/>
  <c r="P288" i="74"/>
  <c r="P256" i="74"/>
  <c r="Q42" i="80"/>
  <c r="Q222" i="80" s="1"/>
  <c r="Q45" i="80"/>
  <c r="Q50" i="80" s="1"/>
  <c r="Q226" i="80" s="1"/>
  <c r="N290" i="80"/>
  <c r="N258" i="80"/>
  <c r="N238" i="80"/>
  <c r="M289" i="76"/>
  <c r="M257" i="76"/>
  <c r="M264" i="76" s="1"/>
  <c r="M265" i="76" s="1"/>
  <c r="M276" i="76" s="1"/>
  <c r="M277" i="76" s="1"/>
  <c r="P50" i="76"/>
  <c r="P226" i="76" s="1"/>
  <c r="R114" i="76"/>
  <c r="R174" i="76" s="1"/>
  <c r="R217" i="76" s="1"/>
  <c r="R37" i="76"/>
  <c r="N259" i="80"/>
  <c r="N291" i="80"/>
  <c r="N239" i="78"/>
  <c r="N225" i="78"/>
  <c r="Q42" i="78"/>
  <c r="Q222" i="78" s="1"/>
  <c r="Q45" i="78"/>
  <c r="M303" i="76"/>
  <c r="M271" i="76"/>
  <c r="P288" i="80"/>
  <c r="P256" i="80"/>
  <c r="S111" i="76"/>
  <c r="S111" i="74"/>
  <c r="S111" i="80"/>
  <c r="S111" i="78"/>
  <c r="P115" i="76"/>
  <c r="P175" i="76" s="1"/>
  <c r="Q112" i="76"/>
  <c r="P120" i="76"/>
  <c r="P121" i="76"/>
  <c r="P119" i="76"/>
  <c r="Q42" i="74"/>
  <c r="Q222" i="74" s="1"/>
  <c r="Q45" i="74"/>
  <c r="N237" i="76"/>
  <c r="N181" i="76"/>
  <c r="N223" i="76"/>
  <c r="N180" i="76"/>
  <c r="P50" i="80"/>
  <c r="P226" i="80" s="1"/>
  <c r="L305" i="76"/>
  <c r="L273" i="76"/>
  <c r="O237" i="78"/>
  <c r="N223" i="78"/>
  <c r="N180" i="78"/>
  <c r="N181" i="78"/>
  <c r="N237" i="78"/>
  <c r="P292" i="78"/>
  <c r="P260" i="78"/>
  <c r="N179" i="78"/>
  <c r="L259" i="76"/>
  <c r="L264" i="76" s="1"/>
  <c r="L265" i="76" s="1"/>
  <c r="L276" i="76" s="1"/>
  <c r="L277" i="76" s="1"/>
  <c r="L291" i="76"/>
  <c r="O128" i="76"/>
  <c r="O176" i="76" s="1"/>
  <c r="O200" i="76" s="1"/>
  <c r="N237" i="74"/>
  <c r="N223" i="74"/>
  <c r="N180" i="74"/>
  <c r="N181" i="74"/>
  <c r="O129" i="74"/>
  <c r="O177" i="74" s="1"/>
  <c r="O180" i="74" s="1"/>
  <c r="M272" i="76"/>
  <c r="M304" i="76"/>
  <c r="N223" i="80"/>
  <c r="N180" i="80"/>
  <c r="N237" i="80"/>
  <c r="N181" i="80"/>
  <c r="O292" i="78"/>
  <c r="O260" i="78"/>
  <c r="N239" i="76"/>
  <c r="N225" i="76"/>
  <c r="O237" i="80"/>
  <c r="L304" i="76"/>
  <c r="L272" i="76"/>
  <c r="M290" i="80"/>
  <c r="M258" i="80"/>
  <c r="M238" i="80"/>
  <c r="P50" i="74"/>
  <c r="P226" i="74" s="1"/>
  <c r="L291" i="80"/>
  <c r="L259" i="80"/>
  <c r="L264" i="80" s="1"/>
  <c r="L265" i="80" s="1"/>
  <c r="L276" i="80" s="1"/>
  <c r="L277" i="80" s="1"/>
  <c r="M271" i="74"/>
  <c r="M303" i="74"/>
  <c r="M259" i="74"/>
  <c r="M291" i="74"/>
  <c r="R114" i="78"/>
  <c r="R174" i="78" s="1"/>
  <c r="R217" i="78" s="1"/>
  <c r="R37" i="78"/>
  <c r="P288" i="78"/>
  <c r="P256" i="78"/>
  <c r="L304" i="80"/>
  <c r="L272" i="80"/>
  <c r="Q45" i="76"/>
  <c r="Q50" i="76" s="1"/>
  <c r="Q226" i="76" s="1"/>
  <c r="Q42" i="76"/>
  <c r="Q222" i="76" s="1"/>
  <c r="M259" i="78"/>
  <c r="M291" i="78"/>
  <c r="P120" i="74"/>
  <c r="Q112" i="74"/>
  <c r="P115" i="74"/>
  <c r="P175" i="74" s="1"/>
  <c r="P121" i="74"/>
  <c r="P119" i="74"/>
  <c r="P121" i="78"/>
  <c r="P119" i="78"/>
  <c r="Q112" i="78"/>
  <c r="P115" i="78"/>
  <c r="P175" i="78" s="1"/>
  <c r="P120" i="78"/>
  <c r="L273" i="80"/>
  <c r="L305" i="80"/>
  <c r="M289" i="74"/>
  <c r="M257" i="74"/>
  <c r="O292" i="74"/>
  <c r="O260" i="74"/>
  <c r="M273" i="74"/>
  <c r="M305" i="74"/>
  <c r="R114" i="80"/>
  <c r="R174" i="80" s="1"/>
  <c r="R217" i="80" s="1"/>
  <c r="R37" i="80"/>
  <c r="N290" i="76"/>
  <c r="P121" i="80"/>
  <c r="P119" i="80"/>
  <c r="P115" i="80"/>
  <c r="P175" i="80" s="1"/>
  <c r="Q112" i="80"/>
  <c r="P120" i="80"/>
  <c r="M273" i="78"/>
  <c r="M305" i="78"/>
  <c r="M225" i="80"/>
  <c r="M239" i="80"/>
  <c r="P288" i="76"/>
  <c r="P256" i="76"/>
  <c r="R114" i="74"/>
  <c r="R174" i="74" s="1"/>
  <c r="R217" i="74" s="1"/>
  <c r="R37" i="74"/>
  <c r="O128" i="80"/>
  <c r="O176" i="80" s="1"/>
  <c r="S37" i="25"/>
  <c r="S37" i="21"/>
  <c r="T90" i="10"/>
  <c r="T37" i="10" s="1"/>
  <c r="P288" i="49"/>
  <c r="Q42" i="48"/>
  <c r="Q222" i="48" s="1"/>
  <c r="Q256" i="48" s="1"/>
  <c r="O223" i="46"/>
  <c r="O257" i="46" s="1"/>
  <c r="R37" i="48"/>
  <c r="R42" i="48" s="1"/>
  <c r="R222" i="48" s="1"/>
  <c r="S114" i="49"/>
  <c r="S174" i="49" s="1"/>
  <c r="S217" i="49" s="1"/>
  <c r="N225" i="48"/>
  <c r="N291" i="48" s="1"/>
  <c r="S111" i="48"/>
  <c r="S37" i="48" s="1"/>
  <c r="O237" i="46"/>
  <c r="O303" i="46" s="1"/>
  <c r="U93" i="48"/>
  <c r="O180" i="49"/>
  <c r="M264" i="46"/>
  <c r="M265" i="46" s="1"/>
  <c r="M276" i="46" s="1"/>
  <c r="M277" i="46" s="1"/>
  <c r="P129" i="48"/>
  <c r="O223" i="49"/>
  <c r="O257" i="49" s="1"/>
  <c r="N257" i="46"/>
  <c r="Q186" i="49"/>
  <c r="O181" i="46"/>
  <c r="N271" i="46"/>
  <c r="Q108" i="49"/>
  <c r="P128" i="49"/>
  <c r="P176" i="49" s="1"/>
  <c r="R107" i="48"/>
  <c r="R210" i="48" s="1"/>
  <c r="R214" i="48" s="1"/>
  <c r="R241" i="48" s="1"/>
  <c r="L278" i="49"/>
  <c r="O181" i="49"/>
  <c r="O179" i="49"/>
  <c r="O187" i="49"/>
  <c r="O224" i="49" s="1"/>
  <c r="O200" i="49"/>
  <c r="O307" i="49"/>
  <c r="O275" i="49"/>
  <c r="P108" i="46"/>
  <c r="P177" i="46" s="1"/>
  <c r="P180" i="46" s="1"/>
  <c r="N305" i="48"/>
  <c r="N273" i="48"/>
  <c r="O179" i="48"/>
  <c r="N290" i="49"/>
  <c r="N258" i="49"/>
  <c r="N238" i="49"/>
  <c r="N271" i="49"/>
  <c r="N303" i="49"/>
  <c r="M304" i="49"/>
  <c r="M272" i="49"/>
  <c r="R112" i="48"/>
  <c r="Q120" i="48"/>
  <c r="Q121" i="48"/>
  <c r="Q119" i="48"/>
  <c r="Q115" i="48"/>
  <c r="Q175" i="48" s="1"/>
  <c r="S37" i="49"/>
  <c r="T93" i="49"/>
  <c r="O200" i="48"/>
  <c r="M264" i="49"/>
  <c r="M265" i="49" s="1"/>
  <c r="M276" i="49" s="1"/>
  <c r="M277" i="49" s="1"/>
  <c r="Q288" i="49"/>
  <c r="Q256" i="49"/>
  <c r="P129" i="49"/>
  <c r="P177" i="49" s="1"/>
  <c r="N259" i="49"/>
  <c r="N291" i="49"/>
  <c r="P210" i="49"/>
  <c r="P214" i="49" s="1"/>
  <c r="P241" i="49" s="1"/>
  <c r="R94" i="49"/>
  <c r="S91" i="49"/>
  <c r="R99" i="49"/>
  <c r="R100" i="49"/>
  <c r="R98" i="49"/>
  <c r="Q260" i="49"/>
  <c r="Q292" i="49"/>
  <c r="N273" i="49"/>
  <c r="N305" i="49"/>
  <c r="N289" i="49"/>
  <c r="N257" i="49"/>
  <c r="Q107" i="49"/>
  <c r="R42" i="49"/>
  <c r="R222" i="49" s="1"/>
  <c r="R45" i="49"/>
  <c r="R50" i="49" s="1"/>
  <c r="R226" i="49" s="1"/>
  <c r="P128" i="48"/>
  <c r="P176" i="48" s="1"/>
  <c r="P200" i="48" s="1"/>
  <c r="Q121" i="49"/>
  <c r="Q119" i="49"/>
  <c r="Q115" i="49"/>
  <c r="Q175" i="49" s="1"/>
  <c r="R112" i="49"/>
  <c r="Q120" i="49"/>
  <c r="P275" i="48"/>
  <c r="P307" i="48"/>
  <c r="S94" i="48"/>
  <c r="T91" i="48"/>
  <c r="S99" i="48"/>
  <c r="S100" i="48"/>
  <c r="S98" i="48"/>
  <c r="Q50" i="48"/>
  <c r="Q226" i="48" s="1"/>
  <c r="Q275" i="48"/>
  <c r="Q307" i="48"/>
  <c r="O303" i="49"/>
  <c r="O271" i="49"/>
  <c r="O225" i="46"/>
  <c r="O239" i="46"/>
  <c r="S37" i="46"/>
  <c r="S93" i="46"/>
  <c r="S174" i="46" s="1"/>
  <c r="S217" i="46" s="1"/>
  <c r="Q260" i="46"/>
  <c r="Q292" i="46"/>
  <c r="N290" i="46"/>
  <c r="N258" i="46"/>
  <c r="N238" i="46"/>
  <c r="R45" i="46"/>
  <c r="R50" i="46" s="1"/>
  <c r="R226" i="46" s="1"/>
  <c r="R42" i="46"/>
  <c r="R222" i="46" s="1"/>
  <c r="Q256" i="46"/>
  <c r="Q288" i="46"/>
  <c r="AC61" i="33"/>
  <c r="S111" i="11"/>
  <c r="S37" i="11" s="1"/>
  <c r="T90" i="46"/>
  <c r="O187" i="46"/>
  <c r="O224" i="46" s="1"/>
  <c r="O179" i="46"/>
  <c r="N225" i="46"/>
  <c r="N239" i="46"/>
  <c r="Q100" i="46"/>
  <c r="Q98" i="46"/>
  <c r="Q94" i="46"/>
  <c r="Q175" i="46" s="1"/>
  <c r="R91" i="46"/>
  <c r="Q99" i="46"/>
  <c r="S111" i="14"/>
  <c r="S37" i="14" s="1"/>
  <c r="T90" i="4"/>
  <c r="T37" i="4" s="1"/>
  <c r="T90" i="11"/>
  <c r="P107" i="46"/>
  <c r="P176" i="46" s="1"/>
  <c r="P200" i="46" s="1"/>
  <c r="U90" i="16"/>
  <c r="U90" i="82" s="1"/>
  <c r="U93" i="82" s="1"/>
  <c r="AC64" i="33"/>
  <c r="AC62" i="33"/>
  <c r="AC63" i="33"/>
  <c r="U90" i="29" s="1"/>
  <c r="U37" i="29" s="1"/>
  <c r="AB37" i="33"/>
  <c r="T111" i="49" s="1"/>
  <c r="AB39" i="33"/>
  <c r="AB38" i="33"/>
  <c r="AB40" i="33"/>
  <c r="AA41" i="33"/>
  <c r="AB31" i="33"/>
  <c r="AB33" i="33"/>
  <c r="AB30" i="33"/>
  <c r="AB32" i="33"/>
  <c r="T111" i="21" s="1"/>
  <c r="AA34" i="33"/>
  <c r="AC27" i="33"/>
  <c r="AC36" i="33" s="1"/>
  <c r="AC29" i="33"/>
  <c r="U90" i="25"/>
  <c r="U90" i="13"/>
  <c r="V90" i="21"/>
  <c r="AD110" i="33"/>
  <c r="AD53" i="33"/>
  <c r="AD26" i="33" s="1"/>
  <c r="AD3" i="33"/>
  <c r="AD11" i="33" s="1"/>
  <c r="AE2" i="33"/>
  <c r="AE5" i="33" s="1"/>
  <c r="AF56" i="33"/>
  <c r="S114" i="48" l="1"/>
  <c r="S174" i="48" s="1"/>
  <c r="S217" i="48" s="1"/>
  <c r="O180" i="78"/>
  <c r="O181" i="78"/>
  <c r="U90" i="83"/>
  <c r="U93" i="83" s="1"/>
  <c r="O179" i="78"/>
  <c r="Q108" i="83"/>
  <c r="R94" i="83"/>
  <c r="R98" i="83"/>
  <c r="S91" i="83"/>
  <c r="R100" i="83"/>
  <c r="R99" i="83"/>
  <c r="T91" i="82"/>
  <c r="S99" i="82"/>
  <c r="S94" i="82"/>
  <c r="S100" i="82"/>
  <c r="S98" i="82"/>
  <c r="R107" i="82"/>
  <c r="R210" i="82" s="1"/>
  <c r="R214" i="82" s="1"/>
  <c r="R241" i="82" s="1"/>
  <c r="P307" i="83"/>
  <c r="P275" i="83"/>
  <c r="Q275" i="82"/>
  <c r="Q307" i="82"/>
  <c r="Q107" i="83"/>
  <c r="Q210" i="83" s="1"/>
  <c r="Q214" i="83" s="1"/>
  <c r="Q241" i="83" s="1"/>
  <c r="R108" i="82"/>
  <c r="P129" i="80"/>
  <c r="P177" i="80" s="1"/>
  <c r="P223" i="80" s="1"/>
  <c r="O180" i="80"/>
  <c r="O179" i="74"/>
  <c r="P128" i="76"/>
  <c r="P176" i="76" s="1"/>
  <c r="O181" i="80"/>
  <c r="N258" i="76"/>
  <c r="Q288" i="48"/>
  <c r="L278" i="80"/>
  <c r="L278" i="76"/>
  <c r="O180" i="76"/>
  <c r="N239" i="74"/>
  <c r="N225" i="74"/>
  <c r="N305" i="80"/>
  <c r="P129" i="76"/>
  <c r="P177" i="76" s="1"/>
  <c r="P223" i="76" s="1"/>
  <c r="P129" i="74"/>
  <c r="P177" i="74" s="1"/>
  <c r="P223" i="74" s="1"/>
  <c r="P128" i="78"/>
  <c r="P176" i="78" s="1"/>
  <c r="P179" i="78" s="1"/>
  <c r="O223" i="76"/>
  <c r="O289" i="76" s="1"/>
  <c r="R45" i="78"/>
  <c r="R50" i="78" s="1"/>
  <c r="R226" i="78" s="1"/>
  <c r="R42" i="78"/>
  <c r="R222" i="78" s="1"/>
  <c r="N289" i="76"/>
  <c r="N257" i="76"/>
  <c r="Q288" i="74"/>
  <c r="Q256" i="74"/>
  <c r="S114" i="80"/>
  <c r="S174" i="80" s="1"/>
  <c r="S217" i="80" s="1"/>
  <c r="S37" i="80"/>
  <c r="Q256" i="78"/>
  <c r="Q288" i="78"/>
  <c r="Q260" i="80"/>
  <c r="Q292" i="80"/>
  <c r="O239" i="76"/>
  <c r="O225" i="76"/>
  <c r="Q50" i="74"/>
  <c r="Q226" i="74" s="1"/>
  <c r="R42" i="80"/>
  <c r="R222" i="80" s="1"/>
  <c r="R45" i="80"/>
  <c r="P292" i="74"/>
  <c r="P260" i="74"/>
  <c r="N289" i="74"/>
  <c r="N257" i="74"/>
  <c r="S114" i="74"/>
  <c r="S174" i="74" s="1"/>
  <c r="S217" i="74" s="1"/>
  <c r="S37" i="74"/>
  <c r="M278" i="76"/>
  <c r="N259" i="78"/>
  <c r="N291" i="78"/>
  <c r="Q256" i="80"/>
  <c r="Q288" i="80"/>
  <c r="Q50" i="78"/>
  <c r="Q226" i="78" s="1"/>
  <c r="M273" i="80"/>
  <c r="M305" i="80"/>
  <c r="Q120" i="80"/>
  <c r="Q121" i="80"/>
  <c r="Q119" i="80"/>
  <c r="Q115" i="80"/>
  <c r="Q175" i="80" s="1"/>
  <c r="R112" i="80"/>
  <c r="P128" i="74"/>
  <c r="P176" i="74" s="1"/>
  <c r="P200" i="74" s="1"/>
  <c r="Q288" i="76"/>
  <c r="Q256" i="76"/>
  <c r="M304" i="80"/>
  <c r="M272" i="80"/>
  <c r="O257" i="80"/>
  <c r="O289" i="80"/>
  <c r="N271" i="80"/>
  <c r="N303" i="80"/>
  <c r="N303" i="74"/>
  <c r="N271" i="74"/>
  <c r="N303" i="78"/>
  <c r="N271" i="78"/>
  <c r="O289" i="78"/>
  <c r="O257" i="78"/>
  <c r="N271" i="76"/>
  <c r="N303" i="76"/>
  <c r="P200" i="76"/>
  <c r="P187" i="76"/>
  <c r="P224" i="76" s="1"/>
  <c r="P179" i="76"/>
  <c r="S114" i="76"/>
  <c r="S174" i="76" s="1"/>
  <c r="S217" i="76" s="1"/>
  <c r="S37" i="76"/>
  <c r="N273" i="78"/>
  <c r="N305" i="78"/>
  <c r="O179" i="80"/>
  <c r="O187" i="80"/>
  <c r="O224" i="80" s="1"/>
  <c r="R42" i="76"/>
  <c r="R222" i="76" s="1"/>
  <c r="R45" i="76"/>
  <c r="R50" i="76" s="1"/>
  <c r="R226" i="76" s="1"/>
  <c r="M291" i="80"/>
  <c r="M259" i="80"/>
  <c r="M264" i="80" s="1"/>
  <c r="M265" i="80" s="1"/>
  <c r="M276" i="80" s="1"/>
  <c r="M277" i="80" s="1"/>
  <c r="Q260" i="76"/>
  <c r="Q292" i="76"/>
  <c r="N291" i="76"/>
  <c r="N259" i="76"/>
  <c r="O179" i="76"/>
  <c r="O187" i="76"/>
  <c r="O224" i="76" s="1"/>
  <c r="O303" i="78"/>
  <c r="O271" i="78"/>
  <c r="O200" i="80"/>
  <c r="O181" i="76"/>
  <c r="N304" i="76"/>
  <c r="N272" i="76"/>
  <c r="S114" i="78"/>
  <c r="S174" i="78" s="1"/>
  <c r="S217" i="78" s="1"/>
  <c r="S37" i="78"/>
  <c r="O239" i="74"/>
  <c r="O225" i="74"/>
  <c r="P128" i="80"/>
  <c r="P176" i="80" s="1"/>
  <c r="P129" i="78"/>
  <c r="P177" i="78" s="1"/>
  <c r="N273" i="76"/>
  <c r="N305" i="76"/>
  <c r="N289" i="80"/>
  <c r="N257" i="80"/>
  <c r="N264" i="80" s="1"/>
  <c r="N265" i="80" s="1"/>
  <c r="N276" i="80" s="1"/>
  <c r="N277" i="80" s="1"/>
  <c r="P260" i="80"/>
  <c r="P292" i="80"/>
  <c r="P260" i="76"/>
  <c r="P292" i="76"/>
  <c r="O239" i="78"/>
  <c r="O225" i="78"/>
  <c r="O271" i="76"/>
  <c r="O303" i="76"/>
  <c r="T111" i="74"/>
  <c r="T111" i="76"/>
  <c r="T111" i="80"/>
  <c r="T111" i="78"/>
  <c r="R45" i="74"/>
  <c r="R50" i="74" s="1"/>
  <c r="R226" i="74" s="1"/>
  <c r="R42" i="74"/>
  <c r="R222" i="74" s="1"/>
  <c r="P200" i="78"/>
  <c r="R112" i="74"/>
  <c r="Q115" i="74"/>
  <c r="Q175" i="74" s="1"/>
  <c r="Q119" i="74"/>
  <c r="Q121" i="74"/>
  <c r="Q120" i="74"/>
  <c r="O237" i="74"/>
  <c r="O223" i="74"/>
  <c r="O181" i="74"/>
  <c r="N289" i="78"/>
  <c r="N257" i="78"/>
  <c r="Q186" i="80"/>
  <c r="R186" i="80" s="1"/>
  <c r="Q115" i="76"/>
  <c r="Q175" i="76" s="1"/>
  <c r="R112" i="76"/>
  <c r="Q120" i="76"/>
  <c r="Q119" i="76"/>
  <c r="Q121" i="76"/>
  <c r="N272" i="80"/>
  <c r="N304" i="80"/>
  <c r="O303" i="80"/>
  <c r="O271" i="80"/>
  <c r="Q120" i="78"/>
  <c r="Q115" i="78"/>
  <c r="Q175" i="78" s="1"/>
  <c r="Q121" i="78"/>
  <c r="Q119" i="78"/>
  <c r="R112" i="78"/>
  <c r="Q186" i="76"/>
  <c r="U90" i="10"/>
  <c r="U37" i="10" s="1"/>
  <c r="T37" i="21"/>
  <c r="O289" i="46"/>
  <c r="R45" i="48"/>
  <c r="R50" i="48" s="1"/>
  <c r="R226" i="48" s="1"/>
  <c r="R292" i="48" s="1"/>
  <c r="T114" i="49"/>
  <c r="T174" i="49" s="1"/>
  <c r="T217" i="49" s="1"/>
  <c r="O271" i="46"/>
  <c r="N259" i="48"/>
  <c r="T111" i="48"/>
  <c r="T114" i="48" s="1"/>
  <c r="T174" i="48" s="1"/>
  <c r="T217" i="48" s="1"/>
  <c r="O289" i="49"/>
  <c r="V93" i="48"/>
  <c r="U93" i="49"/>
  <c r="P223" i="46"/>
  <c r="P257" i="46" s="1"/>
  <c r="P237" i="46"/>
  <c r="P303" i="46" s="1"/>
  <c r="M278" i="49"/>
  <c r="Q108" i="46"/>
  <c r="Q177" i="46" s="1"/>
  <c r="Q223" i="46" s="1"/>
  <c r="N264" i="49"/>
  <c r="N265" i="49" s="1"/>
  <c r="N276" i="49" s="1"/>
  <c r="N277" i="49" s="1"/>
  <c r="Q129" i="49"/>
  <c r="Q177" i="49" s="1"/>
  <c r="Q237" i="49" s="1"/>
  <c r="R108" i="49"/>
  <c r="S107" i="48"/>
  <c r="R260" i="49"/>
  <c r="R292" i="49"/>
  <c r="R186" i="49"/>
  <c r="S112" i="49"/>
  <c r="R121" i="49"/>
  <c r="R119" i="49"/>
  <c r="R120" i="49"/>
  <c r="R115" i="49"/>
  <c r="R175" i="49" s="1"/>
  <c r="R256" i="49"/>
  <c r="R288" i="49"/>
  <c r="Q128" i="48"/>
  <c r="Q176" i="48" s="1"/>
  <c r="R307" i="48"/>
  <c r="R275" i="48"/>
  <c r="Q210" i="49"/>
  <c r="Q214" i="49" s="1"/>
  <c r="Q241" i="49" s="1"/>
  <c r="S99" i="49"/>
  <c r="S100" i="49"/>
  <c r="S98" i="49"/>
  <c r="S94" i="49"/>
  <c r="T91" i="49"/>
  <c r="T100" i="48"/>
  <c r="U91" i="48"/>
  <c r="T99" i="48"/>
  <c r="T94" i="48"/>
  <c r="T98" i="48"/>
  <c r="Q128" i="49"/>
  <c r="Q176" i="49" s="1"/>
  <c r="P180" i="49"/>
  <c r="P223" i="49"/>
  <c r="P237" i="49"/>
  <c r="P181" i="49"/>
  <c r="O239" i="49"/>
  <c r="O225" i="49"/>
  <c r="R288" i="48"/>
  <c r="R256" i="48"/>
  <c r="P187" i="49"/>
  <c r="P224" i="49" s="1"/>
  <c r="P179" i="49"/>
  <c r="T37" i="49"/>
  <c r="R119" i="48"/>
  <c r="S112" i="48"/>
  <c r="R121" i="48"/>
  <c r="R120" i="48"/>
  <c r="R115" i="48"/>
  <c r="R175" i="48" s="1"/>
  <c r="O290" i="49"/>
  <c r="O258" i="49"/>
  <c r="O238" i="49"/>
  <c r="P239" i="48"/>
  <c r="P225" i="48"/>
  <c r="P275" i="49"/>
  <c r="P307" i="49"/>
  <c r="P200" i="49"/>
  <c r="Q292" i="48"/>
  <c r="Q260" i="48"/>
  <c r="R107" i="49"/>
  <c r="S42" i="49"/>
  <c r="S222" i="49" s="1"/>
  <c r="S45" i="49"/>
  <c r="S50" i="49" s="1"/>
  <c r="S226" i="49" s="1"/>
  <c r="S42" i="48"/>
  <c r="S222" i="48" s="1"/>
  <c r="S45" i="48"/>
  <c r="P179" i="48"/>
  <c r="O225" i="48"/>
  <c r="O239" i="48"/>
  <c r="Q129" i="48"/>
  <c r="N304" i="49"/>
  <c r="N272" i="49"/>
  <c r="S45" i="46"/>
  <c r="S50" i="46" s="1"/>
  <c r="S226" i="46" s="1"/>
  <c r="S42" i="46"/>
  <c r="S222" i="46" s="1"/>
  <c r="O273" i="46"/>
  <c r="O305" i="46"/>
  <c r="U90" i="11"/>
  <c r="T111" i="14"/>
  <c r="T37" i="14" s="1"/>
  <c r="U90" i="4"/>
  <c r="U37" i="4" s="1"/>
  <c r="R99" i="46"/>
  <c r="S91" i="46"/>
  <c r="R98" i="46"/>
  <c r="R94" i="46"/>
  <c r="R175" i="46" s="1"/>
  <c r="R100" i="46"/>
  <c r="T37" i="46"/>
  <c r="T93" i="46"/>
  <c r="T174" i="46" s="1"/>
  <c r="T217" i="46" s="1"/>
  <c r="U90" i="46"/>
  <c r="O291" i="46"/>
  <c r="O259" i="46"/>
  <c r="P225" i="46"/>
  <c r="P239" i="46"/>
  <c r="P179" i="46"/>
  <c r="P187" i="46"/>
  <c r="P224" i="46" s="1"/>
  <c r="N304" i="46"/>
  <c r="N272" i="46"/>
  <c r="Q107" i="46"/>
  <c r="Q176" i="46" s="1"/>
  <c r="N305" i="46"/>
  <c r="N273" i="46"/>
  <c r="R256" i="46"/>
  <c r="R288" i="46"/>
  <c r="N291" i="46"/>
  <c r="N259" i="46"/>
  <c r="N264" i="46" s="1"/>
  <c r="N265" i="46" s="1"/>
  <c r="N276" i="46" s="1"/>
  <c r="N277" i="46" s="1"/>
  <c r="R260" i="46"/>
  <c r="R292" i="46"/>
  <c r="P181" i="46"/>
  <c r="AD61" i="33"/>
  <c r="T111" i="11"/>
  <c r="T37" i="11" s="1"/>
  <c r="O258" i="46"/>
  <c r="O238" i="46"/>
  <c r="O290" i="46"/>
  <c r="AD62" i="33"/>
  <c r="AD63" i="33"/>
  <c r="V90" i="29" s="1"/>
  <c r="V37" i="29" s="1"/>
  <c r="V90" i="16"/>
  <c r="V90" i="82" s="1"/>
  <c r="V93" i="82" s="1"/>
  <c r="AD64" i="33"/>
  <c r="AC40" i="33"/>
  <c r="AC37" i="33"/>
  <c r="AC39" i="33"/>
  <c r="AC38" i="33"/>
  <c r="AB41" i="33"/>
  <c r="T111" i="25"/>
  <c r="AC31" i="33"/>
  <c r="AC33" i="33"/>
  <c r="AC30" i="33"/>
  <c r="AC32" i="33"/>
  <c r="U111" i="21" s="1"/>
  <c r="AB34" i="33"/>
  <c r="AD27" i="33"/>
  <c r="AD36" i="33" s="1"/>
  <c r="AD29" i="33"/>
  <c r="V90" i="25"/>
  <c r="V90" i="13"/>
  <c r="AE61" i="33"/>
  <c r="AE63" i="33"/>
  <c r="AE62" i="33"/>
  <c r="AE64" i="33"/>
  <c r="AG56" i="33"/>
  <c r="AE53" i="33"/>
  <c r="AE26" i="33" s="1"/>
  <c r="AE110" i="33"/>
  <c r="AE3" i="33"/>
  <c r="AE11" i="33" s="1"/>
  <c r="AF2" i="33"/>
  <c r="AF5" i="33" s="1"/>
  <c r="O257" i="76" l="1"/>
  <c r="V90" i="83"/>
  <c r="V93" i="83" s="1"/>
  <c r="S108" i="82"/>
  <c r="R108" i="83"/>
  <c r="T100" i="82"/>
  <c r="T94" i="82"/>
  <c r="T98" i="82"/>
  <c r="T99" i="82"/>
  <c r="U91" i="82"/>
  <c r="P237" i="80"/>
  <c r="P180" i="80"/>
  <c r="R307" i="82"/>
  <c r="R275" i="82"/>
  <c r="S107" i="82"/>
  <c r="S210" i="82" s="1"/>
  <c r="S214" i="82" s="1"/>
  <c r="S241" i="82" s="1"/>
  <c r="S100" i="83"/>
  <c r="S98" i="83"/>
  <c r="S99" i="83"/>
  <c r="S94" i="83"/>
  <c r="T91" i="83"/>
  <c r="Q307" i="83"/>
  <c r="Q275" i="83"/>
  <c r="R107" i="83"/>
  <c r="R210" i="83" s="1"/>
  <c r="R214" i="83" s="1"/>
  <c r="R241" i="83" s="1"/>
  <c r="R186" i="76"/>
  <c r="Q129" i="78"/>
  <c r="Q177" i="78" s="1"/>
  <c r="Q180" i="78" s="1"/>
  <c r="Q129" i="76"/>
  <c r="Q177" i="76" s="1"/>
  <c r="Q180" i="76" s="1"/>
  <c r="M278" i="80"/>
  <c r="N291" i="74"/>
  <c r="N259" i="74"/>
  <c r="P181" i="76"/>
  <c r="P181" i="74"/>
  <c r="P237" i="76"/>
  <c r="P180" i="76"/>
  <c r="N305" i="74"/>
  <c r="N273" i="74"/>
  <c r="P180" i="74"/>
  <c r="N264" i="76"/>
  <c r="N265" i="76" s="1"/>
  <c r="N276" i="76" s="1"/>
  <c r="N277" i="76" s="1"/>
  <c r="N278" i="76" s="1"/>
  <c r="P237" i="74"/>
  <c r="P271" i="74" s="1"/>
  <c r="O257" i="74"/>
  <c r="O289" i="74"/>
  <c r="P239" i="78"/>
  <c r="P225" i="78"/>
  <c r="T114" i="76"/>
  <c r="T174" i="76" s="1"/>
  <c r="T217" i="76" s="1"/>
  <c r="T37" i="76"/>
  <c r="P181" i="78"/>
  <c r="P223" i="78"/>
  <c r="P237" i="78"/>
  <c r="P180" i="78"/>
  <c r="R260" i="76"/>
  <c r="R292" i="76"/>
  <c r="S45" i="76"/>
  <c r="S50" i="76" s="1"/>
  <c r="S226" i="76" s="1"/>
  <c r="S42" i="76"/>
  <c r="S222" i="76" s="1"/>
  <c r="Q128" i="80"/>
  <c r="Q176" i="80" s="1"/>
  <c r="Q200" i="80" s="1"/>
  <c r="S45" i="74"/>
  <c r="S50" i="74" s="1"/>
  <c r="S226" i="74" s="1"/>
  <c r="S42" i="74"/>
  <c r="S222" i="74" s="1"/>
  <c r="P200" i="80"/>
  <c r="P179" i="80"/>
  <c r="P187" i="80"/>
  <c r="P224" i="80" s="1"/>
  <c r="P289" i="74"/>
  <c r="P257" i="74"/>
  <c r="Q129" i="74"/>
  <c r="Q177" i="74" s="1"/>
  <c r="R256" i="74"/>
  <c r="R288" i="74"/>
  <c r="O291" i="74"/>
  <c r="O259" i="74"/>
  <c r="O239" i="80"/>
  <c r="O225" i="80"/>
  <c r="O238" i="80"/>
  <c r="O258" i="80"/>
  <c r="O290" i="80"/>
  <c r="Q129" i="80"/>
  <c r="Q177" i="80" s="1"/>
  <c r="R50" i="80"/>
  <c r="R226" i="80" s="1"/>
  <c r="T114" i="74"/>
  <c r="T174" i="74" s="1"/>
  <c r="T217" i="74" s="1"/>
  <c r="T37" i="74"/>
  <c r="U111" i="74"/>
  <c r="U111" i="76"/>
  <c r="U111" i="78"/>
  <c r="U111" i="80"/>
  <c r="R120" i="78"/>
  <c r="R115" i="78"/>
  <c r="R175" i="78" s="1"/>
  <c r="R119" i="78"/>
  <c r="S112" i="78"/>
  <c r="R121" i="78"/>
  <c r="R260" i="74"/>
  <c r="R292" i="74"/>
  <c r="O273" i="74"/>
  <c r="O305" i="74"/>
  <c r="P290" i="76"/>
  <c r="P238" i="76"/>
  <c r="P258" i="76"/>
  <c r="R288" i="80"/>
  <c r="R256" i="80"/>
  <c r="Q260" i="74"/>
  <c r="Q292" i="74"/>
  <c r="O303" i="74"/>
  <c r="O271" i="74"/>
  <c r="R288" i="76"/>
  <c r="R256" i="76"/>
  <c r="Q128" i="76"/>
  <c r="Q176" i="76" s="1"/>
  <c r="Q128" i="74"/>
  <c r="Q176" i="74" s="1"/>
  <c r="Q200" i="74" s="1"/>
  <c r="O291" i="78"/>
  <c r="O259" i="78"/>
  <c r="P225" i="76"/>
  <c r="P239" i="76"/>
  <c r="P271" i="76"/>
  <c r="P303" i="76"/>
  <c r="P181" i="80"/>
  <c r="O291" i="76"/>
  <c r="O259" i="76"/>
  <c r="Q128" i="78"/>
  <c r="Q176" i="78" s="1"/>
  <c r="Q200" i="78" s="1"/>
  <c r="O273" i="78"/>
  <c r="O305" i="78"/>
  <c r="S45" i="78"/>
  <c r="S50" i="78" s="1"/>
  <c r="S226" i="78" s="1"/>
  <c r="S42" i="78"/>
  <c r="S222" i="78" s="1"/>
  <c r="P179" i="74"/>
  <c r="P289" i="76"/>
  <c r="P257" i="76"/>
  <c r="P271" i="80"/>
  <c r="P303" i="80"/>
  <c r="O305" i="76"/>
  <c r="O273" i="76"/>
  <c r="S45" i="80"/>
  <c r="S50" i="80" s="1"/>
  <c r="S226" i="80" s="1"/>
  <c r="S42" i="80"/>
  <c r="S222" i="80" s="1"/>
  <c r="Q260" i="78"/>
  <c r="Q292" i="78"/>
  <c r="R115" i="76"/>
  <c r="R175" i="76" s="1"/>
  <c r="S112" i="76"/>
  <c r="R121" i="76"/>
  <c r="R120" i="76"/>
  <c r="R119" i="76"/>
  <c r="S112" i="74"/>
  <c r="R120" i="74"/>
  <c r="R121" i="74"/>
  <c r="R119" i="74"/>
  <c r="R115" i="74"/>
  <c r="R175" i="74" s="1"/>
  <c r="T114" i="78"/>
  <c r="T174" i="78" s="1"/>
  <c r="T217" i="78" s="1"/>
  <c r="T37" i="78"/>
  <c r="O238" i="76"/>
  <c r="O258" i="76"/>
  <c r="O290" i="76"/>
  <c r="N278" i="80"/>
  <c r="R120" i="80"/>
  <c r="R119" i="80"/>
  <c r="R115" i="80"/>
  <c r="R175" i="80" s="1"/>
  <c r="R121" i="80"/>
  <c r="S112" i="80"/>
  <c r="R256" i="78"/>
  <c r="R288" i="78"/>
  <c r="T114" i="80"/>
  <c r="T174" i="80" s="1"/>
  <c r="T217" i="80" s="1"/>
  <c r="T37" i="80"/>
  <c r="P239" i="74"/>
  <c r="P225" i="74"/>
  <c r="P257" i="80"/>
  <c r="P289" i="80"/>
  <c r="R260" i="78"/>
  <c r="R292" i="78"/>
  <c r="U37" i="21"/>
  <c r="S50" i="48"/>
  <c r="S226" i="48" s="1"/>
  <c r="S260" i="48" s="1"/>
  <c r="T37" i="25"/>
  <c r="V90" i="10"/>
  <c r="V37" i="10" s="1"/>
  <c r="P289" i="46"/>
  <c r="R260" i="48"/>
  <c r="T37" i="48"/>
  <c r="T45" i="48" s="1"/>
  <c r="T50" i="48" s="1"/>
  <c r="T226" i="48" s="1"/>
  <c r="P271" i="46"/>
  <c r="U111" i="49"/>
  <c r="U114" i="49" s="1"/>
  <c r="U174" i="49" s="1"/>
  <c r="U217" i="49" s="1"/>
  <c r="U111" i="48"/>
  <c r="U114" i="48" s="1"/>
  <c r="U174" i="48" s="1"/>
  <c r="U217" i="48" s="1"/>
  <c r="V93" i="49"/>
  <c r="Q180" i="46"/>
  <c r="Q237" i="46"/>
  <c r="Q303" i="46" s="1"/>
  <c r="S186" i="49"/>
  <c r="O264" i="46"/>
  <c r="O265" i="46" s="1"/>
  <c r="O276" i="46" s="1"/>
  <c r="O277" i="46" s="1"/>
  <c r="R129" i="48"/>
  <c r="N278" i="49"/>
  <c r="S108" i="49"/>
  <c r="Q180" i="49"/>
  <c r="R129" i="49"/>
  <c r="R177" i="49" s="1"/>
  <c r="R223" i="49" s="1"/>
  <c r="Q223" i="49"/>
  <c r="Q257" i="49" s="1"/>
  <c r="T107" i="48"/>
  <c r="T210" i="48" s="1"/>
  <c r="T214" i="48" s="1"/>
  <c r="T241" i="48" s="1"/>
  <c r="Q181" i="49"/>
  <c r="Q187" i="49"/>
  <c r="Q224" i="49" s="1"/>
  <c r="Q179" i="49"/>
  <c r="Q200" i="49"/>
  <c r="P290" i="49"/>
  <c r="P238" i="49"/>
  <c r="P258" i="49"/>
  <c r="O259" i="49"/>
  <c r="O264" i="49" s="1"/>
  <c r="O265" i="49" s="1"/>
  <c r="O276" i="49" s="1"/>
  <c r="O277" i="49" s="1"/>
  <c r="O291" i="49"/>
  <c r="Q179" i="48"/>
  <c r="S121" i="49"/>
  <c r="S115" i="49"/>
  <c r="S175" i="49" s="1"/>
  <c r="T112" i="49"/>
  <c r="S119" i="49"/>
  <c r="S120" i="49"/>
  <c r="S210" i="48"/>
  <c r="S214" i="48" s="1"/>
  <c r="S241" i="48" s="1"/>
  <c r="S288" i="48"/>
  <c r="S256" i="48"/>
  <c r="O305" i="49"/>
  <c r="O273" i="49"/>
  <c r="Q275" i="49"/>
  <c r="Q307" i="49"/>
  <c r="S292" i="49"/>
  <c r="S260" i="49"/>
  <c r="P291" i="48"/>
  <c r="P259" i="48"/>
  <c r="S288" i="49"/>
  <c r="S256" i="49"/>
  <c r="P273" i="48"/>
  <c r="P305" i="48"/>
  <c r="T100" i="49"/>
  <c r="T98" i="49"/>
  <c r="T94" i="49"/>
  <c r="U91" i="49"/>
  <c r="T99" i="49"/>
  <c r="R108" i="46"/>
  <c r="R177" i="46" s="1"/>
  <c r="R223" i="46" s="1"/>
  <c r="O305" i="48"/>
  <c r="O273" i="48"/>
  <c r="R210" i="49"/>
  <c r="R214" i="49" s="1"/>
  <c r="R241" i="49" s="1"/>
  <c r="P239" i="49"/>
  <c r="P225" i="49"/>
  <c r="S119" i="48"/>
  <c r="S121" i="48"/>
  <c r="S115" i="48"/>
  <c r="S175" i="48" s="1"/>
  <c r="T112" i="48"/>
  <c r="S120" i="48"/>
  <c r="O291" i="48"/>
  <c r="O259" i="48"/>
  <c r="O304" i="49"/>
  <c r="O272" i="49"/>
  <c r="R128" i="48"/>
  <c r="R176" i="48" s="1"/>
  <c r="P271" i="49"/>
  <c r="P303" i="49"/>
  <c r="U98" i="48"/>
  <c r="U100" i="48"/>
  <c r="U94" i="48"/>
  <c r="U99" i="48"/>
  <c r="V91" i="48"/>
  <c r="S107" i="49"/>
  <c r="Q200" i="48"/>
  <c r="T45" i="49"/>
  <c r="T50" i="49" s="1"/>
  <c r="T226" i="49" s="1"/>
  <c r="T42" i="49"/>
  <c r="T222" i="49" s="1"/>
  <c r="P257" i="49"/>
  <c r="P289" i="49"/>
  <c r="R128" i="49"/>
  <c r="R176" i="49" s="1"/>
  <c r="Q271" i="49"/>
  <c r="Q303" i="49"/>
  <c r="V90" i="11"/>
  <c r="U111" i="11"/>
  <c r="U37" i="11" s="1"/>
  <c r="V90" i="4"/>
  <c r="V37" i="4" s="1"/>
  <c r="O304" i="46"/>
  <c r="O272" i="46"/>
  <c r="Q187" i="46"/>
  <c r="Q224" i="46" s="1"/>
  <c r="Q179" i="46"/>
  <c r="S288" i="46"/>
  <c r="S256" i="46"/>
  <c r="S292" i="46"/>
  <c r="S260" i="46"/>
  <c r="Q181" i="46"/>
  <c r="V90" i="46"/>
  <c r="P305" i="46"/>
  <c r="P273" i="46"/>
  <c r="P291" i="46"/>
  <c r="P259" i="46"/>
  <c r="R107" i="46"/>
  <c r="R176" i="46" s="1"/>
  <c r="R200" i="46" s="1"/>
  <c r="U111" i="14"/>
  <c r="U37" i="14" s="1"/>
  <c r="P290" i="46"/>
  <c r="P258" i="46"/>
  <c r="P238" i="46"/>
  <c r="T45" i="46"/>
  <c r="T50" i="46" s="1"/>
  <c r="T226" i="46" s="1"/>
  <c r="T42" i="46"/>
  <c r="T222" i="46" s="1"/>
  <c r="S99" i="46"/>
  <c r="T91" i="46"/>
  <c r="S100" i="46"/>
  <c r="S98" i="46"/>
  <c r="S94" i="46"/>
  <c r="S175" i="46" s="1"/>
  <c r="Q200" i="46"/>
  <c r="U37" i="46"/>
  <c r="U93" i="46"/>
  <c r="U174" i="46" s="1"/>
  <c r="U217" i="46" s="1"/>
  <c r="Q289" i="46"/>
  <c r="Q257" i="46"/>
  <c r="AD40" i="33"/>
  <c r="AD37" i="33"/>
  <c r="V111" i="49" s="1"/>
  <c r="AD39" i="33"/>
  <c r="V111" i="25" s="1"/>
  <c r="AD38" i="33"/>
  <c r="AC41" i="33"/>
  <c r="U111" i="25"/>
  <c r="AC34" i="33"/>
  <c r="AD31" i="33"/>
  <c r="AD33" i="33"/>
  <c r="AD30" i="33"/>
  <c r="AD32" i="33"/>
  <c r="V111" i="21" s="1"/>
  <c r="AE27" i="33"/>
  <c r="AE36" i="33" s="1"/>
  <c r="AE29" i="33"/>
  <c r="AF64" i="33"/>
  <c r="AF61" i="33"/>
  <c r="AF63" i="33"/>
  <c r="AF62" i="33"/>
  <c r="AF53" i="33"/>
  <c r="AF26" i="33" s="1"/>
  <c r="AF110" i="33"/>
  <c r="AF3" i="33"/>
  <c r="AF11" i="33" s="1"/>
  <c r="AG2" i="33"/>
  <c r="AG5" i="33" s="1"/>
  <c r="AH56" i="33"/>
  <c r="Q237" i="76" l="1"/>
  <c r="T42" i="48"/>
  <c r="T222" i="48" s="1"/>
  <c r="Q223" i="78"/>
  <c r="U37" i="48"/>
  <c r="T108" i="82"/>
  <c r="O264" i="76"/>
  <c r="O265" i="76" s="1"/>
  <c r="O276" i="76" s="1"/>
  <c r="O277" i="76" s="1"/>
  <c r="R128" i="78"/>
  <c r="R176" i="78" s="1"/>
  <c r="T99" i="83"/>
  <c r="T100" i="83"/>
  <c r="T94" i="83"/>
  <c r="T98" i="83"/>
  <c r="U91" i="83"/>
  <c r="S107" i="83"/>
  <c r="S210" i="83" s="1"/>
  <c r="S214" i="83" s="1"/>
  <c r="S241" i="83" s="1"/>
  <c r="U100" i="82"/>
  <c r="U99" i="82"/>
  <c r="U98" i="82"/>
  <c r="V91" i="82"/>
  <c r="U94" i="82"/>
  <c r="R275" i="83"/>
  <c r="R307" i="83"/>
  <c r="S275" i="82"/>
  <c r="S307" i="82"/>
  <c r="T107" i="82"/>
  <c r="T210" i="82" s="1"/>
  <c r="T214" i="82" s="1"/>
  <c r="T241" i="82" s="1"/>
  <c r="S108" i="83"/>
  <c r="P303" i="74"/>
  <c r="Q237" i="78"/>
  <c r="Q303" i="78" s="1"/>
  <c r="Q181" i="76"/>
  <c r="Q223" i="76"/>
  <c r="Q200" i="76"/>
  <c r="Q239" i="76" s="1"/>
  <c r="R129" i="80"/>
  <c r="R177" i="80" s="1"/>
  <c r="R180" i="80" s="1"/>
  <c r="R128" i="74"/>
  <c r="R176" i="74" s="1"/>
  <c r="R179" i="74" s="1"/>
  <c r="Q239" i="74"/>
  <c r="Q225" i="74"/>
  <c r="Q225" i="80"/>
  <c r="Q239" i="80"/>
  <c r="S260" i="80"/>
  <c r="S292" i="80"/>
  <c r="P291" i="76"/>
  <c r="P259" i="76"/>
  <c r="P264" i="76" s="1"/>
  <c r="P265" i="76" s="1"/>
  <c r="P276" i="76" s="1"/>
  <c r="P277" i="76" s="1"/>
  <c r="R179" i="78"/>
  <c r="Q237" i="74"/>
  <c r="Q223" i="74"/>
  <c r="Q180" i="74"/>
  <c r="Q181" i="74"/>
  <c r="P225" i="80"/>
  <c r="P239" i="80"/>
  <c r="S256" i="74"/>
  <c r="S288" i="74"/>
  <c r="P303" i="78"/>
  <c r="P271" i="78"/>
  <c r="P259" i="74"/>
  <c r="P291" i="74"/>
  <c r="S120" i="76"/>
  <c r="S121" i="76"/>
  <c r="S119" i="76"/>
  <c r="S129" i="76" s="1"/>
  <c r="S177" i="76" s="1"/>
  <c r="S115" i="76"/>
  <c r="S175" i="76" s="1"/>
  <c r="T112" i="76"/>
  <c r="S288" i="78"/>
  <c r="S256" i="78"/>
  <c r="R200" i="78"/>
  <c r="T42" i="74"/>
  <c r="T222" i="74" s="1"/>
  <c r="T45" i="74"/>
  <c r="T50" i="74" s="1"/>
  <c r="T226" i="74" s="1"/>
  <c r="O272" i="80"/>
  <c r="O304" i="80"/>
  <c r="Q289" i="78"/>
  <c r="Q257" i="78"/>
  <c r="S260" i="74"/>
  <c r="S292" i="74"/>
  <c r="P257" i="78"/>
  <c r="P289" i="78"/>
  <c r="Q257" i="76"/>
  <c r="Q289" i="76"/>
  <c r="P305" i="74"/>
  <c r="P273" i="74"/>
  <c r="S260" i="78"/>
  <c r="S292" i="78"/>
  <c r="O259" i="80"/>
  <c r="O264" i="80" s="1"/>
  <c r="O265" i="80" s="1"/>
  <c r="O276" i="80" s="1"/>
  <c r="O277" i="80" s="1"/>
  <c r="O291" i="80"/>
  <c r="Q271" i="78"/>
  <c r="Q179" i="80"/>
  <c r="Q187" i="80"/>
  <c r="Q224" i="80" s="1"/>
  <c r="R129" i="74"/>
  <c r="R177" i="74" s="1"/>
  <c r="S186" i="76"/>
  <c r="O305" i="80"/>
  <c r="O273" i="80"/>
  <c r="S288" i="76"/>
  <c r="S256" i="76"/>
  <c r="T45" i="76"/>
  <c r="T50" i="76" s="1"/>
  <c r="T226" i="76" s="1"/>
  <c r="T42" i="76"/>
  <c r="T222" i="76" s="1"/>
  <c r="T45" i="80"/>
  <c r="T50" i="80" s="1"/>
  <c r="T226" i="80" s="1"/>
  <c r="T42" i="80"/>
  <c r="T222" i="80" s="1"/>
  <c r="S186" i="80"/>
  <c r="S119" i="80"/>
  <c r="S121" i="80"/>
  <c r="S115" i="80"/>
  <c r="S175" i="80" s="1"/>
  <c r="T112" i="80"/>
  <c r="S120" i="80"/>
  <c r="O304" i="76"/>
  <c r="O272" i="76"/>
  <c r="S120" i="74"/>
  <c r="S121" i="74"/>
  <c r="T112" i="74"/>
  <c r="S115" i="74"/>
  <c r="S175" i="74" s="1"/>
  <c r="S119" i="74"/>
  <c r="P272" i="76"/>
  <c r="P304" i="76"/>
  <c r="U114" i="80"/>
  <c r="U174" i="80" s="1"/>
  <c r="U217" i="80" s="1"/>
  <c r="U37" i="80"/>
  <c r="S260" i="76"/>
  <c r="S292" i="76"/>
  <c r="Q303" i="76"/>
  <c r="Q271" i="76"/>
  <c r="V111" i="76"/>
  <c r="V111" i="74"/>
  <c r="V111" i="80"/>
  <c r="V111" i="78"/>
  <c r="T42" i="78"/>
  <c r="T222" i="78" s="1"/>
  <c r="T45" i="78"/>
  <c r="T50" i="78" s="1"/>
  <c r="T226" i="78" s="1"/>
  <c r="R129" i="78"/>
  <c r="R177" i="78" s="1"/>
  <c r="U114" i="78"/>
  <c r="U174" i="78" s="1"/>
  <c r="U217" i="78" s="1"/>
  <c r="U37" i="78"/>
  <c r="R292" i="80"/>
  <c r="R260" i="80"/>
  <c r="P291" i="78"/>
  <c r="P259" i="78"/>
  <c r="R128" i="76"/>
  <c r="R176" i="76" s="1"/>
  <c r="R200" i="76" s="1"/>
  <c r="Q179" i="74"/>
  <c r="U114" i="76"/>
  <c r="U174" i="76" s="1"/>
  <c r="U217" i="76" s="1"/>
  <c r="U37" i="76"/>
  <c r="Q237" i="80"/>
  <c r="Q181" i="80"/>
  <c r="Q223" i="80"/>
  <c r="Q180" i="80"/>
  <c r="P258" i="80"/>
  <c r="P290" i="80"/>
  <c r="P238" i="80"/>
  <c r="P305" i="78"/>
  <c r="P273" i="78"/>
  <c r="Q239" i="78"/>
  <c r="Q225" i="78"/>
  <c r="R128" i="80"/>
  <c r="R176" i="80" s="1"/>
  <c r="R181" i="80" s="1"/>
  <c r="R200" i="74"/>
  <c r="R129" i="76"/>
  <c r="R177" i="76" s="1"/>
  <c r="S288" i="80"/>
  <c r="S256" i="80"/>
  <c r="Q181" i="78"/>
  <c r="Q179" i="78"/>
  <c r="P273" i="76"/>
  <c r="P305" i="76"/>
  <c r="Q179" i="76"/>
  <c r="Q187" i="76"/>
  <c r="Q224" i="76" s="1"/>
  <c r="S120" i="78"/>
  <c r="S119" i="78"/>
  <c r="S115" i="78"/>
  <c r="S175" i="78" s="1"/>
  <c r="S121" i="78"/>
  <c r="T112" i="78"/>
  <c r="U114" i="74"/>
  <c r="U174" i="74" s="1"/>
  <c r="U217" i="74" s="1"/>
  <c r="U37" i="74"/>
  <c r="Q289" i="49"/>
  <c r="S292" i="48"/>
  <c r="V37" i="21"/>
  <c r="V37" i="25"/>
  <c r="U37" i="25"/>
  <c r="U37" i="49"/>
  <c r="U42" i="49" s="1"/>
  <c r="U222" i="49" s="1"/>
  <c r="T186" i="49"/>
  <c r="Q271" i="46"/>
  <c r="V114" i="49"/>
  <c r="V174" i="49" s="1"/>
  <c r="V217" i="49" s="1"/>
  <c r="V111" i="48"/>
  <c r="V114" i="48" s="1"/>
  <c r="V174" i="48" s="1"/>
  <c r="V217" i="48" s="1"/>
  <c r="O278" i="49"/>
  <c r="R180" i="46"/>
  <c r="T107" i="49"/>
  <c r="T210" i="49" s="1"/>
  <c r="T214" i="49" s="1"/>
  <c r="T241" i="49" s="1"/>
  <c r="R237" i="46"/>
  <c r="R303" i="46" s="1"/>
  <c r="R237" i="49"/>
  <c r="R271" i="49" s="1"/>
  <c r="R180" i="49"/>
  <c r="S129" i="48"/>
  <c r="S128" i="49"/>
  <c r="S176" i="49" s="1"/>
  <c r="S129" i="49"/>
  <c r="S177" i="49" s="1"/>
  <c r="S237" i="49" s="1"/>
  <c r="P264" i="46"/>
  <c r="P265" i="46" s="1"/>
  <c r="P276" i="46" s="1"/>
  <c r="P277" i="46" s="1"/>
  <c r="T108" i="49"/>
  <c r="R187" i="49"/>
  <c r="R224" i="49" s="1"/>
  <c r="R179" i="49"/>
  <c r="R181" i="49"/>
  <c r="R200" i="49"/>
  <c r="S210" i="49"/>
  <c r="S214" i="49" s="1"/>
  <c r="S241" i="49" s="1"/>
  <c r="R179" i="48"/>
  <c r="P305" i="49"/>
  <c r="P273" i="49"/>
  <c r="W91" i="48"/>
  <c r="V98" i="48"/>
  <c r="V99" i="48"/>
  <c r="V100" i="48"/>
  <c r="V94" i="48"/>
  <c r="R200" i="48"/>
  <c r="Q258" i="49"/>
  <c r="Q290" i="49"/>
  <c r="Q238" i="49"/>
  <c r="R275" i="49"/>
  <c r="R307" i="49"/>
  <c r="T288" i="48"/>
  <c r="T256" i="48"/>
  <c r="S108" i="46"/>
  <c r="S177" i="46" s="1"/>
  <c r="S223" i="46" s="1"/>
  <c r="V37" i="49"/>
  <c r="U112" i="48"/>
  <c r="T120" i="48"/>
  <c r="T119" i="48"/>
  <c r="T121" i="48"/>
  <c r="T115" i="48"/>
  <c r="T175" i="48" s="1"/>
  <c r="T292" i="48"/>
  <c r="T260" i="48"/>
  <c r="T275" i="48"/>
  <c r="T307" i="48"/>
  <c r="T121" i="49"/>
  <c r="T115" i="49"/>
  <c r="T175" i="49" s="1"/>
  <c r="U112" i="49"/>
  <c r="T119" i="49"/>
  <c r="T120" i="49"/>
  <c r="T288" i="49"/>
  <c r="T256" i="49"/>
  <c r="U100" i="49"/>
  <c r="U98" i="49"/>
  <c r="U94" i="49"/>
  <c r="V91" i="49"/>
  <c r="U99" i="49"/>
  <c r="U45" i="48"/>
  <c r="U50" i="48" s="1"/>
  <c r="U226" i="48" s="1"/>
  <c r="U42" i="48"/>
  <c r="U222" i="48" s="1"/>
  <c r="P304" i="49"/>
  <c r="P272" i="49"/>
  <c r="R289" i="49"/>
  <c r="R257" i="49"/>
  <c r="T292" i="49"/>
  <c r="T260" i="49"/>
  <c r="U107" i="48"/>
  <c r="S128" i="48"/>
  <c r="S176" i="48" s="1"/>
  <c r="S307" i="48"/>
  <c r="S275" i="48"/>
  <c r="Q239" i="48"/>
  <c r="Q225" i="48"/>
  <c r="P291" i="49"/>
  <c r="P259" i="49"/>
  <c r="P264" i="49" s="1"/>
  <c r="P265" i="49" s="1"/>
  <c r="P276" i="49" s="1"/>
  <c r="P277" i="49" s="1"/>
  <c r="Q239" i="49"/>
  <c r="Q225" i="49"/>
  <c r="R239" i="46"/>
  <c r="R225" i="46"/>
  <c r="Q239" i="46"/>
  <c r="Q225" i="46"/>
  <c r="T288" i="46"/>
  <c r="T256" i="46"/>
  <c r="R187" i="46"/>
  <c r="R224" i="46" s="1"/>
  <c r="R179" i="46"/>
  <c r="Q290" i="46"/>
  <c r="Q258" i="46"/>
  <c r="Q238" i="46"/>
  <c r="T292" i="46"/>
  <c r="T260" i="46"/>
  <c r="R181" i="46"/>
  <c r="V111" i="11"/>
  <c r="V37" i="11" s="1"/>
  <c r="U42" i="46"/>
  <c r="U222" i="46" s="1"/>
  <c r="U45" i="46"/>
  <c r="U50" i="46" s="1"/>
  <c r="U226" i="46" s="1"/>
  <c r="S107" i="46"/>
  <c r="S176" i="46" s="1"/>
  <c r="S200" i="46" s="1"/>
  <c r="R289" i="46"/>
  <c r="R257" i="46"/>
  <c r="V111" i="14"/>
  <c r="V37" i="14" s="1"/>
  <c r="T99" i="46"/>
  <c r="U91" i="46"/>
  <c r="T98" i="46"/>
  <c r="T94" i="46"/>
  <c r="T175" i="46" s="1"/>
  <c r="T100" i="46"/>
  <c r="P304" i="46"/>
  <c r="P272" i="46"/>
  <c r="V37" i="46"/>
  <c r="V93" i="46"/>
  <c r="V174" i="46" s="1"/>
  <c r="V217" i="46" s="1"/>
  <c r="AE38" i="33"/>
  <c r="AE40" i="33"/>
  <c r="AE37" i="33"/>
  <c r="AE39" i="33"/>
  <c r="AD41" i="33"/>
  <c r="AE32" i="33"/>
  <c r="AE31" i="33"/>
  <c r="AE33" i="33"/>
  <c r="AE30" i="33"/>
  <c r="AD34" i="33"/>
  <c r="AF27" i="33"/>
  <c r="AF36" i="33" s="1"/>
  <c r="AF29" i="33"/>
  <c r="AG64" i="33"/>
  <c r="AG61" i="33"/>
  <c r="AG63" i="33"/>
  <c r="AG62" i="33"/>
  <c r="AG53" i="33"/>
  <c r="AG26" i="33" s="1"/>
  <c r="AG110" i="33"/>
  <c r="AG3" i="33"/>
  <c r="AG11" i="33" s="1"/>
  <c r="AH2" i="33"/>
  <c r="AH5" i="33" s="1"/>
  <c r="AI56" i="33"/>
  <c r="R223" i="80" l="1"/>
  <c r="O278" i="76"/>
  <c r="U108" i="82"/>
  <c r="S129" i="74"/>
  <c r="S177" i="74" s="1"/>
  <c r="S237" i="74" s="1"/>
  <c r="S307" i="83"/>
  <c r="S275" i="83"/>
  <c r="U100" i="83"/>
  <c r="U94" i="83"/>
  <c r="V91" i="83"/>
  <c r="U99" i="83"/>
  <c r="U98" i="83"/>
  <c r="T108" i="83"/>
  <c r="T107" i="83"/>
  <c r="T210" i="83" s="1"/>
  <c r="T214" i="83" s="1"/>
  <c r="T241" i="83" s="1"/>
  <c r="W91" i="82"/>
  <c r="V100" i="82"/>
  <c r="V99" i="82"/>
  <c r="V98" i="82"/>
  <c r="V94" i="82"/>
  <c r="T307" i="82"/>
  <c r="T275" i="82"/>
  <c r="U107" i="82"/>
  <c r="U210" i="82" s="1"/>
  <c r="U214" i="82" s="1"/>
  <c r="U241" i="82" s="1"/>
  <c r="Q225" i="76"/>
  <c r="S128" i="76"/>
  <c r="S176" i="76" s="1"/>
  <c r="S200" i="76" s="1"/>
  <c r="R237" i="80"/>
  <c r="R271" i="80" s="1"/>
  <c r="P278" i="76"/>
  <c r="S128" i="80"/>
  <c r="S176" i="80" s="1"/>
  <c r="S200" i="80" s="1"/>
  <c r="R239" i="76"/>
  <c r="R225" i="76"/>
  <c r="S180" i="74"/>
  <c r="V114" i="78"/>
  <c r="V174" i="78" s="1"/>
  <c r="V217" i="78" s="1"/>
  <c r="V37" i="78"/>
  <c r="U42" i="74"/>
  <c r="U222" i="74" s="1"/>
  <c r="U45" i="74"/>
  <c r="U50" i="74" s="1"/>
  <c r="U226" i="74" s="1"/>
  <c r="Q290" i="76"/>
  <c r="Q238" i="76"/>
  <c r="Q258" i="76"/>
  <c r="Q273" i="78"/>
  <c r="Q305" i="78"/>
  <c r="U112" i="80"/>
  <c r="T119" i="80"/>
  <c r="T120" i="80"/>
  <c r="T115" i="80"/>
  <c r="T175" i="80" s="1"/>
  <c r="T121" i="80"/>
  <c r="T292" i="76"/>
  <c r="T260" i="76"/>
  <c r="P291" i="80"/>
  <c r="P259" i="80"/>
  <c r="P264" i="80" s="1"/>
  <c r="P265" i="80" s="1"/>
  <c r="P276" i="80" s="1"/>
  <c r="P277" i="80" s="1"/>
  <c r="T115" i="74"/>
  <c r="T175" i="74" s="1"/>
  <c r="U112" i="74"/>
  <c r="T121" i="74"/>
  <c r="T120" i="74"/>
  <c r="T119" i="74"/>
  <c r="Q291" i="74"/>
  <c r="Q259" i="74"/>
  <c r="T119" i="78"/>
  <c r="T120" i="78"/>
  <c r="T121" i="78"/>
  <c r="U112" i="78"/>
  <c r="T115" i="78"/>
  <c r="T175" i="78" s="1"/>
  <c r="Q257" i="80"/>
  <c r="Q289" i="80"/>
  <c r="V114" i="80"/>
  <c r="V174" i="80" s="1"/>
  <c r="V217" i="80" s="1"/>
  <c r="V37" i="80"/>
  <c r="S223" i="76"/>
  <c r="S237" i="76"/>
  <c r="S181" i="76"/>
  <c r="S180" i="76"/>
  <c r="Q305" i="74"/>
  <c r="Q273" i="74"/>
  <c r="R187" i="76"/>
  <c r="R224" i="76" s="1"/>
  <c r="R179" i="76"/>
  <c r="U42" i="78"/>
  <c r="U222" i="78" s="1"/>
  <c r="U45" i="78"/>
  <c r="U50" i="78" s="1"/>
  <c r="U226" i="78" s="1"/>
  <c r="V114" i="74"/>
  <c r="V174" i="74" s="1"/>
  <c r="V217" i="74" s="1"/>
  <c r="V37" i="74"/>
  <c r="T115" i="76"/>
  <c r="T175" i="76" s="1"/>
  <c r="T120" i="76"/>
  <c r="U112" i="76"/>
  <c r="T121" i="76"/>
  <c r="T119" i="76"/>
  <c r="Q289" i="74"/>
  <c r="Q257" i="74"/>
  <c r="U42" i="80"/>
  <c r="U222" i="80" s="1"/>
  <c r="U45" i="80"/>
  <c r="U50" i="80" s="1"/>
  <c r="U226" i="80" s="1"/>
  <c r="R237" i="76"/>
  <c r="R223" i="76"/>
  <c r="R180" i="76"/>
  <c r="R181" i="76"/>
  <c r="Q271" i="80"/>
  <c r="Q303" i="80"/>
  <c r="R200" i="80"/>
  <c r="V114" i="76"/>
  <c r="V174" i="76" s="1"/>
  <c r="V217" i="76" s="1"/>
  <c r="V37" i="76"/>
  <c r="T186" i="80"/>
  <c r="O278" i="80"/>
  <c r="Q303" i="74"/>
  <c r="Q271" i="74"/>
  <c r="R239" i="74"/>
  <c r="R225" i="74"/>
  <c r="U45" i="76"/>
  <c r="U50" i="76" s="1"/>
  <c r="U226" i="76" s="1"/>
  <c r="U42" i="76"/>
  <c r="U222" i="76" s="1"/>
  <c r="Q291" i="76"/>
  <c r="Q259" i="76"/>
  <c r="Q264" i="76" s="1"/>
  <c r="Q265" i="76" s="1"/>
  <c r="Q276" i="76" s="1"/>
  <c r="Q277" i="76" s="1"/>
  <c r="R223" i="78"/>
  <c r="R180" i="78"/>
  <c r="R237" i="78"/>
  <c r="R181" i="78"/>
  <c r="T288" i="80"/>
  <c r="T256" i="80"/>
  <c r="T186" i="76"/>
  <c r="U186" i="76" s="1"/>
  <c r="T292" i="74"/>
  <c r="T260" i="74"/>
  <c r="S187" i="76"/>
  <c r="S224" i="76" s="1"/>
  <c r="S179" i="76"/>
  <c r="S128" i="78"/>
  <c r="S176" i="78" s="1"/>
  <c r="R187" i="80"/>
  <c r="R224" i="80" s="1"/>
  <c r="R179" i="80"/>
  <c r="P304" i="80"/>
  <c r="P272" i="80"/>
  <c r="Q305" i="76"/>
  <c r="Q273" i="76"/>
  <c r="T260" i="78"/>
  <c r="T292" i="78"/>
  <c r="S128" i="74"/>
  <c r="S176" i="74" s="1"/>
  <c r="S181" i="74" s="1"/>
  <c r="S129" i="80"/>
  <c r="S177" i="80" s="1"/>
  <c r="T260" i="80"/>
  <c r="T292" i="80"/>
  <c r="R237" i="74"/>
  <c r="R180" i="74"/>
  <c r="R223" i="74"/>
  <c r="R181" i="74"/>
  <c r="T256" i="74"/>
  <c r="T288" i="74"/>
  <c r="Q305" i="80"/>
  <c r="Q273" i="80"/>
  <c r="S129" i="78"/>
  <c r="S177" i="78" s="1"/>
  <c r="Q291" i="78"/>
  <c r="Q259" i="78"/>
  <c r="T288" i="78"/>
  <c r="T256" i="78"/>
  <c r="T288" i="76"/>
  <c r="T256" i="76"/>
  <c r="Q290" i="80"/>
  <c r="Q238" i="80"/>
  <c r="Q258" i="80"/>
  <c r="R239" i="78"/>
  <c r="R225" i="78"/>
  <c r="P305" i="80"/>
  <c r="P273" i="80"/>
  <c r="Q259" i="80"/>
  <c r="Q291" i="80"/>
  <c r="R289" i="80"/>
  <c r="R257" i="80"/>
  <c r="R271" i="46"/>
  <c r="U45" i="49"/>
  <c r="U50" i="49" s="1"/>
  <c r="U226" i="49" s="1"/>
  <c r="U292" i="49" s="1"/>
  <c r="V37" i="48"/>
  <c r="V42" i="48" s="1"/>
  <c r="V222" i="48" s="1"/>
  <c r="R303" i="49"/>
  <c r="S237" i="46"/>
  <c r="S180" i="46"/>
  <c r="S223" i="49"/>
  <c r="S257" i="49" s="1"/>
  <c r="U108" i="49"/>
  <c r="V107" i="48"/>
  <c r="V210" i="48" s="1"/>
  <c r="V214" i="48" s="1"/>
  <c r="V241" i="48" s="1"/>
  <c r="T128" i="49"/>
  <c r="T176" i="49" s="1"/>
  <c r="T179" i="49" s="1"/>
  <c r="S180" i="49"/>
  <c r="Q305" i="49"/>
  <c r="Q273" i="49"/>
  <c r="U119" i="49"/>
  <c r="U120" i="49"/>
  <c r="U121" i="49"/>
  <c r="U115" i="49"/>
  <c r="U175" i="49" s="1"/>
  <c r="V112" i="49"/>
  <c r="Q304" i="49"/>
  <c r="Q272" i="49"/>
  <c r="S303" i="49"/>
  <c r="S271" i="49"/>
  <c r="T307" i="49"/>
  <c r="T275" i="49"/>
  <c r="V100" i="49"/>
  <c r="V98" i="49"/>
  <c r="V94" i="49"/>
  <c r="W91" i="49"/>
  <c r="V99" i="49"/>
  <c r="T128" i="48"/>
  <c r="T176" i="48" s="1"/>
  <c r="T200" i="48" s="1"/>
  <c r="X91" i="48"/>
  <c r="W94" i="48"/>
  <c r="W98" i="48"/>
  <c r="W99" i="48"/>
  <c r="W100" i="48"/>
  <c r="S179" i="49"/>
  <c r="S187" i="49"/>
  <c r="S224" i="49" s="1"/>
  <c r="S181" i="49"/>
  <c r="S179" i="48"/>
  <c r="T129" i="48"/>
  <c r="S307" i="49"/>
  <c r="S275" i="49"/>
  <c r="S289" i="49"/>
  <c r="P278" i="49"/>
  <c r="U210" i="48"/>
  <c r="U214" i="48" s="1"/>
  <c r="U241" i="48" s="1"/>
  <c r="U107" i="49"/>
  <c r="U120" i="48"/>
  <c r="U119" i="48"/>
  <c r="U121" i="48"/>
  <c r="U115" i="48"/>
  <c r="U175" i="48" s="1"/>
  <c r="V112" i="48"/>
  <c r="R239" i="48"/>
  <c r="R225" i="48"/>
  <c r="R239" i="49"/>
  <c r="R225" i="49"/>
  <c r="Q291" i="48"/>
  <c r="Q259" i="48"/>
  <c r="U256" i="48"/>
  <c r="U288" i="48"/>
  <c r="Q305" i="48"/>
  <c r="Q273" i="48"/>
  <c r="U288" i="49"/>
  <c r="U256" i="49"/>
  <c r="U292" i="48"/>
  <c r="U260" i="48"/>
  <c r="S200" i="48"/>
  <c r="T129" i="49"/>
  <c r="T177" i="49" s="1"/>
  <c r="V42" i="49"/>
  <c r="V222" i="49" s="1"/>
  <c r="V45" i="49"/>
  <c r="T108" i="46"/>
  <c r="T177" i="46" s="1"/>
  <c r="T180" i="46" s="1"/>
  <c r="Q291" i="49"/>
  <c r="Q259" i="49"/>
  <c r="Q264" i="49" s="1"/>
  <c r="Q265" i="49" s="1"/>
  <c r="Q276" i="49" s="1"/>
  <c r="Q277" i="49" s="1"/>
  <c r="U186" i="49"/>
  <c r="S200" i="49"/>
  <c r="R238" i="49"/>
  <c r="R258" i="49"/>
  <c r="R290" i="49"/>
  <c r="V42" i="46"/>
  <c r="V222" i="46" s="1"/>
  <c r="V45" i="46"/>
  <c r="R305" i="46"/>
  <c r="R273" i="46"/>
  <c r="R259" i="46"/>
  <c r="R291" i="46"/>
  <c r="Q259" i="46"/>
  <c r="Q264" i="46" s="1"/>
  <c r="Q265" i="46" s="1"/>
  <c r="Q276" i="46" s="1"/>
  <c r="Q277" i="46" s="1"/>
  <c r="Q291" i="46"/>
  <c r="R258" i="46"/>
  <c r="R290" i="46"/>
  <c r="R238" i="46"/>
  <c r="S179" i="46"/>
  <c r="S187" i="46"/>
  <c r="S224" i="46" s="1"/>
  <c r="U260" i="46"/>
  <c r="U292" i="46"/>
  <c r="Q304" i="46"/>
  <c r="Q272" i="46"/>
  <c r="S239" i="46"/>
  <c r="S225" i="46"/>
  <c r="U288" i="46"/>
  <c r="U256" i="46"/>
  <c r="S181" i="46"/>
  <c r="S289" i="46"/>
  <c r="S257" i="46"/>
  <c r="T107" i="46"/>
  <c r="T176" i="46" s="1"/>
  <c r="S303" i="46"/>
  <c r="S271" i="46"/>
  <c r="Q305" i="46"/>
  <c r="Q273" i="46"/>
  <c r="U99" i="46"/>
  <c r="U100" i="46"/>
  <c r="U98" i="46"/>
  <c r="U94" i="46"/>
  <c r="U175" i="46" s="1"/>
  <c r="V91" i="46"/>
  <c r="AE41" i="33"/>
  <c r="AF38" i="33"/>
  <c r="AF40" i="33"/>
  <c r="AF37" i="33"/>
  <c r="AF39" i="33"/>
  <c r="AE34" i="33"/>
  <c r="AG27" i="33"/>
  <c r="AG36" i="33" s="1"/>
  <c r="AG29" i="33"/>
  <c r="AF32" i="33"/>
  <c r="AF31" i="33"/>
  <c r="AF33" i="33"/>
  <c r="AF30" i="33"/>
  <c r="AH62" i="33"/>
  <c r="AH64" i="33"/>
  <c r="AH61" i="33"/>
  <c r="AH63" i="33"/>
  <c r="AH53" i="33"/>
  <c r="AH26" i="33" s="1"/>
  <c r="AH110" i="33"/>
  <c r="AH3" i="33"/>
  <c r="AH11" i="33" s="1"/>
  <c r="AI2" i="33"/>
  <c r="AI5" i="33" s="1"/>
  <c r="S200" i="74" l="1"/>
  <c r="R303" i="80"/>
  <c r="S223" i="74"/>
  <c r="S179" i="80"/>
  <c r="T129" i="80"/>
  <c r="T177" i="80" s="1"/>
  <c r="T223" i="80" s="1"/>
  <c r="U107" i="83"/>
  <c r="U210" i="83" s="1"/>
  <c r="U214" i="83" s="1"/>
  <c r="U241" i="83" s="1"/>
  <c r="U307" i="83" s="1"/>
  <c r="V107" i="82"/>
  <c r="V210" i="82" s="1"/>
  <c r="V214" i="82" s="1"/>
  <c r="V241" i="82" s="1"/>
  <c r="U108" i="83"/>
  <c r="V45" i="48"/>
  <c r="U307" i="82"/>
  <c r="U275" i="82"/>
  <c r="W100" i="82"/>
  <c r="W94" i="82"/>
  <c r="W98" i="82"/>
  <c r="W99" i="82"/>
  <c r="X91" i="82"/>
  <c r="V100" i="83"/>
  <c r="V98" i="83"/>
  <c r="V99" i="83"/>
  <c r="W91" i="83"/>
  <c r="V94" i="83"/>
  <c r="V108" i="82"/>
  <c r="T307" i="83"/>
  <c r="T275" i="83"/>
  <c r="S239" i="80"/>
  <c r="S273" i="80" s="1"/>
  <c r="S225" i="80"/>
  <c r="S187" i="80"/>
  <c r="S224" i="80" s="1"/>
  <c r="S238" i="80" s="1"/>
  <c r="U186" i="80"/>
  <c r="P278" i="80"/>
  <c r="R271" i="74"/>
  <c r="R303" i="74"/>
  <c r="U288" i="80"/>
  <c r="U256" i="80"/>
  <c r="R290" i="76"/>
  <c r="R238" i="76"/>
  <c r="R258" i="76"/>
  <c r="S289" i="76"/>
  <c r="S257" i="76"/>
  <c r="T128" i="74"/>
  <c r="T176" i="74" s="1"/>
  <c r="T200" i="74" s="1"/>
  <c r="V112" i="80"/>
  <c r="U120" i="80"/>
  <c r="U119" i="80"/>
  <c r="U121" i="80"/>
  <c r="U115" i="80"/>
  <c r="U175" i="80" s="1"/>
  <c r="S225" i="74"/>
  <c r="S239" i="74"/>
  <c r="Q304" i="76"/>
  <c r="Q272" i="76"/>
  <c r="Q278" i="76" s="1"/>
  <c r="R305" i="78"/>
  <c r="R273" i="78"/>
  <c r="U260" i="76"/>
  <c r="U292" i="76"/>
  <c r="V42" i="76"/>
  <c r="V222" i="76" s="1"/>
  <c r="V45" i="76"/>
  <c r="R303" i="76"/>
  <c r="R271" i="76"/>
  <c r="S258" i="80"/>
  <c r="S290" i="80"/>
  <c r="S257" i="74"/>
  <c r="S289" i="74"/>
  <c r="U256" i="76"/>
  <c r="U288" i="76"/>
  <c r="R289" i="76"/>
  <c r="R257" i="76"/>
  <c r="S237" i="80"/>
  <c r="S181" i="80"/>
  <c r="S223" i="80"/>
  <c r="S180" i="80"/>
  <c r="S290" i="76"/>
  <c r="S238" i="76"/>
  <c r="S258" i="76"/>
  <c r="R259" i="74"/>
  <c r="R291" i="74"/>
  <c r="V45" i="74"/>
  <c r="V42" i="74"/>
  <c r="V222" i="74" s="1"/>
  <c r="V112" i="74"/>
  <c r="U121" i="74"/>
  <c r="U115" i="74"/>
  <c r="U175" i="74" s="1"/>
  <c r="U120" i="74"/>
  <c r="U119" i="74"/>
  <c r="T180" i="80"/>
  <c r="T237" i="80"/>
  <c r="U260" i="74"/>
  <c r="U292" i="74"/>
  <c r="S271" i="74"/>
  <c r="S303" i="74"/>
  <c r="R291" i="78"/>
  <c r="R259" i="78"/>
  <c r="S179" i="74"/>
  <c r="R258" i="80"/>
  <c r="R238" i="80"/>
  <c r="R290" i="80"/>
  <c r="S225" i="76"/>
  <c r="S239" i="76"/>
  <c r="R271" i="78"/>
  <c r="R303" i="78"/>
  <c r="R305" i="74"/>
  <c r="R273" i="74"/>
  <c r="R239" i="80"/>
  <c r="R225" i="80"/>
  <c r="T128" i="76"/>
  <c r="T176" i="76" s="1"/>
  <c r="T128" i="78"/>
  <c r="T176" i="78" s="1"/>
  <c r="T200" i="78" s="1"/>
  <c r="U288" i="74"/>
  <c r="U256" i="74"/>
  <c r="Q304" i="80"/>
  <c r="Q272" i="80"/>
  <c r="S179" i="78"/>
  <c r="S200" i="78"/>
  <c r="U260" i="78"/>
  <c r="U292" i="78"/>
  <c r="R291" i="76"/>
  <c r="R259" i="76"/>
  <c r="U121" i="78"/>
  <c r="U120" i="78"/>
  <c r="V112" i="78"/>
  <c r="U119" i="78"/>
  <c r="U115" i="78"/>
  <c r="U175" i="78" s="1"/>
  <c r="Q264" i="80"/>
  <c r="Q265" i="80" s="1"/>
  <c r="Q276" i="80" s="1"/>
  <c r="Q277" i="80" s="1"/>
  <c r="S237" i="78"/>
  <c r="S223" i="78"/>
  <c r="S180" i="78"/>
  <c r="S181" i="78"/>
  <c r="R257" i="74"/>
  <c r="R289" i="74"/>
  <c r="R257" i="78"/>
  <c r="R289" i="78"/>
  <c r="S305" i="80"/>
  <c r="V112" i="76"/>
  <c r="V186" i="76" s="1"/>
  <c r="U121" i="76"/>
  <c r="U119" i="76"/>
  <c r="U120" i="76"/>
  <c r="U115" i="76"/>
  <c r="U175" i="76" s="1"/>
  <c r="U256" i="78"/>
  <c r="U288" i="78"/>
  <c r="T129" i="78"/>
  <c r="T177" i="78" s="1"/>
  <c r="V45" i="78"/>
  <c r="V42" i="78"/>
  <c r="V222" i="78" s="1"/>
  <c r="R305" i="76"/>
  <c r="R273" i="76"/>
  <c r="V45" i="80"/>
  <c r="V42" i="80"/>
  <c r="V222" i="80" s="1"/>
  <c r="S291" i="80"/>
  <c r="S259" i="80"/>
  <c r="U292" i="80"/>
  <c r="U260" i="80"/>
  <c r="T129" i="76"/>
  <c r="T177" i="76" s="1"/>
  <c r="S303" i="76"/>
  <c r="S271" i="76"/>
  <c r="T129" i="74"/>
  <c r="T177" i="74" s="1"/>
  <c r="T128" i="80"/>
  <c r="T176" i="80" s="1"/>
  <c r="T181" i="80" s="1"/>
  <c r="U260" i="49"/>
  <c r="R264" i="46"/>
  <c r="R265" i="46" s="1"/>
  <c r="R276" i="46" s="1"/>
  <c r="R277" i="46" s="1"/>
  <c r="T237" i="46"/>
  <c r="T303" i="46" s="1"/>
  <c r="T187" i="49"/>
  <c r="T224" i="49" s="1"/>
  <c r="T258" i="49" s="1"/>
  <c r="U128" i="48"/>
  <c r="U176" i="48" s="1"/>
  <c r="U179" i="48" s="1"/>
  <c r="T200" i="49"/>
  <c r="T239" i="49" s="1"/>
  <c r="U129" i="49"/>
  <c r="U177" i="49" s="1"/>
  <c r="U223" i="49" s="1"/>
  <c r="T223" i="46"/>
  <c r="T289" i="46" s="1"/>
  <c r="R272" i="49"/>
  <c r="R304" i="49"/>
  <c r="R305" i="49"/>
  <c r="R273" i="49"/>
  <c r="Y50" i="48"/>
  <c r="Y226" i="48" s="1"/>
  <c r="AA50" i="48"/>
  <c r="AA226" i="48" s="1"/>
  <c r="W50" i="48"/>
  <c r="W226" i="48" s="1"/>
  <c r="X50" i="48"/>
  <c r="X226" i="48" s="1"/>
  <c r="V50" i="48"/>
  <c r="V226" i="48" s="1"/>
  <c r="Z50" i="48"/>
  <c r="Z226" i="48" s="1"/>
  <c r="W98" i="49"/>
  <c r="W94" i="49"/>
  <c r="X91" i="49"/>
  <c r="W99" i="49"/>
  <c r="W100" i="49"/>
  <c r="R291" i="48"/>
  <c r="R259" i="48"/>
  <c r="U210" i="49"/>
  <c r="U214" i="49" s="1"/>
  <c r="U241" i="49" s="1"/>
  <c r="V186" i="49"/>
  <c r="V120" i="49"/>
  <c r="V121" i="49"/>
  <c r="V119" i="49"/>
  <c r="V115" i="49"/>
  <c r="V175" i="49" s="1"/>
  <c r="W112" i="49"/>
  <c r="T239" i="48"/>
  <c r="T225" i="48"/>
  <c r="S225" i="49"/>
  <c r="S239" i="49"/>
  <c r="Y50" i="49"/>
  <c r="Y226" i="49" s="1"/>
  <c r="X50" i="49"/>
  <c r="X226" i="49" s="1"/>
  <c r="W50" i="49"/>
  <c r="W226" i="49" s="1"/>
  <c r="AA50" i="49"/>
  <c r="AA226" i="49" s="1"/>
  <c r="V50" i="49"/>
  <c r="V226" i="49" s="1"/>
  <c r="Z50" i="49"/>
  <c r="Z226" i="49" s="1"/>
  <c r="R273" i="48"/>
  <c r="R305" i="48"/>
  <c r="W107" i="48"/>
  <c r="V107" i="49"/>
  <c r="V288" i="49"/>
  <c r="V256" i="49"/>
  <c r="U129" i="48"/>
  <c r="U307" i="48"/>
  <c r="U275" i="48"/>
  <c r="V307" i="48"/>
  <c r="AB307" i="48" s="1"/>
  <c r="V275" i="48"/>
  <c r="AB275" i="48" s="1"/>
  <c r="AB241" i="48"/>
  <c r="AF41" i="33"/>
  <c r="T223" i="49"/>
  <c r="T237" i="49"/>
  <c r="T180" i="49"/>
  <c r="T181" i="49"/>
  <c r="V120" i="48"/>
  <c r="V119" i="48"/>
  <c r="V121" i="48"/>
  <c r="V115" i="48"/>
  <c r="V175" i="48" s="1"/>
  <c r="W112" i="48"/>
  <c r="X94" i="48"/>
  <c r="X98" i="48"/>
  <c r="X100" i="48"/>
  <c r="Y91" i="48"/>
  <c r="X99" i="48"/>
  <c r="Q278" i="49"/>
  <c r="S225" i="48"/>
  <c r="S239" i="48"/>
  <c r="S238" i="49"/>
  <c r="S258" i="49"/>
  <c r="S290" i="49"/>
  <c r="T179" i="48"/>
  <c r="U128" i="49"/>
  <c r="U176" i="49" s="1"/>
  <c r="R291" i="49"/>
  <c r="R259" i="49"/>
  <c r="R264" i="49" s="1"/>
  <c r="R265" i="49" s="1"/>
  <c r="R276" i="49" s="1"/>
  <c r="R277" i="49" s="1"/>
  <c r="V108" i="49"/>
  <c r="V288" i="48"/>
  <c r="V256" i="48"/>
  <c r="T200" i="46"/>
  <c r="T187" i="46"/>
  <c r="T224" i="46" s="1"/>
  <c r="T179" i="46"/>
  <c r="U107" i="46"/>
  <c r="U176" i="46" s="1"/>
  <c r="U200" i="46" s="1"/>
  <c r="S258" i="46"/>
  <c r="S238" i="46"/>
  <c r="S290" i="46"/>
  <c r="R304" i="46"/>
  <c r="R272" i="46"/>
  <c r="S259" i="46"/>
  <c r="S291" i="46"/>
  <c r="S305" i="46"/>
  <c r="S273" i="46"/>
  <c r="AA50" i="46"/>
  <c r="AA226" i="46" s="1"/>
  <c r="W50" i="46"/>
  <c r="W226" i="46" s="1"/>
  <c r="Y50" i="46"/>
  <c r="Y226" i="46" s="1"/>
  <c r="X50" i="46"/>
  <c r="X226" i="46" s="1"/>
  <c r="Z50" i="46"/>
  <c r="Z226" i="46" s="1"/>
  <c r="V50" i="46"/>
  <c r="V226" i="46" s="1"/>
  <c r="V256" i="46"/>
  <c r="V288" i="46"/>
  <c r="U108" i="46"/>
  <c r="U177" i="46" s="1"/>
  <c r="T181" i="46"/>
  <c r="V94" i="46"/>
  <c r="V175" i="46" s="1"/>
  <c r="W91" i="46"/>
  <c r="V99" i="46"/>
  <c r="V100" i="46"/>
  <c r="V98" i="46"/>
  <c r="AG37" i="33"/>
  <c r="AG38" i="33"/>
  <c r="AG40" i="33"/>
  <c r="AG39" i="33"/>
  <c r="AF34" i="33"/>
  <c r="AH27" i="33"/>
  <c r="AH36" i="33" s="1"/>
  <c r="AH29" i="33"/>
  <c r="AG30" i="33"/>
  <c r="AG32" i="33"/>
  <c r="AG33" i="33"/>
  <c r="AG31" i="33"/>
  <c r="AI62" i="33"/>
  <c r="AI64" i="33"/>
  <c r="AI61" i="33"/>
  <c r="AI63" i="33"/>
  <c r="AI53" i="33"/>
  <c r="AI26" i="33" s="1"/>
  <c r="AI110" i="33"/>
  <c r="AI3" i="33"/>
  <c r="AI11" i="33" s="1"/>
  <c r="T257" i="46" l="1"/>
  <c r="W108" i="82"/>
  <c r="U129" i="80"/>
  <c r="U177" i="80" s="1"/>
  <c r="U275" i="83"/>
  <c r="V107" i="83"/>
  <c r="V210" i="83" s="1"/>
  <c r="V214" i="83" s="1"/>
  <c r="V241" i="83" s="1"/>
  <c r="X94" i="82"/>
  <c r="Y91" i="82"/>
  <c r="X99" i="82"/>
  <c r="X98" i="82"/>
  <c r="X100" i="82"/>
  <c r="V186" i="80"/>
  <c r="V108" i="83"/>
  <c r="W107" i="82"/>
  <c r="W210" i="82" s="1"/>
  <c r="W214" i="82" s="1"/>
  <c r="W241" i="82" s="1"/>
  <c r="W94" i="83"/>
  <c r="X91" i="83"/>
  <c r="W98" i="83"/>
  <c r="W99" i="83"/>
  <c r="W100" i="83"/>
  <c r="V307" i="82"/>
  <c r="AB307" i="82" s="1"/>
  <c r="V275" i="82"/>
  <c r="AB275" i="82" s="1"/>
  <c r="AB241" i="82"/>
  <c r="U129" i="74"/>
  <c r="U177" i="74" s="1"/>
  <c r="U237" i="74" s="1"/>
  <c r="U129" i="78"/>
  <c r="U177" i="78" s="1"/>
  <c r="U223" i="78" s="1"/>
  <c r="T181" i="76"/>
  <c r="T223" i="76"/>
  <c r="T237" i="76"/>
  <c r="T180" i="76"/>
  <c r="S303" i="78"/>
  <c r="S271" i="78"/>
  <c r="S225" i="78"/>
  <c r="S239" i="78"/>
  <c r="R259" i="80"/>
  <c r="R264" i="80" s="1"/>
  <c r="R265" i="80" s="1"/>
  <c r="R276" i="80" s="1"/>
  <c r="R277" i="80" s="1"/>
  <c r="R291" i="80"/>
  <c r="V119" i="74"/>
  <c r="V121" i="74"/>
  <c r="W112" i="74"/>
  <c r="V120" i="74"/>
  <c r="V115" i="74"/>
  <c r="V175" i="74" s="1"/>
  <c r="S304" i="76"/>
  <c r="S272" i="76"/>
  <c r="S305" i="74"/>
  <c r="S273" i="74"/>
  <c r="T179" i="74"/>
  <c r="R305" i="80"/>
  <c r="R273" i="80"/>
  <c r="R304" i="80"/>
  <c r="R272" i="80"/>
  <c r="U223" i="74"/>
  <c r="S291" i="74"/>
  <c r="S259" i="74"/>
  <c r="V288" i="78"/>
  <c r="V256" i="78"/>
  <c r="U128" i="76"/>
  <c r="U176" i="76" s="1"/>
  <c r="T289" i="80"/>
  <c r="T257" i="80"/>
  <c r="V288" i="74"/>
  <c r="V256" i="74"/>
  <c r="S304" i="80"/>
  <c r="S272" i="80"/>
  <c r="U237" i="80"/>
  <c r="U180" i="80"/>
  <c r="U223" i="80"/>
  <c r="T179" i="80"/>
  <c r="T187" i="80"/>
  <c r="T224" i="80" s="1"/>
  <c r="AA50" i="78"/>
  <c r="AA226" i="78" s="1"/>
  <c r="W50" i="78"/>
  <c r="W226" i="78" s="1"/>
  <c r="V50" i="78"/>
  <c r="V226" i="78" s="1"/>
  <c r="Z50" i="78"/>
  <c r="Z226" i="78" s="1"/>
  <c r="X50" i="78"/>
  <c r="X226" i="78" s="1"/>
  <c r="Y50" i="78"/>
  <c r="Y226" i="78" s="1"/>
  <c r="T225" i="74"/>
  <c r="T239" i="74"/>
  <c r="AA50" i="74"/>
  <c r="AA226" i="74" s="1"/>
  <c r="W50" i="74"/>
  <c r="W226" i="74" s="1"/>
  <c r="X50" i="74"/>
  <c r="X226" i="74" s="1"/>
  <c r="Z50" i="74"/>
  <c r="Z226" i="74" s="1"/>
  <c r="V50" i="74"/>
  <c r="V226" i="74" s="1"/>
  <c r="Y50" i="74"/>
  <c r="Y226" i="74" s="1"/>
  <c r="S257" i="80"/>
  <c r="S264" i="80" s="1"/>
  <c r="S265" i="80" s="1"/>
  <c r="S276" i="80" s="1"/>
  <c r="S277" i="80" s="1"/>
  <c r="S289" i="80"/>
  <c r="T181" i="74"/>
  <c r="T237" i="74"/>
  <c r="T223" i="74"/>
  <c r="T180" i="74"/>
  <c r="T237" i="78"/>
  <c r="T223" i="78"/>
  <c r="T180" i="78"/>
  <c r="T181" i="78"/>
  <c r="V115" i="76"/>
  <c r="V175" i="76" s="1"/>
  <c r="V120" i="76"/>
  <c r="W112" i="76"/>
  <c r="W186" i="76" s="1"/>
  <c r="V121" i="76"/>
  <c r="V119" i="76"/>
  <c r="T179" i="78"/>
  <c r="U128" i="74"/>
  <c r="U176" i="74" s="1"/>
  <c r="U200" i="74" s="1"/>
  <c r="R304" i="76"/>
  <c r="R272" i="76"/>
  <c r="T239" i="78"/>
  <c r="T225" i="78"/>
  <c r="Q278" i="80"/>
  <c r="T200" i="80"/>
  <c r="T179" i="76"/>
  <c r="T187" i="76"/>
  <c r="T224" i="76" s="1"/>
  <c r="S303" i="80"/>
  <c r="S271" i="80"/>
  <c r="Z50" i="76"/>
  <c r="Z226" i="76" s="1"/>
  <c r="X50" i="76"/>
  <c r="X226" i="76" s="1"/>
  <c r="AA50" i="76"/>
  <c r="AA226" i="76" s="1"/>
  <c r="V50" i="76"/>
  <c r="V226" i="76" s="1"/>
  <c r="W50" i="76"/>
  <c r="W226" i="76" s="1"/>
  <c r="Y50" i="76"/>
  <c r="Y226" i="76" s="1"/>
  <c r="U128" i="80"/>
  <c r="U176" i="80" s="1"/>
  <c r="U200" i="80" s="1"/>
  <c r="V256" i="80"/>
  <c r="V288" i="80"/>
  <c r="U128" i="78"/>
  <c r="U176" i="78" s="1"/>
  <c r="U200" i="78" s="1"/>
  <c r="S305" i="76"/>
  <c r="S273" i="76"/>
  <c r="V288" i="76"/>
  <c r="V256" i="76"/>
  <c r="T200" i="76"/>
  <c r="V50" i="80"/>
  <c r="V226" i="80" s="1"/>
  <c r="X50" i="80"/>
  <c r="X226" i="80" s="1"/>
  <c r="Z50" i="80"/>
  <c r="Z226" i="80" s="1"/>
  <c r="AA50" i="80"/>
  <c r="AA226" i="80" s="1"/>
  <c r="W50" i="80"/>
  <c r="W226" i="80" s="1"/>
  <c r="Y50" i="80"/>
  <c r="Y226" i="80" s="1"/>
  <c r="U129" i="76"/>
  <c r="U177" i="76" s="1"/>
  <c r="S289" i="78"/>
  <c r="S257" i="78"/>
  <c r="V120" i="78"/>
  <c r="V115" i="78"/>
  <c r="V175" i="78" s="1"/>
  <c r="V121" i="78"/>
  <c r="V119" i="78"/>
  <c r="W112" i="78"/>
  <c r="S291" i="76"/>
  <c r="S259" i="76"/>
  <c r="S264" i="76" s="1"/>
  <c r="S265" i="76" s="1"/>
  <c r="S276" i="76" s="1"/>
  <c r="S277" i="76" s="1"/>
  <c r="T303" i="80"/>
  <c r="T271" i="80"/>
  <c r="R264" i="76"/>
  <c r="R265" i="76" s="1"/>
  <c r="R276" i="76" s="1"/>
  <c r="R277" i="76" s="1"/>
  <c r="V121" i="80"/>
  <c r="V120" i="80"/>
  <c r="V119" i="80"/>
  <c r="V115" i="80"/>
  <c r="V175" i="80" s="1"/>
  <c r="W112" i="80"/>
  <c r="W186" i="80" s="1"/>
  <c r="T271" i="46"/>
  <c r="V108" i="46"/>
  <c r="V177" i="46" s="1"/>
  <c r="V223" i="46" s="1"/>
  <c r="T225" i="49"/>
  <c r="T291" i="49" s="1"/>
  <c r="T238" i="49"/>
  <c r="T304" i="49" s="1"/>
  <c r="T290" i="49"/>
  <c r="W108" i="49"/>
  <c r="U200" i="48"/>
  <c r="U225" i="48" s="1"/>
  <c r="U237" i="49"/>
  <c r="U303" i="49" s="1"/>
  <c r="V129" i="49"/>
  <c r="V177" i="49" s="1"/>
  <c r="V129" i="48"/>
  <c r="U180" i="49"/>
  <c r="U179" i="49"/>
  <c r="U187" i="49"/>
  <c r="U224" i="49" s="1"/>
  <c r="U181" i="49"/>
  <c r="U200" i="49"/>
  <c r="T271" i="49"/>
  <c r="T303" i="49"/>
  <c r="W210" i="48"/>
  <c r="W214" i="48" s="1"/>
  <c r="W241" i="48" s="1"/>
  <c r="X292" i="49"/>
  <c r="X260" i="49"/>
  <c r="AA292" i="48"/>
  <c r="AA260" i="48"/>
  <c r="R278" i="49"/>
  <c r="W119" i="48"/>
  <c r="W121" i="48"/>
  <c r="W120" i="48"/>
  <c r="X112" i="48"/>
  <c r="W115" i="48"/>
  <c r="W175" i="48" s="1"/>
  <c r="T257" i="49"/>
  <c r="T289" i="49"/>
  <c r="Y292" i="49"/>
  <c r="Y260" i="49"/>
  <c r="W120" i="49"/>
  <c r="X112" i="49"/>
  <c r="W121" i="49"/>
  <c r="W115" i="49"/>
  <c r="W175" i="49" s="1"/>
  <c r="W119" i="49"/>
  <c r="U307" i="49"/>
  <c r="U275" i="49"/>
  <c r="Y292" i="48"/>
  <c r="Y260" i="48"/>
  <c r="S272" i="49"/>
  <c r="S304" i="49"/>
  <c r="S305" i="49"/>
  <c r="S273" i="49"/>
  <c r="Z91" i="48"/>
  <c r="Y99" i="48"/>
  <c r="Y100" i="48"/>
  <c r="Y98" i="48"/>
  <c r="Y94" i="48"/>
  <c r="S291" i="49"/>
  <c r="S259" i="49"/>
  <c r="S264" i="49" s="1"/>
  <c r="S265" i="49" s="1"/>
  <c r="S276" i="49" s="1"/>
  <c r="S277" i="49" s="1"/>
  <c r="V128" i="49"/>
  <c r="V176" i="49" s="1"/>
  <c r="X100" i="49"/>
  <c r="X94" i="49"/>
  <c r="X99" i="49"/>
  <c r="X98" i="49"/>
  <c r="Y91" i="49"/>
  <c r="S264" i="46"/>
  <c r="S265" i="46" s="1"/>
  <c r="S276" i="46" s="1"/>
  <c r="S277" i="46" s="1"/>
  <c r="S305" i="48"/>
  <c r="S273" i="48"/>
  <c r="V128" i="48"/>
  <c r="V176" i="48" s="1"/>
  <c r="Z292" i="49"/>
  <c r="Z260" i="49"/>
  <c r="Z292" i="48"/>
  <c r="Z260" i="48"/>
  <c r="S291" i="48"/>
  <c r="S259" i="48"/>
  <c r="X107" i="48"/>
  <c r="V292" i="49"/>
  <c r="V260" i="49"/>
  <c r="W107" i="49"/>
  <c r="V292" i="48"/>
  <c r="V260" i="48"/>
  <c r="U257" i="49"/>
  <c r="U289" i="49"/>
  <c r="AA292" i="49"/>
  <c r="AA260" i="49"/>
  <c r="T291" i="48"/>
  <c r="T259" i="48"/>
  <c r="W186" i="49"/>
  <c r="T273" i="49"/>
  <c r="T305" i="49"/>
  <c r="X292" i="48"/>
  <c r="X260" i="48"/>
  <c r="V210" i="49"/>
  <c r="V214" i="49" s="1"/>
  <c r="V241" i="49" s="1"/>
  <c r="W292" i="49"/>
  <c r="W260" i="49"/>
  <c r="T273" i="48"/>
  <c r="T305" i="48"/>
  <c r="W292" i="48"/>
  <c r="W260" i="48"/>
  <c r="V260" i="46"/>
  <c r="V292" i="46"/>
  <c r="T239" i="46"/>
  <c r="T225" i="46"/>
  <c r="V107" i="46"/>
  <c r="V176" i="46" s="1"/>
  <c r="X260" i="46"/>
  <c r="X292" i="46"/>
  <c r="Z292" i="46"/>
  <c r="Z260" i="46"/>
  <c r="Y292" i="46"/>
  <c r="Y260" i="46"/>
  <c r="U237" i="46"/>
  <c r="U180" i="46"/>
  <c r="U181" i="46"/>
  <c r="U223" i="46"/>
  <c r="W260" i="46"/>
  <c r="W292" i="46"/>
  <c r="U179" i="46"/>
  <c r="U187" i="46"/>
  <c r="U224" i="46" s="1"/>
  <c r="AA292" i="46"/>
  <c r="AA260" i="46"/>
  <c r="U239" i="46"/>
  <c r="U225" i="46"/>
  <c r="S304" i="46"/>
  <c r="S272" i="46"/>
  <c r="W99" i="46"/>
  <c r="W100" i="46"/>
  <c r="W98" i="46"/>
  <c r="W94" i="46"/>
  <c r="W175" i="46" s="1"/>
  <c r="X91" i="46"/>
  <c r="T290" i="46"/>
  <c r="T238" i="46"/>
  <c r="T258" i="46"/>
  <c r="AH39" i="33"/>
  <c r="AH38" i="33"/>
  <c r="AH40" i="33"/>
  <c r="AH37" i="33"/>
  <c r="AG41" i="33"/>
  <c r="AG34" i="33"/>
  <c r="AH33" i="33"/>
  <c r="AH30" i="33"/>
  <c r="AH32" i="33"/>
  <c r="AH31" i="33"/>
  <c r="AI27" i="33"/>
  <c r="AI36" i="33" s="1"/>
  <c r="AI29" i="33"/>
  <c r="U180" i="74" l="1"/>
  <c r="X108" i="82"/>
  <c r="W107" i="83"/>
  <c r="W210" i="83" s="1"/>
  <c r="W214" i="83" s="1"/>
  <c r="W241" i="83" s="1"/>
  <c r="W275" i="83" s="1"/>
  <c r="W307" i="83"/>
  <c r="X98" i="83"/>
  <c r="X94" i="83"/>
  <c r="Y91" i="83"/>
  <c r="X100" i="83"/>
  <c r="X99" i="83"/>
  <c r="X107" i="82"/>
  <c r="X210" i="82" s="1"/>
  <c r="X214" i="82" s="1"/>
  <c r="X241" i="82" s="1"/>
  <c r="W275" i="82"/>
  <c r="W307" i="82"/>
  <c r="Y98" i="82"/>
  <c r="Z91" i="82"/>
  <c r="Y100" i="82"/>
  <c r="Y99" i="82"/>
  <c r="Y94" i="82"/>
  <c r="W108" i="83"/>
  <c r="AB241" i="83"/>
  <c r="V275" i="83"/>
  <c r="AB275" i="83" s="1"/>
  <c r="V307" i="83"/>
  <c r="AB307" i="83" s="1"/>
  <c r="V129" i="74"/>
  <c r="V177" i="74" s="1"/>
  <c r="V180" i="74" s="1"/>
  <c r="U180" i="78"/>
  <c r="U237" i="78"/>
  <c r="U303" i="78" s="1"/>
  <c r="V129" i="78"/>
  <c r="V177" i="78" s="1"/>
  <c r="V223" i="78" s="1"/>
  <c r="V129" i="80"/>
  <c r="V177" i="80" s="1"/>
  <c r="V237" i="80" s="1"/>
  <c r="V128" i="76"/>
  <c r="V176" i="76" s="1"/>
  <c r="V200" i="76" s="1"/>
  <c r="S278" i="76"/>
  <c r="V237" i="46"/>
  <c r="V303" i="46" s="1"/>
  <c r="V180" i="46"/>
  <c r="W120" i="78"/>
  <c r="W121" i="78"/>
  <c r="W119" i="78"/>
  <c r="W115" i="78"/>
  <c r="W175" i="78" s="1"/>
  <c r="X112" i="78"/>
  <c r="Z260" i="76"/>
  <c r="Z292" i="76"/>
  <c r="U225" i="80"/>
  <c r="U239" i="80"/>
  <c r="V180" i="78"/>
  <c r="T239" i="76"/>
  <c r="T225" i="76"/>
  <c r="X292" i="76"/>
  <c r="X260" i="76"/>
  <c r="T225" i="80"/>
  <c r="T239" i="80"/>
  <c r="U179" i="74"/>
  <c r="X292" i="74"/>
  <c r="X260" i="74"/>
  <c r="AA260" i="78"/>
  <c r="AA292" i="78"/>
  <c r="R278" i="80"/>
  <c r="V128" i="78"/>
  <c r="V176" i="78" s="1"/>
  <c r="V200" i="78" s="1"/>
  <c r="Y260" i="80"/>
  <c r="Y292" i="80"/>
  <c r="R278" i="76"/>
  <c r="AA260" i="74"/>
  <c r="AA292" i="74"/>
  <c r="W260" i="80"/>
  <c r="W292" i="80"/>
  <c r="U239" i="74"/>
  <c r="U225" i="74"/>
  <c r="U179" i="80"/>
  <c r="U187" i="80"/>
  <c r="U224" i="80" s="1"/>
  <c r="V129" i="76"/>
  <c r="V177" i="76" s="1"/>
  <c r="T289" i="78"/>
  <c r="T257" i="78"/>
  <c r="Y292" i="78"/>
  <c r="Y260" i="78"/>
  <c r="U289" i="80"/>
  <c r="U257" i="80"/>
  <c r="U237" i="76"/>
  <c r="U223" i="76"/>
  <c r="U181" i="76"/>
  <c r="U180" i="76"/>
  <c r="U239" i="78"/>
  <c r="U225" i="78"/>
  <c r="W292" i="74"/>
  <c r="W260" i="74"/>
  <c r="AA260" i="80"/>
  <c r="AA292" i="80"/>
  <c r="Y292" i="76"/>
  <c r="Y260" i="76"/>
  <c r="T291" i="78"/>
  <c r="T259" i="78"/>
  <c r="V187" i="76"/>
  <c r="V224" i="76" s="1"/>
  <c r="V179" i="76"/>
  <c r="T303" i="78"/>
  <c r="T271" i="78"/>
  <c r="S278" i="80"/>
  <c r="X260" i="78"/>
  <c r="X292" i="78"/>
  <c r="U181" i="74"/>
  <c r="W119" i="74"/>
  <c r="W121" i="74"/>
  <c r="W120" i="74"/>
  <c r="W115" i="74"/>
  <c r="W175" i="74" s="1"/>
  <c r="X112" i="74"/>
  <c r="S305" i="78"/>
  <c r="S273" i="78"/>
  <c r="T271" i="76"/>
  <c r="T303" i="76"/>
  <c r="W120" i="80"/>
  <c r="W121" i="80"/>
  <c r="W119" i="80"/>
  <c r="W115" i="80"/>
  <c r="W175" i="80" s="1"/>
  <c r="X112" i="80"/>
  <c r="Z292" i="80"/>
  <c r="Z260" i="80"/>
  <c r="W260" i="76"/>
  <c r="W292" i="76"/>
  <c r="T273" i="78"/>
  <c r="T305" i="78"/>
  <c r="Y292" i="74"/>
  <c r="Y260" i="74"/>
  <c r="Z260" i="78"/>
  <c r="Z292" i="78"/>
  <c r="U303" i="80"/>
  <c r="U271" i="80"/>
  <c r="S259" i="78"/>
  <c r="S291" i="78"/>
  <c r="T289" i="76"/>
  <c r="T257" i="76"/>
  <c r="X292" i="80"/>
  <c r="X260" i="80"/>
  <c r="V260" i="76"/>
  <c r="V292" i="76"/>
  <c r="T290" i="76"/>
  <c r="T258" i="76"/>
  <c r="T238" i="76"/>
  <c r="W115" i="76"/>
  <c r="W175" i="76" s="1"/>
  <c r="W120" i="76"/>
  <c r="W121" i="76"/>
  <c r="X112" i="76"/>
  <c r="X186" i="76" s="1"/>
  <c r="W119" i="76"/>
  <c r="T257" i="74"/>
  <c r="T289" i="74"/>
  <c r="V292" i="74"/>
  <c r="V260" i="74"/>
  <c r="T273" i="74"/>
  <c r="T305" i="74"/>
  <c r="V292" i="78"/>
  <c r="V260" i="78"/>
  <c r="U181" i="80"/>
  <c r="U200" i="76"/>
  <c r="U179" i="76"/>
  <c r="U187" i="76"/>
  <c r="U224" i="76" s="1"/>
  <c r="U303" i="74"/>
  <c r="U271" i="74"/>
  <c r="T238" i="80"/>
  <c r="T258" i="80"/>
  <c r="T290" i="80"/>
  <c r="V128" i="80"/>
  <c r="V176" i="80" s="1"/>
  <c r="V200" i="80" s="1"/>
  <c r="V292" i="80"/>
  <c r="V260" i="80"/>
  <c r="U181" i="78"/>
  <c r="U179" i="78"/>
  <c r="AA260" i="76"/>
  <c r="AA292" i="76"/>
  <c r="T303" i="74"/>
  <c r="T271" i="74"/>
  <c r="Z260" i="74"/>
  <c r="Z292" i="74"/>
  <c r="T291" i="74"/>
  <c r="T259" i="74"/>
  <c r="W292" i="78"/>
  <c r="W260" i="78"/>
  <c r="U289" i="74"/>
  <c r="U257" i="74"/>
  <c r="V128" i="74"/>
  <c r="V176" i="74" s="1"/>
  <c r="V200" i="74" s="1"/>
  <c r="U289" i="78"/>
  <c r="U257" i="78"/>
  <c r="T259" i="49"/>
  <c r="T264" i="49" s="1"/>
  <c r="T265" i="49" s="1"/>
  <c r="T276" i="49" s="1"/>
  <c r="T277" i="49" s="1"/>
  <c r="U239" i="48"/>
  <c r="U273" i="48" s="1"/>
  <c r="U271" i="49"/>
  <c r="T272" i="49"/>
  <c r="V180" i="49"/>
  <c r="V223" i="49"/>
  <c r="V289" i="49" s="1"/>
  <c r="W129" i="48"/>
  <c r="X186" i="49"/>
  <c r="V237" i="49"/>
  <c r="V303" i="49" s="1"/>
  <c r="S278" i="49"/>
  <c r="W108" i="46"/>
  <c r="W177" i="46" s="1"/>
  <c r="W237" i="46" s="1"/>
  <c r="V179" i="49"/>
  <c r="V187" i="49"/>
  <c r="V224" i="49" s="1"/>
  <c r="V200" i="49"/>
  <c r="V181" i="49"/>
  <c r="V307" i="49"/>
  <c r="AB307" i="49" s="1"/>
  <c r="V275" i="49"/>
  <c r="AB275" i="49" s="1"/>
  <c r="AB241" i="49"/>
  <c r="W128" i="49"/>
  <c r="W176" i="49" s="1"/>
  <c r="X210" i="48"/>
  <c r="X214" i="48" s="1"/>
  <c r="X241" i="48" s="1"/>
  <c r="Z100" i="48"/>
  <c r="AA91" i="48"/>
  <c r="Z98" i="48"/>
  <c r="Z94" i="48"/>
  <c r="Z99" i="48"/>
  <c r="U225" i="49"/>
  <c r="U239" i="49"/>
  <c r="U259" i="48"/>
  <c r="U291" i="48"/>
  <c r="X115" i="49"/>
  <c r="X175" i="49" s="1"/>
  <c r="X120" i="49"/>
  <c r="Y112" i="49"/>
  <c r="X119" i="49"/>
  <c r="X121" i="49"/>
  <c r="X121" i="48"/>
  <c r="X120" i="48"/>
  <c r="X119" i="48"/>
  <c r="Y112" i="48"/>
  <c r="X115" i="48"/>
  <c r="X175" i="48" s="1"/>
  <c r="Y99" i="49"/>
  <c r="Z91" i="49"/>
  <c r="Y94" i="49"/>
  <c r="Y100" i="49"/>
  <c r="Y98" i="49"/>
  <c r="U290" i="49"/>
  <c r="U258" i="49"/>
  <c r="U238" i="49"/>
  <c r="X107" i="49"/>
  <c r="V179" i="48"/>
  <c r="X108" i="49"/>
  <c r="V200" i="48"/>
  <c r="W128" i="48"/>
  <c r="W176" i="48" s="1"/>
  <c r="W200" i="48" s="1"/>
  <c r="W210" i="49"/>
  <c r="W214" i="49" s="1"/>
  <c r="W241" i="49" s="1"/>
  <c r="V257" i="49"/>
  <c r="Y107" i="48"/>
  <c r="W129" i="49"/>
  <c r="W177" i="49" s="1"/>
  <c r="W307" i="48"/>
  <c r="W275" i="48"/>
  <c r="U289" i="46"/>
  <c r="U257" i="46"/>
  <c r="V271" i="46"/>
  <c r="U259" i="46"/>
  <c r="U291" i="46"/>
  <c r="V289" i="46"/>
  <c r="V257" i="46"/>
  <c r="X100" i="46"/>
  <c r="X98" i="46"/>
  <c r="X94" i="46"/>
  <c r="X175" i="46" s="1"/>
  <c r="Y91" i="46"/>
  <c r="X99" i="46"/>
  <c r="U273" i="46"/>
  <c r="U305" i="46"/>
  <c r="T304" i="46"/>
  <c r="T272" i="46"/>
  <c r="U303" i="46"/>
  <c r="U271" i="46"/>
  <c r="T291" i="46"/>
  <c r="T259" i="46"/>
  <c r="T264" i="46" s="1"/>
  <c r="T265" i="46" s="1"/>
  <c r="T276" i="46" s="1"/>
  <c r="T277" i="46" s="1"/>
  <c r="W107" i="46"/>
  <c r="W176" i="46" s="1"/>
  <c r="T273" i="46"/>
  <c r="T305" i="46"/>
  <c r="U290" i="46"/>
  <c r="U238" i="46"/>
  <c r="U258" i="46"/>
  <c r="V187" i="46"/>
  <c r="V224" i="46" s="1"/>
  <c r="V179" i="46"/>
  <c r="V200" i="46"/>
  <c r="V181" i="46"/>
  <c r="AH41" i="33"/>
  <c r="AI39" i="33"/>
  <c r="AI38" i="33"/>
  <c r="AI40" i="33"/>
  <c r="AI37" i="33"/>
  <c r="AH34" i="33"/>
  <c r="AI33" i="33"/>
  <c r="AI31" i="33"/>
  <c r="AI30" i="33"/>
  <c r="AI32" i="33"/>
  <c r="U271" i="78" l="1"/>
  <c r="V180" i="80"/>
  <c r="Z99" i="82"/>
  <c r="Z100" i="82"/>
  <c r="Z98" i="82"/>
  <c r="Z107" i="82" s="1"/>
  <c r="Z210" i="82" s="1"/>
  <c r="Z214" i="82" s="1"/>
  <c r="Z241" i="82" s="1"/>
  <c r="Z94" i="82"/>
  <c r="AA91" i="82"/>
  <c r="Z108" i="82"/>
  <c r="Z91" i="83"/>
  <c r="Y99" i="83"/>
  <c r="Y100" i="83"/>
  <c r="Y98" i="83"/>
  <c r="Y94" i="83"/>
  <c r="Y107" i="82"/>
  <c r="Y210" i="82" s="1"/>
  <c r="Y214" i="82" s="1"/>
  <c r="Y241" i="82" s="1"/>
  <c r="X107" i="83"/>
  <c r="X210" i="83" s="1"/>
  <c r="X214" i="83" s="1"/>
  <c r="X241" i="83" s="1"/>
  <c r="V223" i="80"/>
  <c r="V289" i="80" s="1"/>
  <c r="Y108" i="82"/>
  <c r="X275" i="82"/>
  <c r="X307" i="82"/>
  <c r="W129" i="74"/>
  <c r="W177" i="74" s="1"/>
  <c r="X108" i="83"/>
  <c r="V237" i="74"/>
  <c r="V237" i="78"/>
  <c r="V303" i="78" s="1"/>
  <c r="W128" i="80"/>
  <c r="W176" i="80" s="1"/>
  <c r="W179" i="80" s="1"/>
  <c r="V223" i="74"/>
  <c r="V289" i="74" s="1"/>
  <c r="W129" i="76"/>
  <c r="W177" i="76" s="1"/>
  <c r="W223" i="76" s="1"/>
  <c r="W128" i="78"/>
  <c r="W176" i="78" s="1"/>
  <c r="W200" i="78" s="1"/>
  <c r="W239" i="78" s="1"/>
  <c r="V179" i="74"/>
  <c r="U289" i="76"/>
  <c r="U257" i="76"/>
  <c r="V237" i="76"/>
  <c r="V223" i="76"/>
  <c r="V180" i="76"/>
  <c r="V181" i="76"/>
  <c r="T259" i="80"/>
  <c r="T264" i="80" s="1"/>
  <c r="T265" i="80" s="1"/>
  <c r="T276" i="80" s="1"/>
  <c r="T277" i="80" s="1"/>
  <c r="T291" i="80"/>
  <c r="V289" i="78"/>
  <c r="V257" i="78"/>
  <c r="V257" i="74"/>
  <c r="V239" i="74"/>
  <c r="V225" i="74"/>
  <c r="V179" i="78"/>
  <c r="V179" i="80"/>
  <c r="V187" i="80"/>
  <c r="V224" i="80" s="1"/>
  <c r="U239" i="76"/>
  <c r="U225" i="76"/>
  <c r="T304" i="76"/>
  <c r="T272" i="76"/>
  <c r="T291" i="76"/>
  <c r="T259" i="76"/>
  <c r="T264" i="76" s="1"/>
  <c r="T265" i="76" s="1"/>
  <c r="T276" i="76" s="1"/>
  <c r="U291" i="80"/>
  <c r="U259" i="80"/>
  <c r="V303" i="74"/>
  <c r="V271" i="74"/>
  <c r="X119" i="74"/>
  <c r="X115" i="74"/>
  <c r="X175" i="74" s="1"/>
  <c r="Y112" i="74"/>
  <c r="X120" i="74"/>
  <c r="X121" i="74"/>
  <c r="U291" i="78"/>
  <c r="U259" i="78"/>
  <c r="U291" i="74"/>
  <c r="U259" i="74"/>
  <c r="V239" i="76"/>
  <c r="V225" i="76"/>
  <c r="T305" i="76"/>
  <c r="T273" i="76"/>
  <c r="Y112" i="78"/>
  <c r="X115" i="78"/>
  <c r="X175" i="78" s="1"/>
  <c r="X120" i="78"/>
  <c r="X119" i="78"/>
  <c r="X121" i="78"/>
  <c r="V238" i="76"/>
  <c r="V290" i="76"/>
  <c r="V258" i="76"/>
  <c r="V181" i="74"/>
  <c r="U273" i="78"/>
  <c r="U305" i="78"/>
  <c r="U273" i="74"/>
  <c r="U305" i="74"/>
  <c r="V181" i="78"/>
  <c r="W129" i="78"/>
  <c r="W177" i="78" s="1"/>
  <c r="W237" i="74"/>
  <c r="W223" i="74"/>
  <c r="W180" i="74"/>
  <c r="U303" i="76"/>
  <c r="U271" i="76"/>
  <c r="V239" i="80"/>
  <c r="V225" i="80"/>
  <c r="U290" i="80"/>
  <c r="U258" i="80"/>
  <c r="U238" i="80"/>
  <c r="U273" i="80"/>
  <c r="U305" i="80"/>
  <c r="T272" i="80"/>
  <c r="T304" i="80"/>
  <c r="W128" i="76"/>
  <c r="W176" i="76" s="1"/>
  <c r="W200" i="76" s="1"/>
  <c r="W129" i="80"/>
  <c r="W177" i="80" s="1"/>
  <c r="V303" i="80"/>
  <c r="V271" i="80"/>
  <c r="U238" i="76"/>
  <c r="U258" i="76"/>
  <c r="U290" i="76"/>
  <c r="V239" i="78"/>
  <c r="V225" i="78"/>
  <c r="X115" i="76"/>
  <c r="X175" i="76" s="1"/>
  <c r="X119" i="76"/>
  <c r="Y112" i="76"/>
  <c r="Y186" i="76" s="1"/>
  <c r="X120" i="76"/>
  <c r="X121" i="76"/>
  <c r="X120" i="80"/>
  <c r="X121" i="80"/>
  <c r="X119" i="80"/>
  <c r="X115" i="80"/>
  <c r="X175" i="80" s="1"/>
  <c r="Y112" i="80"/>
  <c r="W128" i="74"/>
  <c r="W176" i="74" s="1"/>
  <c r="T273" i="80"/>
  <c r="T305" i="80"/>
  <c r="X186" i="80"/>
  <c r="V181" i="80"/>
  <c r="T278" i="49"/>
  <c r="U305" i="48"/>
  <c r="X107" i="46"/>
  <c r="X176" i="46" s="1"/>
  <c r="X187" i="46" s="1"/>
  <c r="X224" i="46" s="1"/>
  <c r="V271" i="49"/>
  <c r="Y186" i="49"/>
  <c r="W180" i="46"/>
  <c r="W223" i="46"/>
  <c r="W289" i="46" s="1"/>
  <c r="Y107" i="49"/>
  <c r="Y210" i="49" s="1"/>
  <c r="Y214" i="49" s="1"/>
  <c r="Y241" i="49" s="1"/>
  <c r="X129" i="49"/>
  <c r="X177" i="49" s="1"/>
  <c r="W239" i="48"/>
  <c r="W225" i="48"/>
  <c r="X128" i="48"/>
  <c r="X176" i="48" s="1"/>
  <c r="X200" i="48" s="1"/>
  <c r="U273" i="49"/>
  <c r="U305" i="49"/>
  <c r="X210" i="49"/>
  <c r="X214" i="49" s="1"/>
  <c r="X241" i="49" s="1"/>
  <c r="U291" i="49"/>
  <c r="U259" i="49"/>
  <c r="U264" i="49" s="1"/>
  <c r="U265" i="49" s="1"/>
  <c r="U276" i="49" s="1"/>
  <c r="U277" i="49" s="1"/>
  <c r="W179" i="49"/>
  <c r="W187" i="49"/>
  <c r="W224" i="49" s="1"/>
  <c r="X275" i="48"/>
  <c r="X307" i="48"/>
  <c r="W200" i="49"/>
  <c r="W307" i="49"/>
  <c r="W275" i="49"/>
  <c r="Y108" i="49"/>
  <c r="X129" i="48"/>
  <c r="U304" i="49"/>
  <c r="U272" i="49"/>
  <c r="V239" i="49"/>
  <c r="V225" i="49"/>
  <c r="W180" i="49"/>
  <c r="W181" i="49"/>
  <c r="W237" i="49"/>
  <c r="W223" i="49"/>
  <c r="V290" i="49"/>
  <c r="V258" i="49"/>
  <c r="V238" i="49"/>
  <c r="Y210" i="48"/>
  <c r="Y214" i="48" s="1"/>
  <c r="Y241" i="48" s="1"/>
  <c r="W179" i="48"/>
  <c r="X128" i="49"/>
  <c r="X176" i="49" s="1"/>
  <c r="Z107" i="48"/>
  <c r="V225" i="48"/>
  <c r="V239" i="48"/>
  <c r="Z99" i="49"/>
  <c r="Z100" i="49"/>
  <c r="Z98" i="49"/>
  <c r="Z94" i="49"/>
  <c r="AA91" i="49"/>
  <c r="Z112" i="48"/>
  <c r="Y121" i="48"/>
  <c r="Y119" i="48"/>
  <c r="Y115" i="48"/>
  <c r="Y175" i="48" s="1"/>
  <c r="Y120" i="48"/>
  <c r="Y121" i="49"/>
  <c r="Y119" i="49"/>
  <c r="Y120" i="49"/>
  <c r="Z112" i="49"/>
  <c r="Y115" i="49"/>
  <c r="Y175" i="49" s="1"/>
  <c r="AA94" i="48"/>
  <c r="AA99" i="48"/>
  <c r="AA100" i="48"/>
  <c r="AA98" i="48"/>
  <c r="W303" i="46"/>
  <c r="W271" i="46"/>
  <c r="U264" i="46"/>
  <c r="U265" i="46" s="1"/>
  <c r="U276" i="46" s="1"/>
  <c r="U277" i="46" s="1"/>
  <c r="V290" i="46"/>
  <c r="V238" i="46"/>
  <c r="V258" i="46"/>
  <c r="W200" i="46"/>
  <c r="W179" i="46"/>
  <c r="W187" i="46"/>
  <c r="W224" i="46" s="1"/>
  <c r="U272" i="46"/>
  <c r="U304" i="46"/>
  <c r="X108" i="46"/>
  <c r="X177" i="46" s="1"/>
  <c r="Y99" i="46"/>
  <c r="Y100" i="46"/>
  <c r="Y98" i="46"/>
  <c r="Y94" i="46"/>
  <c r="Y175" i="46" s="1"/>
  <c r="Z91" i="46"/>
  <c r="V225" i="46"/>
  <c r="V239" i="46"/>
  <c r="W181" i="46"/>
  <c r="AI41" i="33"/>
  <c r="AI34" i="33"/>
  <c r="V257" i="80" l="1"/>
  <c r="W187" i="80"/>
  <c r="W224" i="80" s="1"/>
  <c r="W200" i="80"/>
  <c r="W179" i="78"/>
  <c r="Y108" i="83"/>
  <c r="X307" i="83"/>
  <c r="X275" i="83"/>
  <c r="Z100" i="83"/>
  <c r="Z99" i="83"/>
  <c r="Z98" i="83"/>
  <c r="Z94" i="83"/>
  <c r="AA91" i="83"/>
  <c r="Y307" i="82"/>
  <c r="Y275" i="82"/>
  <c r="AA100" i="82"/>
  <c r="AA98" i="82"/>
  <c r="AA99" i="82"/>
  <c r="AA94" i="82"/>
  <c r="Z307" i="82"/>
  <c r="Z275" i="82"/>
  <c r="W180" i="76"/>
  <c r="Y107" i="83"/>
  <c r="Y210" i="83" s="1"/>
  <c r="Y214" i="83" s="1"/>
  <c r="Y241" i="83" s="1"/>
  <c r="X128" i="76"/>
  <c r="X176" i="76" s="1"/>
  <c r="X200" i="76" s="1"/>
  <c r="U264" i="80"/>
  <c r="U265" i="80" s="1"/>
  <c r="U276" i="80" s="1"/>
  <c r="U277" i="80" s="1"/>
  <c r="W237" i="76"/>
  <c r="V271" i="78"/>
  <c r="W181" i="78"/>
  <c r="W225" i="78"/>
  <c r="W291" i="78" s="1"/>
  <c r="X129" i="80"/>
  <c r="X177" i="80" s="1"/>
  <c r="X181" i="80" s="1"/>
  <c r="X129" i="76"/>
  <c r="X177" i="76" s="1"/>
  <c r="X223" i="76" s="1"/>
  <c r="Y186" i="80"/>
  <c r="W239" i="76"/>
  <c r="W225" i="76"/>
  <c r="T277" i="76"/>
  <c r="T278" i="76" s="1"/>
  <c r="W181" i="80"/>
  <c r="W237" i="80"/>
  <c r="W180" i="80"/>
  <c r="W223" i="80"/>
  <c r="W305" i="78"/>
  <c r="W273" i="78"/>
  <c r="U291" i="76"/>
  <c r="U259" i="76"/>
  <c r="V289" i="76"/>
  <c r="V257" i="76"/>
  <c r="W179" i="74"/>
  <c r="W179" i="76"/>
  <c r="W187" i="76"/>
  <c r="W224" i="76" s="1"/>
  <c r="W181" i="74"/>
  <c r="U305" i="76"/>
  <c r="U273" i="76"/>
  <c r="V303" i="76"/>
  <c r="V271" i="76"/>
  <c r="Y115" i="80"/>
  <c r="Y175" i="80" s="1"/>
  <c r="Z112" i="80"/>
  <c r="Y121" i="80"/>
  <c r="Y120" i="80"/>
  <c r="Y119" i="80"/>
  <c r="U272" i="80"/>
  <c r="U304" i="80"/>
  <c r="X128" i="78"/>
  <c r="X176" i="78" s="1"/>
  <c r="X200" i="78" s="1"/>
  <c r="V258" i="80"/>
  <c r="V290" i="80"/>
  <c r="V238" i="80"/>
  <c r="U264" i="76"/>
  <c r="U265" i="76" s="1"/>
  <c r="U276" i="76" s="1"/>
  <c r="U277" i="76" s="1"/>
  <c r="V259" i="78"/>
  <c r="V291" i="78"/>
  <c r="W257" i="74"/>
  <c r="W289" i="74"/>
  <c r="X129" i="74"/>
  <c r="X177" i="74" s="1"/>
  <c r="W200" i="74"/>
  <c r="V291" i="74"/>
  <c r="V259" i="74"/>
  <c r="W181" i="76"/>
  <c r="X128" i="80"/>
  <c r="X176" i="80" s="1"/>
  <c r="X200" i="80" s="1"/>
  <c r="V273" i="78"/>
  <c r="V305" i="78"/>
  <c r="W271" i="74"/>
  <c r="W303" i="74"/>
  <c r="X129" i="78"/>
  <c r="X177" i="78" s="1"/>
  <c r="Y121" i="74"/>
  <c r="Y120" i="74"/>
  <c r="Y119" i="74"/>
  <c r="Z112" i="74"/>
  <c r="Y115" i="74"/>
  <c r="Y175" i="74" s="1"/>
  <c r="V273" i="74"/>
  <c r="V305" i="74"/>
  <c r="W225" i="80"/>
  <c r="W239" i="80"/>
  <c r="W289" i="76"/>
  <c r="W257" i="76"/>
  <c r="U304" i="76"/>
  <c r="U272" i="76"/>
  <c r="W237" i="78"/>
  <c r="W223" i="78"/>
  <c r="W180" i="78"/>
  <c r="V304" i="76"/>
  <c r="V272" i="76"/>
  <c r="Z112" i="76"/>
  <c r="Z186" i="76" s="1"/>
  <c r="Y120" i="76"/>
  <c r="Y119" i="76"/>
  <c r="Y115" i="76"/>
  <c r="Y175" i="76" s="1"/>
  <c r="Y121" i="76"/>
  <c r="V259" i="80"/>
  <c r="V264" i="80" s="1"/>
  <c r="V265" i="80" s="1"/>
  <c r="V276" i="80" s="1"/>
  <c r="V291" i="80"/>
  <c r="V291" i="76"/>
  <c r="V259" i="76"/>
  <c r="T278" i="80"/>
  <c r="W303" i="76"/>
  <c r="W271" i="76"/>
  <c r="X223" i="80"/>
  <c r="X237" i="80"/>
  <c r="X180" i="80"/>
  <c r="X179" i="76"/>
  <c r="X187" i="76"/>
  <c r="X224" i="76" s="1"/>
  <c r="V305" i="80"/>
  <c r="V273" i="80"/>
  <c r="Z112" i="78"/>
  <c r="Y121" i="78"/>
  <c r="Y120" i="78"/>
  <c r="Y119" i="78"/>
  <c r="Y115" i="78"/>
  <c r="Y175" i="78" s="1"/>
  <c r="V273" i="76"/>
  <c r="V305" i="76"/>
  <c r="X128" i="74"/>
  <c r="X176" i="74" s="1"/>
  <c r="X200" i="74" s="1"/>
  <c r="W290" i="80"/>
  <c r="W238" i="80"/>
  <c r="W258" i="80"/>
  <c r="W257" i="46"/>
  <c r="X200" i="46"/>
  <c r="X239" i="46" s="1"/>
  <c r="X179" i="46"/>
  <c r="Y129" i="49"/>
  <c r="Y177" i="49" s="1"/>
  <c r="Z186" i="49"/>
  <c r="Y129" i="48"/>
  <c r="Y128" i="49"/>
  <c r="Y176" i="49" s="1"/>
  <c r="Y200" i="49" s="1"/>
  <c r="Y108" i="46"/>
  <c r="Y177" i="46" s="1"/>
  <c r="Y237" i="46" s="1"/>
  <c r="X181" i="49"/>
  <c r="X179" i="49"/>
  <c r="X187" i="49"/>
  <c r="X224" i="49" s="1"/>
  <c r="X200" i="49"/>
  <c r="X179" i="48"/>
  <c r="Z107" i="49"/>
  <c r="Z210" i="48"/>
  <c r="Z214" i="48" s="1"/>
  <c r="Z241" i="48" s="1"/>
  <c r="Y307" i="48"/>
  <c r="Y275" i="48"/>
  <c r="W289" i="49"/>
  <c r="W257" i="49"/>
  <c r="W290" i="49"/>
  <c r="W258" i="49"/>
  <c r="W238" i="49"/>
  <c r="X275" i="49"/>
  <c r="X307" i="49"/>
  <c r="W303" i="49"/>
  <c r="W271" i="49"/>
  <c r="Y275" i="49"/>
  <c r="Y307" i="49"/>
  <c r="X223" i="49"/>
  <c r="X180" i="49"/>
  <c r="X237" i="49"/>
  <c r="Y128" i="48"/>
  <c r="Y176" i="48" s="1"/>
  <c r="X239" i="48"/>
  <c r="X225" i="48"/>
  <c r="V272" i="49"/>
  <c r="V304" i="49"/>
  <c r="Z121" i="49"/>
  <c r="Z119" i="49"/>
  <c r="Z120" i="49"/>
  <c r="AA112" i="49"/>
  <c r="Z115" i="49"/>
  <c r="Z175" i="49" s="1"/>
  <c r="V273" i="48"/>
  <c r="V305" i="48"/>
  <c r="W225" i="49"/>
  <c r="W239" i="49"/>
  <c r="AA107" i="48"/>
  <c r="Z120" i="48"/>
  <c r="Z119" i="48"/>
  <c r="Z121" i="48"/>
  <c r="Z115" i="48"/>
  <c r="Z175" i="48" s="1"/>
  <c r="AA112" i="48"/>
  <c r="V259" i="48"/>
  <c r="V291" i="48"/>
  <c r="Z108" i="49"/>
  <c r="V291" i="49"/>
  <c r="V259" i="49"/>
  <c r="V264" i="49" s="1"/>
  <c r="V265" i="49" s="1"/>
  <c r="V276" i="49" s="1"/>
  <c r="U278" i="49"/>
  <c r="W259" i="48"/>
  <c r="W291" i="48"/>
  <c r="AA94" i="49"/>
  <c r="AA99" i="49"/>
  <c r="AA100" i="49"/>
  <c r="AA98" i="49"/>
  <c r="V273" i="49"/>
  <c r="V305" i="49"/>
  <c r="W305" i="48"/>
  <c r="W273" i="48"/>
  <c r="W290" i="46"/>
  <c r="W258" i="46"/>
  <c r="W238" i="46"/>
  <c r="AB238" i="46"/>
  <c r="V304" i="46"/>
  <c r="AB304" i="46" s="1"/>
  <c r="V272" i="46"/>
  <c r="AB272" i="46" s="1"/>
  <c r="W239" i="46"/>
  <c r="W225" i="46"/>
  <c r="V259" i="46"/>
  <c r="V264" i="46" s="1"/>
  <c r="V265" i="46" s="1"/>
  <c r="V276" i="46" s="1"/>
  <c r="V291" i="46"/>
  <c r="X223" i="46"/>
  <c r="X181" i="46"/>
  <c r="X180" i="46"/>
  <c r="X237" i="46"/>
  <c r="AA91" i="46"/>
  <c r="Z99" i="46"/>
  <c r="Z100" i="46"/>
  <c r="Z98" i="46"/>
  <c r="Z94" i="46"/>
  <c r="Z175" i="46" s="1"/>
  <c r="X290" i="46"/>
  <c r="X238" i="46"/>
  <c r="X258" i="46"/>
  <c r="V273" i="46"/>
  <c r="V305" i="46"/>
  <c r="Y107" i="46"/>
  <c r="Y176" i="46" s="1"/>
  <c r="Y200" i="46" s="1"/>
  <c r="G185" i="14"/>
  <c r="H185" i="14" s="1"/>
  <c r="E11" i="32"/>
  <c r="G124" i="16" s="1"/>
  <c r="H124" i="16" s="1"/>
  <c r="E10" i="32"/>
  <c r="G123" i="16" s="1"/>
  <c r="H123" i="16" s="1"/>
  <c r="E5" i="32"/>
  <c r="E6" i="32"/>
  <c r="E7" i="32"/>
  <c r="E4" i="32"/>
  <c r="AA108" i="82" l="1"/>
  <c r="X180" i="76"/>
  <c r="Z107" i="83"/>
  <c r="Z210" i="83" s="1"/>
  <c r="Z214" i="83" s="1"/>
  <c r="Z241" i="83" s="1"/>
  <c r="Z275" i="83" s="1"/>
  <c r="AA107" i="82"/>
  <c r="AA210" i="82" s="1"/>
  <c r="AA214" i="82" s="1"/>
  <c r="AA241" i="82" s="1"/>
  <c r="Z108" i="83"/>
  <c r="U278" i="80"/>
  <c r="X239" i="76"/>
  <c r="X305" i="76" s="1"/>
  <c r="X225" i="76"/>
  <c r="X259" i="76" s="1"/>
  <c r="Y129" i="78"/>
  <c r="Y177" i="78" s="1"/>
  <c r="Y223" i="78" s="1"/>
  <c r="AA94" i="83"/>
  <c r="AA100" i="83"/>
  <c r="AA98" i="83"/>
  <c r="AA99" i="83"/>
  <c r="AA307" i="82"/>
  <c r="AA275" i="82"/>
  <c r="X181" i="76"/>
  <c r="Y307" i="83"/>
  <c r="Y275" i="83"/>
  <c r="X237" i="76"/>
  <c r="W259" i="78"/>
  <c r="Y128" i="74"/>
  <c r="Y176" i="74" s="1"/>
  <c r="Y200" i="74" s="1"/>
  <c r="Y129" i="80"/>
  <c r="Y177" i="80" s="1"/>
  <c r="Y237" i="80" s="1"/>
  <c r="Y128" i="76"/>
  <c r="Y176" i="76" s="1"/>
  <c r="Y179" i="76" s="1"/>
  <c r="Y129" i="74"/>
  <c r="Y177" i="74" s="1"/>
  <c r="Y237" i="78"/>
  <c r="Y180" i="78"/>
  <c r="X239" i="80"/>
  <c r="X225" i="80"/>
  <c r="X225" i="74"/>
  <c r="X239" i="74"/>
  <c r="X180" i="78"/>
  <c r="X223" i="78"/>
  <c r="X181" i="78"/>
  <c r="X237" i="78"/>
  <c r="Y129" i="76"/>
  <c r="Y177" i="76" s="1"/>
  <c r="Z186" i="80"/>
  <c r="Z121" i="80"/>
  <c r="Z119" i="80"/>
  <c r="Z115" i="80"/>
  <c r="Z175" i="80" s="1"/>
  <c r="AA112" i="80"/>
  <c r="Z120" i="80"/>
  <c r="V272" i="80"/>
  <c r="V304" i="80"/>
  <c r="Z115" i="78"/>
  <c r="Z175" i="78" s="1"/>
  <c r="AA112" i="78"/>
  <c r="Z120" i="78"/>
  <c r="Z121" i="78"/>
  <c r="Z119" i="78"/>
  <c r="X271" i="80"/>
  <c r="X303" i="80"/>
  <c r="X257" i="80"/>
  <c r="X289" i="80"/>
  <c r="W305" i="80"/>
  <c r="W273" i="80"/>
  <c r="Z115" i="74"/>
  <c r="Z175" i="74" s="1"/>
  <c r="Z119" i="74"/>
  <c r="Z120" i="74"/>
  <c r="Z121" i="74"/>
  <c r="AA112" i="74"/>
  <c r="X179" i="78"/>
  <c r="X257" i="76"/>
  <c r="X289" i="76"/>
  <c r="X291" i="76"/>
  <c r="X225" i="78"/>
  <c r="X239" i="78"/>
  <c r="W291" i="80"/>
  <c r="W259" i="80"/>
  <c r="X303" i="76"/>
  <c r="X271" i="76"/>
  <c r="W258" i="76"/>
  <c r="W238" i="76"/>
  <c r="W290" i="76"/>
  <c r="V264" i="76"/>
  <c r="V265" i="76" s="1"/>
  <c r="V276" i="76" s="1"/>
  <c r="W257" i="80"/>
  <c r="W289" i="80"/>
  <c r="V277" i="80"/>
  <c r="Z120" i="76"/>
  <c r="Z121" i="76"/>
  <c r="Z115" i="76"/>
  <c r="Z175" i="76" s="1"/>
  <c r="AA112" i="76"/>
  <c r="Z119" i="76"/>
  <c r="W289" i="78"/>
  <c r="W257" i="78"/>
  <c r="X179" i="74"/>
  <c r="W304" i="80"/>
  <c r="W272" i="80"/>
  <c r="X238" i="76"/>
  <c r="X290" i="76"/>
  <c r="X258" i="76"/>
  <c r="W303" i="78"/>
  <c r="W271" i="78"/>
  <c r="X179" i="80"/>
  <c r="X187" i="80"/>
  <c r="X224" i="80" s="1"/>
  <c r="W239" i="74"/>
  <c r="W225" i="74"/>
  <c r="Y128" i="80"/>
  <c r="Y176" i="80" s="1"/>
  <c r="Y200" i="80" s="1"/>
  <c r="W271" i="80"/>
  <c r="W303" i="80"/>
  <c r="W259" i="76"/>
  <c r="W291" i="76"/>
  <c r="Y128" i="78"/>
  <c r="Y176" i="78" s="1"/>
  <c r="X223" i="74"/>
  <c r="X180" i="74"/>
  <c r="X237" i="74"/>
  <c r="X181" i="74"/>
  <c r="U278" i="76"/>
  <c r="W305" i="76"/>
  <c r="W273" i="76"/>
  <c r="X225" i="46"/>
  <c r="X259" i="46" s="1"/>
  <c r="Y180" i="46"/>
  <c r="Y223" i="46"/>
  <c r="Y257" i="46" s="1"/>
  <c r="Y187" i="49"/>
  <c r="Y224" i="49" s="1"/>
  <c r="Y258" i="49" s="1"/>
  <c r="Y179" i="49"/>
  <c r="AA107" i="49"/>
  <c r="AA210" i="49" s="1"/>
  <c r="AA214" i="49" s="1"/>
  <c r="AA241" i="49" s="1"/>
  <c r="G102" i="48"/>
  <c r="H102" i="48" s="1"/>
  <c r="G105" i="48"/>
  <c r="I105" i="48" s="1"/>
  <c r="J105" i="48" s="1"/>
  <c r="K105" i="48" s="1"/>
  <c r="L105" i="48" s="1"/>
  <c r="M105" i="48" s="1"/>
  <c r="N105" i="48" s="1"/>
  <c r="O105" i="48" s="1"/>
  <c r="P105" i="48" s="1"/>
  <c r="Q105" i="48" s="1"/>
  <c r="R105" i="48" s="1"/>
  <c r="S105" i="48" s="1"/>
  <c r="T105" i="48" s="1"/>
  <c r="U105" i="48" s="1"/>
  <c r="V105" i="48" s="1"/>
  <c r="W105" i="48" s="1"/>
  <c r="X105" i="48" s="1"/>
  <c r="Y105" i="48" s="1"/>
  <c r="Z105" i="48" s="1"/>
  <c r="AA105" i="48" s="1"/>
  <c r="G104" i="48"/>
  <c r="I104" i="48" s="1"/>
  <c r="J104" i="48" s="1"/>
  <c r="K104" i="48" s="1"/>
  <c r="L104" i="48" s="1"/>
  <c r="M104" i="48" s="1"/>
  <c r="N104" i="48" s="1"/>
  <c r="O104" i="48" s="1"/>
  <c r="P104" i="48" s="1"/>
  <c r="Q104" i="48" s="1"/>
  <c r="R104" i="48" s="1"/>
  <c r="S104" i="48" s="1"/>
  <c r="T104" i="48" s="1"/>
  <c r="U104" i="48" s="1"/>
  <c r="V104" i="48" s="1"/>
  <c r="W104" i="48" s="1"/>
  <c r="X104" i="48" s="1"/>
  <c r="Y104" i="48" s="1"/>
  <c r="Z104" i="48" s="1"/>
  <c r="AA104" i="48" s="1"/>
  <c r="G103" i="48"/>
  <c r="I103" i="48" s="1"/>
  <c r="J103" i="48" s="1"/>
  <c r="K103" i="48" s="1"/>
  <c r="L103" i="48" s="1"/>
  <c r="M103" i="48" s="1"/>
  <c r="N103" i="48" s="1"/>
  <c r="O103" i="48" s="1"/>
  <c r="P103" i="48" s="1"/>
  <c r="Q103" i="48" s="1"/>
  <c r="R103" i="48" s="1"/>
  <c r="S103" i="48" s="1"/>
  <c r="T103" i="48" s="1"/>
  <c r="U103" i="48" s="1"/>
  <c r="V103" i="48" s="1"/>
  <c r="W103" i="48" s="1"/>
  <c r="X103" i="48" s="1"/>
  <c r="Y103" i="48" s="1"/>
  <c r="Z103" i="48" s="1"/>
  <c r="AA103" i="48" s="1"/>
  <c r="Y239" i="49"/>
  <c r="Y305" i="49" s="1"/>
  <c r="Y225" i="49"/>
  <c r="Y291" i="49" s="1"/>
  <c r="Z108" i="46"/>
  <c r="Z177" i="46" s="1"/>
  <c r="Z237" i="46" s="1"/>
  <c r="Z128" i="48"/>
  <c r="Z176" i="48" s="1"/>
  <c r="Z179" i="48" s="1"/>
  <c r="V277" i="49"/>
  <c r="V278" i="49" s="1"/>
  <c r="X305" i="48"/>
  <c r="X273" i="48"/>
  <c r="AA108" i="49"/>
  <c r="W305" i="49"/>
  <c r="W273" i="49"/>
  <c r="Z129" i="49"/>
  <c r="Z177" i="49" s="1"/>
  <c r="Z128" i="49"/>
  <c r="Z176" i="49" s="1"/>
  <c r="Y200" i="48"/>
  <c r="Y179" i="48"/>
  <c r="W259" i="49"/>
  <c r="W264" i="49" s="1"/>
  <c r="W265" i="49" s="1"/>
  <c r="W276" i="49" s="1"/>
  <c r="W291" i="49"/>
  <c r="X271" i="49"/>
  <c r="X303" i="49"/>
  <c r="W272" i="49"/>
  <c r="W304" i="49"/>
  <c r="Z275" i="48"/>
  <c r="Z307" i="48"/>
  <c r="AA210" i="48"/>
  <c r="AA214" i="48" s="1"/>
  <c r="AA241" i="48" s="1"/>
  <c r="X289" i="49"/>
  <c r="X257" i="49"/>
  <c r="Z210" i="49"/>
  <c r="Z214" i="49" s="1"/>
  <c r="Z241" i="49" s="1"/>
  <c r="Y181" i="49"/>
  <c r="Y237" i="49"/>
  <c r="Y223" i="49"/>
  <c r="Y180" i="49"/>
  <c r="Z107" i="46"/>
  <c r="Z176" i="46" s="1"/>
  <c r="Z179" i="46" s="1"/>
  <c r="Z129" i="48"/>
  <c r="X225" i="49"/>
  <c r="X239" i="49"/>
  <c r="AA115" i="48"/>
  <c r="AA175" i="48" s="1"/>
  <c r="AA120" i="48"/>
  <c r="AA121" i="48"/>
  <c r="AA119" i="48"/>
  <c r="AA115" i="49"/>
  <c r="AA175" i="49" s="1"/>
  <c r="AA120" i="49"/>
  <c r="AA121" i="49"/>
  <c r="AA119" i="49"/>
  <c r="X291" i="48"/>
  <c r="X259" i="48"/>
  <c r="AA186" i="49"/>
  <c r="X238" i="49"/>
  <c r="X258" i="49"/>
  <c r="X290" i="49"/>
  <c r="V277" i="46"/>
  <c r="X273" i="46"/>
  <c r="X305" i="46"/>
  <c r="W305" i="46"/>
  <c r="W273" i="46"/>
  <c r="Y179" i="46"/>
  <c r="Y187" i="46"/>
  <c r="Y224" i="46" s="1"/>
  <c r="W272" i="46"/>
  <c r="W304" i="46"/>
  <c r="Y225" i="46"/>
  <c r="Y239" i="46"/>
  <c r="X303" i="46"/>
  <c r="X271" i="46"/>
  <c r="Y181" i="46"/>
  <c r="W259" i="46"/>
  <c r="W264" i="46" s="1"/>
  <c r="W265" i="46" s="1"/>
  <c r="W276" i="46" s="1"/>
  <c r="W277" i="46" s="1"/>
  <c r="W291" i="46"/>
  <c r="X304" i="46"/>
  <c r="X272" i="46"/>
  <c r="AA100" i="46"/>
  <c r="AA99" i="46"/>
  <c r="AA98" i="46"/>
  <c r="AA94" i="46"/>
  <c r="AA175" i="46" s="1"/>
  <c r="X289" i="46"/>
  <c r="X257" i="46"/>
  <c r="Y271" i="46"/>
  <c r="Y303" i="46"/>
  <c r="G103" i="21"/>
  <c r="G103" i="16"/>
  <c r="H103" i="16" s="1"/>
  <c r="G103" i="14"/>
  <c r="G104" i="16"/>
  <c r="H104" i="16" s="1"/>
  <c r="G104" i="21"/>
  <c r="G104" i="14"/>
  <c r="G105" i="16"/>
  <c r="H105" i="16" s="1"/>
  <c r="G105" i="21"/>
  <c r="G105" i="14"/>
  <c r="G102" i="16"/>
  <c r="H102" i="16" s="1"/>
  <c r="G102" i="21"/>
  <c r="G102" i="14"/>
  <c r="Y181" i="74" l="1"/>
  <c r="X273" i="76"/>
  <c r="Z307" i="83"/>
  <c r="Y180" i="74"/>
  <c r="Y223" i="74"/>
  <c r="Y237" i="74"/>
  <c r="Z129" i="76"/>
  <c r="Z177" i="76" s="1"/>
  <c r="Z237" i="76" s="1"/>
  <c r="Y179" i="74"/>
  <c r="AA107" i="83"/>
  <c r="AA210" i="83" s="1"/>
  <c r="AA214" i="83" s="1"/>
  <c r="AA241" i="83" s="1"/>
  <c r="AA307" i="83" s="1"/>
  <c r="Z129" i="78"/>
  <c r="Z177" i="78" s="1"/>
  <c r="AA108" i="83"/>
  <c r="Y239" i="74"/>
  <c r="Y225" i="74"/>
  <c r="Y291" i="74" s="1"/>
  <c r="Y181" i="80"/>
  <c r="W264" i="80"/>
  <c r="W265" i="80" s="1"/>
  <c r="W276" i="80" s="1"/>
  <c r="W277" i="80" s="1"/>
  <c r="Z129" i="80"/>
  <c r="Z177" i="80" s="1"/>
  <c r="Z180" i="80" s="1"/>
  <c r="AA186" i="80"/>
  <c r="Y223" i="80"/>
  <c r="Y257" i="80" s="1"/>
  <c r="W264" i="76"/>
  <c r="W265" i="76" s="1"/>
  <c r="W276" i="76" s="1"/>
  <c r="W277" i="76" s="1"/>
  <c r="Y187" i="76"/>
  <c r="Y224" i="76" s="1"/>
  <c r="Y290" i="76" s="1"/>
  <c r="Y200" i="76"/>
  <c r="Z128" i="76"/>
  <c r="Z176" i="76" s="1"/>
  <c r="Y180" i="80"/>
  <c r="Y179" i="78"/>
  <c r="X290" i="80"/>
  <c r="X238" i="80"/>
  <c r="X258" i="80"/>
  <c r="Y200" i="78"/>
  <c r="V277" i="76"/>
  <c r="V278" i="76" s="1"/>
  <c r="X257" i="78"/>
  <c r="X289" i="78"/>
  <c r="Y257" i="74"/>
  <c r="Y289" i="74"/>
  <c r="W272" i="76"/>
  <c r="W304" i="76"/>
  <c r="Y238" i="76"/>
  <c r="Y239" i="80"/>
  <c r="Y225" i="80"/>
  <c r="Z237" i="78"/>
  <c r="Z223" i="78"/>
  <c r="Z180" i="78"/>
  <c r="X305" i="74"/>
  <c r="X273" i="74"/>
  <c r="Y181" i="78"/>
  <c r="AA186" i="76"/>
  <c r="AA120" i="76"/>
  <c r="AA121" i="76"/>
  <c r="AA119" i="76"/>
  <c r="AA115" i="76"/>
  <c r="AA175" i="76" s="1"/>
  <c r="Y271" i="74"/>
  <c r="Y303" i="74"/>
  <c r="Z129" i="74"/>
  <c r="Z177" i="74" s="1"/>
  <c r="Y237" i="76"/>
  <c r="Y180" i="76"/>
  <c r="Y223" i="76"/>
  <c r="Y181" i="76"/>
  <c r="X291" i="74"/>
  <c r="X259" i="74"/>
  <c r="Y305" i="74"/>
  <c r="Y273" i="74"/>
  <c r="Z128" i="78"/>
  <c r="Z176" i="78" s="1"/>
  <c r="Z181" i="78" s="1"/>
  <c r="V278" i="80"/>
  <c r="AA119" i="80"/>
  <c r="AA121" i="80"/>
  <c r="AA115" i="80"/>
  <c r="AA175" i="80" s="1"/>
  <c r="AA120" i="80"/>
  <c r="X291" i="80"/>
  <c r="X259" i="80"/>
  <c r="Y289" i="78"/>
  <c r="Y257" i="78"/>
  <c r="AA120" i="74"/>
  <c r="AA115" i="74"/>
  <c r="AA175" i="74" s="1"/>
  <c r="AA121" i="74"/>
  <c r="AA119" i="74"/>
  <c r="X271" i="74"/>
  <c r="X303" i="74"/>
  <c r="Y187" i="80"/>
  <c r="Y224" i="80" s="1"/>
  <c r="Y179" i="80"/>
  <c r="X305" i="78"/>
  <c r="X273" i="78"/>
  <c r="Z128" i="74"/>
  <c r="Z176" i="74" s="1"/>
  <c r="Z200" i="74" s="1"/>
  <c r="X305" i="80"/>
  <c r="X273" i="80"/>
  <c r="Y271" i="78"/>
  <c r="Y303" i="78"/>
  <c r="W259" i="74"/>
  <c r="W291" i="74"/>
  <c r="X291" i="78"/>
  <c r="X259" i="78"/>
  <c r="X264" i="76"/>
  <c r="X265" i="76" s="1"/>
  <c r="X276" i="76" s="1"/>
  <c r="X277" i="76" s="1"/>
  <c r="Z128" i="80"/>
  <c r="Z176" i="80" s="1"/>
  <c r="Z200" i="80" s="1"/>
  <c r="X303" i="78"/>
  <c r="X271" i="78"/>
  <c r="X289" i="74"/>
  <c r="X257" i="74"/>
  <c r="W305" i="74"/>
  <c r="W273" i="74"/>
  <c r="X304" i="76"/>
  <c r="X272" i="76"/>
  <c r="AA115" i="78"/>
  <c r="AA175" i="78" s="1"/>
  <c r="AA121" i="78"/>
  <c r="AA120" i="78"/>
  <c r="AA119" i="78"/>
  <c r="Y271" i="80"/>
  <c r="Y303" i="80"/>
  <c r="Y289" i="46"/>
  <c r="X291" i="46"/>
  <c r="Z223" i="46"/>
  <c r="Z180" i="46"/>
  <c r="Y238" i="49"/>
  <c r="Y304" i="49" s="1"/>
  <c r="Y290" i="49"/>
  <c r="Y273" i="49"/>
  <c r="Z200" i="46"/>
  <c r="Z239" i="46" s="1"/>
  <c r="X264" i="46"/>
  <c r="X265" i="46" s="1"/>
  <c r="X276" i="46" s="1"/>
  <c r="X277" i="46" s="1"/>
  <c r="AA129" i="49"/>
  <c r="AA177" i="49" s="1"/>
  <c r="Y259" i="49"/>
  <c r="I102" i="48"/>
  <c r="H108" i="48"/>
  <c r="H177" i="48" s="1"/>
  <c r="AA108" i="46"/>
  <c r="AA177" i="46" s="1"/>
  <c r="AA237" i="46" s="1"/>
  <c r="Z200" i="48"/>
  <c r="Z225" i="48" s="1"/>
  <c r="Z179" i="49"/>
  <c r="Z187" i="49"/>
  <c r="Z224" i="49" s="1"/>
  <c r="Z200" i="49"/>
  <c r="Z237" i="49"/>
  <c r="Z223" i="49"/>
  <c r="Z181" i="49"/>
  <c r="Z180" i="49"/>
  <c r="W277" i="49"/>
  <c r="W278" i="49" s="1"/>
  <c r="AA128" i="48"/>
  <c r="AA176" i="48" s="1"/>
  <c r="Y289" i="49"/>
  <c r="Y257" i="49"/>
  <c r="Z307" i="49"/>
  <c r="Z275" i="49"/>
  <c r="Y239" i="48"/>
  <c r="Y225" i="48"/>
  <c r="Z181" i="46"/>
  <c r="AA129" i="48"/>
  <c r="X305" i="49"/>
  <c r="X273" i="49"/>
  <c r="X291" i="49"/>
  <c r="X259" i="49"/>
  <c r="X264" i="49" s="1"/>
  <c r="X265" i="49" s="1"/>
  <c r="X276" i="49" s="1"/>
  <c r="X277" i="49" s="1"/>
  <c r="AA307" i="49"/>
  <c r="AA275" i="49"/>
  <c r="AA128" i="49"/>
  <c r="AA176" i="49" s="1"/>
  <c r="AA275" i="48"/>
  <c r="AA307" i="48"/>
  <c r="Z187" i="46"/>
  <c r="Z224" i="46" s="1"/>
  <c r="Z238" i="46" s="1"/>
  <c r="X304" i="49"/>
  <c r="X272" i="49"/>
  <c r="Y271" i="49"/>
  <c r="Y303" i="49"/>
  <c r="Z289" i="46"/>
  <c r="Z257" i="46"/>
  <c r="Y258" i="46"/>
  <c r="Y238" i="46"/>
  <c r="Y290" i="46"/>
  <c r="AA107" i="46"/>
  <c r="AA176" i="46" s="1"/>
  <c r="AA200" i="46" s="1"/>
  <c r="Z271" i="46"/>
  <c r="Z303" i="46"/>
  <c r="Y305" i="46"/>
  <c r="Y273" i="46"/>
  <c r="Y291" i="46"/>
  <c r="Y259" i="46"/>
  <c r="G16" i="14"/>
  <c r="Z180" i="76" l="1"/>
  <c r="Z223" i="80"/>
  <c r="Z181" i="76"/>
  <c r="Z237" i="80"/>
  <c r="Z223" i="76"/>
  <c r="W278" i="80"/>
  <c r="Y259" i="74"/>
  <c r="Y264" i="49"/>
  <c r="Y265" i="49" s="1"/>
  <c r="Y276" i="49" s="1"/>
  <c r="Y277" i="49" s="1"/>
  <c r="Z179" i="76"/>
  <c r="Y258" i="76"/>
  <c r="AA275" i="83"/>
  <c r="Z187" i="76"/>
  <c r="Z224" i="76" s="1"/>
  <c r="Z200" i="76"/>
  <c r="Z225" i="76" s="1"/>
  <c r="Y289" i="80"/>
  <c r="AA129" i="78"/>
  <c r="AA177" i="78" s="1"/>
  <c r="AA223" i="78" s="1"/>
  <c r="X278" i="76"/>
  <c r="W278" i="76"/>
  <c r="Y272" i="49"/>
  <c r="AA128" i="78"/>
  <c r="AA176" i="78" s="1"/>
  <c r="AA200" i="78" s="1"/>
  <c r="AA129" i="74"/>
  <c r="AA177" i="74" s="1"/>
  <c r="AA237" i="74" s="1"/>
  <c r="AA128" i="80"/>
  <c r="AA176" i="80" s="1"/>
  <c r="AA179" i="80" s="1"/>
  <c r="Y239" i="76"/>
  <c r="Y225" i="76"/>
  <c r="Z239" i="80"/>
  <c r="Z225" i="80"/>
  <c r="Z239" i="74"/>
  <c r="Z225" i="74"/>
  <c r="Y290" i="80"/>
  <c r="Y258" i="80"/>
  <c r="Y238" i="80"/>
  <c r="Z257" i="78"/>
  <c r="Z289" i="78"/>
  <c r="Z303" i="76"/>
  <c r="Z271" i="76"/>
  <c r="Y239" i="78"/>
  <c r="Y225" i="78"/>
  <c r="Y289" i="76"/>
  <c r="Y257" i="76"/>
  <c r="Z303" i="78"/>
  <c r="Z271" i="78"/>
  <c r="X304" i="80"/>
  <c r="X272" i="80"/>
  <c r="AA128" i="74"/>
  <c r="AA176" i="74" s="1"/>
  <c r="AA200" i="74" s="1"/>
  <c r="X264" i="80"/>
  <c r="X265" i="80" s="1"/>
  <c r="X276" i="80" s="1"/>
  <c r="X277" i="80" s="1"/>
  <c r="Z179" i="78"/>
  <c r="Y271" i="76"/>
  <c r="Y303" i="76"/>
  <c r="AA129" i="76"/>
  <c r="AA177" i="76" s="1"/>
  <c r="AA128" i="76"/>
  <c r="AA176" i="76" s="1"/>
  <c r="AA200" i="76" s="1"/>
  <c r="Y291" i="80"/>
  <c r="Y259" i="80"/>
  <c r="Z179" i="74"/>
  <c r="Z257" i="80"/>
  <c r="Z289" i="80"/>
  <c r="Y305" i="80"/>
  <c r="Y273" i="80"/>
  <c r="Z187" i="80"/>
  <c r="Z224" i="80" s="1"/>
  <c r="Z179" i="80"/>
  <c r="Z303" i="80"/>
  <c r="Z271" i="80"/>
  <c r="Z290" i="76"/>
  <c r="Z238" i="76"/>
  <c r="Z258" i="76"/>
  <c r="AA237" i="78"/>
  <c r="AA180" i="78"/>
  <c r="AA129" i="80"/>
  <c r="AA177" i="80" s="1"/>
  <c r="Z237" i="74"/>
  <c r="Z180" i="74"/>
  <c r="Z181" i="74"/>
  <c r="Z223" i="74"/>
  <c r="Z181" i="80"/>
  <c r="Y304" i="76"/>
  <c r="Y272" i="76"/>
  <c r="Z289" i="76"/>
  <c r="Z257" i="76"/>
  <c r="Z200" i="78"/>
  <c r="Z225" i="46"/>
  <c r="Z291" i="46" s="1"/>
  <c r="Z239" i="48"/>
  <c r="Z305" i="48" s="1"/>
  <c r="AA180" i="46"/>
  <c r="Z258" i="46"/>
  <c r="Z290" i="46"/>
  <c r="AA223" i="46"/>
  <c r="AA257" i="46" s="1"/>
  <c r="H237" i="48"/>
  <c r="H181" i="48"/>
  <c r="H180" i="48"/>
  <c r="H223" i="48"/>
  <c r="J102" i="48"/>
  <c r="I108" i="48"/>
  <c r="I177" i="48" s="1"/>
  <c r="X278" i="49"/>
  <c r="Y264" i="46"/>
  <c r="Y265" i="46" s="1"/>
  <c r="Y276" i="46" s="1"/>
  <c r="Y277" i="46" s="1"/>
  <c r="Y278" i="49"/>
  <c r="AA179" i="48"/>
  <c r="Z289" i="49"/>
  <c r="Z257" i="49"/>
  <c r="AA187" i="49"/>
  <c r="AA224" i="49" s="1"/>
  <c r="AA179" i="49"/>
  <c r="Z303" i="49"/>
  <c r="Z271" i="49"/>
  <c r="AA237" i="49"/>
  <c r="AA223" i="49"/>
  <c r="AA180" i="49"/>
  <c r="AA181" i="49"/>
  <c r="Y291" i="48"/>
  <c r="Y259" i="48"/>
  <c r="Z239" i="49"/>
  <c r="Z225" i="49"/>
  <c r="Y305" i="48"/>
  <c r="Y273" i="48"/>
  <c r="Z290" i="49"/>
  <c r="Z258" i="49"/>
  <c r="Z238" i="49"/>
  <c r="Z291" i="48"/>
  <c r="Z259" i="48"/>
  <c r="AA200" i="48"/>
  <c r="AA200" i="49"/>
  <c r="Y304" i="46"/>
  <c r="Y272" i="46"/>
  <c r="AA239" i="46"/>
  <c r="AA225" i="46"/>
  <c r="Z305" i="46"/>
  <c r="Z273" i="46"/>
  <c r="AA181" i="46"/>
  <c r="AA179" i="46"/>
  <c r="AA187" i="46"/>
  <c r="AA224" i="46" s="1"/>
  <c r="AA303" i="46"/>
  <c r="AB303" i="46" s="1"/>
  <c r="AA271" i="46"/>
  <c r="AB271" i="46" s="1"/>
  <c r="AB237" i="46"/>
  <c r="Z272" i="46"/>
  <c r="Z304" i="46"/>
  <c r="AA181" i="78" l="1"/>
  <c r="AA179" i="78"/>
  <c r="AA200" i="80"/>
  <c r="AA187" i="80"/>
  <c r="AA224" i="80" s="1"/>
  <c r="Z239" i="76"/>
  <c r="X278" i="80"/>
  <c r="AA180" i="74"/>
  <c r="AA181" i="74"/>
  <c r="Y264" i="80"/>
  <c r="Y265" i="80" s="1"/>
  <c r="Y276" i="80" s="1"/>
  <c r="Y277" i="80" s="1"/>
  <c r="AA223" i="74"/>
  <c r="AA289" i="74" s="1"/>
  <c r="Y259" i="76"/>
  <c r="Y264" i="76" s="1"/>
  <c r="Y265" i="76" s="1"/>
  <c r="Y276" i="76" s="1"/>
  <c r="Y277" i="76" s="1"/>
  <c r="Y291" i="76"/>
  <c r="Y273" i="76"/>
  <c r="Y305" i="76"/>
  <c r="AA225" i="76"/>
  <c r="AA239" i="76"/>
  <c r="Z271" i="74"/>
  <c r="Z303" i="74"/>
  <c r="AA258" i="80"/>
  <c r="AA238" i="80"/>
  <c r="AA290" i="80"/>
  <c r="AA237" i="80"/>
  <c r="AA223" i="80"/>
  <c r="AA180" i="80"/>
  <c r="AA181" i="80"/>
  <c r="AA271" i="74"/>
  <c r="AB271" i="74" s="1"/>
  <c r="AA303" i="74"/>
  <c r="AB303" i="74" s="1"/>
  <c r="AB237" i="74"/>
  <c r="AA179" i="76"/>
  <c r="AA187" i="76"/>
  <c r="AA224" i="76" s="1"/>
  <c r="Y304" i="80"/>
  <c r="Y272" i="80"/>
  <c r="Z225" i="78"/>
  <c r="Z239" i="78"/>
  <c r="AA271" i="78"/>
  <c r="AB271" i="78" s="1"/>
  <c r="AA303" i="78"/>
  <c r="AB303" i="78" s="1"/>
  <c r="AB237" i="78"/>
  <c r="AA239" i="74"/>
  <c r="AA225" i="74"/>
  <c r="AA180" i="76"/>
  <c r="AA223" i="76"/>
  <c r="AA237" i="76"/>
  <c r="AA181" i="76"/>
  <c r="AA179" i="74"/>
  <c r="Y291" i="78"/>
  <c r="Y259" i="78"/>
  <c r="Z291" i="80"/>
  <c r="Z259" i="80"/>
  <c r="Z289" i="74"/>
  <c r="Z257" i="74"/>
  <c r="AA257" i="78"/>
  <c r="AA289" i="78"/>
  <c r="Z290" i="80"/>
  <c r="Z238" i="80"/>
  <c r="Z258" i="80"/>
  <c r="Y305" i="78"/>
  <c r="Y273" i="78"/>
  <c r="Z291" i="74"/>
  <c r="Z259" i="74"/>
  <c r="Z305" i="80"/>
  <c r="Z273" i="80"/>
  <c r="Z305" i="76"/>
  <c r="Z273" i="76"/>
  <c r="Z273" i="74"/>
  <c r="Z305" i="74"/>
  <c r="AA239" i="80"/>
  <c r="AA225" i="80"/>
  <c r="Z304" i="76"/>
  <c r="Z272" i="76"/>
  <c r="Z291" i="76"/>
  <c r="Z259" i="76"/>
  <c r="Z264" i="76" s="1"/>
  <c r="Z265" i="76" s="1"/>
  <c r="Z276" i="76" s="1"/>
  <c r="AA225" i="78"/>
  <c r="AA239" i="78"/>
  <c r="Z259" i="46"/>
  <c r="Z264" i="46" s="1"/>
  <c r="Z265" i="46" s="1"/>
  <c r="Z276" i="46" s="1"/>
  <c r="Z277" i="46" s="1"/>
  <c r="Z273" i="48"/>
  <c r="AA289" i="46"/>
  <c r="H257" i="48"/>
  <c r="H289" i="48"/>
  <c r="I237" i="48"/>
  <c r="I223" i="48"/>
  <c r="I180" i="48"/>
  <c r="I181" i="48"/>
  <c r="K102" i="48"/>
  <c r="J108" i="48"/>
  <c r="J177" i="48" s="1"/>
  <c r="H303" i="48"/>
  <c r="H271" i="48"/>
  <c r="AA258" i="49"/>
  <c r="AA290" i="49"/>
  <c r="AA238" i="49"/>
  <c r="AA289" i="49"/>
  <c r="AA257" i="49"/>
  <c r="AA303" i="49"/>
  <c r="AB303" i="49" s="1"/>
  <c r="AA271" i="49"/>
  <c r="AB237" i="49"/>
  <c r="AA239" i="48"/>
  <c r="AA225" i="48"/>
  <c r="Z259" i="49"/>
  <c r="Z264" i="49" s="1"/>
  <c r="Z265" i="49" s="1"/>
  <c r="Z276" i="49" s="1"/>
  <c r="Z277" i="49" s="1"/>
  <c r="Z291" i="49"/>
  <c r="Z273" i="49"/>
  <c r="Z305" i="49"/>
  <c r="AA239" i="49"/>
  <c r="AA225" i="49"/>
  <c r="Z272" i="49"/>
  <c r="Z304" i="49"/>
  <c r="AA258" i="46"/>
  <c r="AA290" i="46"/>
  <c r="AA238" i="46"/>
  <c r="AA291" i="46"/>
  <c r="AA259" i="46"/>
  <c r="AA273" i="46"/>
  <c r="AB273" i="46" s="1"/>
  <c r="AA305" i="46"/>
  <c r="AB305" i="46" s="1"/>
  <c r="AB239" i="46"/>
  <c r="Y278" i="80" l="1"/>
  <c r="Z264" i="80"/>
  <c r="Z265" i="80" s="1"/>
  <c r="Z276" i="80" s="1"/>
  <c r="Z277" i="80" s="1"/>
  <c r="AA257" i="74"/>
  <c r="Y278" i="76"/>
  <c r="Z277" i="76"/>
  <c r="Z278" i="76" s="1"/>
  <c r="AA305" i="78"/>
  <c r="AB305" i="78" s="1"/>
  <c r="AA273" i="78"/>
  <c r="AB273" i="78" s="1"/>
  <c r="AB239" i="78"/>
  <c r="AA271" i="76"/>
  <c r="AA303" i="76"/>
  <c r="AB303" i="76" s="1"/>
  <c r="AB237" i="76"/>
  <c r="Z272" i="80"/>
  <c r="Z304" i="80"/>
  <c r="Z273" i="78"/>
  <c r="Z305" i="78"/>
  <c r="AA303" i="80"/>
  <c r="AB303" i="80" s="1"/>
  <c r="AA271" i="80"/>
  <c r="AB237" i="80"/>
  <c r="AA259" i="78"/>
  <c r="AA291" i="78"/>
  <c r="Z291" i="78"/>
  <c r="Z259" i="78"/>
  <c r="AA272" i="80"/>
  <c r="AB272" i="80" s="1"/>
  <c r="AA304" i="80"/>
  <c r="AB304" i="80" s="1"/>
  <c r="AB238" i="80"/>
  <c r="AA273" i="76"/>
  <c r="AB273" i="76" s="1"/>
  <c r="AA305" i="76"/>
  <c r="AB305" i="76" s="1"/>
  <c r="AB239" i="76"/>
  <c r="AA257" i="76"/>
  <c r="AA289" i="76"/>
  <c r="AA291" i="80"/>
  <c r="AA259" i="80"/>
  <c r="AA259" i="74"/>
  <c r="AA291" i="74"/>
  <c r="AA259" i="76"/>
  <c r="AA291" i="76"/>
  <c r="AA289" i="80"/>
  <c r="AA257" i="80"/>
  <c r="AA305" i="80"/>
  <c r="AB305" i="80" s="1"/>
  <c r="AA273" i="80"/>
  <c r="AB273" i="80" s="1"/>
  <c r="AB239" i="80"/>
  <c r="AA273" i="74"/>
  <c r="AB273" i="74" s="1"/>
  <c r="AA305" i="74"/>
  <c r="AB305" i="74" s="1"/>
  <c r="AB239" i="74"/>
  <c r="AA238" i="76"/>
  <c r="AA258" i="76"/>
  <c r="AA290" i="76"/>
  <c r="Z278" i="49"/>
  <c r="J181" i="48"/>
  <c r="J237" i="48"/>
  <c r="J180" i="48"/>
  <c r="J223" i="48"/>
  <c r="L102" i="48"/>
  <c r="K108" i="48"/>
  <c r="K177" i="48" s="1"/>
  <c r="I289" i="48"/>
  <c r="I257" i="48"/>
  <c r="I271" i="48"/>
  <c r="I303" i="48"/>
  <c r="AA264" i="46"/>
  <c r="AA265" i="46" s="1"/>
  <c r="AA276" i="46" s="1"/>
  <c r="AA277" i="46" s="1"/>
  <c r="AB277" i="46" s="1"/>
  <c r="AA305" i="48"/>
  <c r="AB305" i="48" s="1"/>
  <c r="AA273" i="48"/>
  <c r="AB273" i="48" s="1"/>
  <c r="AB239" i="48"/>
  <c r="AB271" i="49"/>
  <c r="AA304" i="49"/>
  <c r="AB304" i="49" s="1"/>
  <c r="AA272" i="49"/>
  <c r="AB272" i="49" s="1"/>
  <c r="AB238" i="49"/>
  <c r="AA291" i="49"/>
  <c r="AA259" i="49"/>
  <c r="AA264" i="49" s="1"/>
  <c r="AA265" i="49" s="1"/>
  <c r="AA276" i="49" s="1"/>
  <c r="AA273" i="49"/>
  <c r="AB273" i="49" s="1"/>
  <c r="AA305" i="49"/>
  <c r="AB305" i="49" s="1"/>
  <c r="AB239" i="49"/>
  <c r="AA291" i="48"/>
  <c r="AA259" i="48"/>
  <c r="AA272" i="46"/>
  <c r="AA304" i="46"/>
  <c r="Z278" i="80" l="1"/>
  <c r="AA264" i="80"/>
  <c r="AA265" i="80" s="1"/>
  <c r="AA276" i="80" s="1"/>
  <c r="AA272" i="76"/>
  <c r="AB272" i="76" s="1"/>
  <c r="AA304" i="76"/>
  <c r="AB304" i="76" s="1"/>
  <c r="AB238" i="76"/>
  <c r="AA264" i="76"/>
  <c r="AA265" i="76" s="1"/>
  <c r="AA276" i="76" s="1"/>
  <c r="AB271" i="80"/>
  <c r="AB271" i="76"/>
  <c r="AB276" i="46"/>
  <c r="K237" i="48"/>
  <c r="K223" i="48"/>
  <c r="K180" i="48"/>
  <c r="K181" i="48"/>
  <c r="M102" i="48"/>
  <c r="L108" i="48"/>
  <c r="L177" i="48" s="1"/>
  <c r="J257" i="48"/>
  <c r="J289" i="48"/>
  <c r="J271" i="48"/>
  <c r="J303" i="48"/>
  <c r="AA277" i="49"/>
  <c r="AB277" i="49" s="1"/>
  <c r="AB276" i="49"/>
  <c r="O214" i="46"/>
  <c r="O241" i="46" s="1"/>
  <c r="O307" i="46" s="1"/>
  <c r="P214" i="46"/>
  <c r="P241" i="46" s="1"/>
  <c r="P307" i="46" s="1"/>
  <c r="V214" i="46"/>
  <c r="V241" i="46" s="1"/>
  <c r="V307" i="46" s="1"/>
  <c r="AB307" i="46" s="1"/>
  <c r="N214" i="46"/>
  <c r="N241" i="46" s="1"/>
  <c r="N307" i="46" s="1"/>
  <c r="U214" i="46"/>
  <c r="U241" i="46" s="1"/>
  <c r="U307" i="46" s="1"/>
  <c r="M214" i="46"/>
  <c r="M241" i="46" s="1"/>
  <c r="M275" i="46" s="1"/>
  <c r="M278" i="46" s="1"/>
  <c r="T214" i="46"/>
  <c r="T241" i="46" s="1"/>
  <c r="T307" i="46" s="1"/>
  <c r="L214" i="46"/>
  <c r="L241" i="46" s="1"/>
  <c r="L275" i="46" s="1"/>
  <c r="L278" i="46" s="1"/>
  <c r="AA214" i="46"/>
  <c r="AA241" i="46" s="1"/>
  <c r="AA307" i="46" s="1"/>
  <c r="S214" i="46"/>
  <c r="S241" i="46" s="1"/>
  <c r="S275" i="46" s="1"/>
  <c r="S278" i="46" s="1"/>
  <c r="X214" i="46"/>
  <c r="X241" i="46" s="1"/>
  <c r="X307" i="46" s="1"/>
  <c r="Z214" i="46"/>
  <c r="Z241" i="46" s="1"/>
  <c r="Z275" i="46" s="1"/>
  <c r="Z278" i="46" s="1"/>
  <c r="R214" i="46"/>
  <c r="R241" i="46" s="1"/>
  <c r="R307" i="46" s="1"/>
  <c r="Y214" i="46"/>
  <c r="Y241" i="46" s="1"/>
  <c r="Y307" i="46" s="1"/>
  <c r="Q214" i="46"/>
  <c r="Q241" i="46" s="1"/>
  <c r="Q307" i="46" s="1"/>
  <c r="U275" i="46"/>
  <c r="U278" i="46" s="1"/>
  <c r="AA277" i="76" l="1"/>
  <c r="AB276" i="76"/>
  <c r="AA277" i="80"/>
  <c r="AB276" i="80"/>
  <c r="P275" i="46"/>
  <c r="P278" i="46" s="1"/>
  <c r="AA275" i="46"/>
  <c r="AA278" i="46" s="1"/>
  <c r="Y275" i="46"/>
  <c r="Y278" i="46" s="1"/>
  <c r="S307" i="46"/>
  <c r="AB241" i="46"/>
  <c r="V275" i="46"/>
  <c r="M307" i="46"/>
  <c r="K289" i="48"/>
  <c r="K257" i="48"/>
  <c r="L180" i="48"/>
  <c r="L237" i="48"/>
  <c r="L223" i="48"/>
  <c r="L181" i="48"/>
  <c r="K303" i="48"/>
  <c r="K271" i="48"/>
  <c r="AB278" i="49"/>
  <c r="N102" i="48"/>
  <c r="M108" i="48"/>
  <c r="M177" i="48" s="1"/>
  <c r="R275" i="46"/>
  <c r="R278" i="46" s="1"/>
  <c r="O275" i="46"/>
  <c r="O278" i="46" s="1"/>
  <c r="AA278" i="49"/>
  <c r="N275" i="46"/>
  <c r="N278" i="46" s="1"/>
  <c r="Q275" i="46"/>
  <c r="Q278" i="46" s="1"/>
  <c r="Z307" i="46"/>
  <c r="L307" i="46"/>
  <c r="T275" i="46"/>
  <c r="T278" i="46" s="1"/>
  <c r="X275" i="46"/>
  <c r="X278" i="46" s="1"/>
  <c r="W214" i="46"/>
  <c r="W241" i="46" s="1"/>
  <c r="W275" i="46" s="1"/>
  <c r="W278" i="46" s="1"/>
  <c r="AB275" i="46"/>
  <c r="AB278" i="46" s="1"/>
  <c r="V278" i="46"/>
  <c r="W37" i="21"/>
  <c r="X37" i="21"/>
  <c r="Y37" i="21"/>
  <c r="Z37" i="21"/>
  <c r="AA37" i="21"/>
  <c r="Y37" i="16"/>
  <c r="Z37" i="16"/>
  <c r="AA37" i="16"/>
  <c r="AB277" i="80" l="1"/>
  <c r="AB278" i="80" s="1"/>
  <c r="AA278" i="80"/>
  <c r="AB277" i="76"/>
  <c r="AB278" i="76" s="1"/>
  <c r="AA278" i="76"/>
  <c r="W307" i="46"/>
  <c r="M237" i="48"/>
  <c r="M223" i="48"/>
  <c r="M180" i="48"/>
  <c r="M181" i="48"/>
  <c r="O102" i="48"/>
  <c r="N108" i="48"/>
  <c r="N177" i="48" s="1"/>
  <c r="L289" i="48"/>
  <c r="L257" i="48"/>
  <c r="L303" i="48"/>
  <c r="L271" i="48"/>
  <c r="N223" i="48" l="1"/>
  <c r="N180" i="48"/>
  <c r="N181" i="48"/>
  <c r="N237" i="48"/>
  <c r="P102" i="48"/>
  <c r="O108" i="48"/>
  <c r="O177" i="48" s="1"/>
  <c r="M257" i="48"/>
  <c r="M289" i="48"/>
  <c r="M303" i="48"/>
  <c r="M271" i="48"/>
  <c r="N303" i="48" l="1"/>
  <c r="N271" i="48"/>
  <c r="N257" i="48"/>
  <c r="N289" i="48"/>
  <c r="O181" i="48"/>
  <c r="O223" i="48"/>
  <c r="O180" i="48"/>
  <c r="O237" i="48"/>
  <c r="Q102" i="48"/>
  <c r="P108" i="48"/>
  <c r="P177" i="48" s="1"/>
  <c r="P237" i="48" l="1"/>
  <c r="P223" i="48"/>
  <c r="P180" i="48"/>
  <c r="P181" i="48"/>
  <c r="R102" i="48"/>
  <c r="Q108" i="48"/>
  <c r="Q177" i="48" s="1"/>
  <c r="O303" i="48"/>
  <c r="O271" i="48"/>
  <c r="O289" i="48"/>
  <c r="O257" i="48"/>
  <c r="Q180" i="48" l="1"/>
  <c r="Q181" i="48"/>
  <c r="Q237" i="48"/>
  <c r="Q223" i="48"/>
  <c r="S102" i="48"/>
  <c r="R108" i="48"/>
  <c r="R177" i="48" s="1"/>
  <c r="P257" i="48"/>
  <c r="P289" i="48"/>
  <c r="P303" i="48"/>
  <c r="P271" i="48"/>
  <c r="R180" i="48" l="1"/>
  <c r="R237" i="48"/>
  <c r="R223" i="48"/>
  <c r="R181" i="48"/>
  <c r="T102" i="48"/>
  <c r="S108" i="48"/>
  <c r="S177" i="48" s="1"/>
  <c r="Q289" i="48"/>
  <c r="Q257" i="48"/>
  <c r="Q271" i="48"/>
  <c r="Q303" i="48"/>
  <c r="R289" i="48" l="1"/>
  <c r="R257" i="48"/>
  <c r="S223" i="48"/>
  <c r="S180" i="48"/>
  <c r="S237" i="48"/>
  <c r="S181" i="48"/>
  <c r="R271" i="48"/>
  <c r="R303" i="48"/>
  <c r="U102" i="48"/>
  <c r="T108" i="48"/>
  <c r="T177" i="48" s="1"/>
  <c r="T237" i="48" l="1"/>
  <c r="T223" i="48"/>
  <c r="T180" i="48"/>
  <c r="T181" i="48"/>
  <c r="V102" i="48"/>
  <c r="U108" i="48"/>
  <c r="U177" i="48" s="1"/>
  <c r="S303" i="48"/>
  <c r="S271" i="48"/>
  <c r="S289" i="48"/>
  <c r="S257" i="48"/>
  <c r="U223" i="48" l="1"/>
  <c r="U180" i="48"/>
  <c r="U181" i="48"/>
  <c r="U237" i="48"/>
  <c r="T257" i="48"/>
  <c r="T289" i="48"/>
  <c r="W102" i="48"/>
  <c r="V108" i="48"/>
  <c r="V177" i="48" s="1"/>
  <c r="T271" i="48"/>
  <c r="T303" i="48"/>
  <c r="U303" i="48" l="1"/>
  <c r="U271" i="48"/>
  <c r="V237" i="48"/>
  <c r="V223" i="48"/>
  <c r="V180" i="48"/>
  <c r="V181" i="48"/>
  <c r="X102" i="48"/>
  <c r="W108" i="48"/>
  <c r="W177" i="48" s="1"/>
  <c r="U257" i="48"/>
  <c r="U289" i="48"/>
  <c r="Y102" i="48" l="1"/>
  <c r="X108" i="48"/>
  <c r="X177" i="48" s="1"/>
  <c r="V257" i="48"/>
  <c r="V289" i="48"/>
  <c r="W237" i="48"/>
  <c r="W223" i="48"/>
  <c r="W180" i="48"/>
  <c r="W181" i="48"/>
  <c r="V271" i="48"/>
  <c r="V303" i="48"/>
  <c r="X181" i="48" l="1"/>
  <c r="X180" i="48"/>
  <c r="X223" i="48"/>
  <c r="X237" i="48"/>
  <c r="Z102" i="48"/>
  <c r="Y108" i="48"/>
  <c r="Y177" i="48" s="1"/>
  <c r="W289" i="48"/>
  <c r="W257" i="48"/>
  <c r="W303" i="48"/>
  <c r="W271" i="48"/>
  <c r="AA102" i="48" l="1"/>
  <c r="AA108" i="48" s="1"/>
  <c r="AA177" i="48" s="1"/>
  <c r="Z108" i="48"/>
  <c r="Z177" i="48" s="1"/>
  <c r="X303" i="48"/>
  <c r="X271" i="48"/>
  <c r="X257" i="48"/>
  <c r="X289" i="48"/>
  <c r="Y223" i="48"/>
  <c r="Y180" i="48"/>
  <c r="Y237" i="48"/>
  <c r="Y181" i="48"/>
  <c r="Y303" i="48" l="1"/>
  <c r="Y271" i="48"/>
  <c r="Y257" i="48"/>
  <c r="Y289" i="48"/>
  <c r="Z180" i="48"/>
  <c r="Z181" i="48"/>
  <c r="Z223" i="48"/>
  <c r="Z237" i="48"/>
  <c r="AA223" i="48"/>
  <c r="AA180" i="48"/>
  <c r="AA237" i="48"/>
  <c r="AA181" i="48"/>
  <c r="Z271" i="48" l="1"/>
  <c r="Z303" i="48"/>
  <c r="Z289" i="48"/>
  <c r="Z257" i="48"/>
  <c r="AA271" i="48"/>
  <c r="AB271" i="48" s="1"/>
  <c r="AA303" i="48"/>
  <c r="AB303" i="48" s="1"/>
  <c r="AB237" i="48"/>
  <c r="AA257" i="48"/>
  <c r="AA289" i="48"/>
  <c r="I116" i="13" l="1"/>
  <c r="J116" i="13"/>
  <c r="K116" i="13"/>
  <c r="L116" i="13"/>
  <c r="M116" i="13"/>
  <c r="N116" i="13"/>
  <c r="O116" i="13"/>
  <c r="P116" i="13"/>
  <c r="Q116" i="13"/>
  <c r="R116" i="13"/>
  <c r="S116" i="13"/>
  <c r="T116" i="13"/>
  <c r="U116" i="13"/>
  <c r="V116" i="13"/>
  <c r="W116" i="13"/>
  <c r="X116" i="13"/>
  <c r="Y116" i="13"/>
  <c r="Z116" i="13"/>
  <c r="AA116" i="13"/>
  <c r="H116" i="13"/>
  <c r="I111" i="13"/>
  <c r="I111" i="83" s="1"/>
  <c r="J111" i="13"/>
  <c r="J111" i="83" s="1"/>
  <c r="K111" i="13"/>
  <c r="K111" i="83" s="1"/>
  <c r="L111" i="13"/>
  <c r="L111" i="83" s="1"/>
  <c r="M111" i="13"/>
  <c r="M111" i="83" s="1"/>
  <c r="N111" i="13"/>
  <c r="N111" i="83" s="1"/>
  <c r="O111" i="13"/>
  <c r="O111" i="83" s="1"/>
  <c r="P111" i="13"/>
  <c r="P111" i="83" s="1"/>
  <c r="Q111" i="13"/>
  <c r="Q111" i="83" s="1"/>
  <c r="R111" i="13"/>
  <c r="R111" i="83" s="1"/>
  <c r="S111" i="13"/>
  <c r="S111" i="83" s="1"/>
  <c r="T111" i="13"/>
  <c r="T111" i="83" s="1"/>
  <c r="U111" i="13"/>
  <c r="U111" i="83" s="1"/>
  <c r="V111" i="13"/>
  <c r="V111" i="83" s="1"/>
  <c r="I111" i="16"/>
  <c r="I111" i="82" s="1"/>
  <c r="J111" i="16"/>
  <c r="J111" i="82" s="1"/>
  <c r="K111" i="16"/>
  <c r="K111" i="82" s="1"/>
  <c r="L111" i="16"/>
  <c r="L111" i="82" s="1"/>
  <c r="M111" i="16"/>
  <c r="M111" i="82" s="1"/>
  <c r="N111" i="16"/>
  <c r="N111" i="82" s="1"/>
  <c r="O111" i="16"/>
  <c r="O111" i="82" s="1"/>
  <c r="P111" i="16"/>
  <c r="P111" i="82" s="1"/>
  <c r="Q111" i="16"/>
  <c r="Q111" i="82" s="1"/>
  <c r="R111" i="16"/>
  <c r="R111" i="82" s="1"/>
  <c r="S111" i="16"/>
  <c r="S111" i="82" s="1"/>
  <c r="T111" i="16"/>
  <c r="T111" i="82" s="1"/>
  <c r="U111" i="16"/>
  <c r="U111" i="82" s="1"/>
  <c r="V111" i="16"/>
  <c r="V111" i="82" s="1"/>
  <c r="H29" i="21"/>
  <c r="P114" i="82" l="1"/>
  <c r="P174" i="82" s="1"/>
  <c r="P217" i="82" s="1"/>
  <c r="V114" i="83"/>
  <c r="V174" i="83" s="1"/>
  <c r="V217" i="83" s="1"/>
  <c r="N114" i="83"/>
  <c r="N174" i="83" s="1"/>
  <c r="N217" i="83" s="1"/>
  <c r="O114" i="82"/>
  <c r="O174" i="82" s="1"/>
  <c r="O217" i="82" s="1"/>
  <c r="U114" i="83"/>
  <c r="U174" i="83" s="1"/>
  <c r="U217" i="83" s="1"/>
  <c r="M114" i="83"/>
  <c r="M174" i="83" s="1"/>
  <c r="M217" i="83" s="1"/>
  <c r="V114" i="82"/>
  <c r="V174" i="82" s="1"/>
  <c r="V217" i="82" s="1"/>
  <c r="N114" i="82"/>
  <c r="N174" i="82" s="1"/>
  <c r="N217" i="82" s="1"/>
  <c r="T114" i="83"/>
  <c r="T174" i="83" s="1"/>
  <c r="T217" i="83" s="1"/>
  <c r="L114" i="83"/>
  <c r="L174" i="83" s="1"/>
  <c r="L217" i="83" s="1"/>
  <c r="U114" i="82"/>
  <c r="U174" i="82" s="1"/>
  <c r="U217" i="82" s="1"/>
  <c r="M114" i="82"/>
  <c r="M174" i="82" s="1"/>
  <c r="M217" i="82" s="1"/>
  <c r="S114" i="83"/>
  <c r="S174" i="83" s="1"/>
  <c r="S217" i="83" s="1"/>
  <c r="K114" i="83"/>
  <c r="K174" i="83" s="1"/>
  <c r="K217" i="83" s="1"/>
  <c r="T114" i="82"/>
  <c r="T174" i="82" s="1"/>
  <c r="T217" i="82" s="1"/>
  <c r="L114" i="82"/>
  <c r="L174" i="82" s="1"/>
  <c r="L217" i="82" s="1"/>
  <c r="R114" i="83"/>
  <c r="R174" i="83" s="1"/>
  <c r="R217" i="83" s="1"/>
  <c r="J114" i="83"/>
  <c r="J174" i="83" s="1"/>
  <c r="J217" i="83" s="1"/>
  <c r="S114" i="82"/>
  <c r="S174" i="82" s="1"/>
  <c r="S217" i="82" s="1"/>
  <c r="K114" i="82"/>
  <c r="K174" i="82" s="1"/>
  <c r="K217" i="82" s="1"/>
  <c r="Q114" i="83"/>
  <c r="Q174" i="83" s="1"/>
  <c r="Q217" i="83" s="1"/>
  <c r="I114" i="83"/>
  <c r="I174" i="83" s="1"/>
  <c r="I217" i="83" s="1"/>
  <c r="R114" i="82"/>
  <c r="R174" i="82" s="1"/>
  <c r="R217" i="82" s="1"/>
  <c r="J114" i="82"/>
  <c r="J174" i="82" s="1"/>
  <c r="J217" i="82" s="1"/>
  <c r="P114" i="83"/>
  <c r="P174" i="83" s="1"/>
  <c r="P217" i="83" s="1"/>
  <c r="Q114" i="82"/>
  <c r="Q174" i="82" s="1"/>
  <c r="Q217" i="82" s="1"/>
  <c r="I114" i="82"/>
  <c r="I174" i="82" s="1"/>
  <c r="I217" i="82" s="1"/>
  <c r="O114" i="83"/>
  <c r="O174" i="83" s="1"/>
  <c r="O217" i="83" s="1"/>
  <c r="P37" i="16"/>
  <c r="P37" i="82" s="1"/>
  <c r="V37" i="13"/>
  <c r="V37" i="83" s="1"/>
  <c r="N37" i="13"/>
  <c r="N37" i="83" s="1"/>
  <c r="U37" i="13"/>
  <c r="U37" i="83" s="1"/>
  <c r="N37" i="16"/>
  <c r="N37" i="82" s="1"/>
  <c r="T37" i="13"/>
  <c r="T37" i="83" s="1"/>
  <c r="L37" i="13"/>
  <c r="L37" i="83" s="1"/>
  <c r="M37" i="16"/>
  <c r="M37" i="82" s="1"/>
  <c r="S37" i="13"/>
  <c r="S37" i="83" s="1"/>
  <c r="K37" i="13"/>
  <c r="K37" i="83" s="1"/>
  <c r="L37" i="16"/>
  <c r="L37" i="82" s="1"/>
  <c r="R37" i="13"/>
  <c r="R37" i="83" s="1"/>
  <c r="J37" i="13"/>
  <c r="J37" i="83" s="1"/>
  <c r="K37" i="16"/>
  <c r="K37" i="82" s="1"/>
  <c r="Q37" i="13"/>
  <c r="Q37" i="83" s="1"/>
  <c r="I37" i="13"/>
  <c r="I37" i="83" s="1"/>
  <c r="M37" i="13"/>
  <c r="M37" i="83" s="1"/>
  <c r="J37" i="16"/>
  <c r="J37" i="82" s="1"/>
  <c r="P37" i="13"/>
  <c r="P37" i="83" s="1"/>
  <c r="O37" i="16"/>
  <c r="O37" i="82" s="1"/>
  <c r="Q37" i="16"/>
  <c r="Q37" i="82" s="1"/>
  <c r="I37" i="16"/>
  <c r="I37" i="82" s="1"/>
  <c r="O37" i="13"/>
  <c r="O37" i="83" s="1"/>
  <c r="O45" i="82" l="1"/>
  <c r="O42" i="82"/>
  <c r="O222" i="82" s="1"/>
  <c r="R42" i="83"/>
  <c r="R222" i="83" s="1"/>
  <c r="R45" i="83"/>
  <c r="U45" i="83"/>
  <c r="U42" i="83"/>
  <c r="U222" i="83" s="1"/>
  <c r="P45" i="83"/>
  <c r="P42" i="83"/>
  <c r="P222" i="83" s="1"/>
  <c r="L42" i="82"/>
  <c r="L222" i="82" s="1"/>
  <c r="L45" i="82"/>
  <c r="N45" i="83"/>
  <c r="N42" i="83"/>
  <c r="N222" i="83" s="1"/>
  <c r="J42" i="82"/>
  <c r="J222" i="82" s="1"/>
  <c r="J45" i="82"/>
  <c r="K45" i="83"/>
  <c r="K42" i="83"/>
  <c r="K222" i="83" s="1"/>
  <c r="V45" i="83"/>
  <c r="V42" i="83"/>
  <c r="V222" i="83" s="1"/>
  <c r="S42" i="83"/>
  <c r="S222" i="83" s="1"/>
  <c r="S45" i="83"/>
  <c r="P45" i="82"/>
  <c r="P42" i="82"/>
  <c r="P222" i="82" s="1"/>
  <c r="M45" i="83"/>
  <c r="M42" i="83"/>
  <c r="M222" i="83" s="1"/>
  <c r="I42" i="83"/>
  <c r="I222" i="83" s="1"/>
  <c r="I45" i="83"/>
  <c r="M42" i="82"/>
  <c r="M222" i="82" s="1"/>
  <c r="M45" i="82"/>
  <c r="O45" i="83"/>
  <c r="O42" i="83"/>
  <c r="O222" i="83" s="1"/>
  <c r="Q42" i="83"/>
  <c r="Q222" i="83" s="1"/>
  <c r="Q45" i="83"/>
  <c r="L42" i="83"/>
  <c r="L222" i="83" s="1"/>
  <c r="L45" i="83"/>
  <c r="I45" i="82"/>
  <c r="I42" i="82"/>
  <c r="I222" i="82" s="1"/>
  <c r="K42" i="82"/>
  <c r="K222" i="82" s="1"/>
  <c r="K45" i="82"/>
  <c r="T42" i="83"/>
  <c r="T222" i="83" s="1"/>
  <c r="T45" i="83"/>
  <c r="Q45" i="82"/>
  <c r="Q42" i="82"/>
  <c r="Q222" i="82" s="1"/>
  <c r="J42" i="83"/>
  <c r="J222" i="83" s="1"/>
  <c r="J45" i="83"/>
  <c r="N45" i="82"/>
  <c r="N42" i="82"/>
  <c r="N222" i="82" s="1"/>
  <c r="A320" i="29"/>
  <c r="A283" i="29"/>
  <c r="G257" i="29"/>
  <c r="G241" i="29"/>
  <c r="G240" i="29"/>
  <c r="G274" i="29" s="1"/>
  <c r="G239" i="29"/>
  <c r="G237" i="29"/>
  <c r="G271" i="29" s="1"/>
  <c r="AA236" i="29"/>
  <c r="Z236" i="29"/>
  <c r="Z302" i="29" s="1"/>
  <c r="Y236" i="29"/>
  <c r="X236" i="29"/>
  <c r="W236" i="29"/>
  <c r="V236" i="29"/>
  <c r="U236" i="29"/>
  <c r="T236" i="29"/>
  <c r="S236" i="29"/>
  <c r="S302" i="29" s="1"/>
  <c r="R236" i="29"/>
  <c r="R302" i="29" s="1"/>
  <c r="Q236" i="29"/>
  <c r="P236" i="29"/>
  <c r="P270" i="29" s="1"/>
  <c r="O236" i="29"/>
  <c r="N236" i="29"/>
  <c r="M236" i="29"/>
  <c r="L236" i="29"/>
  <c r="K236" i="29"/>
  <c r="J236" i="29"/>
  <c r="I236" i="29"/>
  <c r="H236" i="29"/>
  <c r="G236" i="29"/>
  <c r="G302" i="29" s="1"/>
  <c r="G227" i="29"/>
  <c r="G293" i="29" s="1"/>
  <c r="G225" i="29"/>
  <c r="G224" i="29"/>
  <c r="G290" i="29" s="1"/>
  <c r="G223" i="29"/>
  <c r="G289" i="29" s="1"/>
  <c r="A213" i="29"/>
  <c r="A212" i="29"/>
  <c r="A211" i="29"/>
  <c r="A210" i="29"/>
  <c r="AA207" i="29"/>
  <c r="AA227" i="29" s="1"/>
  <c r="Z207" i="29"/>
  <c r="Y207" i="29"/>
  <c r="X207" i="29"/>
  <c r="W207" i="29"/>
  <c r="W240" i="29" s="1"/>
  <c r="V207" i="29"/>
  <c r="V227" i="29" s="1"/>
  <c r="U207" i="29"/>
  <c r="T207" i="29"/>
  <c r="S207" i="29"/>
  <c r="R207" i="29"/>
  <c r="R240" i="29" s="1"/>
  <c r="R306" i="29" s="1"/>
  <c r="Q207" i="29"/>
  <c r="P207" i="29"/>
  <c r="O207" i="29"/>
  <c r="N207" i="29"/>
  <c r="N240" i="29" s="1"/>
  <c r="M207" i="29"/>
  <c r="L207" i="29"/>
  <c r="K207" i="29"/>
  <c r="K227" i="29" s="1"/>
  <c r="J207" i="29"/>
  <c r="I207" i="29"/>
  <c r="H207" i="29"/>
  <c r="A206" i="29"/>
  <c r="A205" i="29"/>
  <c r="A204" i="29"/>
  <c r="A203" i="29"/>
  <c r="A198" i="29"/>
  <c r="A197" i="29"/>
  <c r="A194" i="29"/>
  <c r="H193" i="29"/>
  <c r="I193" i="29" s="1"/>
  <c r="J193" i="29" s="1"/>
  <c r="K193" i="29" s="1"/>
  <c r="L193" i="29" s="1"/>
  <c r="M193" i="29" s="1"/>
  <c r="N193" i="29" s="1"/>
  <c r="O193" i="29" s="1"/>
  <c r="P193" i="29" s="1"/>
  <c r="Q193" i="29" s="1"/>
  <c r="R193" i="29" s="1"/>
  <c r="S193" i="29" s="1"/>
  <c r="T193" i="29" s="1"/>
  <c r="U193" i="29" s="1"/>
  <c r="V193" i="29" s="1"/>
  <c r="W193" i="29" s="1"/>
  <c r="X193" i="29" s="1"/>
  <c r="Y193" i="29" s="1"/>
  <c r="Z193" i="29" s="1"/>
  <c r="AA193" i="29" s="1"/>
  <c r="A193" i="29"/>
  <c r="H192" i="29"/>
  <c r="I192" i="29" s="1"/>
  <c r="A192" i="29"/>
  <c r="A191" i="29"/>
  <c r="A186" i="29"/>
  <c r="H185" i="29"/>
  <c r="A185" i="29"/>
  <c r="A184" i="29"/>
  <c r="C183" i="29"/>
  <c r="H168" i="29"/>
  <c r="I168" i="29" s="1"/>
  <c r="J168" i="29" s="1"/>
  <c r="K168" i="29" s="1"/>
  <c r="L168" i="29" s="1"/>
  <c r="M168" i="29" s="1"/>
  <c r="N168" i="29" s="1"/>
  <c r="O168" i="29" s="1"/>
  <c r="P168" i="29" s="1"/>
  <c r="Q168" i="29" s="1"/>
  <c r="R168" i="29" s="1"/>
  <c r="S168" i="29" s="1"/>
  <c r="T168" i="29" s="1"/>
  <c r="U168" i="29" s="1"/>
  <c r="V168" i="29" s="1"/>
  <c r="W168" i="29" s="1"/>
  <c r="X168" i="29" s="1"/>
  <c r="Y168" i="29" s="1"/>
  <c r="Z168" i="29" s="1"/>
  <c r="AA168" i="29" s="1"/>
  <c r="H167" i="29"/>
  <c r="I167" i="29" s="1"/>
  <c r="J167" i="29" s="1"/>
  <c r="K167" i="29" s="1"/>
  <c r="L167" i="29" s="1"/>
  <c r="M167" i="29" s="1"/>
  <c r="N167" i="29" s="1"/>
  <c r="O167" i="29" s="1"/>
  <c r="P167" i="29" s="1"/>
  <c r="Q167" i="29" s="1"/>
  <c r="R167" i="29" s="1"/>
  <c r="S167" i="29" s="1"/>
  <c r="T167" i="29" s="1"/>
  <c r="U167" i="29" s="1"/>
  <c r="V167" i="29" s="1"/>
  <c r="W167" i="29" s="1"/>
  <c r="X167" i="29" s="1"/>
  <c r="Y167" i="29" s="1"/>
  <c r="Z167" i="29" s="1"/>
  <c r="AA167" i="29" s="1"/>
  <c r="H166" i="29"/>
  <c r="I166" i="29" s="1"/>
  <c r="J166" i="29" s="1"/>
  <c r="K166" i="29" s="1"/>
  <c r="L166" i="29" s="1"/>
  <c r="M166" i="29" s="1"/>
  <c r="N166" i="29" s="1"/>
  <c r="O166" i="29" s="1"/>
  <c r="P166" i="29" s="1"/>
  <c r="Q166" i="29" s="1"/>
  <c r="R166" i="29" s="1"/>
  <c r="S166" i="29" s="1"/>
  <c r="T166" i="29" s="1"/>
  <c r="U166" i="29" s="1"/>
  <c r="V166" i="29" s="1"/>
  <c r="W166" i="29" s="1"/>
  <c r="X166" i="29" s="1"/>
  <c r="Y166" i="29" s="1"/>
  <c r="Z166" i="29" s="1"/>
  <c r="AA166" i="29" s="1"/>
  <c r="H165" i="29"/>
  <c r="I165" i="29" s="1"/>
  <c r="J165" i="29" s="1"/>
  <c r="K165" i="29" s="1"/>
  <c r="L165" i="29" s="1"/>
  <c r="M165" i="29" s="1"/>
  <c r="N165" i="29" s="1"/>
  <c r="O165" i="29" s="1"/>
  <c r="P165" i="29" s="1"/>
  <c r="Q165" i="29" s="1"/>
  <c r="R165" i="29" s="1"/>
  <c r="S165" i="29" s="1"/>
  <c r="T165" i="29" s="1"/>
  <c r="U165" i="29" s="1"/>
  <c r="V165" i="29" s="1"/>
  <c r="W165" i="29" s="1"/>
  <c r="X165" i="29" s="1"/>
  <c r="Y165" i="29" s="1"/>
  <c r="Z165" i="29" s="1"/>
  <c r="AA165" i="29" s="1"/>
  <c r="A165" i="29"/>
  <c r="A164" i="29"/>
  <c r="A160" i="29"/>
  <c r="A158" i="29"/>
  <c r="AA156" i="29"/>
  <c r="Z156" i="29"/>
  <c r="Y156" i="29"/>
  <c r="X156" i="29"/>
  <c r="W156" i="29"/>
  <c r="Q156" i="29"/>
  <c r="P156" i="29"/>
  <c r="O156" i="29"/>
  <c r="N156" i="29"/>
  <c r="M156" i="29"/>
  <c r="L156" i="29"/>
  <c r="K156" i="29"/>
  <c r="J156" i="29"/>
  <c r="I156" i="29"/>
  <c r="H156" i="29"/>
  <c r="A155" i="29"/>
  <c r="H154" i="29"/>
  <c r="V153" i="29"/>
  <c r="V156" i="29" s="1"/>
  <c r="U153" i="29"/>
  <c r="U156" i="29" s="1"/>
  <c r="T153" i="29"/>
  <c r="T156" i="29" s="1"/>
  <c r="S153" i="29"/>
  <c r="S156" i="29" s="1"/>
  <c r="R153" i="29"/>
  <c r="R156" i="29" s="1"/>
  <c r="A153" i="29"/>
  <c r="H147" i="29"/>
  <c r="I147" i="29" s="1"/>
  <c r="J147" i="29" s="1"/>
  <c r="K147" i="29" s="1"/>
  <c r="L147" i="29" s="1"/>
  <c r="M147" i="29" s="1"/>
  <c r="N147" i="29" s="1"/>
  <c r="O147" i="29" s="1"/>
  <c r="P147" i="29" s="1"/>
  <c r="Q147" i="29" s="1"/>
  <c r="R147" i="29" s="1"/>
  <c r="S147" i="29" s="1"/>
  <c r="T147" i="29" s="1"/>
  <c r="U147" i="29" s="1"/>
  <c r="V147" i="29" s="1"/>
  <c r="W147" i="29" s="1"/>
  <c r="X147" i="29" s="1"/>
  <c r="Y147" i="29" s="1"/>
  <c r="Z147" i="29" s="1"/>
  <c r="AA147" i="29" s="1"/>
  <c r="H146" i="29"/>
  <c r="I146" i="29" s="1"/>
  <c r="J146" i="29" s="1"/>
  <c r="K146" i="29" s="1"/>
  <c r="L146" i="29" s="1"/>
  <c r="M146" i="29" s="1"/>
  <c r="N146" i="29" s="1"/>
  <c r="O146" i="29" s="1"/>
  <c r="P146" i="29" s="1"/>
  <c r="Q146" i="29" s="1"/>
  <c r="R146" i="29" s="1"/>
  <c r="S146" i="29" s="1"/>
  <c r="T146" i="29" s="1"/>
  <c r="U146" i="29" s="1"/>
  <c r="V146" i="29" s="1"/>
  <c r="W146" i="29" s="1"/>
  <c r="X146" i="29" s="1"/>
  <c r="Y146" i="29" s="1"/>
  <c r="Z146" i="29" s="1"/>
  <c r="AA146" i="29" s="1"/>
  <c r="H145" i="29"/>
  <c r="I145" i="29" s="1"/>
  <c r="J145" i="29" s="1"/>
  <c r="K145" i="29" s="1"/>
  <c r="L145" i="29" s="1"/>
  <c r="M145" i="29" s="1"/>
  <c r="N145" i="29" s="1"/>
  <c r="O145" i="29" s="1"/>
  <c r="P145" i="29" s="1"/>
  <c r="Q145" i="29" s="1"/>
  <c r="R145" i="29" s="1"/>
  <c r="S145" i="29" s="1"/>
  <c r="T145" i="29" s="1"/>
  <c r="U145" i="29" s="1"/>
  <c r="V145" i="29" s="1"/>
  <c r="W145" i="29" s="1"/>
  <c r="X145" i="29" s="1"/>
  <c r="Y145" i="29" s="1"/>
  <c r="Z145" i="29" s="1"/>
  <c r="AA145" i="29" s="1"/>
  <c r="H144" i="29"/>
  <c r="I144" i="29" s="1"/>
  <c r="J144" i="29" s="1"/>
  <c r="K144" i="29" s="1"/>
  <c r="L144" i="29" s="1"/>
  <c r="M144" i="29" s="1"/>
  <c r="N144" i="29" s="1"/>
  <c r="O144" i="29" s="1"/>
  <c r="P144" i="29" s="1"/>
  <c r="Q144" i="29" s="1"/>
  <c r="R144" i="29" s="1"/>
  <c r="S144" i="29" s="1"/>
  <c r="T144" i="29" s="1"/>
  <c r="U144" i="29" s="1"/>
  <c r="V144" i="29" s="1"/>
  <c r="W144" i="29" s="1"/>
  <c r="X144" i="29" s="1"/>
  <c r="Y144" i="29" s="1"/>
  <c r="Z144" i="29" s="1"/>
  <c r="AA144" i="29" s="1"/>
  <c r="A144" i="29"/>
  <c r="A143" i="29"/>
  <c r="H141" i="29"/>
  <c r="A139" i="29"/>
  <c r="A137" i="29"/>
  <c r="AA135" i="29"/>
  <c r="Z135" i="29"/>
  <c r="Y135" i="29"/>
  <c r="X135" i="29"/>
  <c r="W135" i="29"/>
  <c r="Q135" i="29"/>
  <c r="P135" i="29"/>
  <c r="O135" i="29"/>
  <c r="N135" i="29"/>
  <c r="M135" i="29"/>
  <c r="L135" i="29"/>
  <c r="K135" i="29"/>
  <c r="J135" i="29"/>
  <c r="I135" i="29"/>
  <c r="H135" i="29"/>
  <c r="A134" i="29"/>
  <c r="I133" i="29"/>
  <c r="H133" i="29"/>
  <c r="H142" i="29" s="1"/>
  <c r="V132" i="29"/>
  <c r="V135" i="29" s="1"/>
  <c r="U132" i="29"/>
  <c r="U135" i="29" s="1"/>
  <c r="T132" i="29"/>
  <c r="T135" i="29" s="1"/>
  <c r="S132" i="29"/>
  <c r="S135" i="29" s="1"/>
  <c r="R132" i="29"/>
  <c r="R135" i="29" s="1"/>
  <c r="A132" i="29"/>
  <c r="H126" i="29"/>
  <c r="I126" i="29" s="1"/>
  <c r="J126" i="29" s="1"/>
  <c r="K126" i="29" s="1"/>
  <c r="L126" i="29" s="1"/>
  <c r="M126" i="29" s="1"/>
  <c r="N126" i="29" s="1"/>
  <c r="O126" i="29" s="1"/>
  <c r="P126" i="29" s="1"/>
  <c r="Q126" i="29" s="1"/>
  <c r="R126" i="29" s="1"/>
  <c r="S126" i="29" s="1"/>
  <c r="T126" i="29" s="1"/>
  <c r="U126" i="29" s="1"/>
  <c r="V126" i="29" s="1"/>
  <c r="W126" i="29" s="1"/>
  <c r="X126" i="29" s="1"/>
  <c r="Y126" i="29" s="1"/>
  <c r="Z126" i="29" s="1"/>
  <c r="AA126" i="29" s="1"/>
  <c r="H125" i="29"/>
  <c r="I125" i="29" s="1"/>
  <c r="J125" i="29" s="1"/>
  <c r="K125" i="29" s="1"/>
  <c r="L125" i="29" s="1"/>
  <c r="M125" i="29" s="1"/>
  <c r="N125" i="29" s="1"/>
  <c r="O125" i="29" s="1"/>
  <c r="P125" i="29" s="1"/>
  <c r="Q125" i="29" s="1"/>
  <c r="R125" i="29" s="1"/>
  <c r="S125" i="29" s="1"/>
  <c r="T125" i="29" s="1"/>
  <c r="U125" i="29" s="1"/>
  <c r="V125" i="29" s="1"/>
  <c r="W125" i="29" s="1"/>
  <c r="X125" i="29" s="1"/>
  <c r="Y125" i="29" s="1"/>
  <c r="Z125" i="29" s="1"/>
  <c r="AA125" i="29" s="1"/>
  <c r="H124" i="29"/>
  <c r="I124" i="29" s="1"/>
  <c r="J124" i="29" s="1"/>
  <c r="K124" i="29" s="1"/>
  <c r="L124" i="29" s="1"/>
  <c r="M124" i="29" s="1"/>
  <c r="N124" i="29" s="1"/>
  <c r="O124" i="29" s="1"/>
  <c r="P124" i="29" s="1"/>
  <c r="Q124" i="29" s="1"/>
  <c r="R124" i="29" s="1"/>
  <c r="S124" i="29" s="1"/>
  <c r="T124" i="29" s="1"/>
  <c r="U124" i="29" s="1"/>
  <c r="V124" i="29" s="1"/>
  <c r="W124" i="29" s="1"/>
  <c r="X124" i="29" s="1"/>
  <c r="Y124" i="29" s="1"/>
  <c r="Z124" i="29" s="1"/>
  <c r="AA124" i="29" s="1"/>
  <c r="H123" i="29"/>
  <c r="I123" i="29" s="1"/>
  <c r="J123" i="29" s="1"/>
  <c r="K123" i="29" s="1"/>
  <c r="L123" i="29" s="1"/>
  <c r="M123" i="29" s="1"/>
  <c r="N123" i="29" s="1"/>
  <c r="O123" i="29" s="1"/>
  <c r="P123" i="29" s="1"/>
  <c r="Q123" i="29" s="1"/>
  <c r="R123" i="29" s="1"/>
  <c r="S123" i="29" s="1"/>
  <c r="T123" i="29" s="1"/>
  <c r="U123" i="29" s="1"/>
  <c r="V123" i="29" s="1"/>
  <c r="W123" i="29" s="1"/>
  <c r="X123" i="29" s="1"/>
  <c r="Y123" i="29" s="1"/>
  <c r="Z123" i="29" s="1"/>
  <c r="AA123" i="29" s="1"/>
  <c r="A123" i="29"/>
  <c r="A122" i="29"/>
  <c r="A116" i="29"/>
  <c r="AA114" i="29"/>
  <c r="Z114" i="29"/>
  <c r="Y114" i="29"/>
  <c r="X114" i="29"/>
  <c r="W114" i="29"/>
  <c r="Q114" i="29"/>
  <c r="O114" i="29"/>
  <c r="K114" i="29"/>
  <c r="I114" i="29"/>
  <c r="A113" i="29"/>
  <c r="H112" i="29"/>
  <c r="H119" i="29" s="1"/>
  <c r="S114" i="29"/>
  <c r="P114" i="29"/>
  <c r="N114" i="29"/>
  <c r="M114" i="29"/>
  <c r="L114" i="29"/>
  <c r="J114" i="29"/>
  <c r="H114" i="29"/>
  <c r="A111" i="29"/>
  <c r="H105" i="29"/>
  <c r="I105" i="29" s="1"/>
  <c r="J105" i="29" s="1"/>
  <c r="K105" i="29" s="1"/>
  <c r="L105" i="29" s="1"/>
  <c r="M105" i="29" s="1"/>
  <c r="N105" i="29" s="1"/>
  <c r="O105" i="29" s="1"/>
  <c r="P105" i="29" s="1"/>
  <c r="Q105" i="29" s="1"/>
  <c r="R105" i="29" s="1"/>
  <c r="S105" i="29" s="1"/>
  <c r="T105" i="29" s="1"/>
  <c r="U105" i="29" s="1"/>
  <c r="V105" i="29" s="1"/>
  <c r="W105" i="29" s="1"/>
  <c r="X105" i="29" s="1"/>
  <c r="Y105" i="29" s="1"/>
  <c r="Z105" i="29" s="1"/>
  <c r="AA105" i="29" s="1"/>
  <c r="H104" i="29"/>
  <c r="I104" i="29" s="1"/>
  <c r="J104" i="29" s="1"/>
  <c r="K104" i="29" s="1"/>
  <c r="L104" i="29" s="1"/>
  <c r="M104" i="29" s="1"/>
  <c r="N104" i="29" s="1"/>
  <c r="O104" i="29" s="1"/>
  <c r="P104" i="29" s="1"/>
  <c r="Q104" i="29" s="1"/>
  <c r="R104" i="29" s="1"/>
  <c r="S104" i="29" s="1"/>
  <c r="T104" i="29" s="1"/>
  <c r="U104" i="29" s="1"/>
  <c r="V104" i="29" s="1"/>
  <c r="W104" i="29" s="1"/>
  <c r="X104" i="29" s="1"/>
  <c r="Y104" i="29" s="1"/>
  <c r="Z104" i="29" s="1"/>
  <c r="AA104" i="29" s="1"/>
  <c r="H103" i="29"/>
  <c r="I103" i="29" s="1"/>
  <c r="J103" i="29" s="1"/>
  <c r="K103" i="29" s="1"/>
  <c r="L103" i="29" s="1"/>
  <c r="M103" i="29" s="1"/>
  <c r="N103" i="29" s="1"/>
  <c r="O103" i="29" s="1"/>
  <c r="P103" i="29" s="1"/>
  <c r="Q103" i="29" s="1"/>
  <c r="R103" i="29" s="1"/>
  <c r="S103" i="29" s="1"/>
  <c r="T103" i="29" s="1"/>
  <c r="U103" i="29" s="1"/>
  <c r="V103" i="29" s="1"/>
  <c r="W103" i="29" s="1"/>
  <c r="X103" i="29" s="1"/>
  <c r="Y103" i="29" s="1"/>
  <c r="Z103" i="29" s="1"/>
  <c r="AA103" i="29" s="1"/>
  <c r="H102" i="29"/>
  <c r="I102" i="29" s="1"/>
  <c r="J102" i="29" s="1"/>
  <c r="K102" i="29" s="1"/>
  <c r="L102" i="29" s="1"/>
  <c r="M102" i="29" s="1"/>
  <c r="N102" i="29" s="1"/>
  <c r="O102" i="29" s="1"/>
  <c r="P102" i="29" s="1"/>
  <c r="Q102" i="29" s="1"/>
  <c r="R102" i="29" s="1"/>
  <c r="S102" i="29" s="1"/>
  <c r="T102" i="29" s="1"/>
  <c r="U102" i="29" s="1"/>
  <c r="V102" i="29" s="1"/>
  <c r="W102" i="29" s="1"/>
  <c r="X102" i="29" s="1"/>
  <c r="Y102" i="29" s="1"/>
  <c r="Z102" i="29" s="1"/>
  <c r="AA102" i="29" s="1"/>
  <c r="A102" i="29"/>
  <c r="A101" i="29"/>
  <c r="A95" i="29"/>
  <c r="AA93" i="29"/>
  <c r="Z93" i="29"/>
  <c r="Y93" i="29"/>
  <c r="X93" i="29"/>
  <c r="W93" i="29"/>
  <c r="A92" i="29"/>
  <c r="A90" i="29"/>
  <c r="C87" i="29"/>
  <c r="AA80" i="29"/>
  <c r="Z80" i="29"/>
  <c r="Y80" i="29"/>
  <c r="X80" i="29"/>
  <c r="W80" i="29"/>
  <c r="V80" i="29"/>
  <c r="U80" i="29"/>
  <c r="T80" i="29"/>
  <c r="S80" i="29"/>
  <c r="R80" i="29"/>
  <c r="Q80" i="29"/>
  <c r="P80" i="29"/>
  <c r="O80" i="29"/>
  <c r="N80" i="29"/>
  <c r="M80" i="29"/>
  <c r="L80" i="29"/>
  <c r="K80" i="29"/>
  <c r="J80" i="29"/>
  <c r="I80" i="29"/>
  <c r="H80" i="29"/>
  <c r="G80" i="29"/>
  <c r="AA79" i="29"/>
  <c r="Z79" i="29"/>
  <c r="Y79" i="29"/>
  <c r="X79" i="29"/>
  <c r="W79" i="29"/>
  <c r="V79" i="29"/>
  <c r="U79" i="29"/>
  <c r="T79" i="29"/>
  <c r="S79" i="29"/>
  <c r="R79" i="29"/>
  <c r="Q79" i="29"/>
  <c r="P79" i="29"/>
  <c r="O79" i="29"/>
  <c r="N79" i="29"/>
  <c r="M79" i="29"/>
  <c r="L79" i="29"/>
  <c r="K79" i="29"/>
  <c r="J79" i="29"/>
  <c r="I79" i="29"/>
  <c r="H79" i="29"/>
  <c r="G79" i="29"/>
  <c r="AA78" i="29"/>
  <c r="Z78" i="29"/>
  <c r="Y78" i="29"/>
  <c r="X78" i="29"/>
  <c r="W78" i="29"/>
  <c r="V78" i="29"/>
  <c r="U78" i="29"/>
  <c r="T78" i="29"/>
  <c r="S78" i="29"/>
  <c r="R78" i="29"/>
  <c r="Q78" i="29"/>
  <c r="P78" i="29"/>
  <c r="O78" i="29"/>
  <c r="N78" i="29"/>
  <c r="M78" i="29"/>
  <c r="L78" i="29"/>
  <c r="K78" i="29"/>
  <c r="J78" i="29"/>
  <c r="I78" i="29"/>
  <c r="H78" i="29"/>
  <c r="G78" i="29"/>
  <c r="AA75" i="29"/>
  <c r="Z75" i="29"/>
  <c r="Y75" i="29"/>
  <c r="X75" i="29"/>
  <c r="W75" i="29"/>
  <c r="V75" i="29"/>
  <c r="U75" i="29"/>
  <c r="T75" i="29"/>
  <c r="S75" i="29"/>
  <c r="R75" i="29"/>
  <c r="Q75" i="29"/>
  <c r="P75" i="29"/>
  <c r="O75" i="29"/>
  <c r="N75" i="29"/>
  <c r="M75" i="29"/>
  <c r="L75" i="29"/>
  <c r="K75" i="29"/>
  <c r="J75" i="29"/>
  <c r="I75" i="29"/>
  <c r="H75" i="29"/>
  <c r="G75" i="29"/>
  <c r="E73" i="29"/>
  <c r="E80" i="29" s="1"/>
  <c r="E72" i="29"/>
  <c r="E79" i="29" s="1"/>
  <c r="E71" i="29"/>
  <c r="E78" i="29" s="1"/>
  <c r="A70" i="29"/>
  <c r="AA66" i="29"/>
  <c r="Z66" i="29"/>
  <c r="Y66" i="29"/>
  <c r="X66" i="29"/>
  <c r="W66" i="29"/>
  <c r="V66" i="29"/>
  <c r="U66" i="29"/>
  <c r="T66" i="29"/>
  <c r="S66" i="29"/>
  <c r="R66" i="29"/>
  <c r="Q66" i="29"/>
  <c r="P66" i="29"/>
  <c r="O66" i="29"/>
  <c r="N66" i="29"/>
  <c r="M66" i="29"/>
  <c r="L66" i="29"/>
  <c r="K66" i="29"/>
  <c r="J66" i="29"/>
  <c r="I66" i="29"/>
  <c r="H66" i="29"/>
  <c r="G66" i="29"/>
  <c r="AA65" i="29"/>
  <c r="Z65" i="29"/>
  <c r="Y65" i="29"/>
  <c r="X65" i="29"/>
  <c r="W65" i="29"/>
  <c r="V65" i="29"/>
  <c r="U65" i="29"/>
  <c r="T65" i="29"/>
  <c r="S65" i="29"/>
  <c r="R65" i="29"/>
  <c r="Q65" i="29"/>
  <c r="P65" i="29"/>
  <c r="O65" i="29"/>
  <c r="N65" i="29"/>
  <c r="M65" i="29"/>
  <c r="L65" i="29"/>
  <c r="K65" i="29"/>
  <c r="J65" i="29"/>
  <c r="I65" i="29"/>
  <c r="H65" i="29"/>
  <c r="G65" i="29"/>
  <c r="AA64" i="29"/>
  <c r="Z64" i="29"/>
  <c r="Y64" i="29"/>
  <c r="X64" i="29"/>
  <c r="W64" i="29"/>
  <c r="V64" i="29"/>
  <c r="U64" i="29"/>
  <c r="T64" i="29"/>
  <c r="S64" i="29"/>
  <c r="R64" i="29"/>
  <c r="Q64" i="29"/>
  <c r="P64" i="29"/>
  <c r="O64" i="29"/>
  <c r="N64" i="29"/>
  <c r="M64" i="29"/>
  <c r="L64" i="29"/>
  <c r="K64" i="29"/>
  <c r="J64" i="29"/>
  <c r="I64" i="29"/>
  <c r="H64" i="29"/>
  <c r="G64" i="29"/>
  <c r="AA61" i="29"/>
  <c r="AA84" i="29" s="1"/>
  <c r="AA235" i="29" s="1"/>
  <c r="Z61" i="29"/>
  <c r="Y61" i="29"/>
  <c r="Y84" i="29" s="1"/>
  <c r="Y235" i="29" s="1"/>
  <c r="X61" i="29"/>
  <c r="W61" i="29"/>
  <c r="W84" i="29" s="1"/>
  <c r="W235" i="29" s="1"/>
  <c r="V61" i="29"/>
  <c r="V84" i="29" s="1"/>
  <c r="V235" i="29" s="1"/>
  <c r="U61" i="29"/>
  <c r="U84" i="29" s="1"/>
  <c r="U235" i="29" s="1"/>
  <c r="T61" i="29"/>
  <c r="T84" i="29" s="1"/>
  <c r="T235" i="29" s="1"/>
  <c r="S61" i="29"/>
  <c r="S84" i="29" s="1"/>
  <c r="S235" i="29" s="1"/>
  <c r="R61" i="29"/>
  <c r="Q61" i="29"/>
  <c r="Q84" i="29" s="1"/>
  <c r="Q235" i="29" s="1"/>
  <c r="P61" i="29"/>
  <c r="O61" i="29"/>
  <c r="O84" i="29" s="1"/>
  <c r="O235" i="29" s="1"/>
  <c r="N61" i="29"/>
  <c r="N84" i="29" s="1"/>
  <c r="N235" i="29" s="1"/>
  <c r="M61" i="29"/>
  <c r="M84" i="29" s="1"/>
  <c r="M235" i="29" s="1"/>
  <c r="L61" i="29"/>
  <c r="L84" i="29" s="1"/>
  <c r="L235" i="29" s="1"/>
  <c r="K61" i="29"/>
  <c r="K84" i="29" s="1"/>
  <c r="K235" i="29" s="1"/>
  <c r="J61" i="29"/>
  <c r="I61" i="29"/>
  <c r="I84" i="29" s="1"/>
  <c r="I235" i="29" s="1"/>
  <c r="H61" i="29"/>
  <c r="G61" i="29"/>
  <c r="G84" i="29" s="1"/>
  <c r="G235" i="29" s="1"/>
  <c r="E59" i="29"/>
  <c r="E66" i="29" s="1"/>
  <c r="E58" i="29"/>
  <c r="E65" i="29" s="1"/>
  <c r="E57" i="29"/>
  <c r="E64" i="29" s="1"/>
  <c r="A56" i="29"/>
  <c r="A52" i="29"/>
  <c r="AA48" i="29"/>
  <c r="Z48" i="29"/>
  <c r="Y48" i="29"/>
  <c r="X48" i="29"/>
  <c r="W48" i="29"/>
  <c r="V48" i="29"/>
  <c r="U48" i="29"/>
  <c r="T48" i="29"/>
  <c r="S48" i="29"/>
  <c r="R48" i="29"/>
  <c r="Q48" i="29"/>
  <c r="P48" i="29"/>
  <c r="O48" i="29"/>
  <c r="N48" i="29"/>
  <c r="M48" i="29"/>
  <c r="L48" i="29"/>
  <c r="K48" i="29"/>
  <c r="J48" i="29"/>
  <c r="I48" i="29"/>
  <c r="H48" i="29"/>
  <c r="G48" i="29"/>
  <c r="AA47" i="29"/>
  <c r="Z47" i="29"/>
  <c r="Y47" i="29"/>
  <c r="X47" i="29"/>
  <c r="W47" i="29"/>
  <c r="V47" i="29"/>
  <c r="U47" i="29"/>
  <c r="T47" i="29"/>
  <c r="S47" i="29"/>
  <c r="R47" i="29"/>
  <c r="Q47" i="29"/>
  <c r="P47" i="29"/>
  <c r="O47" i="29"/>
  <c r="N47" i="29"/>
  <c r="M47" i="29"/>
  <c r="L47" i="29"/>
  <c r="K47" i="29"/>
  <c r="J47" i="29"/>
  <c r="I47" i="29"/>
  <c r="H47" i="29"/>
  <c r="G47" i="29"/>
  <c r="AA46" i="29"/>
  <c r="Z46" i="29"/>
  <c r="Y46" i="29"/>
  <c r="X46" i="29"/>
  <c r="W46" i="29"/>
  <c r="V46" i="29"/>
  <c r="U46" i="29"/>
  <c r="T46" i="29"/>
  <c r="S46" i="29"/>
  <c r="R46" i="29"/>
  <c r="Q46" i="29"/>
  <c r="P46" i="29"/>
  <c r="O46" i="29"/>
  <c r="N46" i="29"/>
  <c r="M46" i="29"/>
  <c r="L46" i="29"/>
  <c r="K46" i="29"/>
  <c r="J46" i="29"/>
  <c r="I46" i="29"/>
  <c r="H46" i="29"/>
  <c r="G46" i="29"/>
  <c r="G45" i="29"/>
  <c r="G42" i="29"/>
  <c r="G222" i="29" s="1"/>
  <c r="E40" i="29"/>
  <c r="E48" i="29" s="1"/>
  <c r="E39" i="29"/>
  <c r="E47" i="29" s="1"/>
  <c r="E38" i="29"/>
  <c r="E46" i="29" s="1"/>
  <c r="AA45" i="29"/>
  <c r="Z42" i="29"/>
  <c r="Z222" i="29" s="1"/>
  <c r="Y42" i="29"/>
  <c r="Y222" i="29" s="1"/>
  <c r="X42" i="29"/>
  <c r="X222" i="29" s="1"/>
  <c r="W45" i="29"/>
  <c r="E37" i="29"/>
  <c r="E45" i="29" s="1"/>
  <c r="A36" i="29"/>
  <c r="AA32" i="29"/>
  <c r="Z32" i="29"/>
  <c r="Y32" i="29"/>
  <c r="X32" i="29"/>
  <c r="W32" i="29"/>
  <c r="V32" i="29"/>
  <c r="U32" i="29"/>
  <c r="T32" i="29"/>
  <c r="S32" i="29"/>
  <c r="R32" i="29"/>
  <c r="Q32" i="29"/>
  <c r="P32" i="29"/>
  <c r="O32" i="29"/>
  <c r="N32" i="29"/>
  <c r="M32" i="29"/>
  <c r="L32" i="29"/>
  <c r="K32" i="29"/>
  <c r="J32" i="29"/>
  <c r="I32" i="29"/>
  <c r="H32" i="29"/>
  <c r="G32" i="29"/>
  <c r="E32" i="29"/>
  <c r="AA31" i="29"/>
  <c r="Z31" i="29"/>
  <c r="Y31" i="29"/>
  <c r="X31" i="29"/>
  <c r="W31" i="29"/>
  <c r="V31" i="29"/>
  <c r="U31" i="29"/>
  <c r="T31" i="29"/>
  <c r="S31" i="29"/>
  <c r="R31" i="29"/>
  <c r="Q31" i="29"/>
  <c r="P31" i="29"/>
  <c r="O31" i="29"/>
  <c r="N31" i="29"/>
  <c r="M31" i="29"/>
  <c r="L31" i="29"/>
  <c r="K31" i="29"/>
  <c r="J31" i="29"/>
  <c r="I31" i="29"/>
  <c r="H31" i="29"/>
  <c r="G31" i="29"/>
  <c r="AA30" i="29"/>
  <c r="Z30" i="29"/>
  <c r="Y30" i="29"/>
  <c r="X30" i="29"/>
  <c r="W30" i="29"/>
  <c r="V30" i="29"/>
  <c r="U30" i="29"/>
  <c r="T30" i="29"/>
  <c r="S30" i="29"/>
  <c r="R30" i="29"/>
  <c r="Q30" i="29"/>
  <c r="P30" i="29"/>
  <c r="O30" i="29"/>
  <c r="N30" i="29"/>
  <c r="M30" i="29"/>
  <c r="L30" i="29"/>
  <c r="K30" i="29"/>
  <c r="J30" i="29"/>
  <c r="I30" i="29"/>
  <c r="H30" i="29"/>
  <c r="G30" i="29"/>
  <c r="AA29" i="29"/>
  <c r="Z29" i="29"/>
  <c r="Y29" i="29"/>
  <c r="X29" i="29"/>
  <c r="W29" i="29"/>
  <c r="AA26" i="29"/>
  <c r="AA234" i="29" s="1"/>
  <c r="Z26" i="29"/>
  <c r="Z234" i="29" s="1"/>
  <c r="Y26" i="29"/>
  <c r="Y234" i="29" s="1"/>
  <c r="X26" i="29"/>
  <c r="X234" i="29" s="1"/>
  <c r="W26" i="29"/>
  <c r="W234" i="29" s="1"/>
  <c r="E23" i="29"/>
  <c r="E31" i="29" s="1"/>
  <c r="E22" i="29"/>
  <c r="E30" i="29" s="1"/>
  <c r="G26" i="29"/>
  <c r="G234" i="29" s="1"/>
  <c r="E21" i="29"/>
  <c r="E29" i="29" s="1"/>
  <c r="A20" i="29"/>
  <c r="A18" i="29"/>
  <c r="G16" i="29"/>
  <c r="A15" i="29"/>
  <c r="A14" i="29"/>
  <c r="A10" i="29"/>
  <c r="A9" i="29"/>
  <c r="A8" i="29"/>
  <c r="A7" i="29"/>
  <c r="A4" i="29"/>
  <c r="M288" i="83" l="1"/>
  <c r="M256" i="83"/>
  <c r="K256" i="83"/>
  <c r="K288" i="83"/>
  <c r="P256" i="83"/>
  <c r="P288" i="83"/>
  <c r="T288" i="83"/>
  <c r="T256" i="83"/>
  <c r="Q288" i="83"/>
  <c r="Q256" i="83"/>
  <c r="N288" i="82"/>
  <c r="N256" i="82"/>
  <c r="O288" i="83"/>
  <c r="O256" i="83"/>
  <c r="P288" i="82"/>
  <c r="P256" i="82"/>
  <c r="U256" i="83"/>
  <c r="U288" i="83"/>
  <c r="K288" i="82"/>
  <c r="K256" i="82"/>
  <c r="J288" i="82"/>
  <c r="J256" i="82"/>
  <c r="I256" i="82"/>
  <c r="I288" i="82"/>
  <c r="N288" i="83"/>
  <c r="N256" i="83"/>
  <c r="J288" i="83"/>
  <c r="J256" i="83"/>
  <c r="M288" i="82"/>
  <c r="M256" i="82"/>
  <c r="S288" i="83"/>
  <c r="S256" i="83"/>
  <c r="R288" i="83"/>
  <c r="R256" i="83"/>
  <c r="Q288" i="82"/>
  <c r="Q256" i="82"/>
  <c r="V256" i="83"/>
  <c r="V288" i="83"/>
  <c r="O288" i="82"/>
  <c r="O256" i="82"/>
  <c r="L288" i="83"/>
  <c r="L256" i="83"/>
  <c r="I256" i="83"/>
  <c r="I288" i="83"/>
  <c r="L256" i="82"/>
  <c r="L288" i="82"/>
  <c r="J192" i="29"/>
  <c r="K192" i="29" s="1"/>
  <c r="L192" i="29" s="1"/>
  <c r="P302" i="29"/>
  <c r="G68" i="29"/>
  <c r="G85" i="29" s="1"/>
  <c r="G82" i="29"/>
  <c r="H136" i="29"/>
  <c r="AA174" i="29"/>
  <c r="AA217" i="29" s="1"/>
  <c r="V240" i="29"/>
  <c r="H140" i="29"/>
  <c r="H149" i="29" s="1"/>
  <c r="M82" i="29"/>
  <c r="J84" i="29"/>
  <c r="J235" i="29" s="1"/>
  <c r="R84" i="29"/>
  <c r="R235" i="29" s="1"/>
  <c r="Z84" i="29"/>
  <c r="Z235" i="29" s="1"/>
  <c r="H84" i="29"/>
  <c r="H235" i="29" s="1"/>
  <c r="H269" i="29" s="1"/>
  <c r="P84" i="29"/>
  <c r="P235" i="29" s="1"/>
  <c r="X84" i="29"/>
  <c r="X235" i="29" s="1"/>
  <c r="X269" i="29" s="1"/>
  <c r="N227" i="29"/>
  <c r="G258" i="29"/>
  <c r="G306" i="29"/>
  <c r="W174" i="29"/>
  <c r="W217" i="29" s="1"/>
  <c r="R227" i="29"/>
  <c r="G238" i="29"/>
  <c r="G304" i="29" s="1"/>
  <c r="G270" i="29"/>
  <c r="R270" i="29"/>
  <c r="S270" i="29"/>
  <c r="Z270" i="29"/>
  <c r="Y174" i="29"/>
  <c r="Y217" i="29" s="1"/>
  <c r="X45" i="29"/>
  <c r="Y45" i="29"/>
  <c r="N301" i="29"/>
  <c r="N269" i="29"/>
  <c r="V269" i="29"/>
  <c r="V301" i="29"/>
  <c r="P301" i="29"/>
  <c r="P269" i="29"/>
  <c r="X301" i="29"/>
  <c r="J301" i="29"/>
  <c r="J269" i="29"/>
  <c r="R301" i="29"/>
  <c r="R269" i="29"/>
  <c r="Z301" i="29"/>
  <c r="Z269" i="29"/>
  <c r="L301" i="29"/>
  <c r="L269" i="29"/>
  <c r="T301" i="29"/>
  <c r="T269" i="29"/>
  <c r="G256" i="29"/>
  <c r="G288" i="29"/>
  <c r="W42" i="29"/>
  <c r="W222" i="29" s="1"/>
  <c r="X68" i="29"/>
  <c r="T68" i="29"/>
  <c r="P68" i="29"/>
  <c r="L68" i="29"/>
  <c r="H68" i="29"/>
  <c r="K82" i="29"/>
  <c r="S82" i="29"/>
  <c r="M302" i="29"/>
  <c r="M270" i="29"/>
  <c r="Q302" i="29"/>
  <c r="Q270" i="29"/>
  <c r="Y302" i="29"/>
  <c r="Y270" i="29"/>
  <c r="Z268" i="29"/>
  <c r="Z300" i="29"/>
  <c r="Y288" i="29"/>
  <c r="Y256" i="29"/>
  <c r="K301" i="29"/>
  <c r="K269" i="29"/>
  <c r="S301" i="29"/>
  <c r="S269" i="29"/>
  <c r="AA269" i="29"/>
  <c r="AA301" i="29"/>
  <c r="Q68" i="29"/>
  <c r="Z82" i="29"/>
  <c r="U82" i="29"/>
  <c r="I240" i="29"/>
  <c r="I227" i="29"/>
  <c r="Q227" i="29"/>
  <c r="Q240" i="29"/>
  <c r="Y240" i="29"/>
  <c r="Y227" i="29"/>
  <c r="AA42" i="29"/>
  <c r="AA222" i="29" s="1"/>
  <c r="K68" i="29"/>
  <c r="K85" i="29" s="1"/>
  <c r="S68" i="29"/>
  <c r="AA68" i="29"/>
  <c r="X82" i="29"/>
  <c r="T82" i="29"/>
  <c r="P82" i="29"/>
  <c r="L82" i="29"/>
  <c r="H82" i="29"/>
  <c r="O82" i="29"/>
  <c r="W82" i="29"/>
  <c r="H163" i="29"/>
  <c r="H162" i="29"/>
  <c r="H161" i="29"/>
  <c r="H157" i="29"/>
  <c r="I154" i="29"/>
  <c r="G305" i="29"/>
  <c r="G273" i="29"/>
  <c r="G300" i="29"/>
  <c r="G268" i="29"/>
  <c r="Y300" i="29"/>
  <c r="Y268" i="29"/>
  <c r="G29" i="29"/>
  <c r="O68" i="29"/>
  <c r="W68" i="29"/>
  <c r="AA82" i="29"/>
  <c r="H115" i="29"/>
  <c r="I112" i="29"/>
  <c r="R293" i="29"/>
  <c r="R261" i="29"/>
  <c r="I270" i="29"/>
  <c r="I302" i="29"/>
  <c r="U302" i="29"/>
  <c r="U270" i="29"/>
  <c r="X288" i="29"/>
  <c r="X256" i="29"/>
  <c r="G301" i="29"/>
  <c r="G269" i="29"/>
  <c r="O269" i="29"/>
  <c r="O301" i="29"/>
  <c r="W301" i="29"/>
  <c r="W269" i="29"/>
  <c r="I68" i="29"/>
  <c r="Y68" i="29"/>
  <c r="M240" i="29"/>
  <c r="M227" i="29"/>
  <c r="U240" i="29"/>
  <c r="U227" i="29"/>
  <c r="U269" i="29"/>
  <c r="U301" i="29"/>
  <c r="X300" i="29"/>
  <c r="X268" i="29"/>
  <c r="Z288" i="29"/>
  <c r="Z256" i="29"/>
  <c r="G50" i="29"/>
  <c r="I269" i="29"/>
  <c r="I301" i="29"/>
  <c r="M301" i="29"/>
  <c r="M269" i="29"/>
  <c r="Q269" i="29"/>
  <c r="Q301" i="29"/>
  <c r="Y269" i="29"/>
  <c r="Y301" i="29"/>
  <c r="Z68" i="29"/>
  <c r="Z85" i="29" s="1"/>
  <c r="M68" i="29"/>
  <c r="U68" i="29"/>
  <c r="U85" i="29" s="1"/>
  <c r="I82" i="29"/>
  <c r="Q82" i="29"/>
  <c r="Y82" i="29"/>
  <c r="H120" i="29"/>
  <c r="H150" i="29"/>
  <c r="K293" i="29"/>
  <c r="K261" i="29"/>
  <c r="O240" i="29"/>
  <c r="O227" i="29"/>
  <c r="S240" i="29"/>
  <c r="S227" i="29"/>
  <c r="W306" i="29"/>
  <c r="W274" i="29"/>
  <c r="AA293" i="29"/>
  <c r="AA261" i="29"/>
  <c r="K240" i="29"/>
  <c r="AA240" i="29"/>
  <c r="W300" i="29"/>
  <c r="W268" i="29"/>
  <c r="AA268" i="29"/>
  <c r="AA300" i="29"/>
  <c r="Z45" i="29"/>
  <c r="J68" i="29"/>
  <c r="N68" i="29"/>
  <c r="R68" i="29"/>
  <c r="V68" i="29"/>
  <c r="J82" i="29"/>
  <c r="N82" i="29"/>
  <c r="R82" i="29"/>
  <c r="V82" i="29"/>
  <c r="Z174" i="29"/>
  <c r="Z217" i="29" s="1"/>
  <c r="I136" i="29"/>
  <c r="J133" i="29"/>
  <c r="I142" i="29"/>
  <c r="I141" i="29"/>
  <c r="I140" i="29"/>
  <c r="I185" i="29"/>
  <c r="G291" i="29"/>
  <c r="G259" i="29"/>
  <c r="X174" i="29"/>
  <c r="X217" i="29" s="1"/>
  <c r="T114" i="29"/>
  <c r="V114" i="29"/>
  <c r="R114" i="29"/>
  <c r="U114" i="29"/>
  <c r="W227" i="29"/>
  <c r="V306" i="29"/>
  <c r="AB306" i="29" s="1"/>
  <c r="V274" i="29"/>
  <c r="AB274" i="29" s="1"/>
  <c r="AB240" i="29"/>
  <c r="G261" i="29"/>
  <c r="J240" i="29"/>
  <c r="J227" i="29"/>
  <c r="N274" i="29"/>
  <c r="N306" i="29"/>
  <c r="V293" i="29"/>
  <c r="V261" i="29"/>
  <c r="Z240" i="29"/>
  <c r="Z227" i="29"/>
  <c r="R274" i="29"/>
  <c r="H240" i="29"/>
  <c r="H227" i="29"/>
  <c r="L240" i="29"/>
  <c r="L227" i="29"/>
  <c r="P240" i="29"/>
  <c r="P227" i="29"/>
  <c r="T240" i="29"/>
  <c r="T227" i="29"/>
  <c r="X240" i="29"/>
  <c r="X227" i="29"/>
  <c r="J302" i="29"/>
  <c r="J270" i="29"/>
  <c r="N302" i="29"/>
  <c r="N270" i="29"/>
  <c r="V270" i="29"/>
  <c r="V302" i="29"/>
  <c r="G275" i="29"/>
  <c r="G307" i="29"/>
  <c r="H302" i="29"/>
  <c r="H270" i="29"/>
  <c r="L270" i="29"/>
  <c r="L302" i="29"/>
  <c r="T270" i="29"/>
  <c r="T302" i="29"/>
  <c r="X302" i="29"/>
  <c r="X270" i="29"/>
  <c r="G303" i="29"/>
  <c r="K302" i="29"/>
  <c r="K270" i="29"/>
  <c r="O302" i="29"/>
  <c r="O270" i="29"/>
  <c r="W302" i="29"/>
  <c r="W270" i="29"/>
  <c r="AA302" i="29"/>
  <c r="AA270" i="29"/>
  <c r="M85" i="29" l="1"/>
  <c r="W85" i="29"/>
  <c r="Y85" i="29"/>
  <c r="H85" i="29"/>
  <c r="G272" i="29"/>
  <c r="P85" i="29"/>
  <c r="H301" i="29"/>
  <c r="I150" i="29"/>
  <c r="H171" i="29"/>
  <c r="X85" i="29"/>
  <c r="N261" i="29"/>
  <c r="N293" i="29"/>
  <c r="AA85" i="29"/>
  <c r="I85" i="29"/>
  <c r="H129" i="29"/>
  <c r="U293" i="29"/>
  <c r="U261" i="29"/>
  <c r="X306" i="29"/>
  <c r="X274" i="29"/>
  <c r="P306" i="29"/>
  <c r="P274" i="29"/>
  <c r="H306" i="29"/>
  <c r="H274" i="29"/>
  <c r="J293" i="29"/>
  <c r="J261" i="29"/>
  <c r="N85" i="29"/>
  <c r="K306" i="29"/>
  <c r="K274" i="29"/>
  <c r="O306" i="29"/>
  <c r="O274" i="29"/>
  <c r="M293" i="29"/>
  <c r="M261" i="29"/>
  <c r="I121" i="29"/>
  <c r="I120" i="29"/>
  <c r="I119" i="29"/>
  <c r="I115" i="29"/>
  <c r="J112" i="29"/>
  <c r="Q293" i="29"/>
  <c r="Q261" i="29"/>
  <c r="H128" i="29"/>
  <c r="T293" i="29"/>
  <c r="T261" i="29"/>
  <c r="L293" i="29"/>
  <c r="L261" i="29"/>
  <c r="J306" i="29"/>
  <c r="J274" i="29"/>
  <c r="J185" i="29"/>
  <c r="J85" i="29"/>
  <c r="S293" i="29"/>
  <c r="S261" i="29"/>
  <c r="M274" i="29"/>
  <c r="M306" i="29"/>
  <c r="O85" i="29"/>
  <c r="H170" i="29"/>
  <c r="AA288" i="29"/>
  <c r="AA256" i="29"/>
  <c r="Y293" i="29"/>
  <c r="Y261" i="29"/>
  <c r="I293" i="29"/>
  <c r="I261" i="29"/>
  <c r="Q85" i="29"/>
  <c r="T85" i="29"/>
  <c r="T306" i="29"/>
  <c r="T274" i="29"/>
  <c r="L306" i="29"/>
  <c r="L274" i="29"/>
  <c r="Z261" i="29"/>
  <c r="Z293" i="29"/>
  <c r="J142" i="29"/>
  <c r="J140" i="29"/>
  <c r="J149" i="29" s="1"/>
  <c r="J136" i="29"/>
  <c r="J141" i="29"/>
  <c r="K133" i="29"/>
  <c r="V85" i="29"/>
  <c r="S306" i="29"/>
  <c r="S274" i="29"/>
  <c r="J154" i="29"/>
  <c r="I161" i="29"/>
  <c r="I157" i="29"/>
  <c r="I163" i="29"/>
  <c r="I162" i="29"/>
  <c r="Y274" i="29"/>
  <c r="Y306" i="29"/>
  <c r="I274" i="29"/>
  <c r="I306" i="29"/>
  <c r="M192" i="29"/>
  <c r="X293" i="29"/>
  <c r="X261" i="29"/>
  <c r="P293" i="29"/>
  <c r="P261" i="29"/>
  <c r="H293" i="29"/>
  <c r="H261" i="29"/>
  <c r="Z274" i="29"/>
  <c r="Z306" i="29"/>
  <c r="W293" i="29"/>
  <c r="W261" i="29"/>
  <c r="I149" i="29"/>
  <c r="R85" i="29"/>
  <c r="AA306" i="29"/>
  <c r="AA274" i="29"/>
  <c r="O293" i="29"/>
  <c r="O261" i="29"/>
  <c r="U274" i="29"/>
  <c r="U306" i="29"/>
  <c r="G34" i="29"/>
  <c r="G226" i="29" s="1"/>
  <c r="S85" i="29"/>
  <c r="Q306" i="29"/>
  <c r="Q274" i="29"/>
  <c r="L85" i="29"/>
  <c r="W256" i="29"/>
  <c r="W288" i="29"/>
  <c r="I170" i="29" l="1"/>
  <c r="I129" i="29"/>
  <c r="J115" i="29"/>
  <c r="K112" i="29"/>
  <c r="J121" i="29"/>
  <c r="J119" i="29"/>
  <c r="J120" i="29"/>
  <c r="J157" i="29"/>
  <c r="K154" i="29"/>
  <c r="J163" i="29"/>
  <c r="J162" i="29"/>
  <c r="J161" i="29"/>
  <c r="J150" i="29"/>
  <c r="I128" i="29"/>
  <c r="K142" i="29"/>
  <c r="K141" i="29"/>
  <c r="K140" i="29"/>
  <c r="K150" i="29"/>
  <c r="K136" i="29"/>
  <c r="L133" i="29"/>
  <c r="N192" i="29"/>
  <c r="K185" i="29"/>
  <c r="G292" i="29"/>
  <c r="G260" i="29"/>
  <c r="G230" i="29"/>
  <c r="G231" i="29" s="1"/>
  <c r="G242" i="29" s="1"/>
  <c r="I171" i="29"/>
  <c r="J171" i="29" l="1"/>
  <c r="K149" i="29"/>
  <c r="K121" i="29"/>
  <c r="K120" i="29"/>
  <c r="K119" i="29"/>
  <c r="L112" i="29"/>
  <c r="K115" i="29"/>
  <c r="G243" i="29"/>
  <c r="G244" i="29" s="1"/>
  <c r="M133" i="29"/>
  <c r="L141" i="29"/>
  <c r="L136" i="29"/>
  <c r="L142" i="29"/>
  <c r="L140" i="29"/>
  <c r="L150" i="29"/>
  <c r="K171" i="29"/>
  <c r="K162" i="29"/>
  <c r="K163" i="29"/>
  <c r="K161" i="29"/>
  <c r="K157" i="29"/>
  <c r="L154" i="29"/>
  <c r="J128" i="29"/>
  <c r="J129" i="29"/>
  <c r="O192" i="29"/>
  <c r="J170" i="29"/>
  <c r="L185" i="29"/>
  <c r="K170" i="29" l="1"/>
  <c r="K129" i="29"/>
  <c r="M185" i="29"/>
  <c r="L115" i="29"/>
  <c r="M112" i="29"/>
  <c r="L119" i="29"/>
  <c r="L121" i="29"/>
  <c r="L120" i="29"/>
  <c r="L149" i="29"/>
  <c r="M136" i="29"/>
  <c r="N133" i="29"/>
  <c r="M142" i="29"/>
  <c r="M141" i="29"/>
  <c r="M140" i="29"/>
  <c r="P192" i="29"/>
  <c r="L163" i="29"/>
  <c r="L162" i="29"/>
  <c r="L161" i="29"/>
  <c r="L157" i="29"/>
  <c r="M154" i="29"/>
  <c r="K128" i="29"/>
  <c r="L171" i="29" l="1"/>
  <c r="L170" i="29"/>
  <c r="L129" i="29"/>
  <c r="Q192" i="29"/>
  <c r="N185" i="29"/>
  <c r="N141" i="29"/>
  <c r="N142" i="29"/>
  <c r="N140" i="29"/>
  <c r="N136" i="29"/>
  <c r="O133" i="29"/>
  <c r="N154" i="29"/>
  <c r="M161" i="29"/>
  <c r="M163" i="29"/>
  <c r="M162" i="29"/>
  <c r="M157" i="29"/>
  <c r="M149" i="29"/>
  <c r="L128" i="29"/>
  <c r="M150" i="29"/>
  <c r="M121" i="29"/>
  <c r="M120" i="29"/>
  <c r="M119" i="29"/>
  <c r="N112" i="29"/>
  <c r="M115" i="29"/>
  <c r="N150" i="29" l="1"/>
  <c r="M170" i="29"/>
  <c r="M128" i="29"/>
  <c r="O142" i="29"/>
  <c r="O141" i="29"/>
  <c r="O140" i="29"/>
  <c r="O136" i="29"/>
  <c r="P133" i="29"/>
  <c r="R192" i="29"/>
  <c r="M129" i="29"/>
  <c r="M171" i="29"/>
  <c r="O185" i="29"/>
  <c r="N157" i="29"/>
  <c r="O154" i="29"/>
  <c r="N163" i="29"/>
  <c r="N162" i="29"/>
  <c r="N161" i="29"/>
  <c r="N170" i="29" s="1"/>
  <c r="N149" i="29"/>
  <c r="N115" i="29"/>
  <c r="O112" i="29"/>
  <c r="N120" i="29"/>
  <c r="N121" i="29"/>
  <c r="N119" i="29"/>
  <c r="O150" i="29" l="1"/>
  <c r="N128" i="29"/>
  <c r="S192" i="29"/>
  <c r="Q133" i="29"/>
  <c r="P140" i="29"/>
  <c r="P142" i="29"/>
  <c r="P141" i="29"/>
  <c r="P136" i="29"/>
  <c r="O121" i="29"/>
  <c r="O120" i="29"/>
  <c r="O119" i="29"/>
  <c r="P112" i="29"/>
  <c r="O115" i="29"/>
  <c r="O163" i="29"/>
  <c r="O161" i="29"/>
  <c r="O170" i="29" s="1"/>
  <c r="O157" i="29"/>
  <c r="O162" i="29"/>
  <c r="P154" i="29"/>
  <c r="P185" i="29"/>
  <c r="N129" i="29"/>
  <c r="N171" i="29"/>
  <c r="O149" i="29"/>
  <c r="A320" i="25"/>
  <c r="A283" i="25"/>
  <c r="G241" i="25"/>
  <c r="G307" i="25" s="1"/>
  <c r="G240" i="25"/>
  <c r="G239" i="25"/>
  <c r="G237" i="25"/>
  <c r="AA236" i="25"/>
  <c r="AA302" i="25" s="1"/>
  <c r="Z236" i="25"/>
  <c r="Y236" i="25"/>
  <c r="Y302" i="25" s="1"/>
  <c r="X236" i="25"/>
  <c r="W236" i="25"/>
  <c r="W302" i="25" s="1"/>
  <c r="V236" i="25"/>
  <c r="U236" i="25"/>
  <c r="U302" i="25" s="1"/>
  <c r="T236" i="25"/>
  <c r="S236" i="25"/>
  <c r="S302" i="25" s="1"/>
  <c r="R236" i="25"/>
  <c r="Q236" i="25"/>
  <c r="Q302" i="25" s="1"/>
  <c r="P236" i="25"/>
  <c r="O236" i="25"/>
  <c r="O302" i="25" s="1"/>
  <c r="N236" i="25"/>
  <c r="M236" i="25"/>
  <c r="M302" i="25" s="1"/>
  <c r="L236" i="25"/>
  <c r="K236" i="25"/>
  <c r="K302" i="25" s="1"/>
  <c r="J236" i="25"/>
  <c r="I236" i="25"/>
  <c r="I302" i="25" s="1"/>
  <c r="H236" i="25"/>
  <c r="G236" i="25"/>
  <c r="G302" i="25" s="1"/>
  <c r="G227" i="25"/>
  <c r="G225" i="25"/>
  <c r="G224" i="25"/>
  <c r="G238" i="25" s="1"/>
  <c r="G223" i="25"/>
  <c r="A213" i="25"/>
  <c r="A212" i="25"/>
  <c r="A211" i="25"/>
  <c r="A210" i="25"/>
  <c r="AA207" i="25"/>
  <c r="AA240" i="25" s="1"/>
  <c r="Z207" i="25"/>
  <c r="Z240" i="25" s="1"/>
  <c r="Y207" i="25"/>
  <c r="Y240" i="25" s="1"/>
  <c r="X207" i="25"/>
  <c r="X227" i="25" s="1"/>
  <c r="W207" i="25"/>
  <c r="W240" i="25" s="1"/>
  <c r="V207" i="25"/>
  <c r="V227" i="25" s="1"/>
  <c r="U207" i="25"/>
  <c r="U240" i="25" s="1"/>
  <c r="T207" i="25"/>
  <c r="T227" i="25" s="1"/>
  <c r="S207" i="25"/>
  <c r="S240" i="25" s="1"/>
  <c r="R207" i="25"/>
  <c r="R240" i="25" s="1"/>
  <c r="Q207" i="25"/>
  <c r="Q240" i="25" s="1"/>
  <c r="P207" i="25"/>
  <c r="P240" i="25" s="1"/>
  <c r="O207" i="25"/>
  <c r="O240" i="25" s="1"/>
  <c r="N207" i="25"/>
  <c r="N240" i="25" s="1"/>
  <c r="M207" i="25"/>
  <c r="M240" i="25" s="1"/>
  <c r="L207" i="25"/>
  <c r="L240" i="25" s="1"/>
  <c r="K207" i="25"/>
  <c r="K240" i="25" s="1"/>
  <c r="J207" i="25"/>
  <c r="J240" i="25" s="1"/>
  <c r="I207" i="25"/>
  <c r="I240" i="25" s="1"/>
  <c r="H207" i="25"/>
  <c r="H240" i="25" s="1"/>
  <c r="A206" i="25"/>
  <c r="A205" i="25"/>
  <c r="A204" i="25"/>
  <c r="A203" i="25"/>
  <c r="A198" i="25"/>
  <c r="A197" i="25"/>
  <c r="A194" i="25"/>
  <c r="I193" i="25"/>
  <c r="J193" i="25" s="1"/>
  <c r="K193" i="25" s="1"/>
  <c r="L193" i="25" s="1"/>
  <c r="M193" i="25" s="1"/>
  <c r="N193" i="25" s="1"/>
  <c r="O193" i="25" s="1"/>
  <c r="P193" i="25" s="1"/>
  <c r="Q193" i="25" s="1"/>
  <c r="R193" i="25" s="1"/>
  <c r="S193" i="25" s="1"/>
  <c r="T193" i="25" s="1"/>
  <c r="U193" i="25" s="1"/>
  <c r="V193" i="25" s="1"/>
  <c r="W193" i="25" s="1"/>
  <c r="X193" i="25" s="1"/>
  <c r="Y193" i="25" s="1"/>
  <c r="Z193" i="25" s="1"/>
  <c r="AA193" i="25" s="1"/>
  <c r="A193" i="25"/>
  <c r="H192" i="25"/>
  <c r="A192" i="25"/>
  <c r="A191" i="25"/>
  <c r="A186" i="25"/>
  <c r="A185" i="25"/>
  <c r="A184" i="25"/>
  <c r="C183" i="25"/>
  <c r="H168" i="25"/>
  <c r="I168" i="25" s="1"/>
  <c r="J168" i="25" s="1"/>
  <c r="K168" i="25" s="1"/>
  <c r="L168" i="25" s="1"/>
  <c r="M168" i="25" s="1"/>
  <c r="N168" i="25" s="1"/>
  <c r="O168" i="25" s="1"/>
  <c r="P168" i="25" s="1"/>
  <c r="Q168" i="25" s="1"/>
  <c r="R168" i="25" s="1"/>
  <c r="S168" i="25" s="1"/>
  <c r="T168" i="25" s="1"/>
  <c r="U168" i="25" s="1"/>
  <c r="V168" i="25" s="1"/>
  <c r="W168" i="25" s="1"/>
  <c r="X168" i="25" s="1"/>
  <c r="Y168" i="25" s="1"/>
  <c r="Z168" i="25" s="1"/>
  <c r="AA168" i="25" s="1"/>
  <c r="H167" i="25"/>
  <c r="I167" i="25" s="1"/>
  <c r="J167" i="25" s="1"/>
  <c r="K167" i="25" s="1"/>
  <c r="L167" i="25" s="1"/>
  <c r="M167" i="25" s="1"/>
  <c r="N167" i="25" s="1"/>
  <c r="O167" i="25" s="1"/>
  <c r="P167" i="25" s="1"/>
  <c r="Q167" i="25" s="1"/>
  <c r="R167" i="25" s="1"/>
  <c r="S167" i="25" s="1"/>
  <c r="T167" i="25" s="1"/>
  <c r="U167" i="25" s="1"/>
  <c r="V167" i="25" s="1"/>
  <c r="W167" i="25" s="1"/>
  <c r="X167" i="25" s="1"/>
  <c r="Y167" i="25" s="1"/>
  <c r="Z167" i="25" s="1"/>
  <c r="AA167" i="25" s="1"/>
  <c r="H166" i="25"/>
  <c r="I166" i="25" s="1"/>
  <c r="J166" i="25" s="1"/>
  <c r="K166" i="25" s="1"/>
  <c r="L166" i="25" s="1"/>
  <c r="M166" i="25" s="1"/>
  <c r="N166" i="25" s="1"/>
  <c r="O166" i="25" s="1"/>
  <c r="P166" i="25" s="1"/>
  <c r="Q166" i="25" s="1"/>
  <c r="R166" i="25" s="1"/>
  <c r="S166" i="25" s="1"/>
  <c r="T166" i="25" s="1"/>
  <c r="U166" i="25" s="1"/>
  <c r="V166" i="25" s="1"/>
  <c r="W166" i="25" s="1"/>
  <c r="X166" i="25" s="1"/>
  <c r="Y166" i="25" s="1"/>
  <c r="Z166" i="25" s="1"/>
  <c r="AA166" i="25" s="1"/>
  <c r="H165" i="25"/>
  <c r="I165" i="25" s="1"/>
  <c r="J165" i="25" s="1"/>
  <c r="K165" i="25" s="1"/>
  <c r="L165" i="25" s="1"/>
  <c r="M165" i="25" s="1"/>
  <c r="N165" i="25" s="1"/>
  <c r="O165" i="25" s="1"/>
  <c r="P165" i="25" s="1"/>
  <c r="Q165" i="25" s="1"/>
  <c r="R165" i="25" s="1"/>
  <c r="S165" i="25" s="1"/>
  <c r="T165" i="25" s="1"/>
  <c r="U165" i="25" s="1"/>
  <c r="V165" i="25" s="1"/>
  <c r="W165" i="25" s="1"/>
  <c r="X165" i="25" s="1"/>
  <c r="Y165" i="25" s="1"/>
  <c r="Z165" i="25" s="1"/>
  <c r="AA165" i="25" s="1"/>
  <c r="A165" i="25"/>
  <c r="A164" i="25"/>
  <c r="A160" i="25"/>
  <c r="A158" i="25"/>
  <c r="AA156" i="25"/>
  <c r="Z156" i="25"/>
  <c r="Y156" i="25"/>
  <c r="X156" i="25"/>
  <c r="W156" i="25"/>
  <c r="Q156" i="25"/>
  <c r="P156" i="25"/>
  <c r="O156" i="25"/>
  <c r="N156" i="25"/>
  <c r="M156" i="25"/>
  <c r="L156" i="25"/>
  <c r="K156" i="25"/>
  <c r="J156" i="25"/>
  <c r="I156" i="25"/>
  <c r="H156" i="25"/>
  <c r="A155" i="25"/>
  <c r="H154" i="25"/>
  <c r="I154" i="25" s="1"/>
  <c r="V153" i="25"/>
  <c r="V156" i="25" s="1"/>
  <c r="U153" i="25"/>
  <c r="U156" i="25" s="1"/>
  <c r="T153" i="25"/>
  <c r="T156" i="25" s="1"/>
  <c r="S153" i="25"/>
  <c r="S156" i="25" s="1"/>
  <c r="R153" i="25"/>
  <c r="R156" i="25" s="1"/>
  <c r="A153" i="25"/>
  <c r="H147" i="25"/>
  <c r="I147" i="25" s="1"/>
  <c r="J147" i="25" s="1"/>
  <c r="K147" i="25" s="1"/>
  <c r="L147" i="25" s="1"/>
  <c r="M147" i="25" s="1"/>
  <c r="N147" i="25" s="1"/>
  <c r="O147" i="25" s="1"/>
  <c r="P147" i="25" s="1"/>
  <c r="Q147" i="25" s="1"/>
  <c r="R147" i="25" s="1"/>
  <c r="S147" i="25" s="1"/>
  <c r="T147" i="25" s="1"/>
  <c r="U147" i="25" s="1"/>
  <c r="V147" i="25" s="1"/>
  <c r="W147" i="25" s="1"/>
  <c r="X147" i="25" s="1"/>
  <c r="Y147" i="25" s="1"/>
  <c r="Z147" i="25" s="1"/>
  <c r="AA147" i="25" s="1"/>
  <c r="H146" i="25"/>
  <c r="I146" i="25" s="1"/>
  <c r="J146" i="25" s="1"/>
  <c r="K146" i="25" s="1"/>
  <c r="L146" i="25" s="1"/>
  <c r="M146" i="25" s="1"/>
  <c r="N146" i="25" s="1"/>
  <c r="O146" i="25" s="1"/>
  <c r="P146" i="25" s="1"/>
  <c r="Q146" i="25" s="1"/>
  <c r="R146" i="25" s="1"/>
  <c r="S146" i="25" s="1"/>
  <c r="T146" i="25" s="1"/>
  <c r="U146" i="25" s="1"/>
  <c r="V146" i="25" s="1"/>
  <c r="W146" i="25" s="1"/>
  <c r="X146" i="25" s="1"/>
  <c r="Y146" i="25" s="1"/>
  <c r="Z146" i="25" s="1"/>
  <c r="AA146" i="25" s="1"/>
  <c r="H145" i="25"/>
  <c r="I145" i="25" s="1"/>
  <c r="J145" i="25" s="1"/>
  <c r="K145" i="25" s="1"/>
  <c r="L145" i="25" s="1"/>
  <c r="M145" i="25" s="1"/>
  <c r="N145" i="25" s="1"/>
  <c r="O145" i="25" s="1"/>
  <c r="P145" i="25" s="1"/>
  <c r="Q145" i="25" s="1"/>
  <c r="R145" i="25" s="1"/>
  <c r="S145" i="25" s="1"/>
  <c r="T145" i="25" s="1"/>
  <c r="U145" i="25" s="1"/>
  <c r="V145" i="25" s="1"/>
  <c r="W145" i="25" s="1"/>
  <c r="X145" i="25" s="1"/>
  <c r="Y145" i="25" s="1"/>
  <c r="Z145" i="25" s="1"/>
  <c r="AA145" i="25" s="1"/>
  <c r="H144" i="25"/>
  <c r="I144" i="25" s="1"/>
  <c r="J144" i="25" s="1"/>
  <c r="K144" i="25" s="1"/>
  <c r="L144" i="25" s="1"/>
  <c r="M144" i="25" s="1"/>
  <c r="N144" i="25" s="1"/>
  <c r="O144" i="25" s="1"/>
  <c r="P144" i="25" s="1"/>
  <c r="Q144" i="25" s="1"/>
  <c r="R144" i="25" s="1"/>
  <c r="S144" i="25" s="1"/>
  <c r="T144" i="25" s="1"/>
  <c r="U144" i="25" s="1"/>
  <c r="V144" i="25" s="1"/>
  <c r="W144" i="25" s="1"/>
  <c r="X144" i="25" s="1"/>
  <c r="Y144" i="25" s="1"/>
  <c r="Z144" i="25" s="1"/>
  <c r="AA144" i="25" s="1"/>
  <c r="A144" i="25"/>
  <c r="A143" i="25"/>
  <c r="A139" i="25"/>
  <c r="A137" i="25"/>
  <c r="AA135" i="25"/>
  <c r="Z135" i="25"/>
  <c r="Y135" i="25"/>
  <c r="X135" i="25"/>
  <c r="W135" i="25"/>
  <c r="Q135" i="25"/>
  <c r="P135" i="25"/>
  <c r="O135" i="25"/>
  <c r="N135" i="25"/>
  <c r="M135" i="25"/>
  <c r="L135" i="25"/>
  <c r="K135" i="25"/>
  <c r="J135" i="25"/>
  <c r="I135" i="25"/>
  <c r="H135" i="25"/>
  <c r="A134" i="25"/>
  <c r="H133" i="25"/>
  <c r="I133" i="25" s="1"/>
  <c r="V132" i="25"/>
  <c r="V135" i="25" s="1"/>
  <c r="U132" i="25"/>
  <c r="U135" i="25" s="1"/>
  <c r="T132" i="25"/>
  <c r="T135" i="25" s="1"/>
  <c r="S132" i="25"/>
  <c r="S135" i="25" s="1"/>
  <c r="R132" i="25"/>
  <c r="R135" i="25" s="1"/>
  <c r="A132" i="25"/>
  <c r="H126" i="25"/>
  <c r="I126" i="25" s="1"/>
  <c r="J126" i="25" s="1"/>
  <c r="K126" i="25" s="1"/>
  <c r="L126" i="25" s="1"/>
  <c r="M126" i="25" s="1"/>
  <c r="N126" i="25" s="1"/>
  <c r="O126" i="25" s="1"/>
  <c r="P126" i="25" s="1"/>
  <c r="Q126" i="25" s="1"/>
  <c r="R126" i="25" s="1"/>
  <c r="S126" i="25" s="1"/>
  <c r="T126" i="25" s="1"/>
  <c r="U126" i="25" s="1"/>
  <c r="V126" i="25" s="1"/>
  <c r="W126" i="25" s="1"/>
  <c r="X126" i="25" s="1"/>
  <c r="Y126" i="25" s="1"/>
  <c r="Z126" i="25" s="1"/>
  <c r="AA126" i="25" s="1"/>
  <c r="H125" i="25"/>
  <c r="I125" i="25" s="1"/>
  <c r="J125" i="25" s="1"/>
  <c r="K125" i="25" s="1"/>
  <c r="L125" i="25" s="1"/>
  <c r="M125" i="25" s="1"/>
  <c r="N125" i="25" s="1"/>
  <c r="O125" i="25" s="1"/>
  <c r="P125" i="25" s="1"/>
  <c r="Q125" i="25" s="1"/>
  <c r="R125" i="25" s="1"/>
  <c r="S125" i="25" s="1"/>
  <c r="T125" i="25" s="1"/>
  <c r="U125" i="25" s="1"/>
  <c r="V125" i="25" s="1"/>
  <c r="W125" i="25" s="1"/>
  <c r="X125" i="25" s="1"/>
  <c r="Y125" i="25" s="1"/>
  <c r="Z125" i="25" s="1"/>
  <c r="AA125" i="25" s="1"/>
  <c r="H124" i="25"/>
  <c r="I124" i="25" s="1"/>
  <c r="J124" i="25" s="1"/>
  <c r="K124" i="25" s="1"/>
  <c r="L124" i="25" s="1"/>
  <c r="M124" i="25" s="1"/>
  <c r="N124" i="25" s="1"/>
  <c r="O124" i="25" s="1"/>
  <c r="P124" i="25" s="1"/>
  <c r="Q124" i="25" s="1"/>
  <c r="R124" i="25" s="1"/>
  <c r="S124" i="25" s="1"/>
  <c r="T124" i="25" s="1"/>
  <c r="U124" i="25" s="1"/>
  <c r="V124" i="25" s="1"/>
  <c r="W124" i="25" s="1"/>
  <c r="X124" i="25" s="1"/>
  <c r="Y124" i="25" s="1"/>
  <c r="Z124" i="25" s="1"/>
  <c r="AA124" i="25" s="1"/>
  <c r="H123" i="25"/>
  <c r="I123" i="25" s="1"/>
  <c r="J123" i="25" s="1"/>
  <c r="K123" i="25" s="1"/>
  <c r="L123" i="25" s="1"/>
  <c r="M123" i="25" s="1"/>
  <c r="N123" i="25" s="1"/>
  <c r="O123" i="25" s="1"/>
  <c r="P123" i="25" s="1"/>
  <c r="Q123" i="25" s="1"/>
  <c r="R123" i="25" s="1"/>
  <c r="S123" i="25" s="1"/>
  <c r="T123" i="25" s="1"/>
  <c r="U123" i="25" s="1"/>
  <c r="V123" i="25" s="1"/>
  <c r="W123" i="25" s="1"/>
  <c r="X123" i="25" s="1"/>
  <c r="Y123" i="25" s="1"/>
  <c r="Z123" i="25" s="1"/>
  <c r="AA123" i="25" s="1"/>
  <c r="A123" i="25"/>
  <c r="A122" i="25"/>
  <c r="A116" i="25"/>
  <c r="AA114" i="25"/>
  <c r="Z114" i="25"/>
  <c r="Y114" i="25"/>
  <c r="X114" i="25"/>
  <c r="W114" i="25"/>
  <c r="A113" i="25"/>
  <c r="A111" i="25"/>
  <c r="H105" i="25"/>
  <c r="I105" i="25" s="1"/>
  <c r="J105" i="25" s="1"/>
  <c r="K105" i="25" s="1"/>
  <c r="L105" i="25" s="1"/>
  <c r="M105" i="25" s="1"/>
  <c r="N105" i="25" s="1"/>
  <c r="O105" i="25" s="1"/>
  <c r="P105" i="25" s="1"/>
  <c r="Q105" i="25" s="1"/>
  <c r="R105" i="25" s="1"/>
  <c r="S105" i="25" s="1"/>
  <c r="T105" i="25" s="1"/>
  <c r="U105" i="25" s="1"/>
  <c r="V105" i="25" s="1"/>
  <c r="W105" i="25" s="1"/>
  <c r="X105" i="25" s="1"/>
  <c r="Y105" i="25" s="1"/>
  <c r="Z105" i="25" s="1"/>
  <c r="AA105" i="25" s="1"/>
  <c r="H104" i="25"/>
  <c r="I104" i="25" s="1"/>
  <c r="J104" i="25" s="1"/>
  <c r="K104" i="25" s="1"/>
  <c r="L104" i="25" s="1"/>
  <c r="M104" i="25" s="1"/>
  <c r="N104" i="25" s="1"/>
  <c r="O104" i="25" s="1"/>
  <c r="P104" i="25" s="1"/>
  <c r="Q104" i="25" s="1"/>
  <c r="R104" i="25" s="1"/>
  <c r="S104" i="25" s="1"/>
  <c r="T104" i="25" s="1"/>
  <c r="U104" i="25" s="1"/>
  <c r="V104" i="25" s="1"/>
  <c r="W104" i="25" s="1"/>
  <c r="X104" i="25" s="1"/>
  <c r="Y104" i="25" s="1"/>
  <c r="Z104" i="25" s="1"/>
  <c r="AA104" i="25" s="1"/>
  <c r="I103" i="25"/>
  <c r="J103" i="25" s="1"/>
  <c r="K103" i="25" s="1"/>
  <c r="L103" i="25" s="1"/>
  <c r="M103" i="25" s="1"/>
  <c r="N103" i="25" s="1"/>
  <c r="O103" i="25" s="1"/>
  <c r="P103" i="25" s="1"/>
  <c r="Q103" i="25" s="1"/>
  <c r="R103" i="25" s="1"/>
  <c r="S103" i="25" s="1"/>
  <c r="T103" i="25" s="1"/>
  <c r="U103" i="25" s="1"/>
  <c r="V103" i="25" s="1"/>
  <c r="W103" i="25" s="1"/>
  <c r="X103" i="25" s="1"/>
  <c r="Y103" i="25" s="1"/>
  <c r="Z103" i="25" s="1"/>
  <c r="AA103" i="25" s="1"/>
  <c r="H102" i="25"/>
  <c r="I102" i="25" s="1"/>
  <c r="J102" i="25" s="1"/>
  <c r="K102" i="25" s="1"/>
  <c r="L102" i="25" s="1"/>
  <c r="M102" i="25" s="1"/>
  <c r="N102" i="25" s="1"/>
  <c r="O102" i="25" s="1"/>
  <c r="P102" i="25" s="1"/>
  <c r="Q102" i="25" s="1"/>
  <c r="R102" i="25" s="1"/>
  <c r="S102" i="25" s="1"/>
  <c r="T102" i="25" s="1"/>
  <c r="U102" i="25" s="1"/>
  <c r="V102" i="25" s="1"/>
  <c r="W102" i="25" s="1"/>
  <c r="X102" i="25" s="1"/>
  <c r="Y102" i="25" s="1"/>
  <c r="Z102" i="25" s="1"/>
  <c r="AA102" i="25" s="1"/>
  <c r="A102" i="25"/>
  <c r="A101" i="25"/>
  <c r="A95" i="25"/>
  <c r="AA93" i="25"/>
  <c r="Z93" i="25"/>
  <c r="Y93" i="25"/>
  <c r="X93" i="25"/>
  <c r="W93" i="25"/>
  <c r="A92" i="25"/>
  <c r="A90" i="25"/>
  <c r="C87" i="25"/>
  <c r="AA80" i="25"/>
  <c r="Z80" i="25"/>
  <c r="Y80" i="25"/>
  <c r="X80" i="25"/>
  <c r="W80" i="25"/>
  <c r="V80" i="25"/>
  <c r="U80" i="25"/>
  <c r="T80" i="25"/>
  <c r="S80" i="25"/>
  <c r="R80" i="25"/>
  <c r="Q80" i="25"/>
  <c r="P80" i="25"/>
  <c r="O80" i="25"/>
  <c r="N80" i="25"/>
  <c r="M80" i="25"/>
  <c r="L80" i="25"/>
  <c r="K80" i="25"/>
  <c r="J80" i="25"/>
  <c r="I80" i="25"/>
  <c r="H80" i="25"/>
  <c r="G80" i="25"/>
  <c r="AA79" i="25"/>
  <c r="Z79" i="25"/>
  <c r="Y79" i="25"/>
  <c r="X79" i="25"/>
  <c r="W79" i="25"/>
  <c r="V79" i="25"/>
  <c r="U79" i="25"/>
  <c r="T79" i="25"/>
  <c r="S79" i="25"/>
  <c r="R79" i="25"/>
  <c r="Q79" i="25"/>
  <c r="P79" i="25"/>
  <c r="O79" i="25"/>
  <c r="N79" i="25"/>
  <c r="M79" i="25"/>
  <c r="L79" i="25"/>
  <c r="K79" i="25"/>
  <c r="J79" i="25"/>
  <c r="I79" i="25"/>
  <c r="H79" i="25"/>
  <c r="G79" i="25"/>
  <c r="AA78" i="25"/>
  <c r="Z78" i="25"/>
  <c r="Y78" i="25"/>
  <c r="X78" i="25"/>
  <c r="W78" i="25"/>
  <c r="V78" i="25"/>
  <c r="U78" i="25"/>
  <c r="T78" i="25"/>
  <c r="S78" i="25"/>
  <c r="R78" i="25"/>
  <c r="Q78" i="25"/>
  <c r="P78" i="25"/>
  <c r="O78" i="25"/>
  <c r="N78" i="25"/>
  <c r="M78" i="25"/>
  <c r="L78" i="25"/>
  <c r="K78" i="25"/>
  <c r="J78" i="25"/>
  <c r="I78" i="25"/>
  <c r="H78" i="25"/>
  <c r="G78" i="25"/>
  <c r="AA75" i="25"/>
  <c r="Z75" i="25"/>
  <c r="Y75" i="25"/>
  <c r="X75" i="25"/>
  <c r="W75" i="25"/>
  <c r="V75" i="25"/>
  <c r="U75" i="25"/>
  <c r="T75" i="25"/>
  <c r="S75" i="25"/>
  <c r="R75" i="25"/>
  <c r="Q75" i="25"/>
  <c r="P75" i="25"/>
  <c r="O75" i="25"/>
  <c r="N75" i="25"/>
  <c r="M75" i="25"/>
  <c r="L75" i="25"/>
  <c r="K75" i="25"/>
  <c r="J75" i="25"/>
  <c r="I75" i="25"/>
  <c r="H75" i="25"/>
  <c r="G75" i="25"/>
  <c r="E73" i="25"/>
  <c r="E80" i="25" s="1"/>
  <c r="E72" i="25"/>
  <c r="E79" i="25" s="1"/>
  <c r="E71" i="25"/>
  <c r="E78" i="25" s="1"/>
  <c r="A70" i="25"/>
  <c r="AA66" i="25"/>
  <c r="Z66" i="25"/>
  <c r="Y66" i="25"/>
  <c r="X66" i="25"/>
  <c r="W66" i="25"/>
  <c r="V66" i="25"/>
  <c r="U66" i="25"/>
  <c r="T66" i="25"/>
  <c r="S66" i="25"/>
  <c r="R66" i="25"/>
  <c r="Q66" i="25"/>
  <c r="P66" i="25"/>
  <c r="O66" i="25"/>
  <c r="N66" i="25"/>
  <c r="M66" i="25"/>
  <c r="L66" i="25"/>
  <c r="K66" i="25"/>
  <c r="J66" i="25"/>
  <c r="I66" i="25"/>
  <c r="H66" i="25"/>
  <c r="G66" i="25"/>
  <c r="AA65" i="25"/>
  <c r="Z65" i="25"/>
  <c r="Y65" i="25"/>
  <c r="X65" i="25"/>
  <c r="W65" i="25"/>
  <c r="V65" i="25"/>
  <c r="U65" i="25"/>
  <c r="T65" i="25"/>
  <c r="S65" i="25"/>
  <c r="R65" i="25"/>
  <c r="Q65" i="25"/>
  <c r="P65" i="25"/>
  <c r="O65" i="25"/>
  <c r="N65" i="25"/>
  <c r="M65" i="25"/>
  <c r="L65" i="25"/>
  <c r="K65" i="25"/>
  <c r="J65" i="25"/>
  <c r="I65" i="25"/>
  <c r="H65" i="25"/>
  <c r="G65" i="25"/>
  <c r="AA64" i="25"/>
  <c r="Z64" i="25"/>
  <c r="Y64" i="25"/>
  <c r="X64" i="25"/>
  <c r="W64" i="25"/>
  <c r="V64" i="25"/>
  <c r="U64" i="25"/>
  <c r="T64" i="25"/>
  <c r="S64" i="25"/>
  <c r="R64" i="25"/>
  <c r="Q64" i="25"/>
  <c r="P64" i="25"/>
  <c r="O64" i="25"/>
  <c r="N64" i="25"/>
  <c r="M64" i="25"/>
  <c r="L64" i="25"/>
  <c r="K64" i="25"/>
  <c r="J64" i="25"/>
  <c r="I64" i="25"/>
  <c r="H64" i="25"/>
  <c r="G64" i="25"/>
  <c r="AA61" i="25"/>
  <c r="Z61" i="25"/>
  <c r="Z84" i="25" s="1"/>
  <c r="Z235" i="25" s="1"/>
  <c r="Y61" i="25"/>
  <c r="X61" i="25"/>
  <c r="X84" i="25" s="1"/>
  <c r="X235" i="25" s="1"/>
  <c r="W61" i="25"/>
  <c r="V61" i="25"/>
  <c r="V84" i="25" s="1"/>
  <c r="V235" i="25" s="1"/>
  <c r="U61" i="25"/>
  <c r="T61" i="25"/>
  <c r="T84" i="25" s="1"/>
  <c r="T235" i="25" s="1"/>
  <c r="S61" i="25"/>
  <c r="R61" i="25"/>
  <c r="R84" i="25" s="1"/>
  <c r="R235" i="25" s="1"/>
  <c r="Q61" i="25"/>
  <c r="P61" i="25"/>
  <c r="P84" i="25" s="1"/>
  <c r="P235" i="25" s="1"/>
  <c r="O61" i="25"/>
  <c r="N61" i="25"/>
  <c r="N84" i="25" s="1"/>
  <c r="N235" i="25" s="1"/>
  <c r="M61" i="25"/>
  <c r="L61" i="25"/>
  <c r="L84" i="25" s="1"/>
  <c r="L235" i="25" s="1"/>
  <c r="K61" i="25"/>
  <c r="J61" i="25"/>
  <c r="J84" i="25" s="1"/>
  <c r="J235" i="25" s="1"/>
  <c r="I61" i="25"/>
  <c r="H61" i="25"/>
  <c r="H84" i="25" s="1"/>
  <c r="H235" i="25" s="1"/>
  <c r="G61" i="25"/>
  <c r="E59" i="25"/>
  <c r="E66" i="25" s="1"/>
  <c r="E58" i="25"/>
  <c r="E65" i="25" s="1"/>
  <c r="E57" i="25"/>
  <c r="E64" i="25" s="1"/>
  <c r="A56" i="25"/>
  <c r="A52" i="25"/>
  <c r="AA48" i="25"/>
  <c r="Z48" i="25"/>
  <c r="Y48" i="25"/>
  <c r="X48" i="25"/>
  <c r="W48" i="25"/>
  <c r="V48" i="25"/>
  <c r="U48" i="25"/>
  <c r="T48" i="25"/>
  <c r="S48" i="25"/>
  <c r="R48" i="25"/>
  <c r="Q48" i="25"/>
  <c r="P48" i="25"/>
  <c r="O48" i="25"/>
  <c r="N48" i="25"/>
  <c r="M48" i="25"/>
  <c r="L48" i="25"/>
  <c r="K48" i="25"/>
  <c r="J48" i="25"/>
  <c r="I48" i="25"/>
  <c r="H48" i="25"/>
  <c r="G48" i="25"/>
  <c r="AA47" i="25"/>
  <c r="Z47" i="25"/>
  <c r="Y47" i="25"/>
  <c r="X47" i="25"/>
  <c r="W47" i="25"/>
  <c r="V47" i="25"/>
  <c r="U47" i="25"/>
  <c r="T47" i="25"/>
  <c r="S47" i="25"/>
  <c r="R47" i="25"/>
  <c r="Q47" i="25"/>
  <c r="P47" i="25"/>
  <c r="O47" i="25"/>
  <c r="N47" i="25"/>
  <c r="M47" i="25"/>
  <c r="L47" i="25"/>
  <c r="K47" i="25"/>
  <c r="J47" i="25"/>
  <c r="I47" i="25"/>
  <c r="H47" i="25"/>
  <c r="G47" i="25"/>
  <c r="AA46" i="25"/>
  <c r="Z46" i="25"/>
  <c r="Y46" i="25"/>
  <c r="X46" i="25"/>
  <c r="W46" i="25"/>
  <c r="V46" i="25"/>
  <c r="U46" i="25"/>
  <c r="T46" i="25"/>
  <c r="S46" i="25"/>
  <c r="R46" i="25"/>
  <c r="Q46" i="25"/>
  <c r="P46" i="25"/>
  <c r="O46" i="25"/>
  <c r="N46" i="25"/>
  <c r="M46" i="25"/>
  <c r="L46" i="25"/>
  <c r="K46" i="25"/>
  <c r="J46" i="25"/>
  <c r="I46" i="25"/>
  <c r="H46" i="25"/>
  <c r="G46" i="25"/>
  <c r="G45" i="25"/>
  <c r="G42" i="25"/>
  <c r="G222" i="25" s="1"/>
  <c r="E40" i="25"/>
  <c r="E48" i="25" s="1"/>
  <c r="E39" i="25"/>
  <c r="E47" i="25" s="1"/>
  <c r="E38" i="25"/>
  <c r="E46" i="25" s="1"/>
  <c r="AA42" i="25"/>
  <c r="AA222" i="25" s="1"/>
  <c r="Z42" i="25"/>
  <c r="Z222" i="25" s="1"/>
  <c r="Y45" i="25"/>
  <c r="X42" i="25"/>
  <c r="X222" i="25" s="1"/>
  <c r="W42" i="25"/>
  <c r="W222" i="25" s="1"/>
  <c r="E37" i="25"/>
  <c r="E45" i="25" s="1"/>
  <c r="A36" i="25"/>
  <c r="AA32" i="25"/>
  <c r="Z32" i="25"/>
  <c r="Y32" i="25"/>
  <c r="X32" i="25"/>
  <c r="W32" i="25"/>
  <c r="V32" i="25"/>
  <c r="U32" i="25"/>
  <c r="T32" i="25"/>
  <c r="S32" i="25"/>
  <c r="R32" i="25"/>
  <c r="Q32" i="25"/>
  <c r="P32" i="25"/>
  <c r="O32" i="25"/>
  <c r="N32" i="25"/>
  <c r="M32" i="25"/>
  <c r="L32" i="25"/>
  <c r="K32" i="25"/>
  <c r="J32" i="25"/>
  <c r="I32" i="25"/>
  <c r="H32" i="25"/>
  <c r="G32" i="25"/>
  <c r="E32" i="25"/>
  <c r="AA31" i="25"/>
  <c r="Z31" i="25"/>
  <c r="Y31" i="25"/>
  <c r="X31" i="25"/>
  <c r="W31" i="25"/>
  <c r="V31" i="25"/>
  <c r="U31" i="25"/>
  <c r="T31" i="25"/>
  <c r="S31" i="25"/>
  <c r="R31" i="25"/>
  <c r="Q31" i="25"/>
  <c r="P31" i="25"/>
  <c r="O31" i="25"/>
  <c r="N31" i="25"/>
  <c r="M31" i="25"/>
  <c r="L31" i="25"/>
  <c r="K31" i="25"/>
  <c r="J31" i="25"/>
  <c r="I31" i="25"/>
  <c r="H31" i="25"/>
  <c r="G31" i="25"/>
  <c r="AA30" i="25"/>
  <c r="Z30" i="25"/>
  <c r="Y30" i="25"/>
  <c r="X30" i="25"/>
  <c r="W30" i="25"/>
  <c r="V30" i="25"/>
  <c r="U30" i="25"/>
  <c r="T30" i="25"/>
  <c r="S30" i="25"/>
  <c r="R30" i="25"/>
  <c r="Q30" i="25"/>
  <c r="P30" i="25"/>
  <c r="O30" i="25"/>
  <c r="N30" i="25"/>
  <c r="M30" i="25"/>
  <c r="L30" i="25"/>
  <c r="K30" i="25"/>
  <c r="J30" i="25"/>
  <c r="I30" i="25"/>
  <c r="H30" i="25"/>
  <c r="G30" i="25"/>
  <c r="AA29" i="25"/>
  <c r="Z29" i="25"/>
  <c r="Y29" i="25"/>
  <c r="X29" i="25"/>
  <c r="W29" i="25"/>
  <c r="AA26" i="25"/>
  <c r="AA234" i="25" s="1"/>
  <c r="Z26" i="25"/>
  <c r="Z234" i="25" s="1"/>
  <c r="Y26" i="25"/>
  <c r="Y234" i="25" s="1"/>
  <c r="X26" i="25"/>
  <c r="X234" i="25" s="1"/>
  <c r="W26" i="25"/>
  <c r="W234" i="25" s="1"/>
  <c r="E23" i="25"/>
  <c r="E31" i="25" s="1"/>
  <c r="E22" i="25"/>
  <c r="E30" i="25" s="1"/>
  <c r="E21" i="25"/>
  <c r="E29" i="25" s="1"/>
  <c r="A20" i="25"/>
  <c r="A18" i="25"/>
  <c r="G16" i="25"/>
  <c r="A15" i="25"/>
  <c r="A14" i="25"/>
  <c r="A10" i="25"/>
  <c r="A9" i="25"/>
  <c r="A8" i="25"/>
  <c r="A7" i="25"/>
  <c r="A4" i="25"/>
  <c r="H68" i="25" l="1"/>
  <c r="P150" i="29"/>
  <c r="Y270" i="25"/>
  <c r="AA82" i="25"/>
  <c r="V240" i="25"/>
  <c r="V306" i="25" s="1"/>
  <c r="AB306" i="25" s="1"/>
  <c r="X68" i="25"/>
  <c r="P149" i="29"/>
  <c r="I270" i="25"/>
  <c r="Q270" i="25"/>
  <c r="O171" i="29"/>
  <c r="W174" i="25"/>
  <c r="W217" i="25" s="1"/>
  <c r="AA174" i="25"/>
  <c r="AA217" i="25" s="1"/>
  <c r="O129" i="29"/>
  <c r="Q185" i="29"/>
  <c r="P163" i="29"/>
  <c r="P162" i="29"/>
  <c r="P161" i="29"/>
  <c r="P170" i="29" s="1"/>
  <c r="P157" i="29"/>
  <c r="Q154" i="29"/>
  <c r="O128" i="29"/>
  <c r="Q136" i="29"/>
  <c r="R133" i="29"/>
  <c r="Q142" i="29"/>
  <c r="Q141" i="29"/>
  <c r="Q140" i="29"/>
  <c r="T192" i="29"/>
  <c r="P115" i="29"/>
  <c r="Q112" i="29"/>
  <c r="P119" i="29"/>
  <c r="P121" i="29"/>
  <c r="P120" i="29"/>
  <c r="I140" i="25"/>
  <c r="I136" i="25"/>
  <c r="J133" i="25"/>
  <c r="J142" i="25" s="1"/>
  <c r="I162" i="25"/>
  <c r="J154" i="25"/>
  <c r="H157" i="25"/>
  <c r="W45" i="25"/>
  <c r="G84" i="25"/>
  <c r="G235" i="25" s="1"/>
  <c r="G301" i="25" s="1"/>
  <c r="K84" i="25"/>
  <c r="K235" i="25" s="1"/>
  <c r="K269" i="25" s="1"/>
  <c r="O84" i="25"/>
  <c r="O235" i="25" s="1"/>
  <c r="O301" i="25" s="1"/>
  <c r="S84" i="25"/>
  <c r="S235" i="25" s="1"/>
  <c r="W84" i="25"/>
  <c r="W235" i="25" s="1"/>
  <c r="AA84" i="25"/>
  <c r="AA235" i="25" s="1"/>
  <c r="X82" i="25"/>
  <c r="X85" i="25" s="1"/>
  <c r="H82" i="25"/>
  <c r="H85" i="25" s="1"/>
  <c r="Z174" i="25"/>
  <c r="Z217" i="25" s="1"/>
  <c r="H136" i="25"/>
  <c r="H141" i="25"/>
  <c r="M270" i="25"/>
  <c r="X45" i="25"/>
  <c r="Y68" i="25"/>
  <c r="AA45" i="25"/>
  <c r="I84" i="25"/>
  <c r="I235" i="25" s="1"/>
  <c r="M84" i="25"/>
  <c r="M235" i="25" s="1"/>
  <c r="Q84" i="25"/>
  <c r="Q235" i="25" s="1"/>
  <c r="Q269" i="25" s="1"/>
  <c r="U84" i="25"/>
  <c r="U235" i="25" s="1"/>
  <c r="U301" i="25" s="1"/>
  <c r="Y84" i="25"/>
  <c r="Y235" i="25" s="1"/>
  <c r="AA68" i="25"/>
  <c r="Y82" i="25"/>
  <c r="U270" i="25"/>
  <c r="M301" i="25"/>
  <c r="M269" i="25"/>
  <c r="W288" i="25"/>
  <c r="W256" i="25"/>
  <c r="AA288" i="25"/>
  <c r="AA256" i="25"/>
  <c r="J301" i="25"/>
  <c r="J269" i="25"/>
  <c r="N301" i="25"/>
  <c r="N269" i="25"/>
  <c r="R301" i="25"/>
  <c r="R269" i="25"/>
  <c r="V301" i="25"/>
  <c r="V269" i="25"/>
  <c r="Z301" i="25"/>
  <c r="Z269" i="25"/>
  <c r="Z288" i="25"/>
  <c r="Z256" i="25"/>
  <c r="I301" i="25"/>
  <c r="I269" i="25"/>
  <c r="Y301" i="25"/>
  <c r="Y269" i="25"/>
  <c r="X288" i="25"/>
  <c r="X256" i="25"/>
  <c r="O269" i="25"/>
  <c r="S301" i="25"/>
  <c r="S269" i="25"/>
  <c r="W301" i="25"/>
  <c r="W269" i="25"/>
  <c r="AA301" i="25"/>
  <c r="AA269" i="25"/>
  <c r="H301" i="25"/>
  <c r="H269" i="25"/>
  <c r="L301" i="25"/>
  <c r="L269" i="25"/>
  <c r="P301" i="25"/>
  <c r="P269" i="25"/>
  <c r="T301" i="25"/>
  <c r="T269" i="25"/>
  <c r="X301" i="25"/>
  <c r="X269" i="25"/>
  <c r="W300" i="25"/>
  <c r="W268" i="25"/>
  <c r="AA300" i="25"/>
  <c r="AA268" i="25"/>
  <c r="Z45" i="25"/>
  <c r="G50" i="25"/>
  <c r="J68" i="25"/>
  <c r="N68" i="25"/>
  <c r="R68" i="25"/>
  <c r="V68" i="25"/>
  <c r="Z68" i="25"/>
  <c r="J82" i="25"/>
  <c r="N82" i="25"/>
  <c r="R82" i="25"/>
  <c r="V82" i="25"/>
  <c r="Z82" i="25"/>
  <c r="J140" i="25"/>
  <c r="X300" i="25"/>
  <c r="X268" i="25"/>
  <c r="Y42" i="25"/>
  <c r="Y222" i="25" s="1"/>
  <c r="G68" i="25"/>
  <c r="K68" i="25"/>
  <c r="O68" i="25"/>
  <c r="S68" i="25"/>
  <c r="W68" i="25"/>
  <c r="G82" i="25"/>
  <c r="K82" i="25"/>
  <c r="O82" i="25"/>
  <c r="S82" i="25"/>
  <c r="W82" i="25"/>
  <c r="Y300" i="25"/>
  <c r="Y268" i="25"/>
  <c r="L68" i="25"/>
  <c r="P68" i="25"/>
  <c r="T68" i="25"/>
  <c r="L82" i="25"/>
  <c r="P82" i="25"/>
  <c r="T82" i="25"/>
  <c r="Z300" i="25"/>
  <c r="Z268" i="25"/>
  <c r="G288" i="25"/>
  <c r="G256" i="25"/>
  <c r="I68" i="25"/>
  <c r="M68" i="25"/>
  <c r="Q68" i="25"/>
  <c r="U68" i="25"/>
  <c r="I82" i="25"/>
  <c r="M82" i="25"/>
  <c r="Q82" i="25"/>
  <c r="U82" i="25"/>
  <c r="Y174" i="25"/>
  <c r="Y217" i="25" s="1"/>
  <c r="H142" i="25"/>
  <c r="I161" i="25"/>
  <c r="I157" i="25"/>
  <c r="I163" i="25"/>
  <c r="I142" i="25"/>
  <c r="J157" i="25"/>
  <c r="K154" i="25"/>
  <c r="J162" i="25"/>
  <c r="J161" i="25"/>
  <c r="J163" i="25"/>
  <c r="X174" i="25"/>
  <c r="X217" i="25" s="1"/>
  <c r="H140" i="25"/>
  <c r="I141" i="25"/>
  <c r="I149" i="25" s="1"/>
  <c r="H163" i="25"/>
  <c r="H162" i="25"/>
  <c r="H161" i="25"/>
  <c r="H306" i="25"/>
  <c r="H274" i="25"/>
  <c r="L306" i="25"/>
  <c r="L274" i="25"/>
  <c r="P306" i="25"/>
  <c r="P274" i="25"/>
  <c r="T293" i="25"/>
  <c r="T261" i="25"/>
  <c r="X293" i="25"/>
  <c r="X261" i="25"/>
  <c r="G293" i="25"/>
  <c r="G261" i="25"/>
  <c r="O227" i="25"/>
  <c r="W227" i="25"/>
  <c r="H302" i="25"/>
  <c r="H270" i="25"/>
  <c r="L302" i="25"/>
  <c r="L270" i="25"/>
  <c r="P302" i="25"/>
  <c r="P270" i="25"/>
  <c r="T302" i="25"/>
  <c r="T270" i="25"/>
  <c r="X302" i="25"/>
  <c r="X270" i="25"/>
  <c r="G303" i="25"/>
  <c r="G271" i="25"/>
  <c r="G305" i="25"/>
  <c r="G273" i="25"/>
  <c r="I306" i="25"/>
  <c r="I274" i="25"/>
  <c r="M306" i="25"/>
  <c r="M274" i="25"/>
  <c r="Q306" i="25"/>
  <c r="Q274" i="25"/>
  <c r="U306" i="25"/>
  <c r="U274" i="25"/>
  <c r="Y306" i="25"/>
  <c r="Y274" i="25"/>
  <c r="G289" i="25"/>
  <c r="G257" i="25"/>
  <c r="I227" i="25"/>
  <c r="Q227" i="25"/>
  <c r="Y227" i="25"/>
  <c r="I192" i="25"/>
  <c r="J306" i="25"/>
  <c r="J274" i="25"/>
  <c r="N306" i="25"/>
  <c r="N274" i="25"/>
  <c r="R306" i="25"/>
  <c r="R274" i="25"/>
  <c r="V293" i="25"/>
  <c r="V261" i="25"/>
  <c r="Z306" i="25"/>
  <c r="Z274" i="25"/>
  <c r="K227" i="25"/>
  <c r="S227" i="25"/>
  <c r="AA227" i="25"/>
  <c r="J302" i="25"/>
  <c r="J270" i="25"/>
  <c r="N302" i="25"/>
  <c r="N270" i="25"/>
  <c r="R302" i="25"/>
  <c r="R270" i="25"/>
  <c r="V302" i="25"/>
  <c r="V270" i="25"/>
  <c r="Z302" i="25"/>
  <c r="Z270" i="25"/>
  <c r="K306" i="25"/>
  <c r="K274" i="25"/>
  <c r="O306" i="25"/>
  <c r="O274" i="25"/>
  <c r="S306" i="25"/>
  <c r="S274" i="25"/>
  <c r="W306" i="25"/>
  <c r="W274" i="25"/>
  <c r="AA306" i="25"/>
  <c r="AA274" i="25"/>
  <c r="G291" i="25"/>
  <c r="G259" i="25"/>
  <c r="M227" i="25"/>
  <c r="U227" i="25"/>
  <c r="J227" i="25"/>
  <c r="N227" i="25"/>
  <c r="R227" i="25"/>
  <c r="Z227" i="25"/>
  <c r="X240" i="25"/>
  <c r="K270" i="25"/>
  <c r="S270" i="25"/>
  <c r="AA270" i="25"/>
  <c r="G304" i="25"/>
  <c r="G272" i="25"/>
  <c r="G306" i="25"/>
  <c r="G274" i="25"/>
  <c r="T240" i="25"/>
  <c r="G290" i="25"/>
  <c r="G258" i="25"/>
  <c r="H227" i="25"/>
  <c r="L227" i="25"/>
  <c r="P227" i="25"/>
  <c r="G270" i="25"/>
  <c r="O270" i="25"/>
  <c r="W270" i="25"/>
  <c r="G275" i="25"/>
  <c r="L85" i="25" l="1"/>
  <c r="Y85" i="25"/>
  <c r="H149" i="25"/>
  <c r="G269" i="25"/>
  <c r="K133" i="25"/>
  <c r="V274" i="25"/>
  <c r="AB274" i="25" s="1"/>
  <c r="K301" i="25"/>
  <c r="Q301" i="25"/>
  <c r="O85" i="25"/>
  <c r="J136" i="25"/>
  <c r="Z85" i="25"/>
  <c r="U269" i="25"/>
  <c r="Q150" i="29"/>
  <c r="J141" i="25"/>
  <c r="J150" i="25" s="1"/>
  <c r="AB240" i="25"/>
  <c r="J85" i="25"/>
  <c r="AA85" i="25"/>
  <c r="P129" i="29"/>
  <c r="H29" i="25"/>
  <c r="Q121" i="29"/>
  <c r="Q120" i="29"/>
  <c r="Q119" i="29"/>
  <c r="Q115" i="29"/>
  <c r="R112" i="29"/>
  <c r="U192" i="29"/>
  <c r="R142" i="29"/>
  <c r="R140" i="29"/>
  <c r="R136" i="29"/>
  <c r="R141" i="29"/>
  <c r="S133" i="29"/>
  <c r="R185" i="29"/>
  <c r="Q149" i="29"/>
  <c r="R154" i="29"/>
  <c r="Q163" i="29"/>
  <c r="Q162" i="29"/>
  <c r="Q157" i="29"/>
  <c r="Q161" i="29"/>
  <c r="P128" i="29"/>
  <c r="P171" i="29"/>
  <c r="H171" i="25"/>
  <c r="I170" i="25"/>
  <c r="I150" i="25"/>
  <c r="J149" i="25"/>
  <c r="K85" i="25"/>
  <c r="L29" i="25"/>
  <c r="L26" i="25"/>
  <c r="L234" i="25" s="1"/>
  <c r="Z293" i="25"/>
  <c r="Z261" i="25"/>
  <c r="U293" i="25"/>
  <c r="U261" i="25"/>
  <c r="AA293" i="25"/>
  <c r="AA261" i="25"/>
  <c r="Q293" i="25"/>
  <c r="Q261" i="25"/>
  <c r="J170" i="25"/>
  <c r="J171" i="25"/>
  <c r="H150" i="25"/>
  <c r="Q85" i="25"/>
  <c r="T85" i="25"/>
  <c r="S85" i="25"/>
  <c r="K142" i="25"/>
  <c r="K141" i="25"/>
  <c r="K140" i="25"/>
  <c r="K136" i="25"/>
  <c r="L133" i="25"/>
  <c r="N85" i="25"/>
  <c r="P293" i="25"/>
  <c r="P261" i="25"/>
  <c r="R293" i="25"/>
  <c r="R261" i="25"/>
  <c r="M293" i="25"/>
  <c r="M261" i="25"/>
  <c r="S293" i="25"/>
  <c r="S261" i="25"/>
  <c r="J192" i="25"/>
  <c r="I293" i="25"/>
  <c r="I261" i="25"/>
  <c r="W293" i="25"/>
  <c r="W261" i="25"/>
  <c r="M85" i="25"/>
  <c r="P85" i="25"/>
  <c r="Y288" i="25"/>
  <c r="Y256" i="25"/>
  <c r="L293" i="25"/>
  <c r="L261" i="25"/>
  <c r="N293" i="25"/>
  <c r="N261" i="25"/>
  <c r="K293" i="25"/>
  <c r="K261" i="25"/>
  <c r="O293" i="25"/>
  <c r="O261" i="25"/>
  <c r="K163" i="25"/>
  <c r="L154" i="25"/>
  <c r="K162" i="25"/>
  <c r="K157" i="25"/>
  <c r="K161" i="25"/>
  <c r="I85" i="25"/>
  <c r="V85" i="25"/>
  <c r="H293" i="25"/>
  <c r="H261" i="25"/>
  <c r="T306" i="25"/>
  <c r="T274" i="25"/>
  <c r="X306" i="25"/>
  <c r="X274" i="25"/>
  <c r="J293" i="25"/>
  <c r="J261" i="25"/>
  <c r="Y293" i="25"/>
  <c r="Y261" i="25"/>
  <c r="H170" i="25"/>
  <c r="I171" i="25"/>
  <c r="U85" i="25"/>
  <c r="W85" i="25"/>
  <c r="G85" i="25"/>
  <c r="R85" i="25"/>
  <c r="R149" i="29" l="1"/>
  <c r="Q170" i="29"/>
  <c r="H26" i="25"/>
  <c r="H234" i="25" s="1"/>
  <c r="H300" i="25" s="1"/>
  <c r="R150" i="29"/>
  <c r="Q128" i="29"/>
  <c r="S185" i="29"/>
  <c r="Q129" i="29"/>
  <c r="Q171" i="29"/>
  <c r="S142" i="29"/>
  <c r="S141" i="29"/>
  <c r="S140" i="29"/>
  <c r="S136" i="29"/>
  <c r="T133" i="29"/>
  <c r="V192" i="29"/>
  <c r="R115" i="29"/>
  <c r="S112" i="29"/>
  <c r="R121" i="29"/>
  <c r="R119" i="29"/>
  <c r="R120" i="29"/>
  <c r="R157" i="29"/>
  <c r="S154" i="29"/>
  <c r="R163" i="29"/>
  <c r="R162" i="29"/>
  <c r="R161" i="29"/>
  <c r="R170" i="29" s="1"/>
  <c r="I26" i="25"/>
  <c r="I234" i="25" s="1"/>
  <c r="I29" i="25"/>
  <c r="N26" i="25"/>
  <c r="N234" i="25" s="1"/>
  <c r="N29" i="25"/>
  <c r="L300" i="25"/>
  <c r="L268" i="25"/>
  <c r="M26" i="25"/>
  <c r="M234" i="25" s="1"/>
  <c r="M29" i="25"/>
  <c r="J26" i="25"/>
  <c r="J234" i="25" s="1"/>
  <c r="J29" i="25"/>
  <c r="K29" i="25"/>
  <c r="K26" i="25"/>
  <c r="K234" i="25" s="1"/>
  <c r="K170" i="25"/>
  <c r="K192" i="25"/>
  <c r="K149" i="25"/>
  <c r="L136" i="25"/>
  <c r="M133" i="25"/>
  <c r="L141" i="25"/>
  <c r="L140" i="25"/>
  <c r="L142" i="25"/>
  <c r="K171" i="25"/>
  <c r="L163" i="25"/>
  <c r="L171" i="25" s="1"/>
  <c r="L162" i="25"/>
  <c r="L161" i="25"/>
  <c r="M154" i="25"/>
  <c r="L157" i="25"/>
  <c r="K150" i="25"/>
  <c r="S149" i="29" l="1"/>
  <c r="H268" i="25"/>
  <c r="R128" i="29"/>
  <c r="J29" i="29"/>
  <c r="J26" i="29"/>
  <c r="J234" i="29" s="1"/>
  <c r="H26" i="29"/>
  <c r="H234" i="29" s="1"/>
  <c r="H29" i="29"/>
  <c r="N26" i="29"/>
  <c r="N234" i="29" s="1"/>
  <c r="N29" i="29"/>
  <c r="K26" i="29"/>
  <c r="K234" i="29" s="1"/>
  <c r="K29" i="29"/>
  <c r="L26" i="29"/>
  <c r="L234" i="29" s="1"/>
  <c r="L29" i="29"/>
  <c r="I29" i="29"/>
  <c r="I26" i="29"/>
  <c r="I234" i="29" s="1"/>
  <c r="M29" i="29"/>
  <c r="M26" i="29"/>
  <c r="M234" i="29" s="1"/>
  <c r="W192" i="29"/>
  <c r="R129" i="29"/>
  <c r="T185" i="29"/>
  <c r="S162" i="29"/>
  <c r="S163" i="29"/>
  <c r="S161" i="29"/>
  <c r="S170" i="29" s="1"/>
  <c r="S157" i="29"/>
  <c r="T154" i="29"/>
  <c r="S150" i="29"/>
  <c r="S121" i="29"/>
  <c r="S120" i="29"/>
  <c r="S119" i="29"/>
  <c r="T112" i="29"/>
  <c r="S115" i="29"/>
  <c r="R171" i="29"/>
  <c r="U133" i="29"/>
  <c r="T141" i="29"/>
  <c r="T136" i="29"/>
  <c r="T140" i="29"/>
  <c r="T150" i="29"/>
  <c r="T142" i="29"/>
  <c r="L170" i="25"/>
  <c r="K300" i="25"/>
  <c r="K268" i="25"/>
  <c r="I300" i="25"/>
  <c r="I268" i="25"/>
  <c r="M300" i="25"/>
  <c r="M268" i="25"/>
  <c r="J268" i="25"/>
  <c r="J300" i="25"/>
  <c r="O29" i="25"/>
  <c r="O26" i="25"/>
  <c r="O234" i="25" s="1"/>
  <c r="N300" i="25"/>
  <c r="N268" i="25"/>
  <c r="M163" i="25"/>
  <c r="M161" i="25"/>
  <c r="M157" i="25"/>
  <c r="M162" i="25"/>
  <c r="N154" i="25"/>
  <c r="L149" i="25"/>
  <c r="L150" i="25"/>
  <c r="L192" i="25"/>
  <c r="M142" i="25"/>
  <c r="M140" i="25"/>
  <c r="M141" i="25"/>
  <c r="N133" i="25"/>
  <c r="M136" i="25"/>
  <c r="M171" i="25" l="1"/>
  <c r="T149" i="29"/>
  <c r="S129" i="29"/>
  <c r="L34" i="29"/>
  <c r="K34" i="29"/>
  <c r="H34" i="29"/>
  <c r="N34" i="29"/>
  <c r="I34" i="29"/>
  <c r="J34" i="29"/>
  <c r="M34" i="29"/>
  <c r="M300" i="29"/>
  <c r="M268" i="29"/>
  <c r="K300" i="29"/>
  <c r="K268" i="29"/>
  <c r="L300" i="29"/>
  <c r="L268" i="29"/>
  <c r="N268" i="29"/>
  <c r="N300" i="29"/>
  <c r="H300" i="29"/>
  <c r="H268" i="29"/>
  <c r="I300" i="29"/>
  <c r="I268" i="29"/>
  <c r="J268" i="29"/>
  <c r="J300" i="29"/>
  <c r="U136" i="29"/>
  <c r="V133" i="29"/>
  <c r="U142" i="29"/>
  <c r="U141" i="29"/>
  <c r="U150" i="29" s="1"/>
  <c r="U140" i="29"/>
  <c r="T163" i="29"/>
  <c r="T162" i="29"/>
  <c r="T161" i="29"/>
  <c r="T157" i="29"/>
  <c r="U154" i="29"/>
  <c r="S128" i="29"/>
  <c r="S171" i="29"/>
  <c r="X192" i="29"/>
  <c r="T115" i="29"/>
  <c r="U112" i="29"/>
  <c r="T121" i="29"/>
  <c r="T120" i="29"/>
  <c r="T119" i="29"/>
  <c r="U185" i="29"/>
  <c r="M149" i="25"/>
  <c r="P29" i="25"/>
  <c r="P26" i="25"/>
  <c r="P234" i="25" s="1"/>
  <c r="O300" i="25"/>
  <c r="O268" i="25"/>
  <c r="N142" i="25"/>
  <c r="N141" i="25"/>
  <c r="N136" i="25"/>
  <c r="O133" i="25"/>
  <c r="N140" i="25"/>
  <c r="M150" i="25"/>
  <c r="M192" i="25"/>
  <c r="M170" i="25"/>
  <c r="N157" i="25"/>
  <c r="O154" i="25"/>
  <c r="N161" i="25"/>
  <c r="N162" i="25"/>
  <c r="N163" i="25"/>
  <c r="T171" i="29" l="1"/>
  <c r="T129" i="29"/>
  <c r="P29" i="29"/>
  <c r="P26" i="29"/>
  <c r="P234" i="29" s="1"/>
  <c r="O26" i="29"/>
  <c r="O234" i="29" s="1"/>
  <c r="O29" i="29"/>
  <c r="V185" i="29"/>
  <c r="V154" i="29"/>
  <c r="U162" i="29"/>
  <c r="U157" i="29"/>
  <c r="U161" i="29"/>
  <c r="U163" i="29"/>
  <c r="V141" i="29"/>
  <c r="V142" i="29"/>
  <c r="V140" i="29"/>
  <c r="V136" i="29"/>
  <c r="W133" i="29"/>
  <c r="Y192" i="29"/>
  <c r="U149" i="29"/>
  <c r="U121" i="29"/>
  <c r="U120" i="29"/>
  <c r="U119" i="29"/>
  <c r="V112" i="29"/>
  <c r="U115" i="29"/>
  <c r="T128" i="29"/>
  <c r="T170" i="29"/>
  <c r="N149" i="25"/>
  <c r="N171" i="25"/>
  <c r="Q26" i="25"/>
  <c r="Q234" i="25" s="1"/>
  <c r="Q29" i="25"/>
  <c r="P300" i="25"/>
  <c r="P268" i="25"/>
  <c r="N170" i="25"/>
  <c r="N192" i="25"/>
  <c r="O142" i="25"/>
  <c r="O141" i="25"/>
  <c r="O140" i="25"/>
  <c r="O136" i="25"/>
  <c r="P133" i="25"/>
  <c r="N150" i="25"/>
  <c r="O162" i="25"/>
  <c r="O157" i="25"/>
  <c r="O161" i="25"/>
  <c r="O163" i="25"/>
  <c r="P154" i="25"/>
  <c r="V150" i="29" l="1"/>
  <c r="U171" i="29"/>
  <c r="U129" i="29"/>
  <c r="P268" i="29"/>
  <c r="P300" i="29"/>
  <c r="O34" i="29"/>
  <c r="P34" i="29"/>
  <c r="Q29" i="29"/>
  <c r="Q26" i="29"/>
  <c r="Q234" i="29" s="1"/>
  <c r="O268" i="29"/>
  <c r="O300" i="29"/>
  <c r="V115" i="29"/>
  <c r="W112" i="29"/>
  <c r="V120" i="29"/>
  <c r="V121" i="29"/>
  <c r="V119" i="29"/>
  <c r="Z192" i="29"/>
  <c r="U128" i="29"/>
  <c r="V149" i="29"/>
  <c r="U170" i="29"/>
  <c r="V157" i="29"/>
  <c r="W154" i="29"/>
  <c r="V163" i="29"/>
  <c r="V162" i="29"/>
  <c r="V161" i="29"/>
  <c r="W185" i="29"/>
  <c r="W142" i="29"/>
  <c r="W141" i="29"/>
  <c r="W140" i="29"/>
  <c r="W136" i="29"/>
  <c r="X133" i="29"/>
  <c r="O149" i="25"/>
  <c r="O170" i="25"/>
  <c r="R26" i="25"/>
  <c r="R234" i="25" s="1"/>
  <c r="R29" i="25"/>
  <c r="Q300" i="25"/>
  <c r="Q268" i="25"/>
  <c r="O150" i="25"/>
  <c r="O171" i="25"/>
  <c r="P163" i="25"/>
  <c r="P162" i="25"/>
  <c r="P161" i="25"/>
  <c r="Q154" i="25"/>
  <c r="P157" i="25"/>
  <c r="P140" i="25"/>
  <c r="P136" i="25"/>
  <c r="Q133" i="25"/>
  <c r="P142" i="25"/>
  <c r="P141" i="25"/>
  <c r="O192" i="25"/>
  <c r="V171" i="29" l="1"/>
  <c r="P150" i="25"/>
  <c r="V129" i="29"/>
  <c r="Q34" i="29"/>
  <c r="R26" i="29"/>
  <c r="R234" i="29" s="1"/>
  <c r="R29" i="29"/>
  <c r="R34" i="29" s="1"/>
  <c r="Q300" i="29"/>
  <c r="Q268" i="29"/>
  <c r="W149" i="29"/>
  <c r="X185" i="29"/>
  <c r="Y133" i="29"/>
  <c r="X142" i="29"/>
  <c r="X140" i="29"/>
  <c r="X141" i="29"/>
  <c r="X150" i="29" s="1"/>
  <c r="X136" i="29"/>
  <c r="W163" i="29"/>
  <c r="W161" i="29"/>
  <c r="W157" i="29"/>
  <c r="W162" i="29"/>
  <c r="X154" i="29"/>
  <c r="W121" i="29"/>
  <c r="W120" i="29"/>
  <c r="W119" i="29"/>
  <c r="W115" i="29"/>
  <c r="X112" i="29"/>
  <c r="W150" i="29"/>
  <c r="V170" i="29"/>
  <c r="AA192" i="29"/>
  <c r="V128" i="29"/>
  <c r="P170" i="25"/>
  <c r="S29" i="25"/>
  <c r="S26" i="25"/>
  <c r="S234" i="25" s="1"/>
  <c r="R268" i="25"/>
  <c r="R300" i="25"/>
  <c r="P149" i="25"/>
  <c r="Q163" i="25"/>
  <c r="Q162" i="25"/>
  <c r="R154" i="25"/>
  <c r="Q161" i="25"/>
  <c r="Q157" i="25"/>
  <c r="P171" i="25"/>
  <c r="P192" i="25"/>
  <c r="Q141" i="25"/>
  <c r="Q142" i="25"/>
  <c r="Q140" i="25"/>
  <c r="R133" i="25"/>
  <c r="Q136" i="25"/>
  <c r="Q171" i="25" l="1"/>
  <c r="W128" i="29"/>
  <c r="R300" i="29"/>
  <c r="R268" i="29"/>
  <c r="S26" i="29"/>
  <c r="S234" i="29" s="1"/>
  <c r="S29" i="29"/>
  <c r="Y136" i="29"/>
  <c r="Z133" i="29"/>
  <c r="Y142" i="29"/>
  <c r="Y141" i="29"/>
  <c r="Y140" i="29"/>
  <c r="Y149" i="29" s="1"/>
  <c r="Y185" i="29"/>
  <c r="X115" i="29"/>
  <c r="Y112" i="29"/>
  <c r="X120" i="29"/>
  <c r="X119" i="29"/>
  <c r="X121" i="29"/>
  <c r="X163" i="29"/>
  <c r="X162" i="29"/>
  <c r="X161" i="29"/>
  <c r="X157" i="29"/>
  <c r="Y154" i="29"/>
  <c r="W170" i="29"/>
  <c r="X149" i="29"/>
  <c r="W129" i="29"/>
  <c r="W171" i="29"/>
  <c r="Q149" i="25"/>
  <c r="T29" i="25"/>
  <c r="T26" i="25"/>
  <c r="T234" i="25" s="1"/>
  <c r="S300" i="25"/>
  <c r="S268" i="25"/>
  <c r="Q170" i="25"/>
  <c r="R142" i="25"/>
  <c r="R141" i="25"/>
  <c r="R150" i="25" s="1"/>
  <c r="R140" i="25"/>
  <c r="R136" i="25"/>
  <c r="S133" i="25"/>
  <c r="Q150" i="25"/>
  <c r="Q192" i="25"/>
  <c r="R157" i="25"/>
  <c r="S154" i="25"/>
  <c r="R163" i="25"/>
  <c r="R161" i="25"/>
  <c r="R162" i="25"/>
  <c r="X171" i="29" l="1"/>
  <c r="S34" i="29"/>
  <c r="S300" i="29"/>
  <c r="S268" i="29"/>
  <c r="T26" i="29"/>
  <c r="T234" i="29" s="1"/>
  <c r="T29" i="29"/>
  <c r="T34" i="29" s="1"/>
  <c r="Z154" i="29"/>
  <c r="Y161" i="29"/>
  <c r="Y162" i="29"/>
  <c r="Y163" i="29"/>
  <c r="Y157" i="29"/>
  <c r="Y121" i="29"/>
  <c r="Y120" i="29"/>
  <c r="Y119" i="29"/>
  <c r="Y115" i="29"/>
  <c r="Z112" i="29"/>
  <c r="Y150" i="29"/>
  <c r="Z185" i="29"/>
  <c r="X170" i="29"/>
  <c r="X128" i="29"/>
  <c r="X129" i="29"/>
  <c r="Z142" i="29"/>
  <c r="Z140" i="29"/>
  <c r="Z136" i="29"/>
  <c r="Z141" i="29"/>
  <c r="AA133" i="29"/>
  <c r="R170" i="25"/>
  <c r="U26" i="25"/>
  <c r="U234" i="25" s="1"/>
  <c r="U29" i="25"/>
  <c r="T300" i="25"/>
  <c r="T268" i="25"/>
  <c r="S142" i="25"/>
  <c r="S141" i="25"/>
  <c r="S140" i="25"/>
  <c r="S136" i="25"/>
  <c r="T133" i="25"/>
  <c r="R171" i="25"/>
  <c r="R192" i="25"/>
  <c r="R149" i="25"/>
  <c r="S161" i="25"/>
  <c r="S162" i="25"/>
  <c r="S171" i="25" s="1"/>
  <c r="S157" i="25"/>
  <c r="S163" i="25"/>
  <c r="T154" i="25"/>
  <c r="Z149" i="29" l="1"/>
  <c r="Y170" i="29"/>
  <c r="Y128" i="29"/>
  <c r="U29" i="29"/>
  <c r="U34" i="29" s="1"/>
  <c r="U26" i="29"/>
  <c r="U234" i="29" s="1"/>
  <c r="T300" i="29"/>
  <c r="T268" i="29"/>
  <c r="AA142" i="29"/>
  <c r="AA141" i="29"/>
  <c r="AA140" i="29"/>
  <c r="AA150" i="29" s="1"/>
  <c r="AA136" i="29"/>
  <c r="Y129" i="29"/>
  <c r="AA185" i="29"/>
  <c r="Y171" i="29"/>
  <c r="Z157" i="29"/>
  <c r="AA154" i="29"/>
  <c r="Z163" i="29"/>
  <c r="Z162" i="29"/>
  <c r="Z161" i="29"/>
  <c r="Z150" i="29"/>
  <c r="Z115" i="29"/>
  <c r="AA112" i="29"/>
  <c r="Z121" i="29"/>
  <c r="Z119" i="29"/>
  <c r="Z120" i="29"/>
  <c r="S150" i="25"/>
  <c r="U300" i="25"/>
  <c r="U268" i="25"/>
  <c r="V26" i="25"/>
  <c r="V234" i="25" s="1"/>
  <c r="V29" i="25"/>
  <c r="S170" i="25"/>
  <c r="S149" i="25"/>
  <c r="T163" i="25"/>
  <c r="T162" i="25"/>
  <c r="T161" i="25"/>
  <c r="T157" i="25"/>
  <c r="U154" i="25"/>
  <c r="T136" i="25"/>
  <c r="U133" i="25"/>
  <c r="T141" i="25"/>
  <c r="T140" i="25"/>
  <c r="T142" i="25"/>
  <c r="S192" i="25"/>
  <c r="A320" i="21"/>
  <c r="A283" i="21"/>
  <c r="G241" i="21"/>
  <c r="G240" i="21"/>
  <c r="G239" i="21"/>
  <c r="G237" i="21"/>
  <c r="AA236" i="21"/>
  <c r="Z236" i="21"/>
  <c r="Y236" i="21"/>
  <c r="X236" i="21"/>
  <c r="W236" i="21"/>
  <c r="V236" i="21"/>
  <c r="U236" i="21"/>
  <c r="T236" i="21"/>
  <c r="S236" i="21"/>
  <c r="R236" i="21"/>
  <c r="Q236" i="21"/>
  <c r="P236" i="21"/>
  <c r="O236" i="21"/>
  <c r="N236" i="21"/>
  <c r="M236" i="21"/>
  <c r="L236" i="21"/>
  <c r="K236" i="21"/>
  <c r="J236" i="21"/>
  <c r="I236" i="21"/>
  <c r="H236" i="21"/>
  <c r="G236" i="21"/>
  <c r="G227" i="21"/>
  <c r="G225" i="21"/>
  <c r="G224" i="21"/>
  <c r="G223" i="21"/>
  <c r="A213" i="21"/>
  <c r="A212" i="21"/>
  <c r="A211" i="21"/>
  <c r="A210" i="21"/>
  <c r="AA207" i="21"/>
  <c r="AA240" i="21" s="1"/>
  <c r="Z207" i="21"/>
  <c r="Z240" i="21" s="1"/>
  <c r="Y207" i="21"/>
  <c r="Y240" i="21" s="1"/>
  <c r="X207" i="21"/>
  <c r="X240" i="21" s="1"/>
  <c r="W207" i="21"/>
  <c r="W240" i="21" s="1"/>
  <c r="V207" i="21"/>
  <c r="V240" i="21" s="1"/>
  <c r="U207" i="21"/>
  <c r="U227" i="21" s="1"/>
  <c r="T207" i="21"/>
  <c r="T240" i="21" s="1"/>
  <c r="S207" i="21"/>
  <c r="S240" i="21" s="1"/>
  <c r="R207" i="21"/>
  <c r="R240" i="21" s="1"/>
  <c r="Q207" i="21"/>
  <c r="Q240" i="21" s="1"/>
  <c r="P207" i="21"/>
  <c r="P240" i="21" s="1"/>
  <c r="O207" i="21"/>
  <c r="O240" i="21" s="1"/>
  <c r="N207" i="21"/>
  <c r="N240" i="21" s="1"/>
  <c r="M207" i="21"/>
  <c r="M227" i="21" s="1"/>
  <c r="L207" i="21"/>
  <c r="L240" i="21" s="1"/>
  <c r="K207" i="21"/>
  <c r="K240" i="21" s="1"/>
  <c r="J207" i="21"/>
  <c r="J240" i="21" s="1"/>
  <c r="I207" i="21"/>
  <c r="I240" i="21" s="1"/>
  <c r="H207" i="21"/>
  <c r="H240" i="21" s="1"/>
  <c r="A206" i="21"/>
  <c r="A205" i="21"/>
  <c r="A204" i="21"/>
  <c r="A203" i="21"/>
  <c r="A198" i="21"/>
  <c r="A197" i="21"/>
  <c r="A194" i="21"/>
  <c r="H193" i="21"/>
  <c r="I193" i="21" s="1"/>
  <c r="J193" i="21" s="1"/>
  <c r="K193" i="21" s="1"/>
  <c r="L193" i="21" s="1"/>
  <c r="M193" i="21" s="1"/>
  <c r="N193" i="21" s="1"/>
  <c r="O193" i="21" s="1"/>
  <c r="P193" i="21" s="1"/>
  <c r="Q193" i="21" s="1"/>
  <c r="R193" i="21" s="1"/>
  <c r="S193" i="21" s="1"/>
  <c r="T193" i="21" s="1"/>
  <c r="U193" i="21" s="1"/>
  <c r="V193" i="21" s="1"/>
  <c r="W193" i="21" s="1"/>
  <c r="X193" i="21" s="1"/>
  <c r="Y193" i="21" s="1"/>
  <c r="Z193" i="21" s="1"/>
  <c r="AA193" i="21" s="1"/>
  <c r="A193" i="21"/>
  <c r="H192" i="21"/>
  <c r="A192" i="21"/>
  <c r="A191" i="21"/>
  <c r="A186" i="21"/>
  <c r="I185" i="21"/>
  <c r="A185" i="21"/>
  <c r="A184" i="21"/>
  <c r="C183" i="21"/>
  <c r="H168" i="21"/>
  <c r="I168" i="21" s="1"/>
  <c r="J168" i="21" s="1"/>
  <c r="K168" i="21" s="1"/>
  <c r="L168" i="21" s="1"/>
  <c r="M168" i="21" s="1"/>
  <c r="N168" i="21" s="1"/>
  <c r="O168" i="21" s="1"/>
  <c r="P168" i="21" s="1"/>
  <c r="Q168" i="21" s="1"/>
  <c r="R168" i="21" s="1"/>
  <c r="S168" i="21" s="1"/>
  <c r="T168" i="21" s="1"/>
  <c r="U168" i="21" s="1"/>
  <c r="V168" i="21" s="1"/>
  <c r="W168" i="21" s="1"/>
  <c r="X168" i="21" s="1"/>
  <c r="Y168" i="21" s="1"/>
  <c r="Z168" i="21" s="1"/>
  <c r="AA168" i="21" s="1"/>
  <c r="H167" i="21"/>
  <c r="I167" i="21" s="1"/>
  <c r="J167" i="21" s="1"/>
  <c r="K167" i="21" s="1"/>
  <c r="L167" i="21" s="1"/>
  <c r="M167" i="21" s="1"/>
  <c r="N167" i="21" s="1"/>
  <c r="O167" i="21" s="1"/>
  <c r="P167" i="21" s="1"/>
  <c r="Q167" i="21" s="1"/>
  <c r="R167" i="21" s="1"/>
  <c r="S167" i="21" s="1"/>
  <c r="T167" i="21" s="1"/>
  <c r="U167" i="21" s="1"/>
  <c r="V167" i="21" s="1"/>
  <c r="W167" i="21" s="1"/>
  <c r="X167" i="21" s="1"/>
  <c r="Y167" i="21" s="1"/>
  <c r="Z167" i="21" s="1"/>
  <c r="AA167" i="21" s="1"/>
  <c r="H166" i="21"/>
  <c r="I166" i="21" s="1"/>
  <c r="J166" i="21" s="1"/>
  <c r="K166" i="21" s="1"/>
  <c r="L166" i="21" s="1"/>
  <c r="M166" i="21" s="1"/>
  <c r="N166" i="21" s="1"/>
  <c r="O166" i="21" s="1"/>
  <c r="P166" i="21" s="1"/>
  <c r="Q166" i="21" s="1"/>
  <c r="R166" i="21" s="1"/>
  <c r="S166" i="21" s="1"/>
  <c r="T166" i="21" s="1"/>
  <c r="U166" i="21" s="1"/>
  <c r="V166" i="21" s="1"/>
  <c r="W166" i="21" s="1"/>
  <c r="X166" i="21" s="1"/>
  <c r="Y166" i="21" s="1"/>
  <c r="Z166" i="21" s="1"/>
  <c r="AA166" i="21" s="1"/>
  <c r="H165" i="21"/>
  <c r="I165" i="21" s="1"/>
  <c r="J165" i="21" s="1"/>
  <c r="K165" i="21" s="1"/>
  <c r="L165" i="21" s="1"/>
  <c r="M165" i="21" s="1"/>
  <c r="N165" i="21" s="1"/>
  <c r="O165" i="21" s="1"/>
  <c r="P165" i="21" s="1"/>
  <c r="Q165" i="21" s="1"/>
  <c r="R165" i="21" s="1"/>
  <c r="S165" i="21" s="1"/>
  <c r="T165" i="21" s="1"/>
  <c r="U165" i="21" s="1"/>
  <c r="V165" i="21" s="1"/>
  <c r="W165" i="21" s="1"/>
  <c r="X165" i="21" s="1"/>
  <c r="Y165" i="21" s="1"/>
  <c r="Z165" i="21" s="1"/>
  <c r="AA165" i="21" s="1"/>
  <c r="A165" i="21"/>
  <c r="A164" i="21"/>
  <c r="H163" i="21"/>
  <c r="H162" i="21"/>
  <c r="H161" i="21"/>
  <c r="A160" i="21"/>
  <c r="A158" i="21"/>
  <c r="H157" i="21"/>
  <c r="AA156" i="21"/>
  <c r="Z156" i="21"/>
  <c r="Y156" i="21"/>
  <c r="X156" i="21"/>
  <c r="W156" i="21"/>
  <c r="Q156" i="21"/>
  <c r="P156" i="21"/>
  <c r="O156" i="21"/>
  <c r="N156" i="21"/>
  <c r="M156" i="21"/>
  <c r="L156" i="21"/>
  <c r="K156" i="21"/>
  <c r="J156" i="21"/>
  <c r="I156" i="21"/>
  <c r="H156" i="21"/>
  <c r="A155" i="21"/>
  <c r="I154" i="21"/>
  <c r="I157" i="21" s="1"/>
  <c r="H154" i="21"/>
  <c r="V153" i="21"/>
  <c r="V156" i="21" s="1"/>
  <c r="U153" i="21"/>
  <c r="U156" i="21" s="1"/>
  <c r="T153" i="21"/>
  <c r="T156" i="21" s="1"/>
  <c r="S153" i="21"/>
  <c r="S156" i="21" s="1"/>
  <c r="R153" i="21"/>
  <c r="R156" i="21" s="1"/>
  <c r="A153" i="21"/>
  <c r="H147" i="21"/>
  <c r="I147" i="21" s="1"/>
  <c r="J147" i="21" s="1"/>
  <c r="K147" i="21" s="1"/>
  <c r="L147" i="21" s="1"/>
  <c r="M147" i="21" s="1"/>
  <c r="N147" i="21" s="1"/>
  <c r="O147" i="21" s="1"/>
  <c r="P147" i="21" s="1"/>
  <c r="Q147" i="21" s="1"/>
  <c r="R147" i="21" s="1"/>
  <c r="S147" i="21" s="1"/>
  <c r="T147" i="21" s="1"/>
  <c r="U147" i="21" s="1"/>
  <c r="V147" i="21" s="1"/>
  <c r="W147" i="21" s="1"/>
  <c r="X147" i="21" s="1"/>
  <c r="Y147" i="21" s="1"/>
  <c r="Z147" i="21" s="1"/>
  <c r="AA147" i="21" s="1"/>
  <c r="H146" i="21"/>
  <c r="I146" i="21" s="1"/>
  <c r="J146" i="21" s="1"/>
  <c r="K146" i="21" s="1"/>
  <c r="L146" i="21" s="1"/>
  <c r="M146" i="21" s="1"/>
  <c r="N146" i="21" s="1"/>
  <c r="O146" i="21" s="1"/>
  <c r="P146" i="21" s="1"/>
  <c r="Q146" i="21" s="1"/>
  <c r="R146" i="21" s="1"/>
  <c r="S146" i="21" s="1"/>
  <c r="T146" i="21" s="1"/>
  <c r="U146" i="21" s="1"/>
  <c r="V146" i="21" s="1"/>
  <c r="W146" i="21" s="1"/>
  <c r="X146" i="21" s="1"/>
  <c r="Y146" i="21" s="1"/>
  <c r="Z146" i="21" s="1"/>
  <c r="AA146" i="21" s="1"/>
  <c r="H145" i="21"/>
  <c r="I145" i="21" s="1"/>
  <c r="J145" i="21" s="1"/>
  <c r="K145" i="21" s="1"/>
  <c r="L145" i="21" s="1"/>
  <c r="M145" i="21" s="1"/>
  <c r="N145" i="21" s="1"/>
  <c r="O145" i="21" s="1"/>
  <c r="P145" i="21" s="1"/>
  <c r="Q145" i="21" s="1"/>
  <c r="R145" i="21" s="1"/>
  <c r="S145" i="21" s="1"/>
  <c r="T145" i="21" s="1"/>
  <c r="U145" i="21" s="1"/>
  <c r="V145" i="21" s="1"/>
  <c r="W145" i="21" s="1"/>
  <c r="X145" i="21" s="1"/>
  <c r="Y145" i="21" s="1"/>
  <c r="Z145" i="21" s="1"/>
  <c r="AA145" i="21" s="1"/>
  <c r="H144" i="21"/>
  <c r="I144" i="21" s="1"/>
  <c r="J144" i="21" s="1"/>
  <c r="K144" i="21" s="1"/>
  <c r="L144" i="21" s="1"/>
  <c r="M144" i="21" s="1"/>
  <c r="N144" i="21" s="1"/>
  <c r="O144" i="21" s="1"/>
  <c r="P144" i="21" s="1"/>
  <c r="Q144" i="21" s="1"/>
  <c r="R144" i="21" s="1"/>
  <c r="S144" i="21" s="1"/>
  <c r="T144" i="21" s="1"/>
  <c r="U144" i="21" s="1"/>
  <c r="V144" i="21" s="1"/>
  <c r="W144" i="21" s="1"/>
  <c r="X144" i="21" s="1"/>
  <c r="Y144" i="21" s="1"/>
  <c r="Z144" i="21" s="1"/>
  <c r="AA144" i="21" s="1"/>
  <c r="A144" i="21"/>
  <c r="A143" i="21"/>
  <c r="A139" i="21"/>
  <c r="A137" i="21"/>
  <c r="AA135" i="21"/>
  <c r="Z135" i="21"/>
  <c r="Y135" i="21"/>
  <c r="X135" i="21"/>
  <c r="W135" i="21"/>
  <c r="Q135" i="21"/>
  <c r="P135" i="21"/>
  <c r="O135" i="21"/>
  <c r="N135" i="21"/>
  <c r="M135" i="21"/>
  <c r="L135" i="21"/>
  <c r="K135" i="21"/>
  <c r="J135" i="21"/>
  <c r="I135" i="21"/>
  <c r="H135" i="21"/>
  <c r="A134" i="21"/>
  <c r="H133" i="21"/>
  <c r="V132" i="21"/>
  <c r="V135" i="21" s="1"/>
  <c r="U132" i="21"/>
  <c r="U135" i="21" s="1"/>
  <c r="T132" i="21"/>
  <c r="T135" i="21" s="1"/>
  <c r="S132" i="21"/>
  <c r="S135" i="21" s="1"/>
  <c r="R132" i="21"/>
  <c r="R135" i="21" s="1"/>
  <c r="A132" i="21"/>
  <c r="H126" i="21"/>
  <c r="I126" i="21" s="1"/>
  <c r="J126" i="21" s="1"/>
  <c r="K126" i="21" s="1"/>
  <c r="L126" i="21" s="1"/>
  <c r="M126" i="21" s="1"/>
  <c r="N126" i="21" s="1"/>
  <c r="O126" i="21" s="1"/>
  <c r="P126" i="21" s="1"/>
  <c r="Q126" i="21" s="1"/>
  <c r="R126" i="21" s="1"/>
  <c r="S126" i="21" s="1"/>
  <c r="T126" i="21" s="1"/>
  <c r="U126" i="21" s="1"/>
  <c r="V126" i="21" s="1"/>
  <c r="W126" i="21" s="1"/>
  <c r="X126" i="21" s="1"/>
  <c r="Y126" i="21" s="1"/>
  <c r="Z126" i="21" s="1"/>
  <c r="AA126" i="21" s="1"/>
  <c r="H125" i="21"/>
  <c r="I125" i="21" s="1"/>
  <c r="J125" i="21" s="1"/>
  <c r="K125" i="21" s="1"/>
  <c r="L125" i="21" s="1"/>
  <c r="M125" i="21" s="1"/>
  <c r="N125" i="21" s="1"/>
  <c r="O125" i="21" s="1"/>
  <c r="P125" i="21" s="1"/>
  <c r="Q125" i="21" s="1"/>
  <c r="R125" i="21" s="1"/>
  <c r="S125" i="21" s="1"/>
  <c r="T125" i="21" s="1"/>
  <c r="U125" i="21" s="1"/>
  <c r="V125" i="21" s="1"/>
  <c r="W125" i="21" s="1"/>
  <c r="X125" i="21" s="1"/>
  <c r="Y125" i="21" s="1"/>
  <c r="Z125" i="21" s="1"/>
  <c r="AA125" i="21" s="1"/>
  <c r="H124" i="21"/>
  <c r="I124" i="21" s="1"/>
  <c r="J124" i="21" s="1"/>
  <c r="K124" i="21" s="1"/>
  <c r="L124" i="21" s="1"/>
  <c r="M124" i="21" s="1"/>
  <c r="N124" i="21" s="1"/>
  <c r="O124" i="21" s="1"/>
  <c r="P124" i="21" s="1"/>
  <c r="Q124" i="21" s="1"/>
  <c r="R124" i="21" s="1"/>
  <c r="S124" i="21" s="1"/>
  <c r="T124" i="21" s="1"/>
  <c r="U124" i="21" s="1"/>
  <c r="V124" i="21" s="1"/>
  <c r="W124" i="21" s="1"/>
  <c r="X124" i="21" s="1"/>
  <c r="Y124" i="21" s="1"/>
  <c r="Z124" i="21" s="1"/>
  <c r="AA124" i="21" s="1"/>
  <c r="H123" i="21"/>
  <c r="I123" i="21" s="1"/>
  <c r="J123" i="21" s="1"/>
  <c r="K123" i="21" s="1"/>
  <c r="L123" i="21" s="1"/>
  <c r="M123" i="21" s="1"/>
  <c r="N123" i="21" s="1"/>
  <c r="O123" i="21" s="1"/>
  <c r="P123" i="21" s="1"/>
  <c r="Q123" i="21" s="1"/>
  <c r="R123" i="21" s="1"/>
  <c r="S123" i="21" s="1"/>
  <c r="T123" i="21" s="1"/>
  <c r="U123" i="21" s="1"/>
  <c r="V123" i="21" s="1"/>
  <c r="W123" i="21" s="1"/>
  <c r="X123" i="21" s="1"/>
  <c r="Y123" i="21" s="1"/>
  <c r="Z123" i="21" s="1"/>
  <c r="AA123" i="21" s="1"/>
  <c r="A123" i="21"/>
  <c r="A122" i="21"/>
  <c r="A116" i="21"/>
  <c r="AA114" i="21"/>
  <c r="Z114" i="21"/>
  <c r="Y114" i="21"/>
  <c r="X114" i="21"/>
  <c r="W114" i="21"/>
  <c r="A113" i="21"/>
  <c r="A111" i="21"/>
  <c r="I105" i="21"/>
  <c r="J105" i="21" s="1"/>
  <c r="K105" i="21" s="1"/>
  <c r="L105" i="21" s="1"/>
  <c r="M105" i="21" s="1"/>
  <c r="N105" i="21" s="1"/>
  <c r="O105" i="21" s="1"/>
  <c r="P105" i="21" s="1"/>
  <c r="Q105" i="21" s="1"/>
  <c r="R105" i="21" s="1"/>
  <c r="S105" i="21" s="1"/>
  <c r="T105" i="21" s="1"/>
  <c r="U105" i="21" s="1"/>
  <c r="V105" i="21" s="1"/>
  <c r="W105" i="21" s="1"/>
  <c r="X105" i="21" s="1"/>
  <c r="Y105" i="21" s="1"/>
  <c r="Z105" i="21" s="1"/>
  <c r="AA105" i="21" s="1"/>
  <c r="I104" i="21"/>
  <c r="J104" i="21" s="1"/>
  <c r="K104" i="21" s="1"/>
  <c r="L104" i="21" s="1"/>
  <c r="M104" i="21" s="1"/>
  <c r="N104" i="21" s="1"/>
  <c r="O104" i="21" s="1"/>
  <c r="P104" i="21" s="1"/>
  <c r="Q104" i="21" s="1"/>
  <c r="R104" i="21" s="1"/>
  <c r="S104" i="21" s="1"/>
  <c r="T104" i="21" s="1"/>
  <c r="U104" i="21" s="1"/>
  <c r="V104" i="21" s="1"/>
  <c r="W104" i="21" s="1"/>
  <c r="X104" i="21" s="1"/>
  <c r="Y104" i="21" s="1"/>
  <c r="Z104" i="21" s="1"/>
  <c r="AA104" i="21" s="1"/>
  <c r="I103" i="21"/>
  <c r="J103" i="21" s="1"/>
  <c r="K103" i="21" s="1"/>
  <c r="L103" i="21" s="1"/>
  <c r="M103" i="21" s="1"/>
  <c r="N103" i="21" s="1"/>
  <c r="O103" i="21" s="1"/>
  <c r="P103" i="21" s="1"/>
  <c r="Q103" i="21" s="1"/>
  <c r="R103" i="21" s="1"/>
  <c r="S103" i="21" s="1"/>
  <c r="T103" i="21" s="1"/>
  <c r="U103" i="21" s="1"/>
  <c r="V103" i="21" s="1"/>
  <c r="W103" i="21" s="1"/>
  <c r="X103" i="21" s="1"/>
  <c r="Y103" i="21" s="1"/>
  <c r="Z103" i="21" s="1"/>
  <c r="AA103" i="21" s="1"/>
  <c r="I102" i="21"/>
  <c r="J102" i="21" s="1"/>
  <c r="K102" i="21" s="1"/>
  <c r="L102" i="21" s="1"/>
  <c r="M102" i="21" s="1"/>
  <c r="N102" i="21" s="1"/>
  <c r="O102" i="21" s="1"/>
  <c r="P102" i="21" s="1"/>
  <c r="Q102" i="21" s="1"/>
  <c r="R102" i="21" s="1"/>
  <c r="S102" i="21" s="1"/>
  <c r="T102" i="21" s="1"/>
  <c r="U102" i="21" s="1"/>
  <c r="V102" i="21" s="1"/>
  <c r="W102" i="21" s="1"/>
  <c r="X102" i="21" s="1"/>
  <c r="Y102" i="21" s="1"/>
  <c r="Z102" i="21" s="1"/>
  <c r="AA102" i="21" s="1"/>
  <c r="A102" i="21"/>
  <c r="A101" i="21"/>
  <c r="A95" i="21"/>
  <c r="AA93" i="21"/>
  <c r="Z93" i="21"/>
  <c r="Y93" i="21"/>
  <c r="X93" i="21"/>
  <c r="W93" i="21"/>
  <c r="A92" i="21"/>
  <c r="A90" i="21"/>
  <c r="C87" i="21"/>
  <c r="AA80" i="21"/>
  <c r="Z80" i="21"/>
  <c r="Y80" i="21"/>
  <c r="X80" i="21"/>
  <c r="W80" i="21"/>
  <c r="V80" i="21"/>
  <c r="U80" i="21"/>
  <c r="T80" i="21"/>
  <c r="S80" i="21"/>
  <c r="R80" i="21"/>
  <c r="Q80" i="21"/>
  <c r="P80" i="21"/>
  <c r="O80" i="21"/>
  <c r="N80" i="21"/>
  <c r="M80" i="21"/>
  <c r="L80" i="21"/>
  <c r="K80" i="21"/>
  <c r="J80" i="21"/>
  <c r="I80" i="21"/>
  <c r="H80" i="21"/>
  <c r="G80" i="21"/>
  <c r="AA79" i="21"/>
  <c r="Z79" i="21"/>
  <c r="Y79" i="21"/>
  <c r="X79" i="21"/>
  <c r="W79" i="21"/>
  <c r="V79" i="21"/>
  <c r="U79" i="21"/>
  <c r="T79" i="21"/>
  <c r="S79" i="21"/>
  <c r="R79" i="21"/>
  <c r="Q79" i="21"/>
  <c r="P79" i="21"/>
  <c r="O79" i="21"/>
  <c r="N79" i="21"/>
  <c r="M79" i="21"/>
  <c r="L79" i="21"/>
  <c r="K79" i="21"/>
  <c r="J79" i="21"/>
  <c r="I79" i="21"/>
  <c r="H79" i="21"/>
  <c r="G79" i="21"/>
  <c r="AA78" i="21"/>
  <c r="Z78" i="21"/>
  <c r="Y78" i="21"/>
  <c r="X78" i="21"/>
  <c r="W78" i="21"/>
  <c r="V78" i="21"/>
  <c r="U78" i="21"/>
  <c r="T78" i="21"/>
  <c r="S78" i="21"/>
  <c r="R78" i="21"/>
  <c r="Q78" i="21"/>
  <c r="P78" i="21"/>
  <c r="O78" i="21"/>
  <c r="N78" i="21"/>
  <c r="M78" i="21"/>
  <c r="L78" i="21"/>
  <c r="K78" i="21"/>
  <c r="J78" i="21"/>
  <c r="I78" i="21"/>
  <c r="H78" i="21"/>
  <c r="G78" i="21"/>
  <c r="AA75" i="21"/>
  <c r="Z75" i="21"/>
  <c r="Y75" i="21"/>
  <c r="X75" i="21"/>
  <c r="W75" i="21"/>
  <c r="V75" i="21"/>
  <c r="U75" i="21"/>
  <c r="T75" i="21"/>
  <c r="S75" i="21"/>
  <c r="R75" i="21"/>
  <c r="Q75" i="21"/>
  <c r="P75" i="21"/>
  <c r="O75" i="21"/>
  <c r="N75" i="21"/>
  <c r="M75" i="21"/>
  <c r="L75" i="21"/>
  <c r="K75" i="21"/>
  <c r="J75" i="21"/>
  <c r="I75" i="21"/>
  <c r="H75" i="21"/>
  <c r="G75" i="21"/>
  <c r="E73" i="21"/>
  <c r="E80" i="21" s="1"/>
  <c r="E72" i="21"/>
  <c r="E79" i="21" s="1"/>
  <c r="E71" i="21"/>
  <c r="E78" i="21" s="1"/>
  <c r="A70" i="21"/>
  <c r="AA66" i="21"/>
  <c r="Z66" i="21"/>
  <c r="Y66" i="21"/>
  <c r="X66" i="21"/>
  <c r="W66" i="21"/>
  <c r="V66" i="21"/>
  <c r="U66" i="21"/>
  <c r="T66" i="21"/>
  <c r="S66" i="21"/>
  <c r="R66" i="21"/>
  <c r="Q66" i="21"/>
  <c r="P66" i="21"/>
  <c r="O66" i="21"/>
  <c r="N66" i="21"/>
  <c r="M66" i="21"/>
  <c r="L66" i="21"/>
  <c r="K66" i="21"/>
  <c r="J66" i="21"/>
  <c r="I66" i="21"/>
  <c r="H66" i="21"/>
  <c r="G66" i="21"/>
  <c r="AA65" i="21"/>
  <c r="Z65" i="21"/>
  <c r="Y65" i="21"/>
  <c r="X65" i="21"/>
  <c r="W65" i="21"/>
  <c r="V65" i="21"/>
  <c r="U65" i="21"/>
  <c r="T65" i="21"/>
  <c r="S65" i="21"/>
  <c r="R65" i="21"/>
  <c r="Q65" i="21"/>
  <c r="P65" i="21"/>
  <c r="O65" i="21"/>
  <c r="N65" i="21"/>
  <c r="M65" i="21"/>
  <c r="L65" i="21"/>
  <c r="K65" i="21"/>
  <c r="J65" i="21"/>
  <c r="I65" i="21"/>
  <c r="H65" i="21"/>
  <c r="G65" i="21"/>
  <c r="AA64" i="21"/>
  <c r="Z64" i="21"/>
  <c r="Y64" i="21"/>
  <c r="X64" i="21"/>
  <c r="W64" i="21"/>
  <c r="V64" i="21"/>
  <c r="U64" i="21"/>
  <c r="T64" i="21"/>
  <c r="S64" i="21"/>
  <c r="R64" i="21"/>
  <c r="Q64" i="21"/>
  <c r="P64" i="21"/>
  <c r="O64" i="21"/>
  <c r="N64" i="21"/>
  <c r="M64" i="21"/>
  <c r="L64" i="21"/>
  <c r="K64" i="21"/>
  <c r="J64" i="21"/>
  <c r="I64" i="21"/>
  <c r="H64" i="21"/>
  <c r="G64" i="21"/>
  <c r="AA61" i="21"/>
  <c r="AA84" i="21" s="1"/>
  <c r="AA235" i="21" s="1"/>
  <c r="Z61" i="21"/>
  <c r="Z84" i="21" s="1"/>
  <c r="Z235" i="21" s="1"/>
  <c r="Y61" i="21"/>
  <c r="X61" i="21"/>
  <c r="X84" i="21" s="1"/>
  <c r="X235" i="21" s="1"/>
  <c r="W61" i="21"/>
  <c r="W84" i="21" s="1"/>
  <c r="W235" i="21" s="1"/>
  <c r="V61" i="21"/>
  <c r="U61" i="21"/>
  <c r="T61" i="21"/>
  <c r="T84" i="21" s="1"/>
  <c r="T235" i="21" s="1"/>
  <c r="S61" i="21"/>
  <c r="S84" i="21" s="1"/>
  <c r="S235" i="21" s="1"/>
  <c r="R61" i="21"/>
  <c r="R84" i="21" s="1"/>
  <c r="R235" i="21" s="1"/>
  <c r="Q61" i="21"/>
  <c r="P61" i="21"/>
  <c r="P84" i="21" s="1"/>
  <c r="P235" i="21" s="1"/>
  <c r="O61" i="21"/>
  <c r="O84" i="21" s="1"/>
  <c r="O235" i="21" s="1"/>
  <c r="N61" i="21"/>
  <c r="M61" i="21"/>
  <c r="L61" i="21"/>
  <c r="L84" i="21" s="1"/>
  <c r="L235" i="21" s="1"/>
  <c r="K61" i="21"/>
  <c r="K84" i="21" s="1"/>
  <c r="K235" i="21" s="1"/>
  <c r="J61" i="21"/>
  <c r="J84" i="21" s="1"/>
  <c r="J235" i="21" s="1"/>
  <c r="I61" i="21"/>
  <c r="H61" i="21"/>
  <c r="H84" i="21" s="1"/>
  <c r="H235" i="21" s="1"/>
  <c r="G61" i="21"/>
  <c r="G84" i="21" s="1"/>
  <c r="G235" i="21" s="1"/>
  <c r="E59" i="21"/>
  <c r="E66" i="21" s="1"/>
  <c r="E58" i="21"/>
  <c r="E65" i="21" s="1"/>
  <c r="E57" i="21"/>
  <c r="E64" i="21" s="1"/>
  <c r="A56" i="21"/>
  <c r="A52" i="21"/>
  <c r="AA48" i="21"/>
  <c r="Z48" i="21"/>
  <c r="Y48" i="21"/>
  <c r="X48" i="21"/>
  <c r="W48" i="21"/>
  <c r="V48" i="21"/>
  <c r="U48" i="21"/>
  <c r="T48" i="21"/>
  <c r="S48" i="21"/>
  <c r="R48" i="21"/>
  <c r="Q48" i="21"/>
  <c r="P48" i="21"/>
  <c r="O48" i="21"/>
  <c r="N48" i="21"/>
  <c r="M48" i="21"/>
  <c r="L48" i="21"/>
  <c r="K48" i="21"/>
  <c r="J48" i="21"/>
  <c r="I48" i="21"/>
  <c r="H48" i="21"/>
  <c r="G48" i="21"/>
  <c r="AA47" i="21"/>
  <c r="Z47" i="21"/>
  <c r="Y47" i="21"/>
  <c r="X47" i="21"/>
  <c r="W47" i="21"/>
  <c r="V47" i="21"/>
  <c r="U47" i="21"/>
  <c r="T47" i="21"/>
  <c r="S47" i="21"/>
  <c r="R47" i="21"/>
  <c r="Q47" i="21"/>
  <c r="P47" i="21"/>
  <c r="O47" i="21"/>
  <c r="N47" i="21"/>
  <c r="M47" i="21"/>
  <c r="L47" i="21"/>
  <c r="K47" i="21"/>
  <c r="J47" i="21"/>
  <c r="I47" i="21"/>
  <c r="H47" i="21"/>
  <c r="G47" i="21"/>
  <c r="AA46" i="21"/>
  <c r="Z46" i="21"/>
  <c r="Y46" i="21"/>
  <c r="X46" i="21"/>
  <c r="W46" i="21"/>
  <c r="V46" i="21"/>
  <c r="U46" i="21"/>
  <c r="T46" i="21"/>
  <c r="S46" i="21"/>
  <c r="R46" i="21"/>
  <c r="Q46" i="21"/>
  <c r="P46" i="21"/>
  <c r="O46" i="21"/>
  <c r="N46" i="21"/>
  <c r="M46" i="21"/>
  <c r="L46" i="21"/>
  <c r="K46" i="21"/>
  <c r="J46" i="21"/>
  <c r="I46" i="21"/>
  <c r="H46" i="21"/>
  <c r="G46" i="21"/>
  <c r="G45" i="21"/>
  <c r="G42" i="21"/>
  <c r="G222" i="21" s="1"/>
  <c r="E40" i="21"/>
  <c r="E48" i="21" s="1"/>
  <c r="E39" i="21"/>
  <c r="E47" i="21" s="1"/>
  <c r="E38" i="21"/>
  <c r="E46" i="21" s="1"/>
  <c r="AA42" i="21"/>
  <c r="AA222" i="21" s="1"/>
  <c r="Z42" i="21"/>
  <c r="Z222" i="21" s="1"/>
  <c r="Y45" i="21"/>
  <c r="X45" i="21"/>
  <c r="W42" i="21"/>
  <c r="W222" i="21" s="1"/>
  <c r="E37" i="21"/>
  <c r="E45" i="21" s="1"/>
  <c r="A36" i="21"/>
  <c r="AA32" i="21"/>
  <c r="Z32" i="21"/>
  <c r="Y32" i="21"/>
  <c r="X32" i="21"/>
  <c r="W32" i="21"/>
  <c r="V32" i="21"/>
  <c r="U32" i="21"/>
  <c r="T32" i="21"/>
  <c r="S32" i="21"/>
  <c r="R32" i="21"/>
  <c r="Q32" i="21"/>
  <c r="P32" i="21"/>
  <c r="O32" i="21"/>
  <c r="N32" i="21"/>
  <c r="M32" i="21"/>
  <c r="L32" i="21"/>
  <c r="K32" i="21"/>
  <c r="J32" i="21"/>
  <c r="I32" i="21"/>
  <c r="H32" i="21"/>
  <c r="G32" i="21"/>
  <c r="E32" i="21"/>
  <c r="AA31" i="21"/>
  <c r="Z31" i="21"/>
  <c r="Y31" i="21"/>
  <c r="X31" i="21"/>
  <c r="W31" i="21"/>
  <c r="V31" i="21"/>
  <c r="U31" i="21"/>
  <c r="T31" i="21"/>
  <c r="S31" i="21"/>
  <c r="R31" i="21"/>
  <c r="Q31" i="21"/>
  <c r="P31" i="21"/>
  <c r="O31" i="21"/>
  <c r="N31" i="21"/>
  <c r="M31" i="21"/>
  <c r="L31" i="21"/>
  <c r="K31" i="21"/>
  <c r="J31" i="21"/>
  <c r="I31" i="21"/>
  <c r="H31" i="21"/>
  <c r="G31" i="21"/>
  <c r="AA30" i="21"/>
  <c r="Z30" i="21"/>
  <c r="Y30" i="21"/>
  <c r="X30" i="21"/>
  <c r="W30" i="21"/>
  <c r="V30" i="21"/>
  <c r="U30" i="21"/>
  <c r="T30" i="21"/>
  <c r="S30" i="21"/>
  <c r="R30" i="21"/>
  <c r="Q30" i="21"/>
  <c r="P30" i="21"/>
  <c r="O30" i="21"/>
  <c r="N30" i="21"/>
  <c r="M30" i="21"/>
  <c r="L30" i="21"/>
  <c r="K30" i="21"/>
  <c r="J30" i="21"/>
  <c r="I30" i="21"/>
  <c r="H30" i="21"/>
  <c r="G30" i="21"/>
  <c r="AA29" i="21"/>
  <c r="Z29" i="21"/>
  <c r="Y29" i="21"/>
  <c r="X29" i="21"/>
  <c r="W29" i="21"/>
  <c r="V29" i="21"/>
  <c r="U29" i="21"/>
  <c r="T29" i="21"/>
  <c r="S29" i="21"/>
  <c r="R29" i="21"/>
  <c r="Q29" i="21"/>
  <c r="P29" i="21"/>
  <c r="O29" i="21"/>
  <c r="N29" i="21"/>
  <c r="M29" i="21"/>
  <c r="L29" i="21"/>
  <c r="K29" i="21"/>
  <c r="J29" i="21"/>
  <c r="I29" i="21"/>
  <c r="AA26" i="21"/>
  <c r="AA234" i="21" s="1"/>
  <c r="Z26" i="21"/>
  <c r="Z234" i="21" s="1"/>
  <c r="Y26" i="21"/>
  <c r="Y234" i="21" s="1"/>
  <c r="X26" i="21"/>
  <c r="X234" i="21" s="1"/>
  <c r="W26" i="21"/>
  <c r="W234" i="21" s="1"/>
  <c r="V26" i="21"/>
  <c r="V234" i="21" s="1"/>
  <c r="U26" i="21"/>
  <c r="U234" i="21" s="1"/>
  <c r="T26" i="21"/>
  <c r="T234" i="21" s="1"/>
  <c r="S26" i="21"/>
  <c r="S234" i="21" s="1"/>
  <c r="R26" i="21"/>
  <c r="R234" i="21" s="1"/>
  <c r="Q26" i="21"/>
  <c r="Q234" i="21" s="1"/>
  <c r="P26" i="21"/>
  <c r="P234" i="21" s="1"/>
  <c r="O26" i="21"/>
  <c r="O234" i="21" s="1"/>
  <c r="N26" i="21"/>
  <c r="N234" i="21" s="1"/>
  <c r="M26" i="21"/>
  <c r="M234" i="21" s="1"/>
  <c r="L26" i="21"/>
  <c r="L234" i="21" s="1"/>
  <c r="K26" i="21"/>
  <c r="K234" i="21" s="1"/>
  <c r="J26" i="21"/>
  <c r="J234" i="21" s="1"/>
  <c r="I26" i="21"/>
  <c r="I234" i="21" s="1"/>
  <c r="H26" i="21"/>
  <c r="H234" i="21" s="1"/>
  <c r="E23" i="21"/>
  <c r="E31" i="21" s="1"/>
  <c r="E22" i="21"/>
  <c r="E30" i="21" s="1"/>
  <c r="E21" i="21"/>
  <c r="E29" i="21" s="1"/>
  <c r="A20" i="21"/>
  <c r="A18" i="21"/>
  <c r="G16" i="21"/>
  <c r="A15" i="21"/>
  <c r="A14" i="21"/>
  <c r="A10" i="21"/>
  <c r="A9" i="21"/>
  <c r="A8" i="21"/>
  <c r="A7" i="21"/>
  <c r="A4" i="21"/>
  <c r="N84" i="21" l="1"/>
  <c r="N235" i="21" s="1"/>
  <c r="V84" i="21"/>
  <c r="V235" i="21" s="1"/>
  <c r="Z171" i="29"/>
  <c r="Y82" i="21"/>
  <c r="H170" i="21"/>
  <c r="X174" i="21"/>
  <c r="X217" i="21" s="1"/>
  <c r="Z128" i="29"/>
  <c r="V29" i="29"/>
  <c r="V26" i="29"/>
  <c r="V234" i="29" s="1"/>
  <c r="U300" i="29"/>
  <c r="U268" i="29"/>
  <c r="AA121" i="29"/>
  <c r="AA120" i="29"/>
  <c r="AA119" i="29"/>
  <c r="AA115" i="29"/>
  <c r="AA162" i="29"/>
  <c r="AA163" i="29"/>
  <c r="AA161" i="29"/>
  <c r="AA157" i="29"/>
  <c r="Z170" i="29"/>
  <c r="AA149" i="29"/>
  <c r="Z129" i="29"/>
  <c r="I84" i="21"/>
  <c r="I235" i="21" s="1"/>
  <c r="M84" i="21"/>
  <c r="M235" i="21" s="1"/>
  <c r="M301" i="21" s="1"/>
  <c r="Q84" i="21"/>
  <c r="Q235" i="21" s="1"/>
  <c r="Q301" i="21" s="1"/>
  <c r="U84" i="21"/>
  <c r="U235" i="21" s="1"/>
  <c r="Y84" i="21"/>
  <c r="Y235" i="21" s="1"/>
  <c r="Y301" i="21" s="1"/>
  <c r="Y68" i="21"/>
  <c r="Y85" i="21" s="1"/>
  <c r="T170" i="25"/>
  <c r="X82" i="21"/>
  <c r="G82" i="21"/>
  <c r="W174" i="21"/>
  <c r="W217" i="21" s="1"/>
  <c r="AA174" i="21"/>
  <c r="AA217" i="21" s="1"/>
  <c r="X68" i="21"/>
  <c r="G68" i="21"/>
  <c r="Y174" i="21"/>
  <c r="Y217" i="21" s="1"/>
  <c r="V300" i="25"/>
  <c r="V268" i="25"/>
  <c r="U142" i="25"/>
  <c r="U141" i="25"/>
  <c r="U140" i="25"/>
  <c r="V133" i="25"/>
  <c r="U136" i="25"/>
  <c r="T171" i="25"/>
  <c r="T192" i="25"/>
  <c r="T149" i="25"/>
  <c r="T150" i="25"/>
  <c r="U162" i="25"/>
  <c r="V154" i="25"/>
  <c r="U161" i="25"/>
  <c r="U157" i="25"/>
  <c r="U163" i="25"/>
  <c r="J301" i="21"/>
  <c r="J269" i="21"/>
  <c r="N301" i="21"/>
  <c r="N269" i="21"/>
  <c r="V301" i="21"/>
  <c r="V269" i="21"/>
  <c r="Z301" i="21"/>
  <c r="Z269" i="21"/>
  <c r="G301" i="21"/>
  <c r="G269" i="21"/>
  <c r="K301" i="21"/>
  <c r="K269" i="21"/>
  <c r="O301" i="21"/>
  <c r="O269" i="21"/>
  <c r="S301" i="21"/>
  <c r="S269" i="21"/>
  <c r="W301" i="21"/>
  <c r="W269" i="21"/>
  <c r="AA301" i="21"/>
  <c r="AA269" i="21"/>
  <c r="H301" i="21"/>
  <c r="H269" i="21"/>
  <c r="P301" i="21"/>
  <c r="P269" i="21"/>
  <c r="X301" i="21"/>
  <c r="X269" i="21"/>
  <c r="Z288" i="21"/>
  <c r="Z256" i="21"/>
  <c r="L301" i="21"/>
  <c r="L269" i="21"/>
  <c r="T301" i="21"/>
  <c r="T269" i="21"/>
  <c r="W288" i="21"/>
  <c r="W256" i="21"/>
  <c r="AA288" i="21"/>
  <c r="AA256" i="21"/>
  <c r="I301" i="21"/>
  <c r="I269" i="21"/>
  <c r="Q269" i="21"/>
  <c r="U301" i="21"/>
  <c r="U269" i="21"/>
  <c r="R301" i="21"/>
  <c r="R269" i="21"/>
  <c r="N300" i="21"/>
  <c r="N268" i="21"/>
  <c r="R300" i="21"/>
  <c r="R268" i="21"/>
  <c r="Z300" i="21"/>
  <c r="Z268" i="21"/>
  <c r="K300" i="21"/>
  <c r="K268" i="21"/>
  <c r="O300" i="21"/>
  <c r="O268" i="21"/>
  <c r="S300" i="21"/>
  <c r="S268" i="21"/>
  <c r="W300" i="21"/>
  <c r="W268" i="21"/>
  <c r="AA300" i="21"/>
  <c r="AA268" i="21"/>
  <c r="X42" i="21"/>
  <c r="X222" i="21" s="1"/>
  <c r="Z45" i="21"/>
  <c r="G50" i="21"/>
  <c r="J68" i="21"/>
  <c r="N68" i="21"/>
  <c r="R68" i="21"/>
  <c r="V68" i="21"/>
  <c r="Z68" i="21"/>
  <c r="J82" i="21"/>
  <c r="N82" i="21"/>
  <c r="R82" i="21"/>
  <c r="V82" i="21"/>
  <c r="Z82" i="21"/>
  <c r="L300" i="21"/>
  <c r="L268" i="21"/>
  <c r="X300" i="21"/>
  <c r="X268" i="21"/>
  <c r="Y42" i="21"/>
  <c r="Y222" i="21" s="1"/>
  <c r="W45" i="21"/>
  <c r="AA45" i="21"/>
  <c r="K68" i="21"/>
  <c r="O68" i="21"/>
  <c r="S68" i="21"/>
  <c r="W68" i="21"/>
  <c r="AA68" i="21"/>
  <c r="K82" i="21"/>
  <c r="O82" i="21"/>
  <c r="S82" i="21"/>
  <c r="W82" i="21"/>
  <c r="AA82" i="21"/>
  <c r="H300" i="21"/>
  <c r="H268" i="21"/>
  <c r="P300" i="21"/>
  <c r="P268" i="21"/>
  <c r="T300" i="21"/>
  <c r="T268" i="21"/>
  <c r="I300" i="21"/>
  <c r="I268" i="21"/>
  <c r="M300" i="21"/>
  <c r="M268" i="21"/>
  <c r="Q300" i="21"/>
  <c r="Q268" i="21"/>
  <c r="U300" i="21"/>
  <c r="U268" i="21"/>
  <c r="Y300" i="21"/>
  <c r="Y268" i="21"/>
  <c r="H68" i="21"/>
  <c r="L68" i="21"/>
  <c r="P68" i="21"/>
  <c r="T68" i="21"/>
  <c r="H82" i="21"/>
  <c r="L82" i="21"/>
  <c r="P82" i="21"/>
  <c r="T82" i="21"/>
  <c r="Z174" i="21"/>
  <c r="Z217" i="21" s="1"/>
  <c r="H136" i="21"/>
  <c r="I133" i="21"/>
  <c r="H142" i="21"/>
  <c r="H141" i="21"/>
  <c r="H140" i="21"/>
  <c r="J300" i="21"/>
  <c r="J268" i="21"/>
  <c r="V300" i="21"/>
  <c r="V268" i="21"/>
  <c r="G288" i="21"/>
  <c r="G256" i="21"/>
  <c r="I68" i="21"/>
  <c r="M68" i="21"/>
  <c r="Q68" i="21"/>
  <c r="U68" i="21"/>
  <c r="I82" i="21"/>
  <c r="M82" i="21"/>
  <c r="Q82" i="21"/>
  <c r="U82" i="21"/>
  <c r="I161" i="21"/>
  <c r="I162" i="21"/>
  <c r="I163" i="21"/>
  <c r="H171" i="21"/>
  <c r="K306" i="21"/>
  <c r="K274" i="21"/>
  <c r="O306" i="21"/>
  <c r="O274" i="21"/>
  <c r="S306" i="21"/>
  <c r="S274" i="21"/>
  <c r="W306" i="21"/>
  <c r="W274" i="21"/>
  <c r="AA306" i="21"/>
  <c r="AA274" i="21"/>
  <c r="J154" i="21"/>
  <c r="I306" i="21"/>
  <c r="I274" i="21"/>
  <c r="M293" i="21"/>
  <c r="M261" i="21"/>
  <c r="Q306" i="21"/>
  <c r="Q274" i="21"/>
  <c r="U293" i="21"/>
  <c r="U261" i="21"/>
  <c r="Y306" i="21"/>
  <c r="Y274" i="21"/>
  <c r="I192" i="21"/>
  <c r="G289" i="21"/>
  <c r="G257" i="21"/>
  <c r="G293" i="21"/>
  <c r="G261" i="21"/>
  <c r="K227" i="21"/>
  <c r="O227" i="21"/>
  <c r="S227" i="21"/>
  <c r="W227" i="21"/>
  <c r="AA227" i="21"/>
  <c r="M240" i="21"/>
  <c r="U240" i="21"/>
  <c r="G307" i="21"/>
  <c r="G275" i="21"/>
  <c r="H306" i="21"/>
  <c r="H274" i="21"/>
  <c r="L306" i="21"/>
  <c r="L274" i="21"/>
  <c r="P306" i="21"/>
  <c r="P274" i="21"/>
  <c r="T306" i="21"/>
  <c r="T274" i="21"/>
  <c r="X306" i="21"/>
  <c r="X274" i="21"/>
  <c r="G290" i="21"/>
  <c r="G258" i="21"/>
  <c r="H227" i="21"/>
  <c r="L227" i="21"/>
  <c r="P227" i="21"/>
  <c r="T227" i="21"/>
  <c r="X227" i="21"/>
  <c r="J302" i="21"/>
  <c r="J270" i="21"/>
  <c r="N302" i="21"/>
  <c r="N270" i="21"/>
  <c r="R302" i="21"/>
  <c r="R270" i="21"/>
  <c r="V302" i="21"/>
  <c r="V270" i="21"/>
  <c r="Z302" i="21"/>
  <c r="Z270" i="21"/>
  <c r="G306" i="21"/>
  <c r="G274" i="21"/>
  <c r="J185" i="21"/>
  <c r="G291" i="21"/>
  <c r="G259" i="21"/>
  <c r="I227" i="21"/>
  <c r="Q227" i="21"/>
  <c r="Y227" i="21"/>
  <c r="G302" i="21"/>
  <c r="G270" i="21"/>
  <c r="K302" i="21"/>
  <c r="K270" i="21"/>
  <c r="O302" i="21"/>
  <c r="O270" i="21"/>
  <c r="S302" i="21"/>
  <c r="S270" i="21"/>
  <c r="W302" i="21"/>
  <c r="W270" i="21"/>
  <c r="AA302" i="21"/>
  <c r="AA270" i="21"/>
  <c r="G305" i="21"/>
  <c r="G273" i="21"/>
  <c r="J306" i="21"/>
  <c r="J274" i="21"/>
  <c r="N306" i="21"/>
  <c r="N274" i="21"/>
  <c r="R306" i="21"/>
  <c r="R274" i="21"/>
  <c r="V306" i="21"/>
  <c r="AB306" i="21" s="1"/>
  <c r="V274" i="21"/>
  <c r="AB274" i="21" s="1"/>
  <c r="AB240" i="21"/>
  <c r="Z306" i="21"/>
  <c r="Z274" i="21"/>
  <c r="J227" i="21"/>
  <c r="N227" i="21"/>
  <c r="R227" i="21"/>
  <c r="V227" i="21"/>
  <c r="Z227" i="21"/>
  <c r="H302" i="21"/>
  <c r="H270" i="21"/>
  <c r="L302" i="21"/>
  <c r="L270" i="21"/>
  <c r="P302" i="21"/>
  <c r="P270" i="21"/>
  <c r="T302" i="21"/>
  <c r="T270" i="21"/>
  <c r="X302" i="21"/>
  <c r="X270" i="21"/>
  <c r="G303" i="21"/>
  <c r="G271" i="21"/>
  <c r="G238" i="21"/>
  <c r="I302" i="21"/>
  <c r="I270" i="21"/>
  <c r="M302" i="21"/>
  <c r="M270" i="21"/>
  <c r="Q302" i="21"/>
  <c r="Q270" i="21"/>
  <c r="U302" i="21"/>
  <c r="U270" i="21"/>
  <c r="Y302" i="21"/>
  <c r="Y270" i="21"/>
  <c r="V132" i="16"/>
  <c r="V37" i="16" s="1"/>
  <c r="V37" i="82" s="1"/>
  <c r="U132" i="16"/>
  <c r="U37" i="16" s="1"/>
  <c r="U37" i="82" s="1"/>
  <c r="T132" i="16"/>
  <c r="T37" i="16" s="1"/>
  <c r="T37" i="82" s="1"/>
  <c r="S132" i="16"/>
  <c r="R132" i="16"/>
  <c r="V153" i="16"/>
  <c r="U153" i="16"/>
  <c r="T153" i="16"/>
  <c r="S153" i="16"/>
  <c r="R153" i="16"/>
  <c r="V132" i="14"/>
  <c r="U132" i="14"/>
  <c r="T132" i="14"/>
  <c r="S132" i="14"/>
  <c r="R132" i="14"/>
  <c r="V153" i="14"/>
  <c r="U153" i="14"/>
  <c r="T153" i="14"/>
  <c r="S153" i="14"/>
  <c r="R153" i="14"/>
  <c r="V132" i="13"/>
  <c r="U132" i="13"/>
  <c r="T132" i="13"/>
  <c r="S132" i="13"/>
  <c r="R132" i="13"/>
  <c r="V153" i="13"/>
  <c r="U153" i="13"/>
  <c r="T153" i="13"/>
  <c r="S153" i="13"/>
  <c r="R153" i="13"/>
  <c r="V132" i="11"/>
  <c r="U132" i="11"/>
  <c r="T132" i="11"/>
  <c r="S132" i="11"/>
  <c r="R132" i="11"/>
  <c r="V153" i="11"/>
  <c r="U153" i="11"/>
  <c r="T153" i="11"/>
  <c r="S153" i="11"/>
  <c r="R153" i="11"/>
  <c r="V153" i="10"/>
  <c r="U153" i="10"/>
  <c r="T153" i="10"/>
  <c r="S153" i="10"/>
  <c r="R153" i="10"/>
  <c r="V132" i="10"/>
  <c r="U132" i="10"/>
  <c r="T132" i="10"/>
  <c r="S132" i="10"/>
  <c r="R132" i="10"/>
  <c r="V153" i="4"/>
  <c r="U153" i="4"/>
  <c r="T153" i="4"/>
  <c r="S153" i="4"/>
  <c r="R153" i="4"/>
  <c r="V132" i="4"/>
  <c r="U132" i="4"/>
  <c r="T132" i="4"/>
  <c r="S132" i="4"/>
  <c r="R132" i="4"/>
  <c r="U42" i="82" l="1"/>
  <c r="U222" i="82" s="1"/>
  <c r="U45" i="82"/>
  <c r="V42" i="82"/>
  <c r="V222" i="82" s="1"/>
  <c r="V45" i="82"/>
  <c r="T45" i="82"/>
  <c r="T42" i="82"/>
  <c r="T222" i="82" s="1"/>
  <c r="R37" i="16"/>
  <c r="R37" i="82" s="1"/>
  <c r="S37" i="16"/>
  <c r="S37" i="82" s="1"/>
  <c r="Y269" i="21"/>
  <c r="AA171" i="29"/>
  <c r="H149" i="21"/>
  <c r="U150" i="25"/>
  <c r="J85" i="21"/>
  <c r="G85" i="21"/>
  <c r="W85" i="21"/>
  <c r="Z85" i="21"/>
  <c r="AA129" i="29"/>
  <c r="V300" i="29"/>
  <c r="V268" i="29"/>
  <c r="AA34" i="29"/>
  <c r="X34" i="29"/>
  <c r="Z34" i="29"/>
  <c r="W34" i="29"/>
  <c r="V34" i="29"/>
  <c r="Y34" i="29"/>
  <c r="AA128" i="29"/>
  <c r="AA170" i="29"/>
  <c r="R85" i="21"/>
  <c r="O85" i="21"/>
  <c r="M269" i="21"/>
  <c r="I171" i="21"/>
  <c r="X85" i="21"/>
  <c r="U170" i="25"/>
  <c r="U171" i="25"/>
  <c r="V157" i="25"/>
  <c r="W154" i="25"/>
  <c r="V163" i="25"/>
  <c r="V162" i="25"/>
  <c r="V161" i="25"/>
  <c r="V142" i="25"/>
  <c r="V141" i="25"/>
  <c r="V136" i="25"/>
  <c r="W133" i="25"/>
  <c r="V140" i="25"/>
  <c r="U192" i="25"/>
  <c r="U149" i="25"/>
  <c r="V293" i="21"/>
  <c r="V261" i="21"/>
  <c r="R293" i="21"/>
  <c r="R261" i="21"/>
  <c r="Y293" i="21"/>
  <c r="Y261" i="21"/>
  <c r="P293" i="21"/>
  <c r="P261" i="21"/>
  <c r="W293" i="21"/>
  <c r="W261" i="21"/>
  <c r="J192" i="21"/>
  <c r="I170" i="21"/>
  <c r="M85" i="21"/>
  <c r="H150" i="21"/>
  <c r="H85" i="21"/>
  <c r="S85" i="21"/>
  <c r="V85" i="21"/>
  <c r="G304" i="21"/>
  <c r="G272" i="21"/>
  <c r="Q293" i="21"/>
  <c r="Q261" i="21"/>
  <c r="K185" i="21"/>
  <c r="L293" i="21"/>
  <c r="L261" i="21"/>
  <c r="U306" i="21"/>
  <c r="U274" i="21"/>
  <c r="S293" i="21"/>
  <c r="S261" i="21"/>
  <c r="J157" i="21"/>
  <c r="K154" i="21"/>
  <c r="J163" i="21"/>
  <c r="J162" i="21"/>
  <c r="J161" i="21"/>
  <c r="I85" i="21"/>
  <c r="T85" i="21"/>
  <c r="Y288" i="21"/>
  <c r="Y256" i="21"/>
  <c r="N293" i="21"/>
  <c r="N261" i="21"/>
  <c r="Z293" i="21"/>
  <c r="Z261" i="21"/>
  <c r="J293" i="21"/>
  <c r="J261" i="21"/>
  <c r="I293" i="21"/>
  <c r="I261" i="21"/>
  <c r="X293" i="21"/>
  <c r="X261" i="21"/>
  <c r="H293" i="21"/>
  <c r="H261" i="21"/>
  <c r="M306" i="21"/>
  <c r="M274" i="21"/>
  <c r="O293" i="21"/>
  <c r="O261" i="21"/>
  <c r="U85" i="21"/>
  <c r="I136" i="21"/>
  <c r="I142" i="21"/>
  <c r="J133" i="21"/>
  <c r="I141" i="21"/>
  <c r="I140" i="21"/>
  <c r="P85" i="21"/>
  <c r="AA85" i="21"/>
  <c r="K85" i="21"/>
  <c r="N85" i="21"/>
  <c r="T293" i="21"/>
  <c r="T261" i="21"/>
  <c r="AA293" i="21"/>
  <c r="AA261" i="21"/>
  <c r="K293" i="21"/>
  <c r="K261" i="21"/>
  <c r="Q85" i="21"/>
  <c r="L85" i="21"/>
  <c r="X288" i="21"/>
  <c r="X256" i="21"/>
  <c r="S45" i="82" l="1"/>
  <c r="S42" i="82"/>
  <c r="S222" i="82" s="1"/>
  <c r="R45" i="82"/>
  <c r="R42" i="82"/>
  <c r="R222" i="82" s="1"/>
  <c r="T256" i="82"/>
  <c r="T288" i="82"/>
  <c r="V288" i="82"/>
  <c r="V256" i="82"/>
  <c r="U256" i="82"/>
  <c r="U288" i="82"/>
  <c r="V149" i="25"/>
  <c r="V170" i="25"/>
  <c r="I149" i="21"/>
  <c r="J170" i="21"/>
  <c r="V150" i="25"/>
  <c r="W163" i="25"/>
  <c r="X154" i="25"/>
  <c r="W161" i="25"/>
  <c r="W162" i="25"/>
  <c r="W157" i="25"/>
  <c r="V192" i="25"/>
  <c r="W142" i="25"/>
  <c r="W141" i="25"/>
  <c r="W140" i="25"/>
  <c r="W149" i="25" s="1"/>
  <c r="W136" i="25"/>
  <c r="X133" i="25"/>
  <c r="V171" i="25"/>
  <c r="I150" i="21"/>
  <c r="J171" i="21"/>
  <c r="J142" i="21"/>
  <c r="J141" i="21"/>
  <c r="J140" i="21"/>
  <c r="J136" i="21"/>
  <c r="K133" i="21"/>
  <c r="K163" i="21"/>
  <c r="K162" i="21"/>
  <c r="K161" i="21"/>
  <c r="K157" i="21"/>
  <c r="L154" i="21"/>
  <c r="L185" i="21"/>
  <c r="M185" i="21" s="1"/>
  <c r="K192" i="21"/>
  <c r="R288" i="82" l="1"/>
  <c r="R256" i="82"/>
  <c r="S256" i="82"/>
  <c r="S288" i="82"/>
  <c r="K171" i="21"/>
  <c r="J149" i="21"/>
  <c r="W170" i="25"/>
  <c r="W150" i="25"/>
  <c r="W171" i="25"/>
  <c r="W192" i="25"/>
  <c r="X140" i="25"/>
  <c r="X136" i="25"/>
  <c r="Y133" i="25"/>
  <c r="X142" i="25"/>
  <c r="X141" i="25"/>
  <c r="X163" i="25"/>
  <c r="X162" i="25"/>
  <c r="X161" i="25"/>
  <c r="X157" i="25"/>
  <c r="Y154" i="25"/>
  <c r="L192" i="21"/>
  <c r="K170" i="21"/>
  <c r="J150" i="21"/>
  <c r="L163" i="21"/>
  <c r="L162" i="21"/>
  <c r="L161" i="21"/>
  <c r="L157" i="21"/>
  <c r="M154" i="21"/>
  <c r="K142" i="21"/>
  <c r="K141" i="21"/>
  <c r="K150" i="21" s="1"/>
  <c r="K140" i="21"/>
  <c r="K136" i="21"/>
  <c r="L133" i="21"/>
  <c r="X171" i="25" l="1"/>
  <c r="L170" i="21"/>
  <c r="Y141" i="25"/>
  <c r="Y142" i="25"/>
  <c r="Y140" i="25"/>
  <c r="Y136" i="25"/>
  <c r="Z133" i="25"/>
  <c r="Y161" i="25"/>
  <c r="Y157" i="25"/>
  <c r="Y162" i="25"/>
  <c r="Z154" i="25"/>
  <c r="Y163" i="25"/>
  <c r="X192" i="25"/>
  <c r="X149" i="25"/>
  <c r="X170" i="25"/>
  <c r="X150" i="25"/>
  <c r="N185" i="21"/>
  <c r="M157" i="21"/>
  <c r="N154" i="21"/>
  <c r="M163" i="21"/>
  <c r="M162" i="21"/>
  <c r="M161" i="21"/>
  <c r="K149" i="21"/>
  <c r="L171" i="21"/>
  <c r="L136" i="21"/>
  <c r="M133" i="21"/>
  <c r="L142" i="21"/>
  <c r="L141" i="21"/>
  <c r="L140" i="21"/>
  <c r="M192" i="21"/>
  <c r="M171" i="21" l="1"/>
  <c r="Y149" i="25"/>
  <c r="G26" i="21"/>
  <c r="G234" i="21" s="1"/>
  <c r="G29" i="21"/>
  <c r="H34" i="21" s="1"/>
  <c r="L150" i="21"/>
  <c r="Y171" i="25"/>
  <c r="Y170" i="25"/>
  <c r="Y150" i="25"/>
  <c r="Y192" i="25"/>
  <c r="Z157" i="25"/>
  <c r="AA154" i="25"/>
  <c r="Z162" i="25"/>
  <c r="Z161" i="25"/>
  <c r="Z163" i="25"/>
  <c r="Z142" i="25"/>
  <c r="Z141" i="25"/>
  <c r="Z136" i="25"/>
  <c r="AA133" i="25"/>
  <c r="Z140" i="25"/>
  <c r="N192" i="21"/>
  <c r="O185" i="21"/>
  <c r="M136" i="21"/>
  <c r="M141" i="21"/>
  <c r="M140" i="21"/>
  <c r="N133" i="21"/>
  <c r="M142" i="21"/>
  <c r="M170" i="21"/>
  <c r="N157" i="21"/>
  <c r="O154" i="21"/>
  <c r="N163" i="21"/>
  <c r="N162" i="21"/>
  <c r="N161" i="21"/>
  <c r="L149" i="21"/>
  <c r="M150" i="21" l="1"/>
  <c r="Z149" i="25"/>
  <c r="G29" i="25"/>
  <c r="G26" i="25"/>
  <c r="G234" i="25" s="1"/>
  <c r="Y34" i="21"/>
  <c r="J34" i="21"/>
  <c r="Z34" i="21"/>
  <c r="K34" i="21"/>
  <c r="AA34" i="21"/>
  <c r="T34" i="21"/>
  <c r="M34" i="21"/>
  <c r="U34" i="21"/>
  <c r="P34" i="21"/>
  <c r="G34" i="21"/>
  <c r="G226" i="21" s="1"/>
  <c r="N34" i="21"/>
  <c r="O34" i="21"/>
  <c r="Q34" i="21"/>
  <c r="R34" i="21"/>
  <c r="S34" i="21"/>
  <c r="L34" i="21"/>
  <c r="X34" i="21"/>
  <c r="V34" i="21"/>
  <c r="W34" i="21"/>
  <c r="I34" i="21"/>
  <c r="N171" i="21"/>
  <c r="G300" i="21"/>
  <c r="G268" i="21"/>
  <c r="Z150" i="25"/>
  <c r="AA163" i="25"/>
  <c r="AA162" i="25"/>
  <c r="AA157" i="25"/>
  <c r="AA161" i="25"/>
  <c r="Z192" i="25"/>
  <c r="Z170" i="25"/>
  <c r="Z171" i="25"/>
  <c r="AA142" i="25"/>
  <c r="AA141" i="25"/>
  <c r="AA140" i="25"/>
  <c r="AA136" i="25"/>
  <c r="O163" i="21"/>
  <c r="O162" i="21"/>
  <c r="O161" i="21"/>
  <c r="O157" i="21"/>
  <c r="P154" i="21"/>
  <c r="N142" i="21"/>
  <c r="N141" i="21"/>
  <c r="N140" i="21"/>
  <c r="N136" i="21"/>
  <c r="O133" i="21"/>
  <c r="O192" i="21"/>
  <c r="M149" i="21"/>
  <c r="N170" i="21"/>
  <c r="P185" i="21"/>
  <c r="O170" i="21" l="1"/>
  <c r="G230" i="21"/>
  <c r="G231" i="21" s="1"/>
  <c r="G242" i="21" s="1"/>
  <c r="G260" i="21"/>
  <c r="G292" i="21"/>
  <c r="N149" i="21"/>
  <c r="AA150" i="25"/>
  <c r="G34" i="25"/>
  <c r="G226" i="25" s="1"/>
  <c r="H34" i="25"/>
  <c r="I34" i="25"/>
  <c r="J34" i="25"/>
  <c r="K34" i="25"/>
  <c r="L34" i="25"/>
  <c r="N34" i="25"/>
  <c r="M34" i="25"/>
  <c r="O34" i="25"/>
  <c r="P34" i="25"/>
  <c r="Q34" i="25"/>
  <c r="R34" i="25"/>
  <c r="S34" i="25"/>
  <c r="T34" i="25"/>
  <c r="U34" i="25"/>
  <c r="AA34" i="25"/>
  <c r="Y34" i="25"/>
  <c r="Z34" i="25"/>
  <c r="W34" i="25"/>
  <c r="V34" i="25"/>
  <c r="X34" i="25"/>
  <c r="G300" i="25"/>
  <c r="G268" i="25"/>
  <c r="AA192" i="25"/>
  <c r="AA170" i="25"/>
  <c r="AA149" i="25"/>
  <c r="AA171" i="25"/>
  <c r="Q185" i="21"/>
  <c r="P163" i="21"/>
  <c r="P162" i="21"/>
  <c r="P161" i="21"/>
  <c r="P157" i="21"/>
  <c r="Q154" i="21"/>
  <c r="N150" i="21"/>
  <c r="O171" i="21"/>
  <c r="P192" i="21"/>
  <c r="O142" i="21"/>
  <c r="O141" i="21"/>
  <c r="O140" i="21"/>
  <c r="O136" i="21"/>
  <c r="P133" i="21"/>
  <c r="P171" i="21" l="1"/>
  <c r="G292" i="25"/>
  <c r="G260" i="25"/>
  <c r="G230" i="25"/>
  <c r="G231" i="25" s="1"/>
  <c r="G242" i="25" s="1"/>
  <c r="G243" i="25" s="1"/>
  <c r="G244" i="25" s="1"/>
  <c r="G243" i="21"/>
  <c r="G244" i="21" s="1"/>
  <c r="O150" i="21"/>
  <c r="Q192" i="21"/>
  <c r="P170" i="21"/>
  <c r="R185" i="21"/>
  <c r="P136" i="21"/>
  <c r="Q133" i="21"/>
  <c r="P142" i="21"/>
  <c r="P141" i="21"/>
  <c r="P150" i="21" s="1"/>
  <c r="P140" i="21"/>
  <c r="O149" i="21"/>
  <c r="Q157" i="21"/>
  <c r="R154" i="21"/>
  <c r="Q163" i="21"/>
  <c r="Q162" i="21"/>
  <c r="Q161" i="21"/>
  <c r="A320" i="16"/>
  <c r="A283" i="16"/>
  <c r="G241" i="16"/>
  <c r="G240" i="16"/>
  <c r="G239" i="16"/>
  <c r="G237" i="16"/>
  <c r="AA236" i="16"/>
  <c r="Z236" i="16"/>
  <c r="Y236" i="16"/>
  <c r="X236" i="16"/>
  <c r="W236" i="16"/>
  <c r="V236" i="16"/>
  <c r="U236" i="16"/>
  <c r="T236" i="16"/>
  <c r="S236" i="16"/>
  <c r="R236" i="16"/>
  <c r="Q236" i="16"/>
  <c r="P236" i="16"/>
  <c r="O236" i="16"/>
  <c r="N236" i="16"/>
  <c r="M236" i="16"/>
  <c r="L236" i="16"/>
  <c r="K236" i="16"/>
  <c r="J236" i="16"/>
  <c r="I236" i="16"/>
  <c r="H236" i="16"/>
  <c r="G236" i="16"/>
  <c r="G227" i="16"/>
  <c r="G225" i="16"/>
  <c r="G224" i="16"/>
  <c r="G223" i="16"/>
  <c r="A213" i="16"/>
  <c r="A212" i="16"/>
  <c r="A211" i="16"/>
  <c r="A210" i="16"/>
  <c r="AA207" i="16"/>
  <c r="Z207" i="16"/>
  <c r="Z240" i="16" s="1"/>
  <c r="Y207" i="16"/>
  <c r="X207" i="16"/>
  <c r="X240" i="16" s="1"/>
  <c r="W207" i="16"/>
  <c r="V207" i="16"/>
  <c r="V240" i="16" s="1"/>
  <c r="U207" i="16"/>
  <c r="T207" i="16"/>
  <c r="T240" i="16" s="1"/>
  <c r="S207" i="16"/>
  <c r="R207" i="16"/>
  <c r="R240" i="16" s="1"/>
  <c r="Q207" i="16"/>
  <c r="P207" i="16"/>
  <c r="P240" i="16" s="1"/>
  <c r="O207" i="16"/>
  <c r="N207" i="16"/>
  <c r="N240" i="16" s="1"/>
  <c r="M207" i="16"/>
  <c r="L207" i="16"/>
  <c r="L240" i="16" s="1"/>
  <c r="K207" i="16"/>
  <c r="J207" i="16"/>
  <c r="J240" i="16" s="1"/>
  <c r="I207" i="16"/>
  <c r="H207" i="16"/>
  <c r="H240" i="16" s="1"/>
  <c r="A206" i="16"/>
  <c r="A205" i="16"/>
  <c r="A204" i="16"/>
  <c r="A203" i="16"/>
  <c r="A198" i="16"/>
  <c r="A197" i="16"/>
  <c r="A194" i="16"/>
  <c r="H193" i="16"/>
  <c r="I193" i="16" s="1"/>
  <c r="J193" i="16" s="1"/>
  <c r="K193" i="16" s="1"/>
  <c r="L193" i="16" s="1"/>
  <c r="M193" i="16" s="1"/>
  <c r="N193" i="16" s="1"/>
  <c r="O193" i="16" s="1"/>
  <c r="P193" i="16" s="1"/>
  <c r="Q193" i="16" s="1"/>
  <c r="R193" i="16" s="1"/>
  <c r="S193" i="16" s="1"/>
  <c r="T193" i="16" s="1"/>
  <c r="U193" i="16" s="1"/>
  <c r="V193" i="16" s="1"/>
  <c r="W193" i="16" s="1"/>
  <c r="X193" i="16" s="1"/>
  <c r="Y193" i="16" s="1"/>
  <c r="Z193" i="16" s="1"/>
  <c r="AA193" i="16" s="1"/>
  <c r="A193" i="16"/>
  <c r="H192" i="16"/>
  <c r="A192" i="16"/>
  <c r="A191" i="16"/>
  <c r="A186" i="16"/>
  <c r="H185" i="16"/>
  <c r="I185" i="16" s="1"/>
  <c r="A185" i="16"/>
  <c r="A184" i="16"/>
  <c r="C183" i="16"/>
  <c r="H168" i="16"/>
  <c r="I168" i="16" s="1"/>
  <c r="J168" i="16" s="1"/>
  <c r="K168" i="16" s="1"/>
  <c r="L168" i="16" s="1"/>
  <c r="M168" i="16" s="1"/>
  <c r="N168" i="16" s="1"/>
  <c r="O168" i="16" s="1"/>
  <c r="P168" i="16" s="1"/>
  <c r="Q168" i="16" s="1"/>
  <c r="R168" i="16" s="1"/>
  <c r="S168" i="16" s="1"/>
  <c r="T168" i="16" s="1"/>
  <c r="U168" i="16" s="1"/>
  <c r="V168" i="16" s="1"/>
  <c r="W168" i="16" s="1"/>
  <c r="X168" i="16" s="1"/>
  <c r="Y168" i="16" s="1"/>
  <c r="Z168" i="16" s="1"/>
  <c r="AA168" i="16" s="1"/>
  <c r="H167" i="16"/>
  <c r="I167" i="16" s="1"/>
  <c r="J167" i="16" s="1"/>
  <c r="K167" i="16" s="1"/>
  <c r="L167" i="16" s="1"/>
  <c r="M167" i="16" s="1"/>
  <c r="N167" i="16" s="1"/>
  <c r="O167" i="16" s="1"/>
  <c r="P167" i="16" s="1"/>
  <c r="Q167" i="16" s="1"/>
  <c r="R167" i="16" s="1"/>
  <c r="S167" i="16" s="1"/>
  <c r="T167" i="16" s="1"/>
  <c r="U167" i="16" s="1"/>
  <c r="V167" i="16" s="1"/>
  <c r="W167" i="16" s="1"/>
  <c r="X167" i="16" s="1"/>
  <c r="Y167" i="16" s="1"/>
  <c r="Z167" i="16" s="1"/>
  <c r="AA167" i="16" s="1"/>
  <c r="H166" i="16"/>
  <c r="I166" i="16" s="1"/>
  <c r="J166" i="16" s="1"/>
  <c r="K166" i="16" s="1"/>
  <c r="L166" i="16" s="1"/>
  <c r="M166" i="16" s="1"/>
  <c r="N166" i="16" s="1"/>
  <c r="O166" i="16" s="1"/>
  <c r="P166" i="16" s="1"/>
  <c r="Q166" i="16" s="1"/>
  <c r="R166" i="16" s="1"/>
  <c r="S166" i="16" s="1"/>
  <c r="T166" i="16" s="1"/>
  <c r="U166" i="16" s="1"/>
  <c r="V166" i="16" s="1"/>
  <c r="W166" i="16" s="1"/>
  <c r="X166" i="16" s="1"/>
  <c r="Y166" i="16" s="1"/>
  <c r="Z166" i="16" s="1"/>
  <c r="AA166" i="16" s="1"/>
  <c r="H165" i="16"/>
  <c r="I165" i="16" s="1"/>
  <c r="J165" i="16" s="1"/>
  <c r="K165" i="16" s="1"/>
  <c r="L165" i="16" s="1"/>
  <c r="M165" i="16" s="1"/>
  <c r="N165" i="16" s="1"/>
  <c r="O165" i="16" s="1"/>
  <c r="P165" i="16" s="1"/>
  <c r="Q165" i="16" s="1"/>
  <c r="R165" i="16" s="1"/>
  <c r="S165" i="16" s="1"/>
  <c r="T165" i="16" s="1"/>
  <c r="U165" i="16" s="1"/>
  <c r="V165" i="16" s="1"/>
  <c r="W165" i="16" s="1"/>
  <c r="X165" i="16" s="1"/>
  <c r="Y165" i="16" s="1"/>
  <c r="Z165" i="16" s="1"/>
  <c r="AA165" i="16" s="1"/>
  <c r="A165" i="16"/>
  <c r="A164" i="16"/>
  <c r="A160" i="16"/>
  <c r="A158" i="16"/>
  <c r="AA156" i="16"/>
  <c r="Z156" i="16"/>
  <c r="Y156" i="16"/>
  <c r="X156" i="16"/>
  <c r="W156" i="16"/>
  <c r="V156" i="16"/>
  <c r="U156" i="16"/>
  <c r="T156" i="16"/>
  <c r="S156" i="16"/>
  <c r="R156" i="16"/>
  <c r="Q156" i="16"/>
  <c r="P156" i="16"/>
  <c r="O156" i="16"/>
  <c r="N156" i="16"/>
  <c r="M156" i="16"/>
  <c r="L156" i="16"/>
  <c r="K156" i="16"/>
  <c r="J156" i="16"/>
  <c r="I156" i="16"/>
  <c r="H156" i="16"/>
  <c r="A155" i="16"/>
  <c r="H154" i="16"/>
  <c r="H163" i="16" s="1"/>
  <c r="A153" i="16"/>
  <c r="H147" i="16"/>
  <c r="I147" i="16" s="1"/>
  <c r="J147" i="16" s="1"/>
  <c r="K147" i="16" s="1"/>
  <c r="L147" i="16" s="1"/>
  <c r="M147" i="16" s="1"/>
  <c r="N147" i="16" s="1"/>
  <c r="O147" i="16" s="1"/>
  <c r="P147" i="16" s="1"/>
  <c r="Q147" i="16" s="1"/>
  <c r="R147" i="16" s="1"/>
  <c r="S147" i="16" s="1"/>
  <c r="T147" i="16" s="1"/>
  <c r="U147" i="16" s="1"/>
  <c r="V147" i="16" s="1"/>
  <c r="W147" i="16" s="1"/>
  <c r="X147" i="16" s="1"/>
  <c r="Y147" i="16" s="1"/>
  <c r="Z147" i="16" s="1"/>
  <c r="AA147" i="16" s="1"/>
  <c r="H146" i="16"/>
  <c r="I146" i="16" s="1"/>
  <c r="J146" i="16" s="1"/>
  <c r="K146" i="16" s="1"/>
  <c r="L146" i="16" s="1"/>
  <c r="M146" i="16" s="1"/>
  <c r="N146" i="16" s="1"/>
  <c r="O146" i="16" s="1"/>
  <c r="P146" i="16" s="1"/>
  <c r="Q146" i="16" s="1"/>
  <c r="R146" i="16" s="1"/>
  <c r="S146" i="16" s="1"/>
  <c r="T146" i="16" s="1"/>
  <c r="U146" i="16" s="1"/>
  <c r="V146" i="16" s="1"/>
  <c r="W146" i="16" s="1"/>
  <c r="X146" i="16" s="1"/>
  <c r="Y146" i="16" s="1"/>
  <c r="Z146" i="16" s="1"/>
  <c r="AA146" i="16" s="1"/>
  <c r="H145" i="16"/>
  <c r="I145" i="16" s="1"/>
  <c r="J145" i="16" s="1"/>
  <c r="K145" i="16" s="1"/>
  <c r="L145" i="16" s="1"/>
  <c r="M145" i="16" s="1"/>
  <c r="N145" i="16" s="1"/>
  <c r="O145" i="16" s="1"/>
  <c r="P145" i="16" s="1"/>
  <c r="Q145" i="16" s="1"/>
  <c r="R145" i="16" s="1"/>
  <c r="S145" i="16" s="1"/>
  <c r="T145" i="16" s="1"/>
  <c r="U145" i="16" s="1"/>
  <c r="V145" i="16" s="1"/>
  <c r="W145" i="16" s="1"/>
  <c r="X145" i="16" s="1"/>
  <c r="Y145" i="16" s="1"/>
  <c r="Z145" i="16" s="1"/>
  <c r="AA145" i="16" s="1"/>
  <c r="H144" i="16"/>
  <c r="I144" i="16" s="1"/>
  <c r="J144" i="16" s="1"/>
  <c r="K144" i="16" s="1"/>
  <c r="L144" i="16" s="1"/>
  <c r="M144" i="16" s="1"/>
  <c r="N144" i="16" s="1"/>
  <c r="O144" i="16" s="1"/>
  <c r="P144" i="16" s="1"/>
  <c r="Q144" i="16" s="1"/>
  <c r="R144" i="16" s="1"/>
  <c r="S144" i="16" s="1"/>
  <c r="T144" i="16" s="1"/>
  <c r="U144" i="16" s="1"/>
  <c r="V144" i="16" s="1"/>
  <c r="W144" i="16" s="1"/>
  <c r="X144" i="16" s="1"/>
  <c r="Y144" i="16" s="1"/>
  <c r="Z144" i="16" s="1"/>
  <c r="AA144" i="16" s="1"/>
  <c r="A144" i="16"/>
  <c r="A143" i="16"/>
  <c r="A139" i="16"/>
  <c r="A137" i="16"/>
  <c r="AA135" i="16"/>
  <c r="Z135" i="16"/>
  <c r="Y135" i="16"/>
  <c r="X135" i="16"/>
  <c r="W135" i="16"/>
  <c r="V135" i="16"/>
  <c r="U135" i="16"/>
  <c r="T135" i="16"/>
  <c r="S135" i="16"/>
  <c r="R135" i="16"/>
  <c r="Q135" i="16"/>
  <c r="P135" i="16"/>
  <c r="O135" i="16"/>
  <c r="N135" i="16"/>
  <c r="M135" i="16"/>
  <c r="L135" i="16"/>
  <c r="K135" i="16"/>
  <c r="J135" i="16"/>
  <c r="I135" i="16"/>
  <c r="H135" i="16"/>
  <c r="A134" i="16"/>
  <c r="H133" i="16"/>
  <c r="A132" i="16"/>
  <c r="I126" i="16"/>
  <c r="J126" i="16" s="1"/>
  <c r="K126" i="16" s="1"/>
  <c r="L126" i="16" s="1"/>
  <c r="M126" i="16" s="1"/>
  <c r="N126" i="16" s="1"/>
  <c r="O126" i="16" s="1"/>
  <c r="P126" i="16" s="1"/>
  <c r="Q126" i="16" s="1"/>
  <c r="R126" i="16" s="1"/>
  <c r="S126" i="16" s="1"/>
  <c r="T126" i="16" s="1"/>
  <c r="U126" i="16" s="1"/>
  <c r="V126" i="16" s="1"/>
  <c r="W126" i="16" s="1"/>
  <c r="X126" i="16" s="1"/>
  <c r="Y126" i="16" s="1"/>
  <c r="Z126" i="16" s="1"/>
  <c r="AA126" i="16" s="1"/>
  <c r="I125" i="16"/>
  <c r="J125" i="16" s="1"/>
  <c r="K125" i="16" s="1"/>
  <c r="L125" i="16" s="1"/>
  <c r="M125" i="16" s="1"/>
  <c r="N125" i="16" s="1"/>
  <c r="O125" i="16" s="1"/>
  <c r="P125" i="16" s="1"/>
  <c r="Q125" i="16" s="1"/>
  <c r="R125" i="16" s="1"/>
  <c r="S125" i="16" s="1"/>
  <c r="T125" i="16" s="1"/>
  <c r="U125" i="16" s="1"/>
  <c r="V125" i="16" s="1"/>
  <c r="W125" i="16" s="1"/>
  <c r="X125" i="16" s="1"/>
  <c r="Y125" i="16" s="1"/>
  <c r="Z125" i="16" s="1"/>
  <c r="AA125" i="16" s="1"/>
  <c r="I124" i="16"/>
  <c r="J124" i="16" s="1"/>
  <c r="K124" i="16" s="1"/>
  <c r="L124" i="16" s="1"/>
  <c r="M124" i="16" s="1"/>
  <c r="N124" i="16" s="1"/>
  <c r="O124" i="16" s="1"/>
  <c r="P124" i="16" s="1"/>
  <c r="Q124" i="16" s="1"/>
  <c r="R124" i="16" s="1"/>
  <c r="S124" i="16" s="1"/>
  <c r="T124" i="16" s="1"/>
  <c r="U124" i="16" s="1"/>
  <c r="V124" i="16" s="1"/>
  <c r="W124" i="16" s="1"/>
  <c r="X124" i="16" s="1"/>
  <c r="Y124" i="16" s="1"/>
  <c r="Z124" i="16" s="1"/>
  <c r="AA124" i="16" s="1"/>
  <c r="I123" i="16"/>
  <c r="J123" i="16" s="1"/>
  <c r="K123" i="16" s="1"/>
  <c r="L123" i="16" s="1"/>
  <c r="M123" i="16" s="1"/>
  <c r="N123" i="16" s="1"/>
  <c r="O123" i="16" s="1"/>
  <c r="P123" i="16" s="1"/>
  <c r="Q123" i="16" s="1"/>
  <c r="R123" i="16" s="1"/>
  <c r="S123" i="16" s="1"/>
  <c r="T123" i="16" s="1"/>
  <c r="U123" i="16" s="1"/>
  <c r="V123" i="16" s="1"/>
  <c r="W123" i="16" s="1"/>
  <c r="X123" i="16" s="1"/>
  <c r="Y123" i="16" s="1"/>
  <c r="Z123" i="16" s="1"/>
  <c r="AA123" i="16" s="1"/>
  <c r="A123" i="16"/>
  <c r="A122" i="16"/>
  <c r="A116" i="16"/>
  <c r="AA114" i="16"/>
  <c r="Z114" i="16"/>
  <c r="Y114" i="16"/>
  <c r="X114" i="16"/>
  <c r="W114" i="16"/>
  <c r="V114" i="16"/>
  <c r="U114" i="16"/>
  <c r="T114" i="16"/>
  <c r="S114" i="16"/>
  <c r="R114" i="16"/>
  <c r="Q114" i="16"/>
  <c r="P114" i="16"/>
  <c r="O114" i="16"/>
  <c r="N114" i="16"/>
  <c r="M114" i="16"/>
  <c r="L114" i="16"/>
  <c r="K114" i="16"/>
  <c r="J114" i="16"/>
  <c r="I114" i="16"/>
  <c r="A113" i="16"/>
  <c r="A111" i="16"/>
  <c r="I105" i="16"/>
  <c r="J105" i="16" s="1"/>
  <c r="K105" i="16" s="1"/>
  <c r="L105" i="16" s="1"/>
  <c r="M105" i="16" s="1"/>
  <c r="N105" i="16" s="1"/>
  <c r="O105" i="16" s="1"/>
  <c r="P105" i="16" s="1"/>
  <c r="Q105" i="16" s="1"/>
  <c r="R105" i="16" s="1"/>
  <c r="S105" i="16" s="1"/>
  <c r="T105" i="16" s="1"/>
  <c r="U105" i="16" s="1"/>
  <c r="V105" i="16" s="1"/>
  <c r="W105" i="16" s="1"/>
  <c r="X105" i="16" s="1"/>
  <c r="Y105" i="16" s="1"/>
  <c r="Z105" i="16" s="1"/>
  <c r="AA105" i="16" s="1"/>
  <c r="I104" i="16"/>
  <c r="J104" i="16" s="1"/>
  <c r="K104" i="16" s="1"/>
  <c r="L104" i="16" s="1"/>
  <c r="M104" i="16" s="1"/>
  <c r="N104" i="16" s="1"/>
  <c r="O104" i="16" s="1"/>
  <c r="P104" i="16" s="1"/>
  <c r="Q104" i="16" s="1"/>
  <c r="R104" i="16" s="1"/>
  <c r="S104" i="16" s="1"/>
  <c r="T104" i="16" s="1"/>
  <c r="U104" i="16" s="1"/>
  <c r="V104" i="16" s="1"/>
  <c r="W104" i="16" s="1"/>
  <c r="X104" i="16" s="1"/>
  <c r="Y104" i="16" s="1"/>
  <c r="Z104" i="16" s="1"/>
  <c r="AA104" i="16" s="1"/>
  <c r="I103" i="16"/>
  <c r="J103" i="16" s="1"/>
  <c r="K103" i="16" s="1"/>
  <c r="L103" i="16" s="1"/>
  <c r="M103" i="16" s="1"/>
  <c r="N103" i="16" s="1"/>
  <c r="O103" i="16" s="1"/>
  <c r="P103" i="16" s="1"/>
  <c r="Q103" i="16" s="1"/>
  <c r="R103" i="16" s="1"/>
  <c r="S103" i="16" s="1"/>
  <c r="T103" i="16" s="1"/>
  <c r="U103" i="16" s="1"/>
  <c r="V103" i="16" s="1"/>
  <c r="W103" i="16" s="1"/>
  <c r="X103" i="16" s="1"/>
  <c r="Y103" i="16" s="1"/>
  <c r="Z103" i="16" s="1"/>
  <c r="AA103" i="16" s="1"/>
  <c r="I102" i="16"/>
  <c r="J102" i="16" s="1"/>
  <c r="K102" i="16" s="1"/>
  <c r="L102" i="16" s="1"/>
  <c r="M102" i="16" s="1"/>
  <c r="N102" i="16" s="1"/>
  <c r="O102" i="16" s="1"/>
  <c r="P102" i="16" s="1"/>
  <c r="Q102" i="16" s="1"/>
  <c r="R102" i="16" s="1"/>
  <c r="S102" i="16" s="1"/>
  <c r="T102" i="16" s="1"/>
  <c r="U102" i="16" s="1"/>
  <c r="V102" i="16" s="1"/>
  <c r="W102" i="16" s="1"/>
  <c r="X102" i="16" s="1"/>
  <c r="Y102" i="16" s="1"/>
  <c r="Z102" i="16" s="1"/>
  <c r="AA102" i="16" s="1"/>
  <c r="A102" i="16"/>
  <c r="A101" i="16"/>
  <c r="A95" i="16"/>
  <c r="AA93" i="16"/>
  <c r="Z93" i="16"/>
  <c r="Y93" i="16"/>
  <c r="X93" i="16"/>
  <c r="W93" i="16"/>
  <c r="A92" i="16"/>
  <c r="A90" i="16"/>
  <c r="C87" i="16"/>
  <c r="AA80" i="16"/>
  <c r="Z80" i="16"/>
  <c r="Y80" i="16"/>
  <c r="X80" i="16"/>
  <c r="W80" i="16"/>
  <c r="V80" i="16"/>
  <c r="U80" i="16"/>
  <c r="T80" i="16"/>
  <c r="S80" i="16"/>
  <c r="R80" i="16"/>
  <c r="Q80" i="16"/>
  <c r="P80" i="16"/>
  <c r="O80" i="16"/>
  <c r="N80" i="16"/>
  <c r="M80" i="16"/>
  <c r="L80" i="16"/>
  <c r="K80" i="16"/>
  <c r="J80" i="16"/>
  <c r="I80" i="16"/>
  <c r="H80" i="16"/>
  <c r="G80" i="16"/>
  <c r="AA79" i="16"/>
  <c r="Z79" i="16"/>
  <c r="Y79" i="16"/>
  <c r="X79" i="16"/>
  <c r="W79" i="16"/>
  <c r="V79" i="16"/>
  <c r="U79" i="16"/>
  <c r="T79" i="16"/>
  <c r="S79" i="16"/>
  <c r="R79" i="16"/>
  <c r="Q79" i="16"/>
  <c r="P79" i="16"/>
  <c r="O79" i="16"/>
  <c r="N79" i="16"/>
  <c r="M79" i="16"/>
  <c r="L79" i="16"/>
  <c r="K79" i="16"/>
  <c r="J79" i="16"/>
  <c r="I79" i="16"/>
  <c r="H79" i="16"/>
  <c r="G79" i="16"/>
  <c r="AA78" i="16"/>
  <c r="Z78" i="16"/>
  <c r="Y78" i="16"/>
  <c r="X78" i="16"/>
  <c r="W78" i="16"/>
  <c r="V78" i="16"/>
  <c r="U78" i="16"/>
  <c r="T78" i="16"/>
  <c r="S78" i="16"/>
  <c r="R78" i="16"/>
  <c r="Q78" i="16"/>
  <c r="P78" i="16"/>
  <c r="O78" i="16"/>
  <c r="N78" i="16"/>
  <c r="M78" i="16"/>
  <c r="L78" i="16"/>
  <c r="K78" i="16"/>
  <c r="J78" i="16"/>
  <c r="I78" i="16"/>
  <c r="H78" i="16"/>
  <c r="G78" i="16"/>
  <c r="AA75" i="16"/>
  <c r="Z75" i="16"/>
  <c r="Y75" i="16"/>
  <c r="X75" i="16"/>
  <c r="W75" i="16"/>
  <c r="V75" i="16"/>
  <c r="U75" i="16"/>
  <c r="T75" i="16"/>
  <c r="S75" i="16"/>
  <c r="R75" i="16"/>
  <c r="Q75" i="16"/>
  <c r="P75" i="16"/>
  <c r="O75" i="16"/>
  <c r="N75" i="16"/>
  <c r="M75" i="16"/>
  <c r="L75" i="16"/>
  <c r="K75" i="16"/>
  <c r="J75" i="16"/>
  <c r="I75" i="16"/>
  <c r="H75" i="16"/>
  <c r="G75" i="16"/>
  <c r="E73" i="16"/>
  <c r="E80" i="16" s="1"/>
  <c r="E72" i="16"/>
  <c r="E79" i="16" s="1"/>
  <c r="E71" i="16"/>
  <c r="E78" i="16" s="1"/>
  <c r="A70" i="16"/>
  <c r="AA66" i="16"/>
  <c r="Z66" i="16"/>
  <c r="Y66" i="16"/>
  <c r="X66" i="16"/>
  <c r="W66" i="16"/>
  <c r="V66" i="16"/>
  <c r="U66" i="16"/>
  <c r="T66" i="16"/>
  <c r="S66" i="16"/>
  <c r="R66" i="16"/>
  <c r="Q66" i="16"/>
  <c r="P66" i="16"/>
  <c r="O66" i="16"/>
  <c r="N66" i="16"/>
  <c r="M66" i="16"/>
  <c r="L66" i="16"/>
  <c r="K66" i="16"/>
  <c r="J66" i="16"/>
  <c r="I66" i="16"/>
  <c r="H66" i="16"/>
  <c r="G66" i="16"/>
  <c r="AA65" i="16"/>
  <c r="Z65" i="16"/>
  <c r="Y65" i="16"/>
  <c r="X65" i="16"/>
  <c r="W65" i="16"/>
  <c r="V65" i="16"/>
  <c r="U65" i="16"/>
  <c r="T65" i="16"/>
  <c r="S65" i="16"/>
  <c r="R65" i="16"/>
  <c r="Q65" i="16"/>
  <c r="P65" i="16"/>
  <c r="O65" i="16"/>
  <c r="N65" i="16"/>
  <c r="M65" i="16"/>
  <c r="L65" i="16"/>
  <c r="K65" i="16"/>
  <c r="J65" i="16"/>
  <c r="I65" i="16"/>
  <c r="H65" i="16"/>
  <c r="G65" i="16"/>
  <c r="AA64" i="16"/>
  <c r="Z64" i="16"/>
  <c r="Y64" i="16"/>
  <c r="X64" i="16"/>
  <c r="W64" i="16"/>
  <c r="V64" i="16"/>
  <c r="U64" i="16"/>
  <c r="T64" i="16"/>
  <c r="S64" i="16"/>
  <c r="R64" i="16"/>
  <c r="Q64" i="16"/>
  <c r="P64" i="16"/>
  <c r="O64" i="16"/>
  <c r="N64" i="16"/>
  <c r="M64" i="16"/>
  <c r="L64" i="16"/>
  <c r="K64" i="16"/>
  <c r="J64" i="16"/>
  <c r="I64" i="16"/>
  <c r="H64" i="16"/>
  <c r="G64" i="16"/>
  <c r="AA61" i="16"/>
  <c r="AA84" i="16" s="1"/>
  <c r="AA235" i="16" s="1"/>
  <c r="Z61" i="16"/>
  <c r="Z84" i="16" s="1"/>
  <c r="Z235" i="16" s="1"/>
  <c r="Y61" i="16"/>
  <c r="Y84" i="16" s="1"/>
  <c r="Y235" i="16" s="1"/>
  <c r="X61" i="16"/>
  <c r="X84" i="16" s="1"/>
  <c r="X235" i="16" s="1"/>
  <c r="W61" i="16"/>
  <c r="W84" i="16" s="1"/>
  <c r="W235" i="16" s="1"/>
  <c r="V61" i="16"/>
  <c r="V84" i="16" s="1"/>
  <c r="V235" i="16" s="1"/>
  <c r="U61" i="16"/>
  <c r="U84" i="16" s="1"/>
  <c r="U235" i="16" s="1"/>
  <c r="T61" i="16"/>
  <c r="T84" i="16" s="1"/>
  <c r="T235" i="16" s="1"/>
  <c r="S61" i="16"/>
  <c r="S84" i="16" s="1"/>
  <c r="S235" i="16" s="1"/>
  <c r="R61" i="16"/>
  <c r="R84" i="16" s="1"/>
  <c r="R235" i="16" s="1"/>
  <c r="Q61" i="16"/>
  <c r="Q84" i="16" s="1"/>
  <c r="Q235" i="16" s="1"/>
  <c r="P61" i="16"/>
  <c r="P84" i="16" s="1"/>
  <c r="P235" i="16" s="1"/>
  <c r="O61" i="16"/>
  <c r="O84" i="16" s="1"/>
  <c r="O235" i="16" s="1"/>
  <c r="N61" i="16"/>
  <c r="N84" i="16" s="1"/>
  <c r="N235" i="16" s="1"/>
  <c r="M61" i="16"/>
  <c r="M84" i="16" s="1"/>
  <c r="M235" i="16" s="1"/>
  <c r="L61" i="16"/>
  <c r="L84" i="16" s="1"/>
  <c r="L235" i="16" s="1"/>
  <c r="K61" i="16"/>
  <c r="K84" i="16" s="1"/>
  <c r="K235" i="16" s="1"/>
  <c r="J61" i="16"/>
  <c r="J84" i="16" s="1"/>
  <c r="J235" i="16" s="1"/>
  <c r="I61" i="16"/>
  <c r="I84" i="16" s="1"/>
  <c r="I235" i="16" s="1"/>
  <c r="H61" i="16"/>
  <c r="H84" i="16" s="1"/>
  <c r="H235" i="16" s="1"/>
  <c r="G61" i="16"/>
  <c r="G84" i="16" s="1"/>
  <c r="G235" i="16" s="1"/>
  <c r="E59" i="16"/>
  <c r="E66" i="16" s="1"/>
  <c r="E58" i="16"/>
  <c r="E65" i="16" s="1"/>
  <c r="E57" i="16"/>
  <c r="E64" i="16" s="1"/>
  <c r="A56" i="16"/>
  <c r="A52" i="16"/>
  <c r="AA48" i="16"/>
  <c r="Z48" i="16"/>
  <c r="Y48" i="16"/>
  <c r="X48" i="16"/>
  <c r="W48" i="16"/>
  <c r="V48" i="16"/>
  <c r="U48" i="16"/>
  <c r="T48" i="16"/>
  <c r="S48" i="16"/>
  <c r="R48" i="16"/>
  <c r="Q48" i="16"/>
  <c r="P48" i="16"/>
  <c r="O48" i="16"/>
  <c r="N48" i="16"/>
  <c r="M48" i="16"/>
  <c r="L48" i="16"/>
  <c r="K48" i="16"/>
  <c r="J48" i="16"/>
  <c r="I48" i="16"/>
  <c r="H48" i="16"/>
  <c r="G48" i="16"/>
  <c r="AA47" i="16"/>
  <c r="Z47" i="16"/>
  <c r="Y47" i="16"/>
  <c r="X47" i="16"/>
  <c r="W47" i="16"/>
  <c r="V47" i="16"/>
  <c r="U47" i="16"/>
  <c r="T47" i="16"/>
  <c r="S47" i="16"/>
  <c r="R47" i="16"/>
  <c r="Q47" i="16"/>
  <c r="P47" i="16"/>
  <c r="O47" i="16"/>
  <c r="N47" i="16"/>
  <c r="M47" i="16"/>
  <c r="L47" i="16"/>
  <c r="K47" i="16"/>
  <c r="J47" i="16"/>
  <c r="I47" i="16"/>
  <c r="H47" i="16"/>
  <c r="G47" i="16"/>
  <c r="AA46" i="16"/>
  <c r="Z46" i="16"/>
  <c r="Y46" i="16"/>
  <c r="X46" i="16"/>
  <c r="W46" i="16"/>
  <c r="V46" i="16"/>
  <c r="U46" i="16"/>
  <c r="T46" i="16"/>
  <c r="S46" i="16"/>
  <c r="R46" i="16"/>
  <c r="Q46" i="16"/>
  <c r="P46" i="16"/>
  <c r="O46" i="16"/>
  <c r="N46" i="16"/>
  <c r="M46" i="16"/>
  <c r="L46" i="16"/>
  <c r="K46" i="16"/>
  <c r="J46" i="16"/>
  <c r="I46" i="16"/>
  <c r="H46" i="16"/>
  <c r="G46" i="16"/>
  <c r="G45" i="16"/>
  <c r="G42" i="16"/>
  <c r="G222" i="16" s="1"/>
  <c r="E40" i="16"/>
  <c r="E48" i="16" s="1"/>
  <c r="E39" i="16"/>
  <c r="E47" i="16" s="1"/>
  <c r="E38" i="16"/>
  <c r="E46" i="16" s="1"/>
  <c r="AA42" i="16"/>
  <c r="AA222" i="16" s="1"/>
  <c r="Z45" i="16"/>
  <c r="Y45" i="16"/>
  <c r="X42" i="16"/>
  <c r="X222" i="16" s="1"/>
  <c r="W42" i="16"/>
  <c r="W222" i="16" s="1"/>
  <c r="E37" i="16"/>
  <c r="E45" i="16" s="1"/>
  <c r="A36" i="16"/>
  <c r="AA32" i="16"/>
  <c r="Z32" i="16"/>
  <c r="Y32" i="16"/>
  <c r="X32" i="16"/>
  <c r="W32" i="16"/>
  <c r="V32" i="16"/>
  <c r="U32" i="16"/>
  <c r="T32" i="16"/>
  <c r="S32" i="16"/>
  <c r="R32" i="16"/>
  <c r="Q32" i="16"/>
  <c r="P32" i="16"/>
  <c r="O32" i="16"/>
  <c r="N32" i="16"/>
  <c r="M32" i="16"/>
  <c r="L32" i="16"/>
  <c r="K32" i="16"/>
  <c r="J32" i="16"/>
  <c r="I32" i="16"/>
  <c r="H32" i="16"/>
  <c r="G32" i="16"/>
  <c r="E32" i="16"/>
  <c r="AA31" i="16"/>
  <c r="Z31" i="16"/>
  <c r="Y31" i="16"/>
  <c r="X31" i="16"/>
  <c r="W31" i="16"/>
  <c r="V31" i="16"/>
  <c r="U31" i="16"/>
  <c r="T31" i="16"/>
  <c r="S31" i="16"/>
  <c r="R31" i="16"/>
  <c r="Q31" i="16"/>
  <c r="P31" i="16"/>
  <c r="O31" i="16"/>
  <c r="N31" i="16"/>
  <c r="M31" i="16"/>
  <c r="L31" i="16"/>
  <c r="K31" i="16"/>
  <c r="J31" i="16"/>
  <c r="I31" i="16"/>
  <c r="H31" i="16"/>
  <c r="G31" i="16"/>
  <c r="AA30" i="16"/>
  <c r="Z30" i="16"/>
  <c r="Y30" i="16"/>
  <c r="X30" i="16"/>
  <c r="W30" i="16"/>
  <c r="V30" i="16"/>
  <c r="U30" i="16"/>
  <c r="T30" i="16"/>
  <c r="S30" i="16"/>
  <c r="R30" i="16"/>
  <c r="Q30" i="16"/>
  <c r="P30" i="16"/>
  <c r="O30" i="16"/>
  <c r="N30" i="16"/>
  <c r="M30" i="16"/>
  <c r="L30" i="16"/>
  <c r="K30" i="16"/>
  <c r="J30" i="16"/>
  <c r="I30" i="16"/>
  <c r="H30" i="16"/>
  <c r="G30" i="16"/>
  <c r="AA29" i="16"/>
  <c r="Z29" i="16"/>
  <c r="Y29" i="16"/>
  <c r="X29" i="16"/>
  <c r="W29" i="16"/>
  <c r="V29" i="16"/>
  <c r="U29" i="16"/>
  <c r="T29" i="16"/>
  <c r="S29" i="16"/>
  <c r="R29" i="16"/>
  <c r="Q29" i="16"/>
  <c r="P29" i="16"/>
  <c r="O29" i="16"/>
  <c r="N29" i="16"/>
  <c r="M29" i="16"/>
  <c r="L29" i="16"/>
  <c r="K29" i="16"/>
  <c r="J29" i="16"/>
  <c r="I29" i="16"/>
  <c r="H29" i="16"/>
  <c r="G29" i="16"/>
  <c r="AA26" i="16"/>
  <c r="AA234" i="16" s="1"/>
  <c r="Z26" i="16"/>
  <c r="Z234" i="16" s="1"/>
  <c r="Y26" i="16"/>
  <c r="Y234" i="16" s="1"/>
  <c r="X26" i="16"/>
  <c r="X234" i="16" s="1"/>
  <c r="W26" i="16"/>
  <c r="W234" i="16" s="1"/>
  <c r="V26" i="16"/>
  <c r="V234" i="16" s="1"/>
  <c r="U26" i="16"/>
  <c r="U234" i="16" s="1"/>
  <c r="T26" i="16"/>
  <c r="T234" i="16" s="1"/>
  <c r="S26" i="16"/>
  <c r="S234" i="16" s="1"/>
  <c r="R26" i="16"/>
  <c r="R234" i="16" s="1"/>
  <c r="Q26" i="16"/>
  <c r="Q234" i="16" s="1"/>
  <c r="P26" i="16"/>
  <c r="P234" i="16" s="1"/>
  <c r="O26" i="16"/>
  <c r="O234" i="16" s="1"/>
  <c r="N26" i="16"/>
  <c r="N234" i="16" s="1"/>
  <c r="M26" i="16"/>
  <c r="M234" i="16" s="1"/>
  <c r="L26" i="16"/>
  <c r="L234" i="16" s="1"/>
  <c r="K26" i="16"/>
  <c r="K234" i="16" s="1"/>
  <c r="J26" i="16"/>
  <c r="J234" i="16" s="1"/>
  <c r="I26" i="16"/>
  <c r="I234" i="16" s="1"/>
  <c r="H26" i="16"/>
  <c r="H234" i="16" s="1"/>
  <c r="G26" i="16"/>
  <c r="G234" i="16" s="1"/>
  <c r="E23" i="16"/>
  <c r="E31" i="16" s="1"/>
  <c r="E22" i="16"/>
  <c r="E30" i="16" s="1"/>
  <c r="E21" i="16"/>
  <c r="E29" i="16" s="1"/>
  <c r="A20" i="16"/>
  <c r="A18" i="16"/>
  <c r="G16" i="16"/>
  <c r="A15" i="16"/>
  <c r="A14" i="16"/>
  <c r="A10" i="16"/>
  <c r="A9" i="16"/>
  <c r="A8" i="16"/>
  <c r="A7" i="16"/>
  <c r="A4" i="16"/>
  <c r="W42" i="14"/>
  <c r="W222" i="14" s="1"/>
  <c r="X45" i="14"/>
  <c r="Y45" i="14"/>
  <c r="Z42" i="14"/>
  <c r="Z222" i="14" s="1"/>
  <c r="AA42" i="14"/>
  <c r="AA222" i="14" s="1"/>
  <c r="A320" i="14"/>
  <c r="A283" i="14"/>
  <c r="G241" i="14"/>
  <c r="G240" i="14"/>
  <c r="G239" i="14"/>
  <c r="G237" i="14"/>
  <c r="AA236" i="14"/>
  <c r="Z236" i="14"/>
  <c r="Y236" i="14"/>
  <c r="X236" i="14"/>
  <c r="W236" i="14"/>
  <c r="V236" i="14"/>
  <c r="U236" i="14"/>
  <c r="T236" i="14"/>
  <c r="S236" i="14"/>
  <c r="R236" i="14"/>
  <c r="Q236" i="14"/>
  <c r="P236" i="14"/>
  <c r="O236" i="14"/>
  <c r="N236" i="14"/>
  <c r="M236" i="14"/>
  <c r="L236" i="14"/>
  <c r="K236" i="14"/>
  <c r="J236" i="14"/>
  <c r="I236" i="14"/>
  <c r="H236" i="14"/>
  <c r="G236" i="14"/>
  <c r="G227" i="14"/>
  <c r="G225" i="14"/>
  <c r="G224" i="14"/>
  <c r="G223" i="14"/>
  <c r="A213" i="14"/>
  <c r="A212" i="14"/>
  <c r="A211" i="14"/>
  <c r="A210" i="14"/>
  <c r="AA207" i="14"/>
  <c r="AA240" i="14" s="1"/>
  <c r="Z207" i="14"/>
  <c r="Z240" i="14" s="1"/>
  <c r="Y207" i="14"/>
  <c r="Y227" i="14" s="1"/>
  <c r="X207" i="14"/>
  <c r="X240" i="14" s="1"/>
  <c r="W207" i="14"/>
  <c r="W240" i="14" s="1"/>
  <c r="V207" i="14"/>
  <c r="V240" i="14" s="1"/>
  <c r="U207" i="14"/>
  <c r="U240" i="14" s="1"/>
  <c r="T207" i="14"/>
  <c r="T240" i="14" s="1"/>
  <c r="S207" i="14"/>
  <c r="S240" i="14" s="1"/>
  <c r="R207" i="14"/>
  <c r="R240" i="14" s="1"/>
  <c r="Q207" i="14"/>
  <c r="Q227" i="14" s="1"/>
  <c r="P207" i="14"/>
  <c r="P240" i="14" s="1"/>
  <c r="O207" i="14"/>
  <c r="O227" i="14" s="1"/>
  <c r="N207" i="14"/>
  <c r="N240" i="14" s="1"/>
  <c r="M207" i="14"/>
  <c r="M240" i="14" s="1"/>
  <c r="L207" i="14"/>
  <c r="L240" i="14" s="1"/>
  <c r="K207" i="14"/>
  <c r="K240" i="14" s="1"/>
  <c r="J207" i="14"/>
  <c r="J240" i="14" s="1"/>
  <c r="I207" i="14"/>
  <c r="I227" i="14" s="1"/>
  <c r="H207" i="14"/>
  <c r="H240" i="14" s="1"/>
  <c r="A206" i="14"/>
  <c r="A205" i="14"/>
  <c r="A204" i="14"/>
  <c r="A203" i="14"/>
  <c r="A198" i="14"/>
  <c r="A197" i="14"/>
  <c r="A194" i="14"/>
  <c r="H193" i="14"/>
  <c r="I193" i="14" s="1"/>
  <c r="J193" i="14" s="1"/>
  <c r="K193" i="14" s="1"/>
  <c r="L193" i="14" s="1"/>
  <c r="M193" i="14" s="1"/>
  <c r="N193" i="14" s="1"/>
  <c r="O193" i="14" s="1"/>
  <c r="P193" i="14" s="1"/>
  <c r="Q193" i="14" s="1"/>
  <c r="R193" i="14" s="1"/>
  <c r="S193" i="14" s="1"/>
  <c r="T193" i="14" s="1"/>
  <c r="U193" i="14" s="1"/>
  <c r="V193" i="14" s="1"/>
  <c r="W193" i="14" s="1"/>
  <c r="X193" i="14" s="1"/>
  <c r="Y193" i="14" s="1"/>
  <c r="Z193" i="14" s="1"/>
  <c r="AA193" i="14" s="1"/>
  <c r="A193" i="14"/>
  <c r="H192" i="14"/>
  <c r="A192" i="14"/>
  <c r="A191" i="14"/>
  <c r="A186" i="14"/>
  <c r="A185" i="14"/>
  <c r="A184" i="14"/>
  <c r="C183" i="14"/>
  <c r="H168" i="14"/>
  <c r="I168" i="14" s="1"/>
  <c r="J168" i="14" s="1"/>
  <c r="K168" i="14" s="1"/>
  <c r="L168" i="14" s="1"/>
  <c r="M168" i="14" s="1"/>
  <c r="N168" i="14" s="1"/>
  <c r="O168" i="14" s="1"/>
  <c r="P168" i="14" s="1"/>
  <c r="Q168" i="14" s="1"/>
  <c r="R168" i="14" s="1"/>
  <c r="S168" i="14" s="1"/>
  <c r="T168" i="14" s="1"/>
  <c r="U168" i="14" s="1"/>
  <c r="V168" i="14" s="1"/>
  <c r="W168" i="14" s="1"/>
  <c r="X168" i="14" s="1"/>
  <c r="Y168" i="14" s="1"/>
  <c r="Z168" i="14" s="1"/>
  <c r="AA168" i="14" s="1"/>
  <c r="H167" i="14"/>
  <c r="I167" i="14" s="1"/>
  <c r="J167" i="14" s="1"/>
  <c r="K167" i="14" s="1"/>
  <c r="L167" i="14" s="1"/>
  <c r="M167" i="14" s="1"/>
  <c r="N167" i="14" s="1"/>
  <c r="O167" i="14" s="1"/>
  <c r="P167" i="14" s="1"/>
  <c r="Q167" i="14" s="1"/>
  <c r="R167" i="14" s="1"/>
  <c r="S167" i="14" s="1"/>
  <c r="T167" i="14" s="1"/>
  <c r="U167" i="14" s="1"/>
  <c r="V167" i="14" s="1"/>
  <c r="W167" i="14" s="1"/>
  <c r="X167" i="14" s="1"/>
  <c r="Y167" i="14" s="1"/>
  <c r="Z167" i="14" s="1"/>
  <c r="AA167" i="14" s="1"/>
  <c r="H166" i="14"/>
  <c r="I166" i="14" s="1"/>
  <c r="J166" i="14" s="1"/>
  <c r="K166" i="14" s="1"/>
  <c r="L166" i="14" s="1"/>
  <c r="M166" i="14" s="1"/>
  <c r="N166" i="14" s="1"/>
  <c r="O166" i="14" s="1"/>
  <c r="P166" i="14" s="1"/>
  <c r="Q166" i="14" s="1"/>
  <c r="R166" i="14" s="1"/>
  <c r="S166" i="14" s="1"/>
  <c r="T166" i="14" s="1"/>
  <c r="U166" i="14" s="1"/>
  <c r="V166" i="14" s="1"/>
  <c r="W166" i="14" s="1"/>
  <c r="X166" i="14" s="1"/>
  <c r="Y166" i="14" s="1"/>
  <c r="Z166" i="14" s="1"/>
  <c r="AA166" i="14" s="1"/>
  <c r="H165" i="14"/>
  <c r="I165" i="14" s="1"/>
  <c r="J165" i="14" s="1"/>
  <c r="K165" i="14" s="1"/>
  <c r="L165" i="14" s="1"/>
  <c r="M165" i="14" s="1"/>
  <c r="N165" i="14" s="1"/>
  <c r="O165" i="14" s="1"/>
  <c r="P165" i="14" s="1"/>
  <c r="Q165" i="14" s="1"/>
  <c r="R165" i="14" s="1"/>
  <c r="S165" i="14" s="1"/>
  <c r="T165" i="14" s="1"/>
  <c r="U165" i="14" s="1"/>
  <c r="V165" i="14" s="1"/>
  <c r="W165" i="14" s="1"/>
  <c r="X165" i="14" s="1"/>
  <c r="Y165" i="14" s="1"/>
  <c r="Z165" i="14" s="1"/>
  <c r="AA165" i="14" s="1"/>
  <c r="A165" i="14"/>
  <c r="A164" i="14"/>
  <c r="A160" i="14"/>
  <c r="A158" i="14"/>
  <c r="AA156" i="14"/>
  <c r="Z156" i="14"/>
  <c r="Y156" i="14"/>
  <c r="X156" i="14"/>
  <c r="W156" i="14"/>
  <c r="V156" i="14"/>
  <c r="U156" i="14"/>
  <c r="T156" i="14"/>
  <c r="S156" i="14"/>
  <c r="R156" i="14"/>
  <c r="Q156" i="14"/>
  <c r="P156" i="14"/>
  <c r="O156" i="14"/>
  <c r="N156" i="14"/>
  <c r="M156" i="14"/>
  <c r="L156" i="14"/>
  <c r="K156" i="14"/>
  <c r="J156" i="14"/>
  <c r="I156" i="14"/>
  <c r="H156" i="14"/>
  <c r="A155" i="14"/>
  <c r="H154" i="14"/>
  <c r="H162" i="14" s="1"/>
  <c r="A153" i="14"/>
  <c r="H147" i="14"/>
  <c r="I147" i="14" s="1"/>
  <c r="J147" i="14" s="1"/>
  <c r="K147" i="14" s="1"/>
  <c r="L147" i="14" s="1"/>
  <c r="M147" i="14" s="1"/>
  <c r="N147" i="14" s="1"/>
  <c r="O147" i="14" s="1"/>
  <c r="P147" i="14" s="1"/>
  <c r="Q147" i="14" s="1"/>
  <c r="R147" i="14" s="1"/>
  <c r="S147" i="14" s="1"/>
  <c r="T147" i="14" s="1"/>
  <c r="U147" i="14" s="1"/>
  <c r="V147" i="14" s="1"/>
  <c r="W147" i="14" s="1"/>
  <c r="X147" i="14" s="1"/>
  <c r="Y147" i="14" s="1"/>
  <c r="Z147" i="14" s="1"/>
  <c r="AA147" i="14" s="1"/>
  <c r="H146" i="14"/>
  <c r="I146" i="14" s="1"/>
  <c r="J146" i="14" s="1"/>
  <c r="K146" i="14" s="1"/>
  <c r="L146" i="14" s="1"/>
  <c r="M146" i="14" s="1"/>
  <c r="N146" i="14" s="1"/>
  <c r="O146" i="14" s="1"/>
  <c r="P146" i="14" s="1"/>
  <c r="Q146" i="14" s="1"/>
  <c r="R146" i="14" s="1"/>
  <c r="S146" i="14" s="1"/>
  <c r="T146" i="14" s="1"/>
  <c r="U146" i="14" s="1"/>
  <c r="V146" i="14" s="1"/>
  <c r="W146" i="14" s="1"/>
  <c r="X146" i="14" s="1"/>
  <c r="Y146" i="14" s="1"/>
  <c r="Z146" i="14" s="1"/>
  <c r="AA146" i="14" s="1"/>
  <c r="H145" i="14"/>
  <c r="I145" i="14" s="1"/>
  <c r="J145" i="14" s="1"/>
  <c r="K145" i="14" s="1"/>
  <c r="L145" i="14" s="1"/>
  <c r="M145" i="14" s="1"/>
  <c r="N145" i="14" s="1"/>
  <c r="O145" i="14" s="1"/>
  <c r="P145" i="14" s="1"/>
  <c r="Q145" i="14" s="1"/>
  <c r="R145" i="14" s="1"/>
  <c r="S145" i="14" s="1"/>
  <c r="T145" i="14" s="1"/>
  <c r="U145" i="14" s="1"/>
  <c r="V145" i="14" s="1"/>
  <c r="W145" i="14" s="1"/>
  <c r="X145" i="14" s="1"/>
  <c r="Y145" i="14" s="1"/>
  <c r="Z145" i="14" s="1"/>
  <c r="AA145" i="14" s="1"/>
  <c r="H144" i="14"/>
  <c r="I144" i="14" s="1"/>
  <c r="J144" i="14" s="1"/>
  <c r="K144" i="14" s="1"/>
  <c r="L144" i="14" s="1"/>
  <c r="M144" i="14" s="1"/>
  <c r="N144" i="14" s="1"/>
  <c r="O144" i="14" s="1"/>
  <c r="P144" i="14" s="1"/>
  <c r="Q144" i="14" s="1"/>
  <c r="R144" i="14" s="1"/>
  <c r="S144" i="14" s="1"/>
  <c r="T144" i="14" s="1"/>
  <c r="U144" i="14" s="1"/>
  <c r="V144" i="14" s="1"/>
  <c r="W144" i="14" s="1"/>
  <c r="X144" i="14" s="1"/>
  <c r="Y144" i="14" s="1"/>
  <c r="Z144" i="14" s="1"/>
  <c r="AA144" i="14" s="1"/>
  <c r="A144" i="14"/>
  <c r="A143" i="14"/>
  <c r="A139" i="14"/>
  <c r="A137" i="14"/>
  <c r="AA135" i="14"/>
  <c r="Z135" i="14"/>
  <c r="Y135" i="14"/>
  <c r="X135" i="14"/>
  <c r="W135" i="14"/>
  <c r="V135" i="14"/>
  <c r="U135" i="14"/>
  <c r="T135" i="14"/>
  <c r="S135" i="14"/>
  <c r="R135" i="14"/>
  <c r="Q135" i="14"/>
  <c r="P135" i="14"/>
  <c r="O135" i="14"/>
  <c r="N135" i="14"/>
  <c r="M135" i="14"/>
  <c r="L135" i="14"/>
  <c r="K135" i="14"/>
  <c r="J135" i="14"/>
  <c r="I135" i="14"/>
  <c r="H135" i="14"/>
  <c r="A134" i="14"/>
  <c r="H133" i="14"/>
  <c r="H140" i="14" s="1"/>
  <c r="A132" i="14"/>
  <c r="H126" i="14"/>
  <c r="I126" i="14" s="1"/>
  <c r="J126" i="14" s="1"/>
  <c r="K126" i="14" s="1"/>
  <c r="L126" i="14" s="1"/>
  <c r="M126" i="14" s="1"/>
  <c r="N126" i="14" s="1"/>
  <c r="O126" i="14" s="1"/>
  <c r="P126" i="14" s="1"/>
  <c r="Q126" i="14" s="1"/>
  <c r="R126" i="14" s="1"/>
  <c r="S126" i="14" s="1"/>
  <c r="T126" i="14" s="1"/>
  <c r="U126" i="14" s="1"/>
  <c r="V126" i="14" s="1"/>
  <c r="W126" i="14" s="1"/>
  <c r="X126" i="14" s="1"/>
  <c r="Y126" i="14" s="1"/>
  <c r="Z126" i="14" s="1"/>
  <c r="AA126" i="14" s="1"/>
  <c r="H125" i="14"/>
  <c r="I125" i="14" s="1"/>
  <c r="J125" i="14" s="1"/>
  <c r="K125" i="14" s="1"/>
  <c r="L125" i="14" s="1"/>
  <c r="M125" i="14" s="1"/>
  <c r="N125" i="14" s="1"/>
  <c r="O125" i="14" s="1"/>
  <c r="P125" i="14" s="1"/>
  <c r="Q125" i="14" s="1"/>
  <c r="R125" i="14" s="1"/>
  <c r="S125" i="14" s="1"/>
  <c r="T125" i="14" s="1"/>
  <c r="U125" i="14" s="1"/>
  <c r="V125" i="14" s="1"/>
  <c r="W125" i="14" s="1"/>
  <c r="X125" i="14" s="1"/>
  <c r="Y125" i="14" s="1"/>
  <c r="Z125" i="14" s="1"/>
  <c r="AA125" i="14" s="1"/>
  <c r="H124" i="14"/>
  <c r="I124" i="14" s="1"/>
  <c r="J124" i="14" s="1"/>
  <c r="K124" i="14" s="1"/>
  <c r="L124" i="14" s="1"/>
  <c r="M124" i="14" s="1"/>
  <c r="N124" i="14" s="1"/>
  <c r="O124" i="14" s="1"/>
  <c r="P124" i="14" s="1"/>
  <c r="Q124" i="14" s="1"/>
  <c r="R124" i="14" s="1"/>
  <c r="S124" i="14" s="1"/>
  <c r="T124" i="14" s="1"/>
  <c r="U124" i="14" s="1"/>
  <c r="V124" i="14" s="1"/>
  <c r="W124" i="14" s="1"/>
  <c r="X124" i="14" s="1"/>
  <c r="Y124" i="14" s="1"/>
  <c r="Z124" i="14" s="1"/>
  <c r="AA124" i="14" s="1"/>
  <c r="I123" i="14"/>
  <c r="A123" i="14"/>
  <c r="A122" i="14"/>
  <c r="A116" i="14"/>
  <c r="AA114" i="14"/>
  <c r="Z114" i="14"/>
  <c r="Y114" i="14"/>
  <c r="X114" i="14"/>
  <c r="W114" i="14"/>
  <c r="A113" i="14"/>
  <c r="A111" i="14"/>
  <c r="I105" i="14"/>
  <c r="J105" i="14" s="1"/>
  <c r="K105" i="14" s="1"/>
  <c r="L105" i="14" s="1"/>
  <c r="M105" i="14" s="1"/>
  <c r="N105" i="14" s="1"/>
  <c r="O105" i="14" s="1"/>
  <c r="P105" i="14" s="1"/>
  <c r="Q105" i="14" s="1"/>
  <c r="R105" i="14" s="1"/>
  <c r="S105" i="14" s="1"/>
  <c r="T105" i="14" s="1"/>
  <c r="U105" i="14" s="1"/>
  <c r="V105" i="14" s="1"/>
  <c r="W105" i="14" s="1"/>
  <c r="X105" i="14" s="1"/>
  <c r="Y105" i="14" s="1"/>
  <c r="Z105" i="14" s="1"/>
  <c r="AA105" i="14" s="1"/>
  <c r="I104" i="14"/>
  <c r="J104" i="14" s="1"/>
  <c r="K104" i="14" s="1"/>
  <c r="L104" i="14" s="1"/>
  <c r="M104" i="14" s="1"/>
  <c r="N104" i="14" s="1"/>
  <c r="O104" i="14" s="1"/>
  <c r="P104" i="14" s="1"/>
  <c r="Q104" i="14" s="1"/>
  <c r="R104" i="14" s="1"/>
  <c r="S104" i="14" s="1"/>
  <c r="T104" i="14" s="1"/>
  <c r="U104" i="14" s="1"/>
  <c r="V104" i="14" s="1"/>
  <c r="W104" i="14" s="1"/>
  <c r="X104" i="14" s="1"/>
  <c r="Y104" i="14" s="1"/>
  <c r="Z104" i="14" s="1"/>
  <c r="AA104" i="14" s="1"/>
  <c r="I103" i="14"/>
  <c r="J103" i="14" s="1"/>
  <c r="K103" i="14" s="1"/>
  <c r="L103" i="14" s="1"/>
  <c r="M103" i="14" s="1"/>
  <c r="N103" i="14" s="1"/>
  <c r="O103" i="14" s="1"/>
  <c r="P103" i="14" s="1"/>
  <c r="Q103" i="14" s="1"/>
  <c r="R103" i="14" s="1"/>
  <c r="S103" i="14" s="1"/>
  <c r="T103" i="14" s="1"/>
  <c r="U103" i="14" s="1"/>
  <c r="V103" i="14" s="1"/>
  <c r="W103" i="14" s="1"/>
  <c r="X103" i="14" s="1"/>
  <c r="Y103" i="14" s="1"/>
  <c r="Z103" i="14" s="1"/>
  <c r="AA103" i="14" s="1"/>
  <c r="J102" i="14"/>
  <c r="K102" i="14" s="1"/>
  <c r="L102" i="14" s="1"/>
  <c r="M102" i="14" s="1"/>
  <c r="N102" i="14" s="1"/>
  <c r="O102" i="14" s="1"/>
  <c r="P102" i="14" s="1"/>
  <c r="Q102" i="14" s="1"/>
  <c r="R102" i="14" s="1"/>
  <c r="S102" i="14" s="1"/>
  <c r="T102" i="14" s="1"/>
  <c r="U102" i="14" s="1"/>
  <c r="V102" i="14" s="1"/>
  <c r="W102" i="14" s="1"/>
  <c r="X102" i="14" s="1"/>
  <c r="Y102" i="14" s="1"/>
  <c r="Z102" i="14" s="1"/>
  <c r="AA102" i="14" s="1"/>
  <c r="A102" i="14"/>
  <c r="A101" i="14"/>
  <c r="A95" i="14"/>
  <c r="AA93" i="14"/>
  <c r="Z93" i="14"/>
  <c r="Y93" i="14"/>
  <c r="X93" i="14"/>
  <c r="W93" i="14"/>
  <c r="A92" i="14"/>
  <c r="A90" i="14"/>
  <c r="C87" i="14"/>
  <c r="AA80" i="14"/>
  <c r="Z80" i="14"/>
  <c r="Y80" i="14"/>
  <c r="X80" i="14"/>
  <c r="W80" i="14"/>
  <c r="V80" i="14"/>
  <c r="U80" i="14"/>
  <c r="T80" i="14"/>
  <c r="S80" i="14"/>
  <c r="R80" i="14"/>
  <c r="Q80" i="14"/>
  <c r="P80" i="14"/>
  <c r="O80" i="14"/>
  <c r="N80" i="14"/>
  <c r="M80" i="14"/>
  <c r="L80" i="14"/>
  <c r="K80" i="14"/>
  <c r="J80" i="14"/>
  <c r="I80" i="14"/>
  <c r="H80" i="14"/>
  <c r="G80" i="14"/>
  <c r="AA79" i="14"/>
  <c r="Z79" i="14"/>
  <c r="Y79" i="14"/>
  <c r="X79" i="14"/>
  <c r="W79" i="14"/>
  <c r="V79" i="14"/>
  <c r="U79" i="14"/>
  <c r="T79" i="14"/>
  <c r="S79" i="14"/>
  <c r="R79" i="14"/>
  <c r="Q79" i="14"/>
  <c r="P79" i="14"/>
  <c r="O79" i="14"/>
  <c r="N79" i="14"/>
  <c r="M79" i="14"/>
  <c r="L79" i="14"/>
  <c r="K79" i="14"/>
  <c r="J79" i="14"/>
  <c r="I79" i="14"/>
  <c r="H79" i="14"/>
  <c r="G79" i="14"/>
  <c r="AA78" i="14"/>
  <c r="Z78" i="14"/>
  <c r="Y78" i="14"/>
  <c r="X78" i="14"/>
  <c r="W78" i="14"/>
  <c r="V78" i="14"/>
  <c r="U78" i="14"/>
  <c r="T78" i="14"/>
  <c r="S78" i="14"/>
  <c r="R78" i="14"/>
  <c r="Q78" i="14"/>
  <c r="P78" i="14"/>
  <c r="O78" i="14"/>
  <c r="N78" i="14"/>
  <c r="M78" i="14"/>
  <c r="L78" i="14"/>
  <c r="K78" i="14"/>
  <c r="J78" i="14"/>
  <c r="I78" i="14"/>
  <c r="H78" i="14"/>
  <c r="G78" i="14"/>
  <c r="AA75" i="14"/>
  <c r="Z75" i="14"/>
  <c r="Y75" i="14"/>
  <c r="X75" i="14"/>
  <c r="W75" i="14"/>
  <c r="V75" i="14"/>
  <c r="U75" i="14"/>
  <c r="T75" i="14"/>
  <c r="S75" i="14"/>
  <c r="R75" i="14"/>
  <c r="Q75" i="14"/>
  <c r="P75" i="14"/>
  <c r="O75" i="14"/>
  <c r="N75" i="14"/>
  <c r="M75" i="14"/>
  <c r="L75" i="14"/>
  <c r="K75" i="14"/>
  <c r="J75" i="14"/>
  <c r="I75" i="14"/>
  <c r="H75" i="14"/>
  <c r="G75" i="14"/>
  <c r="E73" i="14"/>
  <c r="E80" i="14" s="1"/>
  <c r="E72" i="14"/>
  <c r="E79" i="14" s="1"/>
  <c r="E71" i="14"/>
  <c r="E78" i="14" s="1"/>
  <c r="A70" i="14"/>
  <c r="AA66" i="14"/>
  <c r="Z66" i="14"/>
  <c r="Y66" i="14"/>
  <c r="X66" i="14"/>
  <c r="W66" i="14"/>
  <c r="V66" i="14"/>
  <c r="U66" i="14"/>
  <c r="T66" i="14"/>
  <c r="S66" i="14"/>
  <c r="R66" i="14"/>
  <c r="Q66" i="14"/>
  <c r="P66" i="14"/>
  <c r="O66" i="14"/>
  <c r="N66" i="14"/>
  <c r="M66" i="14"/>
  <c r="L66" i="14"/>
  <c r="K66" i="14"/>
  <c r="J66" i="14"/>
  <c r="I66" i="14"/>
  <c r="H66" i="14"/>
  <c r="G66" i="14"/>
  <c r="AA65" i="14"/>
  <c r="Z65" i="14"/>
  <c r="Y65" i="14"/>
  <c r="X65" i="14"/>
  <c r="W65" i="14"/>
  <c r="V65" i="14"/>
  <c r="U65" i="14"/>
  <c r="T65" i="14"/>
  <c r="S65" i="14"/>
  <c r="R65" i="14"/>
  <c r="Q65" i="14"/>
  <c r="P65" i="14"/>
  <c r="O65" i="14"/>
  <c r="N65" i="14"/>
  <c r="M65" i="14"/>
  <c r="L65" i="14"/>
  <c r="K65" i="14"/>
  <c r="J65" i="14"/>
  <c r="I65" i="14"/>
  <c r="H65" i="14"/>
  <c r="G65" i="14"/>
  <c r="AA64" i="14"/>
  <c r="Z64" i="14"/>
  <c r="Y64" i="14"/>
  <c r="X64" i="14"/>
  <c r="W64" i="14"/>
  <c r="V64" i="14"/>
  <c r="U64" i="14"/>
  <c r="T64" i="14"/>
  <c r="S64" i="14"/>
  <c r="R64" i="14"/>
  <c r="Q64" i="14"/>
  <c r="P64" i="14"/>
  <c r="O64" i="14"/>
  <c r="N64" i="14"/>
  <c r="M64" i="14"/>
  <c r="L64" i="14"/>
  <c r="K64" i="14"/>
  <c r="J64" i="14"/>
  <c r="I64" i="14"/>
  <c r="H64" i="14"/>
  <c r="G64" i="14"/>
  <c r="AA61" i="14"/>
  <c r="AA84" i="14" s="1"/>
  <c r="AA235" i="14" s="1"/>
  <c r="Z61" i="14"/>
  <c r="Z84" i="14" s="1"/>
  <c r="Z235" i="14" s="1"/>
  <c r="Y61" i="14"/>
  <c r="X61" i="14"/>
  <c r="X84" i="14" s="1"/>
  <c r="X235" i="14" s="1"/>
  <c r="W61" i="14"/>
  <c r="W84" i="14" s="1"/>
  <c r="W235" i="14" s="1"/>
  <c r="V61" i="14"/>
  <c r="V84" i="14" s="1"/>
  <c r="V235" i="14" s="1"/>
  <c r="U61" i="14"/>
  <c r="T61" i="14"/>
  <c r="T84" i="14" s="1"/>
  <c r="T235" i="14" s="1"/>
  <c r="S61" i="14"/>
  <c r="S84" i="14" s="1"/>
  <c r="S235" i="14" s="1"/>
  <c r="R61" i="14"/>
  <c r="R84" i="14" s="1"/>
  <c r="R235" i="14" s="1"/>
  <c r="Q61" i="14"/>
  <c r="P61" i="14"/>
  <c r="P84" i="14" s="1"/>
  <c r="P235" i="14" s="1"/>
  <c r="O61" i="14"/>
  <c r="O84" i="14" s="1"/>
  <c r="O235" i="14" s="1"/>
  <c r="N61" i="14"/>
  <c r="N84" i="14" s="1"/>
  <c r="N235" i="14" s="1"/>
  <c r="M61" i="14"/>
  <c r="L61" i="14"/>
  <c r="L84" i="14" s="1"/>
  <c r="L235" i="14" s="1"/>
  <c r="K61" i="14"/>
  <c r="K84" i="14" s="1"/>
  <c r="K235" i="14" s="1"/>
  <c r="J61" i="14"/>
  <c r="J84" i="14" s="1"/>
  <c r="J235" i="14" s="1"/>
  <c r="I61" i="14"/>
  <c r="H61" i="14"/>
  <c r="H84" i="14" s="1"/>
  <c r="H235" i="14" s="1"/>
  <c r="G61" i="14"/>
  <c r="G84" i="14" s="1"/>
  <c r="G235" i="14" s="1"/>
  <c r="E59" i="14"/>
  <c r="E66" i="14" s="1"/>
  <c r="E58" i="14"/>
  <c r="E65" i="14" s="1"/>
  <c r="E57" i="14"/>
  <c r="E64" i="14" s="1"/>
  <c r="A56" i="14"/>
  <c r="A52" i="14"/>
  <c r="AA48" i="14"/>
  <c r="Z48" i="14"/>
  <c r="Y48" i="14"/>
  <c r="X48" i="14"/>
  <c r="W48" i="14"/>
  <c r="V48" i="14"/>
  <c r="U48" i="14"/>
  <c r="T48" i="14"/>
  <c r="S48" i="14"/>
  <c r="R48" i="14"/>
  <c r="Q48" i="14"/>
  <c r="P48" i="14"/>
  <c r="O48" i="14"/>
  <c r="N48" i="14"/>
  <c r="M48" i="14"/>
  <c r="L48" i="14"/>
  <c r="K48" i="14"/>
  <c r="J48" i="14"/>
  <c r="I48" i="14"/>
  <c r="H48" i="14"/>
  <c r="G48" i="14"/>
  <c r="AA47" i="14"/>
  <c r="Z47" i="14"/>
  <c r="Y47" i="14"/>
  <c r="X47" i="14"/>
  <c r="W47" i="14"/>
  <c r="V47" i="14"/>
  <c r="U47" i="14"/>
  <c r="T47" i="14"/>
  <c r="S47" i="14"/>
  <c r="R47" i="14"/>
  <c r="Q47" i="14"/>
  <c r="P47" i="14"/>
  <c r="O47" i="14"/>
  <c r="N47" i="14"/>
  <c r="M47" i="14"/>
  <c r="L47" i="14"/>
  <c r="K47" i="14"/>
  <c r="J47" i="14"/>
  <c r="I47" i="14"/>
  <c r="H47" i="14"/>
  <c r="G47" i="14"/>
  <c r="AA46" i="14"/>
  <c r="Z46" i="14"/>
  <c r="Y46" i="14"/>
  <c r="X46" i="14"/>
  <c r="W46" i="14"/>
  <c r="V46" i="14"/>
  <c r="U46" i="14"/>
  <c r="T46" i="14"/>
  <c r="S46" i="14"/>
  <c r="R46" i="14"/>
  <c r="Q46" i="14"/>
  <c r="P46" i="14"/>
  <c r="O46" i="14"/>
  <c r="N46" i="14"/>
  <c r="M46" i="14"/>
  <c r="L46" i="14"/>
  <c r="K46" i="14"/>
  <c r="J46" i="14"/>
  <c r="I46" i="14"/>
  <c r="H46" i="14"/>
  <c r="G46" i="14"/>
  <c r="G45" i="14"/>
  <c r="G42" i="14"/>
  <c r="G222" i="14" s="1"/>
  <c r="E40" i="14"/>
  <c r="E48" i="14" s="1"/>
  <c r="E39" i="14"/>
  <c r="E47" i="14" s="1"/>
  <c r="E38" i="14"/>
  <c r="E46" i="14" s="1"/>
  <c r="E37" i="14"/>
  <c r="E45" i="14" s="1"/>
  <c r="A36" i="14"/>
  <c r="AA32" i="14"/>
  <c r="Z32" i="14"/>
  <c r="Y32" i="14"/>
  <c r="X32" i="14"/>
  <c r="W32" i="14"/>
  <c r="V32" i="14"/>
  <c r="U32" i="14"/>
  <c r="T32" i="14"/>
  <c r="S32" i="14"/>
  <c r="R32" i="14"/>
  <c r="Q32" i="14"/>
  <c r="P32" i="14"/>
  <c r="O32" i="14"/>
  <c r="N32" i="14"/>
  <c r="M32" i="14"/>
  <c r="L32" i="14"/>
  <c r="K32" i="14"/>
  <c r="J32" i="14"/>
  <c r="I32" i="14"/>
  <c r="H32" i="14"/>
  <c r="G32" i="14"/>
  <c r="E32" i="14"/>
  <c r="AA31" i="14"/>
  <c r="Z31" i="14"/>
  <c r="Y31" i="14"/>
  <c r="X31" i="14"/>
  <c r="W31" i="14"/>
  <c r="V31" i="14"/>
  <c r="U31" i="14"/>
  <c r="T31" i="14"/>
  <c r="S31" i="14"/>
  <c r="R31" i="14"/>
  <c r="Q31" i="14"/>
  <c r="P31" i="14"/>
  <c r="O31" i="14"/>
  <c r="N31" i="14"/>
  <c r="M31" i="14"/>
  <c r="L31" i="14"/>
  <c r="K31" i="14"/>
  <c r="J31" i="14"/>
  <c r="I31" i="14"/>
  <c r="H31" i="14"/>
  <c r="AA30" i="14"/>
  <c r="Z30" i="14"/>
  <c r="Y30" i="14"/>
  <c r="X30" i="14"/>
  <c r="W30" i="14"/>
  <c r="V30" i="14"/>
  <c r="U30" i="14"/>
  <c r="T30" i="14"/>
  <c r="S30" i="14"/>
  <c r="R30" i="14"/>
  <c r="Q30" i="14"/>
  <c r="P30" i="14"/>
  <c r="O30" i="14"/>
  <c r="N30" i="14"/>
  <c r="M30" i="14"/>
  <c r="L30" i="14"/>
  <c r="K30" i="14"/>
  <c r="J30" i="14"/>
  <c r="I30" i="14"/>
  <c r="H30" i="14"/>
  <c r="G30" i="14"/>
  <c r="AA29" i="14"/>
  <c r="Z29" i="14"/>
  <c r="Y29" i="14"/>
  <c r="X29" i="14"/>
  <c r="W29" i="14"/>
  <c r="V29" i="14"/>
  <c r="U29" i="14"/>
  <c r="T29" i="14"/>
  <c r="S29" i="14"/>
  <c r="R29" i="14"/>
  <c r="Q29" i="14"/>
  <c r="P29" i="14"/>
  <c r="O29" i="14"/>
  <c r="N29" i="14"/>
  <c r="M29" i="14"/>
  <c r="L29" i="14"/>
  <c r="K29" i="14"/>
  <c r="J29" i="14"/>
  <c r="I29" i="14"/>
  <c r="H29" i="14"/>
  <c r="G29" i="14"/>
  <c r="AA26" i="14"/>
  <c r="AA234" i="14" s="1"/>
  <c r="Z26" i="14"/>
  <c r="Z234" i="14" s="1"/>
  <c r="Y26" i="14"/>
  <c r="Y234" i="14" s="1"/>
  <c r="X26" i="14"/>
  <c r="X234" i="14" s="1"/>
  <c r="W26" i="14"/>
  <c r="W234" i="14" s="1"/>
  <c r="V26" i="14"/>
  <c r="V234" i="14" s="1"/>
  <c r="U26" i="14"/>
  <c r="U234" i="14" s="1"/>
  <c r="T26" i="14"/>
  <c r="T234" i="14" s="1"/>
  <c r="S26" i="14"/>
  <c r="S234" i="14" s="1"/>
  <c r="R26" i="14"/>
  <c r="R234" i="14" s="1"/>
  <c r="Q26" i="14"/>
  <c r="Q234" i="14" s="1"/>
  <c r="P26" i="14"/>
  <c r="P234" i="14" s="1"/>
  <c r="O26" i="14"/>
  <c r="O234" i="14" s="1"/>
  <c r="N26" i="14"/>
  <c r="N234" i="14" s="1"/>
  <c r="M26" i="14"/>
  <c r="M234" i="14" s="1"/>
  <c r="L26" i="14"/>
  <c r="L234" i="14" s="1"/>
  <c r="K26" i="14"/>
  <c r="K234" i="14" s="1"/>
  <c r="J26" i="14"/>
  <c r="J234" i="14" s="1"/>
  <c r="I26" i="14"/>
  <c r="I234" i="14" s="1"/>
  <c r="H26" i="14"/>
  <c r="H234" i="14" s="1"/>
  <c r="G26" i="14"/>
  <c r="G234" i="14" s="1"/>
  <c r="E23" i="14"/>
  <c r="E31" i="14" s="1"/>
  <c r="E22" i="14"/>
  <c r="E30" i="14" s="1"/>
  <c r="E21" i="14"/>
  <c r="E29" i="14" s="1"/>
  <c r="A20" i="14"/>
  <c r="A18" i="14"/>
  <c r="A15" i="14"/>
  <c r="A14" i="14"/>
  <c r="A10" i="14"/>
  <c r="A9" i="14"/>
  <c r="A8" i="14"/>
  <c r="A7" i="14"/>
  <c r="A4" i="14"/>
  <c r="A320" i="13"/>
  <c r="A283" i="13"/>
  <c r="G241" i="13"/>
  <c r="G240" i="13"/>
  <c r="G239" i="13"/>
  <c r="G237" i="13"/>
  <c r="AA236" i="13"/>
  <c r="Z236" i="13"/>
  <c r="Y236" i="13"/>
  <c r="X236" i="13"/>
  <c r="W236" i="13"/>
  <c r="V236" i="13"/>
  <c r="U236" i="13"/>
  <c r="T236" i="13"/>
  <c r="S236" i="13"/>
  <c r="R236" i="13"/>
  <c r="Q236" i="13"/>
  <c r="P236" i="13"/>
  <c r="O236" i="13"/>
  <c r="N236" i="13"/>
  <c r="M236" i="13"/>
  <c r="L236" i="13"/>
  <c r="K236" i="13"/>
  <c r="J236" i="13"/>
  <c r="I236" i="13"/>
  <c r="H236" i="13"/>
  <c r="G236" i="13"/>
  <c r="G227" i="13"/>
  <c r="G225" i="13"/>
  <c r="G224" i="13"/>
  <c r="G290" i="13" s="1"/>
  <c r="G223" i="13"/>
  <c r="A213" i="13"/>
  <c r="A212" i="13"/>
  <c r="A211" i="13"/>
  <c r="A210" i="13"/>
  <c r="AA207" i="13"/>
  <c r="AA240" i="13" s="1"/>
  <c r="Z207" i="13"/>
  <c r="Z240" i="13" s="1"/>
  <c r="Y207" i="13"/>
  <c r="X207" i="13"/>
  <c r="X240" i="13" s="1"/>
  <c r="W207" i="13"/>
  <c r="V207" i="13"/>
  <c r="V240" i="13" s="1"/>
  <c r="U207" i="13"/>
  <c r="T207" i="13"/>
  <c r="T240" i="13" s="1"/>
  <c r="S207" i="13"/>
  <c r="R207" i="13"/>
  <c r="R240" i="13" s="1"/>
  <c r="Q207" i="13"/>
  <c r="P207" i="13"/>
  <c r="P240" i="13" s="1"/>
  <c r="O207" i="13"/>
  <c r="N207" i="13"/>
  <c r="N240" i="13" s="1"/>
  <c r="M207" i="13"/>
  <c r="L207" i="13"/>
  <c r="L240" i="13" s="1"/>
  <c r="K207" i="13"/>
  <c r="J207" i="13"/>
  <c r="J240" i="13" s="1"/>
  <c r="I207" i="13"/>
  <c r="H207" i="13"/>
  <c r="H240" i="13" s="1"/>
  <c r="A206" i="13"/>
  <c r="A205" i="13"/>
  <c r="A204" i="13"/>
  <c r="A203" i="13"/>
  <c r="A198" i="13"/>
  <c r="A197" i="13"/>
  <c r="A194" i="13"/>
  <c r="A193" i="13"/>
  <c r="H192" i="13"/>
  <c r="A192" i="13"/>
  <c r="A191" i="13"/>
  <c r="A186" i="13"/>
  <c r="A185" i="13"/>
  <c r="A184" i="13"/>
  <c r="C183" i="13"/>
  <c r="H168" i="13"/>
  <c r="I168" i="13" s="1"/>
  <c r="J168" i="13" s="1"/>
  <c r="K168" i="13" s="1"/>
  <c r="L168" i="13" s="1"/>
  <c r="M168" i="13" s="1"/>
  <c r="N168" i="13" s="1"/>
  <c r="O168" i="13" s="1"/>
  <c r="P168" i="13" s="1"/>
  <c r="Q168" i="13" s="1"/>
  <c r="R168" i="13" s="1"/>
  <c r="S168" i="13" s="1"/>
  <c r="T168" i="13" s="1"/>
  <c r="U168" i="13" s="1"/>
  <c r="V168" i="13" s="1"/>
  <c r="W168" i="13" s="1"/>
  <c r="X168" i="13" s="1"/>
  <c r="Y168" i="13" s="1"/>
  <c r="Z168" i="13" s="1"/>
  <c r="AA168" i="13" s="1"/>
  <c r="H167" i="13"/>
  <c r="I167" i="13" s="1"/>
  <c r="J167" i="13" s="1"/>
  <c r="K167" i="13" s="1"/>
  <c r="L167" i="13" s="1"/>
  <c r="M167" i="13" s="1"/>
  <c r="N167" i="13" s="1"/>
  <c r="O167" i="13" s="1"/>
  <c r="P167" i="13" s="1"/>
  <c r="Q167" i="13" s="1"/>
  <c r="R167" i="13" s="1"/>
  <c r="S167" i="13" s="1"/>
  <c r="T167" i="13" s="1"/>
  <c r="U167" i="13" s="1"/>
  <c r="V167" i="13" s="1"/>
  <c r="W167" i="13" s="1"/>
  <c r="X167" i="13" s="1"/>
  <c r="Y167" i="13" s="1"/>
  <c r="Z167" i="13" s="1"/>
  <c r="AA167" i="13" s="1"/>
  <c r="H166" i="13"/>
  <c r="I166" i="13" s="1"/>
  <c r="J166" i="13" s="1"/>
  <c r="K166" i="13" s="1"/>
  <c r="L166" i="13" s="1"/>
  <c r="M166" i="13" s="1"/>
  <c r="N166" i="13" s="1"/>
  <c r="O166" i="13" s="1"/>
  <c r="P166" i="13" s="1"/>
  <c r="Q166" i="13" s="1"/>
  <c r="R166" i="13" s="1"/>
  <c r="S166" i="13" s="1"/>
  <c r="T166" i="13" s="1"/>
  <c r="U166" i="13" s="1"/>
  <c r="V166" i="13" s="1"/>
  <c r="W166" i="13" s="1"/>
  <c r="X166" i="13" s="1"/>
  <c r="Y166" i="13" s="1"/>
  <c r="Z166" i="13" s="1"/>
  <c r="AA166" i="13" s="1"/>
  <c r="H165" i="13"/>
  <c r="I165" i="13" s="1"/>
  <c r="J165" i="13" s="1"/>
  <c r="K165" i="13" s="1"/>
  <c r="L165" i="13" s="1"/>
  <c r="M165" i="13" s="1"/>
  <c r="N165" i="13" s="1"/>
  <c r="O165" i="13" s="1"/>
  <c r="P165" i="13" s="1"/>
  <c r="Q165" i="13" s="1"/>
  <c r="R165" i="13" s="1"/>
  <c r="S165" i="13" s="1"/>
  <c r="T165" i="13" s="1"/>
  <c r="U165" i="13" s="1"/>
  <c r="V165" i="13" s="1"/>
  <c r="W165" i="13" s="1"/>
  <c r="X165" i="13" s="1"/>
  <c r="Y165" i="13" s="1"/>
  <c r="Z165" i="13" s="1"/>
  <c r="AA165" i="13" s="1"/>
  <c r="A165" i="13"/>
  <c r="A164" i="13"/>
  <c r="A160" i="13"/>
  <c r="A158" i="13"/>
  <c r="AA156" i="13"/>
  <c r="Z156" i="13"/>
  <c r="Y156" i="13"/>
  <c r="X156" i="13"/>
  <c r="W156" i="13"/>
  <c r="V156" i="13"/>
  <c r="U156" i="13"/>
  <c r="T156" i="13"/>
  <c r="S156" i="13"/>
  <c r="R156" i="13"/>
  <c r="Q156" i="13"/>
  <c r="P156" i="13"/>
  <c r="O156" i="13"/>
  <c r="N156" i="13"/>
  <c r="M156" i="13"/>
  <c r="L156" i="13"/>
  <c r="K156" i="13"/>
  <c r="J156" i="13"/>
  <c r="I156" i="13"/>
  <c r="H156" i="13"/>
  <c r="A155" i="13"/>
  <c r="H154" i="13"/>
  <c r="A153" i="13"/>
  <c r="H147" i="13"/>
  <c r="I147" i="13" s="1"/>
  <c r="J147" i="13" s="1"/>
  <c r="K147" i="13" s="1"/>
  <c r="L147" i="13" s="1"/>
  <c r="M147" i="13" s="1"/>
  <c r="N147" i="13" s="1"/>
  <c r="O147" i="13" s="1"/>
  <c r="P147" i="13" s="1"/>
  <c r="Q147" i="13" s="1"/>
  <c r="R147" i="13" s="1"/>
  <c r="S147" i="13" s="1"/>
  <c r="T147" i="13" s="1"/>
  <c r="U147" i="13" s="1"/>
  <c r="V147" i="13" s="1"/>
  <c r="W147" i="13" s="1"/>
  <c r="X147" i="13" s="1"/>
  <c r="Y147" i="13" s="1"/>
  <c r="Z147" i="13" s="1"/>
  <c r="AA147" i="13" s="1"/>
  <c r="H146" i="13"/>
  <c r="I146" i="13" s="1"/>
  <c r="J146" i="13" s="1"/>
  <c r="K146" i="13" s="1"/>
  <c r="L146" i="13" s="1"/>
  <c r="M146" i="13" s="1"/>
  <c r="N146" i="13" s="1"/>
  <c r="O146" i="13" s="1"/>
  <c r="P146" i="13" s="1"/>
  <c r="Q146" i="13" s="1"/>
  <c r="R146" i="13" s="1"/>
  <c r="S146" i="13" s="1"/>
  <c r="T146" i="13" s="1"/>
  <c r="U146" i="13" s="1"/>
  <c r="V146" i="13" s="1"/>
  <c r="W146" i="13" s="1"/>
  <c r="X146" i="13" s="1"/>
  <c r="Y146" i="13" s="1"/>
  <c r="Z146" i="13" s="1"/>
  <c r="AA146" i="13" s="1"/>
  <c r="H145" i="13"/>
  <c r="I145" i="13" s="1"/>
  <c r="J145" i="13" s="1"/>
  <c r="K145" i="13" s="1"/>
  <c r="L145" i="13" s="1"/>
  <c r="M145" i="13" s="1"/>
  <c r="N145" i="13" s="1"/>
  <c r="O145" i="13" s="1"/>
  <c r="P145" i="13" s="1"/>
  <c r="Q145" i="13" s="1"/>
  <c r="R145" i="13" s="1"/>
  <c r="S145" i="13" s="1"/>
  <c r="T145" i="13" s="1"/>
  <c r="U145" i="13" s="1"/>
  <c r="V145" i="13" s="1"/>
  <c r="W145" i="13" s="1"/>
  <c r="X145" i="13" s="1"/>
  <c r="Y145" i="13" s="1"/>
  <c r="Z145" i="13" s="1"/>
  <c r="AA145" i="13" s="1"/>
  <c r="H144" i="13"/>
  <c r="I144" i="13" s="1"/>
  <c r="J144" i="13" s="1"/>
  <c r="K144" i="13" s="1"/>
  <c r="L144" i="13" s="1"/>
  <c r="M144" i="13" s="1"/>
  <c r="N144" i="13" s="1"/>
  <c r="O144" i="13" s="1"/>
  <c r="P144" i="13" s="1"/>
  <c r="Q144" i="13" s="1"/>
  <c r="R144" i="13" s="1"/>
  <c r="S144" i="13" s="1"/>
  <c r="T144" i="13" s="1"/>
  <c r="U144" i="13" s="1"/>
  <c r="V144" i="13" s="1"/>
  <c r="W144" i="13" s="1"/>
  <c r="X144" i="13" s="1"/>
  <c r="Y144" i="13" s="1"/>
  <c r="Z144" i="13" s="1"/>
  <c r="AA144" i="13" s="1"/>
  <c r="A144" i="13"/>
  <c r="A143" i="13"/>
  <c r="A139" i="13"/>
  <c r="A137" i="13"/>
  <c r="AA135" i="13"/>
  <c r="Z135" i="13"/>
  <c r="Y135" i="13"/>
  <c r="X135" i="13"/>
  <c r="W135" i="13"/>
  <c r="V135" i="13"/>
  <c r="U135" i="13"/>
  <c r="T135" i="13"/>
  <c r="S135" i="13"/>
  <c r="R135" i="13"/>
  <c r="Q135" i="13"/>
  <c r="P135" i="13"/>
  <c r="O135" i="13"/>
  <c r="N135" i="13"/>
  <c r="M135" i="13"/>
  <c r="L135" i="13"/>
  <c r="K135" i="13"/>
  <c r="J135" i="13"/>
  <c r="I135" i="13"/>
  <c r="H135" i="13"/>
  <c r="A134" i="13"/>
  <c r="H133" i="13"/>
  <c r="A132" i="13"/>
  <c r="H126" i="13"/>
  <c r="I126" i="13" s="1"/>
  <c r="J126" i="13" s="1"/>
  <c r="K126" i="13" s="1"/>
  <c r="L126" i="13" s="1"/>
  <c r="M126" i="13" s="1"/>
  <c r="N126" i="13" s="1"/>
  <c r="O126" i="13" s="1"/>
  <c r="P126" i="13" s="1"/>
  <c r="Q126" i="13" s="1"/>
  <c r="R126" i="13" s="1"/>
  <c r="S126" i="13" s="1"/>
  <c r="T126" i="13" s="1"/>
  <c r="U126" i="13" s="1"/>
  <c r="V126" i="13" s="1"/>
  <c r="W126" i="13" s="1"/>
  <c r="X126" i="13" s="1"/>
  <c r="Y126" i="13" s="1"/>
  <c r="Z126" i="13" s="1"/>
  <c r="AA126" i="13" s="1"/>
  <c r="H125" i="13"/>
  <c r="I125" i="13" s="1"/>
  <c r="J125" i="13" s="1"/>
  <c r="K125" i="13" s="1"/>
  <c r="L125" i="13" s="1"/>
  <c r="M125" i="13" s="1"/>
  <c r="N125" i="13" s="1"/>
  <c r="O125" i="13" s="1"/>
  <c r="P125" i="13" s="1"/>
  <c r="Q125" i="13" s="1"/>
  <c r="R125" i="13" s="1"/>
  <c r="S125" i="13" s="1"/>
  <c r="T125" i="13" s="1"/>
  <c r="U125" i="13" s="1"/>
  <c r="V125" i="13" s="1"/>
  <c r="W125" i="13" s="1"/>
  <c r="X125" i="13" s="1"/>
  <c r="Y125" i="13" s="1"/>
  <c r="Z125" i="13" s="1"/>
  <c r="AA125" i="13" s="1"/>
  <c r="H124" i="13"/>
  <c r="I124" i="13" s="1"/>
  <c r="J124" i="13" s="1"/>
  <c r="K124" i="13" s="1"/>
  <c r="L124" i="13" s="1"/>
  <c r="M124" i="13" s="1"/>
  <c r="N124" i="13" s="1"/>
  <c r="O124" i="13" s="1"/>
  <c r="P124" i="13" s="1"/>
  <c r="Q124" i="13" s="1"/>
  <c r="R124" i="13" s="1"/>
  <c r="S124" i="13" s="1"/>
  <c r="T124" i="13" s="1"/>
  <c r="U124" i="13" s="1"/>
  <c r="V124" i="13" s="1"/>
  <c r="W124" i="13" s="1"/>
  <c r="X124" i="13" s="1"/>
  <c r="Y124" i="13" s="1"/>
  <c r="Z124" i="13" s="1"/>
  <c r="AA124" i="13" s="1"/>
  <c r="H123" i="13"/>
  <c r="I123" i="13" s="1"/>
  <c r="J123" i="13" s="1"/>
  <c r="K123" i="13" s="1"/>
  <c r="L123" i="13" s="1"/>
  <c r="M123" i="13" s="1"/>
  <c r="N123" i="13" s="1"/>
  <c r="O123" i="13" s="1"/>
  <c r="P123" i="13" s="1"/>
  <c r="Q123" i="13" s="1"/>
  <c r="R123" i="13" s="1"/>
  <c r="S123" i="13" s="1"/>
  <c r="T123" i="13" s="1"/>
  <c r="U123" i="13" s="1"/>
  <c r="V123" i="13" s="1"/>
  <c r="W123" i="13" s="1"/>
  <c r="X123" i="13" s="1"/>
  <c r="Y123" i="13" s="1"/>
  <c r="Z123" i="13" s="1"/>
  <c r="AA123" i="13" s="1"/>
  <c r="A123" i="13"/>
  <c r="A122" i="13"/>
  <c r="A116" i="13"/>
  <c r="AA114" i="13"/>
  <c r="Z114" i="13"/>
  <c r="Y114" i="13"/>
  <c r="X114" i="13"/>
  <c r="W114" i="13"/>
  <c r="A113" i="13"/>
  <c r="A111" i="13"/>
  <c r="H105" i="13"/>
  <c r="I105" i="13" s="1"/>
  <c r="J105" i="13" s="1"/>
  <c r="K105" i="13" s="1"/>
  <c r="L105" i="13" s="1"/>
  <c r="M105" i="13" s="1"/>
  <c r="N105" i="13" s="1"/>
  <c r="O105" i="13" s="1"/>
  <c r="P105" i="13" s="1"/>
  <c r="Q105" i="13" s="1"/>
  <c r="R105" i="13" s="1"/>
  <c r="S105" i="13" s="1"/>
  <c r="T105" i="13" s="1"/>
  <c r="U105" i="13" s="1"/>
  <c r="V105" i="13" s="1"/>
  <c r="W105" i="13" s="1"/>
  <c r="X105" i="13" s="1"/>
  <c r="Y105" i="13" s="1"/>
  <c r="Z105" i="13" s="1"/>
  <c r="AA105" i="13" s="1"/>
  <c r="H104" i="13"/>
  <c r="I104" i="13" s="1"/>
  <c r="J104" i="13" s="1"/>
  <c r="K104" i="13" s="1"/>
  <c r="L104" i="13" s="1"/>
  <c r="M104" i="13" s="1"/>
  <c r="N104" i="13" s="1"/>
  <c r="O104" i="13" s="1"/>
  <c r="P104" i="13" s="1"/>
  <c r="Q104" i="13" s="1"/>
  <c r="R104" i="13" s="1"/>
  <c r="S104" i="13" s="1"/>
  <c r="T104" i="13" s="1"/>
  <c r="U104" i="13" s="1"/>
  <c r="V104" i="13" s="1"/>
  <c r="W104" i="13" s="1"/>
  <c r="X104" i="13" s="1"/>
  <c r="Y104" i="13" s="1"/>
  <c r="Z104" i="13" s="1"/>
  <c r="AA104" i="13" s="1"/>
  <c r="I103" i="13"/>
  <c r="J103" i="13" s="1"/>
  <c r="K103" i="13" s="1"/>
  <c r="L103" i="13" s="1"/>
  <c r="M103" i="13" s="1"/>
  <c r="N103" i="13" s="1"/>
  <c r="O103" i="13" s="1"/>
  <c r="P103" i="13" s="1"/>
  <c r="Q103" i="13" s="1"/>
  <c r="R103" i="13" s="1"/>
  <c r="S103" i="13" s="1"/>
  <c r="T103" i="13" s="1"/>
  <c r="U103" i="13" s="1"/>
  <c r="V103" i="13" s="1"/>
  <c r="W103" i="13" s="1"/>
  <c r="X103" i="13" s="1"/>
  <c r="Y103" i="13" s="1"/>
  <c r="Z103" i="13" s="1"/>
  <c r="AA103" i="13" s="1"/>
  <c r="H102" i="13"/>
  <c r="I102" i="13" s="1"/>
  <c r="J102" i="13" s="1"/>
  <c r="K102" i="13" s="1"/>
  <c r="L102" i="13" s="1"/>
  <c r="M102" i="13" s="1"/>
  <c r="N102" i="13" s="1"/>
  <c r="O102" i="13" s="1"/>
  <c r="P102" i="13" s="1"/>
  <c r="Q102" i="13" s="1"/>
  <c r="R102" i="13" s="1"/>
  <c r="S102" i="13" s="1"/>
  <c r="T102" i="13" s="1"/>
  <c r="U102" i="13" s="1"/>
  <c r="V102" i="13" s="1"/>
  <c r="W102" i="13" s="1"/>
  <c r="X102" i="13" s="1"/>
  <c r="Y102" i="13" s="1"/>
  <c r="Z102" i="13" s="1"/>
  <c r="AA102" i="13" s="1"/>
  <c r="A102" i="13"/>
  <c r="A101" i="13"/>
  <c r="A95" i="13"/>
  <c r="AA93" i="13"/>
  <c r="Z93" i="13"/>
  <c r="Y93" i="13"/>
  <c r="X93" i="13"/>
  <c r="W93" i="13"/>
  <c r="A92" i="13"/>
  <c r="A90" i="13"/>
  <c r="C87" i="13"/>
  <c r="AA80" i="13"/>
  <c r="Z80" i="13"/>
  <c r="Y80" i="13"/>
  <c r="X80" i="13"/>
  <c r="W80" i="13"/>
  <c r="V80" i="13"/>
  <c r="U80" i="13"/>
  <c r="T80" i="13"/>
  <c r="S80" i="13"/>
  <c r="R80" i="13"/>
  <c r="Q80" i="13"/>
  <c r="P80" i="13"/>
  <c r="O80" i="13"/>
  <c r="N80" i="13"/>
  <c r="M80" i="13"/>
  <c r="L80" i="13"/>
  <c r="K80" i="13"/>
  <c r="J80" i="13"/>
  <c r="I80" i="13"/>
  <c r="H80" i="13"/>
  <c r="G80" i="13"/>
  <c r="AA79" i="13"/>
  <c r="Z79" i="13"/>
  <c r="Y79" i="13"/>
  <c r="X79" i="13"/>
  <c r="W79" i="13"/>
  <c r="V79" i="13"/>
  <c r="U79" i="13"/>
  <c r="T79" i="13"/>
  <c r="S79" i="13"/>
  <c r="R79" i="13"/>
  <c r="Q79" i="13"/>
  <c r="P79" i="13"/>
  <c r="O79" i="13"/>
  <c r="N79" i="13"/>
  <c r="M79" i="13"/>
  <c r="L79" i="13"/>
  <c r="K79" i="13"/>
  <c r="J79" i="13"/>
  <c r="I79" i="13"/>
  <c r="H79" i="13"/>
  <c r="G79" i="13"/>
  <c r="AA78" i="13"/>
  <c r="Z78" i="13"/>
  <c r="Y78" i="13"/>
  <c r="X78" i="13"/>
  <c r="W78" i="13"/>
  <c r="V78" i="13"/>
  <c r="U78" i="13"/>
  <c r="T78" i="13"/>
  <c r="S78" i="13"/>
  <c r="R78" i="13"/>
  <c r="Q78" i="13"/>
  <c r="P78" i="13"/>
  <c r="O78" i="13"/>
  <c r="N78" i="13"/>
  <c r="M78" i="13"/>
  <c r="L78" i="13"/>
  <c r="K78" i="13"/>
  <c r="J78" i="13"/>
  <c r="I78" i="13"/>
  <c r="H78" i="13"/>
  <c r="G78" i="13"/>
  <c r="AA75" i="13"/>
  <c r="Z75" i="13"/>
  <c r="Y75" i="13"/>
  <c r="X75" i="13"/>
  <c r="W75" i="13"/>
  <c r="V75" i="13"/>
  <c r="U75" i="13"/>
  <c r="T75" i="13"/>
  <c r="S75" i="13"/>
  <c r="R75" i="13"/>
  <c r="Q75" i="13"/>
  <c r="P75" i="13"/>
  <c r="O75" i="13"/>
  <c r="N75" i="13"/>
  <c r="M75" i="13"/>
  <c r="L75" i="13"/>
  <c r="K75" i="13"/>
  <c r="J75" i="13"/>
  <c r="I75" i="13"/>
  <c r="H75" i="13"/>
  <c r="G75" i="13"/>
  <c r="E73" i="13"/>
  <c r="E80" i="13" s="1"/>
  <c r="E72" i="13"/>
  <c r="E79" i="13" s="1"/>
  <c r="E71" i="13"/>
  <c r="E78" i="13" s="1"/>
  <c r="A70" i="13"/>
  <c r="AA66" i="13"/>
  <c r="Z66" i="13"/>
  <c r="Y66" i="13"/>
  <c r="X66" i="13"/>
  <c r="W66" i="13"/>
  <c r="V66" i="13"/>
  <c r="U66" i="13"/>
  <c r="T66" i="13"/>
  <c r="S66" i="13"/>
  <c r="R66" i="13"/>
  <c r="Q66" i="13"/>
  <c r="P66" i="13"/>
  <c r="O66" i="13"/>
  <c r="N66" i="13"/>
  <c r="M66" i="13"/>
  <c r="L66" i="13"/>
  <c r="K66" i="13"/>
  <c r="J66" i="13"/>
  <c r="I66" i="13"/>
  <c r="H66" i="13"/>
  <c r="G66" i="13"/>
  <c r="AA65" i="13"/>
  <c r="Z65" i="13"/>
  <c r="Y65" i="13"/>
  <c r="X65" i="13"/>
  <c r="W65" i="13"/>
  <c r="V65" i="13"/>
  <c r="U65" i="13"/>
  <c r="T65" i="13"/>
  <c r="S65" i="13"/>
  <c r="R65" i="13"/>
  <c r="Q65" i="13"/>
  <c r="P65" i="13"/>
  <c r="O65" i="13"/>
  <c r="N65" i="13"/>
  <c r="M65" i="13"/>
  <c r="L65" i="13"/>
  <c r="K65" i="13"/>
  <c r="J65" i="13"/>
  <c r="I65" i="13"/>
  <c r="H65" i="13"/>
  <c r="G65" i="13"/>
  <c r="AA64" i="13"/>
  <c r="Z64" i="13"/>
  <c r="Y64" i="13"/>
  <c r="X64" i="13"/>
  <c r="W64" i="13"/>
  <c r="V64" i="13"/>
  <c r="U64" i="13"/>
  <c r="T64" i="13"/>
  <c r="S64" i="13"/>
  <c r="R64" i="13"/>
  <c r="Q64" i="13"/>
  <c r="P64" i="13"/>
  <c r="O64" i="13"/>
  <c r="N64" i="13"/>
  <c r="M64" i="13"/>
  <c r="L64" i="13"/>
  <c r="K64" i="13"/>
  <c r="J64" i="13"/>
  <c r="I64" i="13"/>
  <c r="H64" i="13"/>
  <c r="G64" i="13"/>
  <c r="AA61" i="13"/>
  <c r="AA84" i="13" s="1"/>
  <c r="AA235" i="13" s="1"/>
  <c r="Z61" i="13"/>
  <c r="Z84" i="13" s="1"/>
  <c r="Z235" i="13" s="1"/>
  <c r="Y61" i="13"/>
  <c r="Y84" i="13" s="1"/>
  <c r="Y235" i="13" s="1"/>
  <c r="X61" i="13"/>
  <c r="W61" i="13"/>
  <c r="W84" i="13" s="1"/>
  <c r="W235" i="13" s="1"/>
  <c r="V61" i="13"/>
  <c r="V84" i="13" s="1"/>
  <c r="V235" i="13" s="1"/>
  <c r="U61" i="13"/>
  <c r="U84" i="13" s="1"/>
  <c r="U235" i="13" s="1"/>
  <c r="T61" i="13"/>
  <c r="S61" i="13"/>
  <c r="S84" i="13" s="1"/>
  <c r="S235" i="13" s="1"/>
  <c r="R61" i="13"/>
  <c r="R84" i="13" s="1"/>
  <c r="R235" i="13" s="1"/>
  <c r="Q61" i="13"/>
  <c r="Q84" i="13" s="1"/>
  <c r="Q235" i="13" s="1"/>
  <c r="P61" i="13"/>
  <c r="O61" i="13"/>
  <c r="O84" i="13" s="1"/>
  <c r="O235" i="13" s="1"/>
  <c r="N61" i="13"/>
  <c r="N84" i="13" s="1"/>
  <c r="N235" i="13" s="1"/>
  <c r="M61" i="13"/>
  <c r="M84" i="13" s="1"/>
  <c r="M235" i="13" s="1"/>
  <c r="L61" i="13"/>
  <c r="K61" i="13"/>
  <c r="K84" i="13" s="1"/>
  <c r="K235" i="13" s="1"/>
  <c r="J61" i="13"/>
  <c r="J84" i="13" s="1"/>
  <c r="J235" i="13" s="1"/>
  <c r="I61" i="13"/>
  <c r="I84" i="13" s="1"/>
  <c r="I235" i="13" s="1"/>
  <c r="H61" i="13"/>
  <c r="G61" i="13"/>
  <c r="G84" i="13" s="1"/>
  <c r="G235" i="13" s="1"/>
  <c r="E59" i="13"/>
  <c r="E66" i="13" s="1"/>
  <c r="E58" i="13"/>
  <c r="E65" i="13" s="1"/>
  <c r="E57" i="13"/>
  <c r="E64" i="13" s="1"/>
  <c r="A56" i="13"/>
  <c r="A52" i="13"/>
  <c r="AA48" i="13"/>
  <c r="Z48" i="13"/>
  <c r="Y48" i="13"/>
  <c r="X48" i="13"/>
  <c r="W48" i="13"/>
  <c r="V48" i="13"/>
  <c r="U48" i="13"/>
  <c r="T48" i="13"/>
  <c r="S48" i="13"/>
  <c r="R48" i="13"/>
  <c r="Q48" i="13"/>
  <c r="P48" i="13"/>
  <c r="O48" i="13"/>
  <c r="N48" i="13"/>
  <c r="M48" i="13"/>
  <c r="L48" i="13"/>
  <c r="K48" i="13"/>
  <c r="J48" i="13"/>
  <c r="I48" i="13"/>
  <c r="H48" i="13"/>
  <c r="G48" i="13"/>
  <c r="AA47" i="13"/>
  <c r="Z47" i="13"/>
  <c r="Y47" i="13"/>
  <c r="X47" i="13"/>
  <c r="W47" i="13"/>
  <c r="V47" i="13"/>
  <c r="U47" i="13"/>
  <c r="T47" i="13"/>
  <c r="S47" i="13"/>
  <c r="R47" i="13"/>
  <c r="Q47" i="13"/>
  <c r="P47" i="13"/>
  <c r="O47" i="13"/>
  <c r="N47" i="13"/>
  <c r="M47" i="13"/>
  <c r="L47" i="13"/>
  <c r="K47" i="13"/>
  <c r="J47" i="13"/>
  <c r="I47" i="13"/>
  <c r="H47" i="13"/>
  <c r="G47" i="13"/>
  <c r="AA46" i="13"/>
  <c r="Z46" i="13"/>
  <c r="Y46" i="13"/>
  <c r="X46" i="13"/>
  <c r="W46" i="13"/>
  <c r="V46" i="13"/>
  <c r="U46" i="13"/>
  <c r="T46" i="13"/>
  <c r="S46" i="13"/>
  <c r="R46" i="13"/>
  <c r="Q46" i="13"/>
  <c r="P46" i="13"/>
  <c r="O46" i="13"/>
  <c r="N46" i="13"/>
  <c r="M46" i="13"/>
  <c r="L46" i="13"/>
  <c r="K46" i="13"/>
  <c r="J46" i="13"/>
  <c r="I46" i="13"/>
  <c r="H46" i="13"/>
  <c r="G46" i="13"/>
  <c r="G45" i="13"/>
  <c r="G42" i="13"/>
  <c r="G222" i="13" s="1"/>
  <c r="E40" i="13"/>
  <c r="E48" i="13" s="1"/>
  <c r="E39" i="13"/>
  <c r="E47" i="13" s="1"/>
  <c r="E38" i="13"/>
  <c r="E46" i="13" s="1"/>
  <c r="AA42" i="13"/>
  <c r="AA222" i="13" s="1"/>
  <c r="Z42" i="13"/>
  <c r="Z222" i="13" s="1"/>
  <c r="Y45" i="13"/>
  <c r="X45" i="13"/>
  <c r="W42" i="13"/>
  <c r="W222" i="13" s="1"/>
  <c r="E37" i="13"/>
  <c r="E45" i="13" s="1"/>
  <c r="A36" i="13"/>
  <c r="AA32" i="13"/>
  <c r="Z32" i="13"/>
  <c r="Y32" i="13"/>
  <c r="X32" i="13"/>
  <c r="W32" i="13"/>
  <c r="V32" i="13"/>
  <c r="U32" i="13"/>
  <c r="T32" i="13"/>
  <c r="S32" i="13"/>
  <c r="R32" i="13"/>
  <c r="Q32" i="13"/>
  <c r="P32" i="13"/>
  <c r="O32" i="13"/>
  <c r="N32" i="13"/>
  <c r="M32" i="13"/>
  <c r="L32" i="13"/>
  <c r="K32" i="13"/>
  <c r="J32" i="13"/>
  <c r="I32" i="13"/>
  <c r="H32" i="13"/>
  <c r="G32" i="13"/>
  <c r="E32" i="13"/>
  <c r="AA31" i="13"/>
  <c r="Z31" i="13"/>
  <c r="Y31" i="13"/>
  <c r="X31" i="13"/>
  <c r="W31" i="13"/>
  <c r="V31" i="13"/>
  <c r="U31" i="13"/>
  <c r="T31" i="13"/>
  <c r="S31" i="13"/>
  <c r="R31" i="13"/>
  <c r="Q31" i="13"/>
  <c r="P31" i="13"/>
  <c r="O31" i="13"/>
  <c r="N31" i="13"/>
  <c r="M31" i="13"/>
  <c r="L31" i="13"/>
  <c r="K31" i="13"/>
  <c r="J31" i="13"/>
  <c r="I31" i="13"/>
  <c r="H31" i="13"/>
  <c r="G31" i="13"/>
  <c r="AA30" i="13"/>
  <c r="Z30" i="13"/>
  <c r="Y30" i="13"/>
  <c r="X30" i="13"/>
  <c r="W30" i="13"/>
  <c r="V30" i="13"/>
  <c r="U30" i="13"/>
  <c r="T30" i="13"/>
  <c r="S30" i="13"/>
  <c r="R30" i="13"/>
  <c r="Q30" i="13"/>
  <c r="P30" i="13"/>
  <c r="O30" i="13"/>
  <c r="N30" i="13"/>
  <c r="M30" i="13"/>
  <c r="L30" i="13"/>
  <c r="K30" i="13"/>
  <c r="J30" i="13"/>
  <c r="I30" i="13"/>
  <c r="H30" i="13"/>
  <c r="G30" i="13"/>
  <c r="AA29" i="13"/>
  <c r="Z29" i="13"/>
  <c r="Y29" i="13"/>
  <c r="X29" i="13"/>
  <c r="W29" i="13"/>
  <c r="V29" i="13"/>
  <c r="U29" i="13"/>
  <c r="T29" i="13"/>
  <c r="S29" i="13"/>
  <c r="R29" i="13"/>
  <c r="Q29" i="13"/>
  <c r="P29" i="13"/>
  <c r="O29" i="13"/>
  <c r="N29" i="13"/>
  <c r="M29" i="13"/>
  <c r="L29" i="13"/>
  <c r="K29" i="13"/>
  <c r="J29" i="13"/>
  <c r="I29" i="13"/>
  <c r="H29" i="13"/>
  <c r="G29" i="13"/>
  <c r="AA26" i="13"/>
  <c r="AA234" i="13" s="1"/>
  <c r="Z26" i="13"/>
  <c r="Z234" i="13" s="1"/>
  <c r="Y26" i="13"/>
  <c r="Y234" i="13" s="1"/>
  <c r="X26" i="13"/>
  <c r="X234" i="13" s="1"/>
  <c r="W26" i="13"/>
  <c r="W234" i="13" s="1"/>
  <c r="V26" i="13"/>
  <c r="V234" i="13" s="1"/>
  <c r="U26" i="13"/>
  <c r="U234" i="13" s="1"/>
  <c r="T26" i="13"/>
  <c r="T234" i="13" s="1"/>
  <c r="S26" i="13"/>
  <c r="S234" i="13" s="1"/>
  <c r="R26" i="13"/>
  <c r="R234" i="13" s="1"/>
  <c r="Q26" i="13"/>
  <c r="Q234" i="13" s="1"/>
  <c r="P26" i="13"/>
  <c r="P234" i="13" s="1"/>
  <c r="O26" i="13"/>
  <c r="O234" i="13" s="1"/>
  <c r="N26" i="13"/>
  <c r="N234" i="13" s="1"/>
  <c r="M26" i="13"/>
  <c r="M234" i="13" s="1"/>
  <c r="L26" i="13"/>
  <c r="L234" i="13" s="1"/>
  <c r="K26" i="13"/>
  <c r="K234" i="13" s="1"/>
  <c r="J26" i="13"/>
  <c r="J234" i="13" s="1"/>
  <c r="I26" i="13"/>
  <c r="I234" i="13" s="1"/>
  <c r="H26" i="13"/>
  <c r="H234" i="13" s="1"/>
  <c r="G26" i="13"/>
  <c r="G234" i="13" s="1"/>
  <c r="E23" i="13"/>
  <c r="E31" i="13" s="1"/>
  <c r="E22" i="13"/>
  <c r="E30" i="13" s="1"/>
  <c r="E21" i="13"/>
  <c r="E29" i="13" s="1"/>
  <c r="A20" i="13"/>
  <c r="A18" i="13"/>
  <c r="G16" i="13"/>
  <c r="A15" i="13"/>
  <c r="A14" i="13"/>
  <c r="A10" i="13"/>
  <c r="A9" i="13"/>
  <c r="A8" i="13"/>
  <c r="A7" i="13"/>
  <c r="A4" i="13"/>
  <c r="W45" i="11"/>
  <c r="X45" i="11"/>
  <c r="Y42" i="11"/>
  <c r="Y222" i="11" s="1"/>
  <c r="AA45" i="11"/>
  <c r="A320" i="11"/>
  <c r="A283" i="11"/>
  <c r="G241" i="11"/>
  <c r="G240" i="11"/>
  <c r="G239" i="11"/>
  <c r="G237" i="11"/>
  <c r="AA236" i="11"/>
  <c r="Z236" i="11"/>
  <c r="Y236" i="11"/>
  <c r="X236" i="11"/>
  <c r="W236" i="11"/>
  <c r="V236" i="11"/>
  <c r="U236" i="11"/>
  <c r="T236" i="11"/>
  <c r="S236" i="11"/>
  <c r="R236" i="11"/>
  <c r="Q236" i="11"/>
  <c r="P236" i="11"/>
  <c r="O236" i="11"/>
  <c r="N236" i="11"/>
  <c r="M236" i="11"/>
  <c r="L236" i="11"/>
  <c r="K236" i="11"/>
  <c r="J236" i="11"/>
  <c r="I236" i="11"/>
  <c r="H236" i="11"/>
  <c r="G236" i="11"/>
  <c r="G227" i="11"/>
  <c r="G225" i="11"/>
  <c r="G224" i="11"/>
  <c r="G223" i="11"/>
  <c r="A213" i="11"/>
  <c r="A212" i="11"/>
  <c r="A211" i="11"/>
  <c r="A210" i="11"/>
  <c r="AA207" i="11"/>
  <c r="Z207" i="11"/>
  <c r="Z240" i="11" s="1"/>
  <c r="Y207" i="11"/>
  <c r="X207" i="11"/>
  <c r="X240" i="11" s="1"/>
  <c r="W207" i="11"/>
  <c r="V207" i="11"/>
  <c r="V240" i="11" s="1"/>
  <c r="U207" i="11"/>
  <c r="T207" i="11"/>
  <c r="T240" i="11" s="1"/>
  <c r="S207" i="11"/>
  <c r="R207" i="11"/>
  <c r="R240" i="11" s="1"/>
  <c r="Q207" i="11"/>
  <c r="P207" i="11"/>
  <c r="P240" i="11" s="1"/>
  <c r="O207" i="11"/>
  <c r="N207" i="11"/>
  <c r="N240" i="11" s="1"/>
  <c r="M207" i="11"/>
  <c r="L207" i="11"/>
  <c r="L240" i="11" s="1"/>
  <c r="K207" i="11"/>
  <c r="J207" i="11"/>
  <c r="J240" i="11" s="1"/>
  <c r="I207" i="11"/>
  <c r="H207" i="11"/>
  <c r="H240" i="11" s="1"/>
  <c r="A206" i="11"/>
  <c r="A205" i="11"/>
  <c r="A204" i="11"/>
  <c r="A203" i="11"/>
  <c r="A198" i="11"/>
  <c r="A197" i="11"/>
  <c r="A194" i="11"/>
  <c r="I193" i="11"/>
  <c r="J193" i="11" s="1"/>
  <c r="K193" i="11" s="1"/>
  <c r="L193" i="11" s="1"/>
  <c r="M193" i="11" s="1"/>
  <c r="N193" i="11" s="1"/>
  <c r="O193" i="11" s="1"/>
  <c r="P193" i="11" s="1"/>
  <c r="Q193" i="11" s="1"/>
  <c r="R193" i="11" s="1"/>
  <c r="S193" i="11" s="1"/>
  <c r="T193" i="11" s="1"/>
  <c r="U193" i="11" s="1"/>
  <c r="V193" i="11" s="1"/>
  <c r="W193" i="11" s="1"/>
  <c r="X193" i="11" s="1"/>
  <c r="Y193" i="11" s="1"/>
  <c r="Z193" i="11" s="1"/>
  <c r="AA193" i="11" s="1"/>
  <c r="A193" i="11"/>
  <c r="H192" i="11"/>
  <c r="A192" i="11"/>
  <c r="A191" i="11"/>
  <c r="A186" i="11"/>
  <c r="A185" i="11"/>
  <c r="A184" i="11"/>
  <c r="C183" i="11"/>
  <c r="H168" i="11"/>
  <c r="I168" i="11" s="1"/>
  <c r="J168" i="11" s="1"/>
  <c r="K168" i="11" s="1"/>
  <c r="L168" i="11" s="1"/>
  <c r="M168" i="11" s="1"/>
  <c r="N168" i="11" s="1"/>
  <c r="O168" i="11" s="1"/>
  <c r="P168" i="11" s="1"/>
  <c r="Q168" i="11" s="1"/>
  <c r="R168" i="11" s="1"/>
  <c r="S168" i="11" s="1"/>
  <c r="T168" i="11" s="1"/>
  <c r="U168" i="11" s="1"/>
  <c r="V168" i="11" s="1"/>
  <c r="W168" i="11" s="1"/>
  <c r="X168" i="11" s="1"/>
  <c r="Y168" i="11" s="1"/>
  <c r="Z168" i="11" s="1"/>
  <c r="AA168" i="11" s="1"/>
  <c r="H167" i="11"/>
  <c r="I167" i="11" s="1"/>
  <c r="J167" i="11" s="1"/>
  <c r="K167" i="11" s="1"/>
  <c r="L167" i="11" s="1"/>
  <c r="M167" i="11" s="1"/>
  <c r="N167" i="11" s="1"/>
  <c r="O167" i="11" s="1"/>
  <c r="P167" i="11" s="1"/>
  <c r="Q167" i="11" s="1"/>
  <c r="R167" i="11" s="1"/>
  <c r="S167" i="11" s="1"/>
  <c r="T167" i="11" s="1"/>
  <c r="U167" i="11" s="1"/>
  <c r="V167" i="11" s="1"/>
  <c r="W167" i="11" s="1"/>
  <c r="X167" i="11" s="1"/>
  <c r="Y167" i="11" s="1"/>
  <c r="Z167" i="11" s="1"/>
  <c r="AA167" i="11" s="1"/>
  <c r="H166" i="11"/>
  <c r="I166" i="11" s="1"/>
  <c r="J166" i="11" s="1"/>
  <c r="K166" i="11" s="1"/>
  <c r="L166" i="11" s="1"/>
  <c r="M166" i="11" s="1"/>
  <c r="N166" i="11" s="1"/>
  <c r="O166" i="11" s="1"/>
  <c r="P166" i="11" s="1"/>
  <c r="Q166" i="11" s="1"/>
  <c r="R166" i="11" s="1"/>
  <c r="S166" i="11" s="1"/>
  <c r="T166" i="11" s="1"/>
  <c r="U166" i="11" s="1"/>
  <c r="V166" i="11" s="1"/>
  <c r="W166" i="11" s="1"/>
  <c r="X166" i="11" s="1"/>
  <c r="Y166" i="11" s="1"/>
  <c r="Z166" i="11" s="1"/>
  <c r="AA166" i="11" s="1"/>
  <c r="H165" i="11"/>
  <c r="I165" i="11" s="1"/>
  <c r="J165" i="11" s="1"/>
  <c r="K165" i="11" s="1"/>
  <c r="L165" i="11" s="1"/>
  <c r="M165" i="11" s="1"/>
  <c r="N165" i="11" s="1"/>
  <c r="O165" i="11" s="1"/>
  <c r="P165" i="11" s="1"/>
  <c r="Q165" i="11" s="1"/>
  <c r="R165" i="11" s="1"/>
  <c r="S165" i="11" s="1"/>
  <c r="T165" i="11" s="1"/>
  <c r="U165" i="11" s="1"/>
  <c r="V165" i="11" s="1"/>
  <c r="W165" i="11" s="1"/>
  <c r="X165" i="11" s="1"/>
  <c r="Y165" i="11" s="1"/>
  <c r="Z165" i="11" s="1"/>
  <c r="AA165" i="11" s="1"/>
  <c r="A165" i="11"/>
  <c r="A164" i="11"/>
  <c r="A160" i="11"/>
  <c r="A158" i="11"/>
  <c r="AA156" i="11"/>
  <c r="Z156" i="11"/>
  <c r="Y156" i="11"/>
  <c r="X156" i="11"/>
  <c r="W156" i="11"/>
  <c r="V156" i="11"/>
  <c r="U156" i="11"/>
  <c r="T156" i="11"/>
  <c r="S156" i="11"/>
  <c r="R156" i="11"/>
  <c r="Q156" i="11"/>
  <c r="P156" i="11"/>
  <c r="O156" i="11"/>
  <c r="N156" i="11"/>
  <c r="M156" i="11"/>
  <c r="L156" i="11"/>
  <c r="K156" i="11"/>
  <c r="J156" i="11"/>
  <c r="I156" i="11"/>
  <c r="H156" i="11"/>
  <c r="A155" i="11"/>
  <c r="H154" i="11"/>
  <c r="A153" i="11"/>
  <c r="H147" i="11"/>
  <c r="I147" i="11" s="1"/>
  <c r="J147" i="11" s="1"/>
  <c r="K147" i="11" s="1"/>
  <c r="L147" i="11" s="1"/>
  <c r="M147" i="11" s="1"/>
  <c r="N147" i="11" s="1"/>
  <c r="O147" i="11" s="1"/>
  <c r="P147" i="11" s="1"/>
  <c r="Q147" i="11" s="1"/>
  <c r="R147" i="11" s="1"/>
  <c r="S147" i="11" s="1"/>
  <c r="T147" i="11" s="1"/>
  <c r="U147" i="11" s="1"/>
  <c r="V147" i="11" s="1"/>
  <c r="W147" i="11" s="1"/>
  <c r="X147" i="11" s="1"/>
  <c r="Y147" i="11" s="1"/>
  <c r="Z147" i="11" s="1"/>
  <c r="AA147" i="11" s="1"/>
  <c r="H146" i="11"/>
  <c r="I146" i="11" s="1"/>
  <c r="J146" i="11" s="1"/>
  <c r="K146" i="11" s="1"/>
  <c r="L146" i="11" s="1"/>
  <c r="M146" i="11" s="1"/>
  <c r="N146" i="11" s="1"/>
  <c r="O146" i="11" s="1"/>
  <c r="P146" i="11" s="1"/>
  <c r="Q146" i="11" s="1"/>
  <c r="R146" i="11" s="1"/>
  <c r="S146" i="11" s="1"/>
  <c r="T146" i="11" s="1"/>
  <c r="U146" i="11" s="1"/>
  <c r="V146" i="11" s="1"/>
  <c r="W146" i="11" s="1"/>
  <c r="X146" i="11" s="1"/>
  <c r="Y146" i="11" s="1"/>
  <c r="Z146" i="11" s="1"/>
  <c r="AA146" i="11" s="1"/>
  <c r="H145" i="11"/>
  <c r="I145" i="11" s="1"/>
  <c r="J145" i="11" s="1"/>
  <c r="K145" i="11" s="1"/>
  <c r="L145" i="11" s="1"/>
  <c r="M145" i="11" s="1"/>
  <c r="N145" i="11" s="1"/>
  <c r="O145" i="11" s="1"/>
  <c r="P145" i="11" s="1"/>
  <c r="Q145" i="11" s="1"/>
  <c r="R145" i="11" s="1"/>
  <c r="S145" i="11" s="1"/>
  <c r="T145" i="11" s="1"/>
  <c r="U145" i="11" s="1"/>
  <c r="V145" i="11" s="1"/>
  <c r="W145" i="11" s="1"/>
  <c r="X145" i="11" s="1"/>
  <c r="Y145" i="11" s="1"/>
  <c r="Z145" i="11" s="1"/>
  <c r="AA145" i="11" s="1"/>
  <c r="H144" i="11"/>
  <c r="I144" i="11" s="1"/>
  <c r="J144" i="11" s="1"/>
  <c r="K144" i="11" s="1"/>
  <c r="L144" i="11" s="1"/>
  <c r="M144" i="11" s="1"/>
  <c r="N144" i="11" s="1"/>
  <c r="O144" i="11" s="1"/>
  <c r="P144" i="11" s="1"/>
  <c r="Q144" i="11" s="1"/>
  <c r="R144" i="11" s="1"/>
  <c r="S144" i="11" s="1"/>
  <c r="T144" i="11" s="1"/>
  <c r="U144" i="11" s="1"/>
  <c r="V144" i="11" s="1"/>
  <c r="W144" i="11" s="1"/>
  <c r="X144" i="11" s="1"/>
  <c r="Y144" i="11" s="1"/>
  <c r="Z144" i="11" s="1"/>
  <c r="AA144" i="11" s="1"/>
  <c r="A144" i="11"/>
  <c r="A143" i="11"/>
  <c r="A139" i="11"/>
  <c r="A137" i="11"/>
  <c r="AA135" i="11"/>
  <c r="Z135" i="11"/>
  <c r="Y135" i="11"/>
  <c r="X135" i="11"/>
  <c r="W135" i="11"/>
  <c r="V135" i="11"/>
  <c r="U135" i="11"/>
  <c r="T135" i="11"/>
  <c r="S135" i="11"/>
  <c r="R135" i="11"/>
  <c r="Q135" i="11"/>
  <c r="P135" i="11"/>
  <c r="O135" i="11"/>
  <c r="N135" i="11"/>
  <c r="M135" i="11"/>
  <c r="L135" i="11"/>
  <c r="K135" i="11"/>
  <c r="J135" i="11"/>
  <c r="I135" i="11"/>
  <c r="H135" i="11"/>
  <c r="A134" i="11"/>
  <c r="H133" i="11"/>
  <c r="H142" i="11" s="1"/>
  <c r="A132" i="11"/>
  <c r="H126" i="11"/>
  <c r="I126" i="11" s="1"/>
  <c r="J126" i="11" s="1"/>
  <c r="K126" i="11" s="1"/>
  <c r="L126" i="11" s="1"/>
  <c r="M126" i="11" s="1"/>
  <c r="N126" i="11" s="1"/>
  <c r="O126" i="11" s="1"/>
  <c r="P126" i="11" s="1"/>
  <c r="Q126" i="11" s="1"/>
  <c r="R126" i="11" s="1"/>
  <c r="S126" i="11" s="1"/>
  <c r="T126" i="11" s="1"/>
  <c r="U126" i="11" s="1"/>
  <c r="V126" i="11" s="1"/>
  <c r="W126" i="11" s="1"/>
  <c r="X126" i="11" s="1"/>
  <c r="Y126" i="11" s="1"/>
  <c r="Z126" i="11" s="1"/>
  <c r="AA126" i="11" s="1"/>
  <c r="H125" i="11"/>
  <c r="I125" i="11" s="1"/>
  <c r="J125" i="11" s="1"/>
  <c r="K125" i="11" s="1"/>
  <c r="L125" i="11" s="1"/>
  <c r="M125" i="11" s="1"/>
  <c r="N125" i="11" s="1"/>
  <c r="O125" i="11" s="1"/>
  <c r="P125" i="11" s="1"/>
  <c r="Q125" i="11" s="1"/>
  <c r="R125" i="11" s="1"/>
  <c r="S125" i="11" s="1"/>
  <c r="T125" i="11" s="1"/>
  <c r="U125" i="11" s="1"/>
  <c r="V125" i="11" s="1"/>
  <c r="W125" i="11" s="1"/>
  <c r="X125" i="11" s="1"/>
  <c r="Y125" i="11" s="1"/>
  <c r="Z125" i="11" s="1"/>
  <c r="AA125" i="11" s="1"/>
  <c r="H124" i="11"/>
  <c r="I124" i="11" s="1"/>
  <c r="J124" i="11" s="1"/>
  <c r="K124" i="11" s="1"/>
  <c r="L124" i="11" s="1"/>
  <c r="M124" i="11" s="1"/>
  <c r="N124" i="11" s="1"/>
  <c r="O124" i="11" s="1"/>
  <c r="P124" i="11" s="1"/>
  <c r="Q124" i="11" s="1"/>
  <c r="R124" i="11" s="1"/>
  <c r="S124" i="11" s="1"/>
  <c r="T124" i="11" s="1"/>
  <c r="U124" i="11" s="1"/>
  <c r="V124" i="11" s="1"/>
  <c r="W124" i="11" s="1"/>
  <c r="X124" i="11" s="1"/>
  <c r="Y124" i="11" s="1"/>
  <c r="Z124" i="11" s="1"/>
  <c r="AA124" i="11" s="1"/>
  <c r="H123" i="11"/>
  <c r="I123" i="11" s="1"/>
  <c r="J123" i="11" s="1"/>
  <c r="K123" i="11" s="1"/>
  <c r="L123" i="11" s="1"/>
  <c r="M123" i="11" s="1"/>
  <c r="N123" i="11" s="1"/>
  <c r="O123" i="11" s="1"/>
  <c r="P123" i="11" s="1"/>
  <c r="Q123" i="11" s="1"/>
  <c r="R123" i="11" s="1"/>
  <c r="S123" i="11" s="1"/>
  <c r="T123" i="11" s="1"/>
  <c r="U123" i="11" s="1"/>
  <c r="V123" i="11" s="1"/>
  <c r="W123" i="11" s="1"/>
  <c r="X123" i="11" s="1"/>
  <c r="Y123" i="11" s="1"/>
  <c r="Z123" i="11" s="1"/>
  <c r="AA123" i="11" s="1"/>
  <c r="A123" i="11"/>
  <c r="A122" i="11"/>
  <c r="A116" i="11"/>
  <c r="AA114" i="11"/>
  <c r="Z114" i="11"/>
  <c r="Y114" i="11"/>
  <c r="X114" i="11"/>
  <c r="W114" i="11"/>
  <c r="A113" i="11"/>
  <c r="A111" i="11"/>
  <c r="H105" i="11"/>
  <c r="I105" i="11" s="1"/>
  <c r="J105" i="11" s="1"/>
  <c r="K105" i="11" s="1"/>
  <c r="L105" i="11" s="1"/>
  <c r="M105" i="11" s="1"/>
  <c r="N105" i="11" s="1"/>
  <c r="O105" i="11" s="1"/>
  <c r="P105" i="11" s="1"/>
  <c r="Q105" i="11" s="1"/>
  <c r="R105" i="11" s="1"/>
  <c r="S105" i="11" s="1"/>
  <c r="T105" i="11" s="1"/>
  <c r="U105" i="11" s="1"/>
  <c r="V105" i="11" s="1"/>
  <c r="W105" i="11" s="1"/>
  <c r="X105" i="11" s="1"/>
  <c r="Y105" i="11" s="1"/>
  <c r="Z105" i="11" s="1"/>
  <c r="AA105" i="11" s="1"/>
  <c r="H104" i="11"/>
  <c r="I104" i="11" s="1"/>
  <c r="J104" i="11" s="1"/>
  <c r="K104" i="11" s="1"/>
  <c r="L104" i="11" s="1"/>
  <c r="M104" i="11" s="1"/>
  <c r="N104" i="11" s="1"/>
  <c r="O104" i="11" s="1"/>
  <c r="P104" i="11" s="1"/>
  <c r="Q104" i="11" s="1"/>
  <c r="R104" i="11" s="1"/>
  <c r="S104" i="11" s="1"/>
  <c r="T104" i="11" s="1"/>
  <c r="U104" i="11" s="1"/>
  <c r="V104" i="11" s="1"/>
  <c r="W104" i="11" s="1"/>
  <c r="X104" i="11" s="1"/>
  <c r="Y104" i="11" s="1"/>
  <c r="Z104" i="11" s="1"/>
  <c r="AA104" i="11" s="1"/>
  <c r="I103" i="11"/>
  <c r="J103" i="11" s="1"/>
  <c r="K103" i="11" s="1"/>
  <c r="L103" i="11" s="1"/>
  <c r="M103" i="11" s="1"/>
  <c r="N103" i="11" s="1"/>
  <c r="O103" i="11" s="1"/>
  <c r="P103" i="11" s="1"/>
  <c r="Q103" i="11" s="1"/>
  <c r="R103" i="11" s="1"/>
  <c r="S103" i="11" s="1"/>
  <c r="T103" i="11" s="1"/>
  <c r="U103" i="11" s="1"/>
  <c r="V103" i="11" s="1"/>
  <c r="W103" i="11" s="1"/>
  <c r="X103" i="11" s="1"/>
  <c r="Y103" i="11" s="1"/>
  <c r="Z103" i="11" s="1"/>
  <c r="AA103" i="11" s="1"/>
  <c r="H102" i="11"/>
  <c r="I102" i="11" s="1"/>
  <c r="J102" i="11" s="1"/>
  <c r="K102" i="11" s="1"/>
  <c r="L102" i="11" s="1"/>
  <c r="M102" i="11" s="1"/>
  <c r="N102" i="11" s="1"/>
  <c r="O102" i="11" s="1"/>
  <c r="P102" i="11" s="1"/>
  <c r="Q102" i="11" s="1"/>
  <c r="R102" i="11" s="1"/>
  <c r="S102" i="11" s="1"/>
  <c r="T102" i="11" s="1"/>
  <c r="U102" i="11" s="1"/>
  <c r="V102" i="11" s="1"/>
  <c r="W102" i="11" s="1"/>
  <c r="X102" i="11" s="1"/>
  <c r="Y102" i="11" s="1"/>
  <c r="Z102" i="11" s="1"/>
  <c r="AA102" i="11" s="1"/>
  <c r="A102" i="11"/>
  <c r="A101" i="11"/>
  <c r="A95" i="11"/>
  <c r="AA93" i="11"/>
  <c r="Z93" i="11"/>
  <c r="Y93" i="11"/>
  <c r="X93" i="11"/>
  <c r="W93" i="11"/>
  <c r="A92" i="11"/>
  <c r="A90" i="11"/>
  <c r="C87" i="11"/>
  <c r="AA80" i="11"/>
  <c r="Z80" i="11"/>
  <c r="Y80" i="11"/>
  <c r="X80" i="11"/>
  <c r="W80" i="11"/>
  <c r="V80" i="11"/>
  <c r="U80" i="11"/>
  <c r="T80" i="11"/>
  <c r="S80" i="11"/>
  <c r="R80" i="11"/>
  <c r="Q80" i="11"/>
  <c r="P80" i="11"/>
  <c r="O80" i="11"/>
  <c r="N80" i="11"/>
  <c r="M80" i="11"/>
  <c r="L80" i="11"/>
  <c r="K80" i="11"/>
  <c r="J80" i="11"/>
  <c r="I80" i="11"/>
  <c r="H80" i="11"/>
  <c r="G80" i="11"/>
  <c r="AA79" i="11"/>
  <c r="Z79" i="11"/>
  <c r="Y79" i="11"/>
  <c r="X79" i="11"/>
  <c r="W79" i="11"/>
  <c r="V79" i="11"/>
  <c r="U79" i="11"/>
  <c r="T79" i="11"/>
  <c r="S79" i="11"/>
  <c r="R79" i="11"/>
  <c r="Q79" i="11"/>
  <c r="P79" i="11"/>
  <c r="O79" i="11"/>
  <c r="N79" i="11"/>
  <c r="M79" i="11"/>
  <c r="L79" i="11"/>
  <c r="K79" i="11"/>
  <c r="J79" i="11"/>
  <c r="I79" i="11"/>
  <c r="H79" i="11"/>
  <c r="G79" i="11"/>
  <c r="AA78" i="11"/>
  <c r="Z78" i="11"/>
  <c r="Y78" i="11"/>
  <c r="X78" i="11"/>
  <c r="W78" i="11"/>
  <c r="V78" i="11"/>
  <c r="U78" i="11"/>
  <c r="T78" i="11"/>
  <c r="S78" i="11"/>
  <c r="R78" i="11"/>
  <c r="Q78" i="11"/>
  <c r="P78" i="11"/>
  <c r="O78" i="11"/>
  <c r="N78" i="11"/>
  <c r="M78" i="11"/>
  <c r="L78" i="11"/>
  <c r="K78" i="11"/>
  <c r="J78" i="11"/>
  <c r="I78" i="11"/>
  <c r="H78" i="11"/>
  <c r="G78" i="11"/>
  <c r="AA75" i="11"/>
  <c r="Z75" i="11"/>
  <c r="Y75" i="11"/>
  <c r="X75" i="11"/>
  <c r="W75" i="11"/>
  <c r="V75" i="11"/>
  <c r="U75" i="11"/>
  <c r="T75" i="11"/>
  <c r="S75" i="11"/>
  <c r="R75" i="11"/>
  <c r="Q75" i="11"/>
  <c r="P75" i="11"/>
  <c r="O75" i="11"/>
  <c r="N75" i="11"/>
  <c r="M75" i="11"/>
  <c r="L75" i="11"/>
  <c r="K75" i="11"/>
  <c r="J75" i="11"/>
  <c r="I75" i="11"/>
  <c r="H75" i="11"/>
  <c r="G75" i="11"/>
  <c r="E73" i="11"/>
  <c r="E80" i="11" s="1"/>
  <c r="E72" i="11"/>
  <c r="E79" i="11" s="1"/>
  <c r="E71" i="11"/>
  <c r="E78" i="11" s="1"/>
  <c r="A70" i="11"/>
  <c r="AA66" i="11"/>
  <c r="Z66" i="11"/>
  <c r="Y66" i="11"/>
  <c r="X66" i="11"/>
  <c r="W66" i="11"/>
  <c r="V66" i="11"/>
  <c r="U66" i="11"/>
  <c r="T66" i="11"/>
  <c r="S66" i="11"/>
  <c r="R66" i="11"/>
  <c r="Q66" i="11"/>
  <c r="P66" i="11"/>
  <c r="O66" i="11"/>
  <c r="N66" i="11"/>
  <c r="M66" i="11"/>
  <c r="L66" i="11"/>
  <c r="K66" i="11"/>
  <c r="J66" i="11"/>
  <c r="I66" i="11"/>
  <c r="H66" i="11"/>
  <c r="G66" i="11"/>
  <c r="AA65" i="11"/>
  <c r="Z65" i="11"/>
  <c r="Y65" i="11"/>
  <c r="X65" i="11"/>
  <c r="W65" i="11"/>
  <c r="V65" i="11"/>
  <c r="U65" i="11"/>
  <c r="T65" i="11"/>
  <c r="S65" i="11"/>
  <c r="R65" i="11"/>
  <c r="Q65" i="11"/>
  <c r="P65" i="11"/>
  <c r="O65" i="11"/>
  <c r="N65" i="11"/>
  <c r="M65" i="11"/>
  <c r="L65" i="11"/>
  <c r="K65" i="11"/>
  <c r="J65" i="11"/>
  <c r="I65" i="11"/>
  <c r="H65" i="11"/>
  <c r="G65" i="11"/>
  <c r="AA64" i="11"/>
  <c r="Z64" i="11"/>
  <c r="Y64" i="11"/>
  <c r="X64" i="11"/>
  <c r="W64" i="11"/>
  <c r="V64" i="11"/>
  <c r="U64" i="11"/>
  <c r="T64" i="11"/>
  <c r="S64" i="11"/>
  <c r="R64" i="11"/>
  <c r="Q64" i="11"/>
  <c r="P64" i="11"/>
  <c r="O64" i="11"/>
  <c r="N64" i="11"/>
  <c r="M64" i="11"/>
  <c r="L64" i="11"/>
  <c r="K64" i="11"/>
  <c r="J64" i="11"/>
  <c r="I64" i="11"/>
  <c r="H64" i="11"/>
  <c r="G64" i="11"/>
  <c r="AA61" i="11"/>
  <c r="AA84" i="11" s="1"/>
  <c r="AA235" i="11" s="1"/>
  <c r="Z61" i="11"/>
  <c r="Z84" i="11" s="1"/>
  <c r="Z235" i="11" s="1"/>
  <c r="Y61" i="11"/>
  <c r="Y84" i="11" s="1"/>
  <c r="Y235" i="11" s="1"/>
  <c r="X61" i="11"/>
  <c r="X84" i="11" s="1"/>
  <c r="X235" i="11" s="1"/>
  <c r="W61" i="11"/>
  <c r="W84" i="11" s="1"/>
  <c r="W235" i="11" s="1"/>
  <c r="V61" i="11"/>
  <c r="V84" i="11" s="1"/>
  <c r="V235" i="11" s="1"/>
  <c r="U61" i="11"/>
  <c r="U84" i="11" s="1"/>
  <c r="U235" i="11" s="1"/>
  <c r="T61" i="11"/>
  <c r="T84" i="11" s="1"/>
  <c r="T235" i="11" s="1"/>
  <c r="S61" i="11"/>
  <c r="S84" i="11" s="1"/>
  <c r="S235" i="11" s="1"/>
  <c r="R61" i="11"/>
  <c r="R84" i="11" s="1"/>
  <c r="R235" i="11" s="1"/>
  <c r="Q61" i="11"/>
  <c r="Q84" i="11" s="1"/>
  <c r="Q235" i="11" s="1"/>
  <c r="P61" i="11"/>
  <c r="P84" i="11" s="1"/>
  <c r="P235" i="11" s="1"/>
  <c r="O61" i="11"/>
  <c r="O84" i="11" s="1"/>
  <c r="O235" i="11" s="1"/>
  <c r="N61" i="11"/>
  <c r="N84" i="11" s="1"/>
  <c r="N235" i="11" s="1"/>
  <c r="M61" i="11"/>
  <c r="M84" i="11" s="1"/>
  <c r="M235" i="11" s="1"/>
  <c r="L61" i="11"/>
  <c r="L84" i="11" s="1"/>
  <c r="L235" i="11" s="1"/>
  <c r="K61" i="11"/>
  <c r="K84" i="11" s="1"/>
  <c r="K235" i="11" s="1"/>
  <c r="J61" i="11"/>
  <c r="J84" i="11" s="1"/>
  <c r="J235" i="11" s="1"/>
  <c r="I61" i="11"/>
  <c r="I84" i="11" s="1"/>
  <c r="I235" i="11" s="1"/>
  <c r="H61" i="11"/>
  <c r="H84" i="11" s="1"/>
  <c r="H235" i="11" s="1"/>
  <c r="G61" i="11"/>
  <c r="G84" i="11" s="1"/>
  <c r="G235" i="11" s="1"/>
  <c r="E59" i="11"/>
  <c r="E66" i="11" s="1"/>
  <c r="E58" i="11"/>
  <c r="E65" i="11" s="1"/>
  <c r="E57" i="11"/>
  <c r="E64" i="11" s="1"/>
  <c r="A56" i="11"/>
  <c r="A52" i="11"/>
  <c r="AA48" i="11"/>
  <c r="Z48" i="11"/>
  <c r="Y48" i="11"/>
  <c r="X48" i="11"/>
  <c r="W48" i="11"/>
  <c r="V48" i="11"/>
  <c r="U48" i="11"/>
  <c r="T48" i="11"/>
  <c r="S48" i="11"/>
  <c r="R48" i="11"/>
  <c r="Q48" i="11"/>
  <c r="P48" i="11"/>
  <c r="O48" i="11"/>
  <c r="N48" i="11"/>
  <c r="M48" i="11"/>
  <c r="L48" i="11"/>
  <c r="K48" i="11"/>
  <c r="J48" i="11"/>
  <c r="I48" i="11"/>
  <c r="H48" i="11"/>
  <c r="G48" i="11"/>
  <c r="AA47" i="11"/>
  <c r="Z47" i="11"/>
  <c r="Y47" i="11"/>
  <c r="X47" i="11"/>
  <c r="W47" i="11"/>
  <c r="V47" i="11"/>
  <c r="U47" i="11"/>
  <c r="T47" i="11"/>
  <c r="S47" i="11"/>
  <c r="R47" i="11"/>
  <c r="Q47" i="11"/>
  <c r="P47" i="11"/>
  <c r="O47" i="11"/>
  <c r="N47" i="11"/>
  <c r="M47" i="11"/>
  <c r="L47" i="11"/>
  <c r="K47" i="11"/>
  <c r="J47" i="11"/>
  <c r="I47" i="11"/>
  <c r="H47" i="11"/>
  <c r="G47" i="11"/>
  <c r="E47" i="11"/>
  <c r="AA46" i="11"/>
  <c r="Z46" i="11"/>
  <c r="Y46" i="11"/>
  <c r="X46" i="11"/>
  <c r="W46" i="11"/>
  <c r="V46" i="11"/>
  <c r="U46" i="11"/>
  <c r="T46" i="11"/>
  <c r="S46" i="11"/>
  <c r="R46" i="11"/>
  <c r="Q46" i="11"/>
  <c r="P46" i="11"/>
  <c r="O46" i="11"/>
  <c r="N46" i="11"/>
  <c r="M46" i="11"/>
  <c r="L46" i="11"/>
  <c r="K46" i="11"/>
  <c r="J46" i="11"/>
  <c r="I46" i="11"/>
  <c r="H46" i="11"/>
  <c r="G46" i="11"/>
  <c r="G45" i="11"/>
  <c r="G42" i="11"/>
  <c r="G222" i="11" s="1"/>
  <c r="E40" i="11"/>
  <c r="E48" i="11" s="1"/>
  <c r="E39" i="11"/>
  <c r="E38" i="11"/>
  <c r="E46" i="11" s="1"/>
  <c r="Z42" i="11"/>
  <c r="Z222" i="11" s="1"/>
  <c r="E37" i="11"/>
  <c r="E45" i="11" s="1"/>
  <c r="A36" i="11"/>
  <c r="AA32" i="11"/>
  <c r="Z32" i="11"/>
  <c r="Y32" i="11"/>
  <c r="X32" i="11"/>
  <c r="W32" i="11"/>
  <c r="V32" i="11"/>
  <c r="U32" i="11"/>
  <c r="T32" i="11"/>
  <c r="S32" i="11"/>
  <c r="R32" i="11"/>
  <c r="Q32" i="11"/>
  <c r="P32" i="11"/>
  <c r="O32" i="11"/>
  <c r="N32" i="11"/>
  <c r="M32" i="11"/>
  <c r="L32" i="11"/>
  <c r="K32" i="11"/>
  <c r="J32" i="11"/>
  <c r="I32" i="11"/>
  <c r="H32" i="11"/>
  <c r="G32" i="11"/>
  <c r="E32" i="11"/>
  <c r="AA31" i="11"/>
  <c r="Z31" i="11"/>
  <c r="Y31" i="11"/>
  <c r="X31" i="11"/>
  <c r="W31" i="11"/>
  <c r="V31" i="11"/>
  <c r="U31" i="11"/>
  <c r="T31" i="11"/>
  <c r="S31" i="11"/>
  <c r="R31" i="11"/>
  <c r="Q31" i="11"/>
  <c r="P31" i="11"/>
  <c r="O31" i="11"/>
  <c r="N31" i="11"/>
  <c r="M31" i="11"/>
  <c r="L31" i="11"/>
  <c r="K31" i="11"/>
  <c r="J31" i="11"/>
  <c r="I31" i="11"/>
  <c r="H31" i="11"/>
  <c r="G31" i="11"/>
  <c r="AA30" i="11"/>
  <c r="Z30" i="11"/>
  <c r="Y30" i="11"/>
  <c r="X30" i="11"/>
  <c r="W30" i="11"/>
  <c r="V30" i="11"/>
  <c r="U30" i="11"/>
  <c r="T30" i="11"/>
  <c r="S30" i="11"/>
  <c r="R30" i="11"/>
  <c r="Q30" i="11"/>
  <c r="P30" i="11"/>
  <c r="O30" i="11"/>
  <c r="N30" i="11"/>
  <c r="M30" i="11"/>
  <c r="L30" i="11"/>
  <c r="K30" i="11"/>
  <c r="J30" i="11"/>
  <c r="I30" i="11"/>
  <c r="H30" i="11"/>
  <c r="G30" i="11"/>
  <c r="AA29" i="11"/>
  <c r="Z29" i="11"/>
  <c r="Y29" i="11"/>
  <c r="X29" i="11"/>
  <c r="W29" i="11"/>
  <c r="V29" i="11"/>
  <c r="U29" i="11"/>
  <c r="T29" i="11"/>
  <c r="S29" i="11"/>
  <c r="R29" i="11"/>
  <c r="Q29" i="11"/>
  <c r="P29" i="11"/>
  <c r="O29" i="11"/>
  <c r="N29" i="11"/>
  <c r="M29" i="11"/>
  <c r="L29" i="11"/>
  <c r="K29" i="11"/>
  <c r="J29" i="11"/>
  <c r="I29" i="11"/>
  <c r="H29" i="11"/>
  <c r="G29" i="11"/>
  <c r="AA26" i="11"/>
  <c r="AA234" i="11" s="1"/>
  <c r="Z26" i="11"/>
  <c r="Z234" i="11" s="1"/>
  <c r="Y26" i="11"/>
  <c r="Y234" i="11" s="1"/>
  <c r="X26" i="11"/>
  <c r="X234" i="11" s="1"/>
  <c r="W26" i="11"/>
  <c r="W234" i="11" s="1"/>
  <c r="V26" i="11"/>
  <c r="V234" i="11" s="1"/>
  <c r="U26" i="11"/>
  <c r="U234" i="11" s="1"/>
  <c r="T26" i="11"/>
  <c r="T234" i="11" s="1"/>
  <c r="S26" i="11"/>
  <c r="S234" i="11" s="1"/>
  <c r="R26" i="11"/>
  <c r="R234" i="11" s="1"/>
  <c r="Q26" i="11"/>
  <c r="Q234" i="11" s="1"/>
  <c r="P26" i="11"/>
  <c r="P234" i="11" s="1"/>
  <c r="O26" i="11"/>
  <c r="O234" i="11" s="1"/>
  <c r="N26" i="11"/>
  <c r="N234" i="11" s="1"/>
  <c r="M26" i="11"/>
  <c r="M234" i="11" s="1"/>
  <c r="L26" i="11"/>
  <c r="L234" i="11" s="1"/>
  <c r="K26" i="11"/>
  <c r="K234" i="11" s="1"/>
  <c r="J26" i="11"/>
  <c r="J234" i="11" s="1"/>
  <c r="I26" i="11"/>
  <c r="I234" i="11" s="1"/>
  <c r="H26" i="11"/>
  <c r="H234" i="11" s="1"/>
  <c r="G26" i="11"/>
  <c r="G234" i="11" s="1"/>
  <c r="E23" i="11"/>
  <c r="E31" i="11" s="1"/>
  <c r="E22" i="11"/>
  <c r="E30" i="11" s="1"/>
  <c r="E21" i="11"/>
  <c r="E29" i="11" s="1"/>
  <c r="A20" i="11"/>
  <c r="A18" i="11"/>
  <c r="G16" i="11"/>
  <c r="A15" i="11"/>
  <c r="A14" i="11"/>
  <c r="A10" i="11"/>
  <c r="A9" i="11"/>
  <c r="A8" i="11"/>
  <c r="A7" i="11"/>
  <c r="A4" i="11"/>
  <c r="A320" i="10"/>
  <c r="A283" i="10"/>
  <c r="G241" i="10"/>
  <c r="G307" i="10" s="1"/>
  <c r="G240" i="10"/>
  <c r="G239" i="10"/>
  <c r="G237" i="10"/>
  <c r="AA236" i="10"/>
  <c r="AA302" i="10" s="1"/>
  <c r="Z236" i="10"/>
  <c r="Y236" i="10"/>
  <c r="X236" i="10"/>
  <c r="W236" i="10"/>
  <c r="W302" i="10" s="1"/>
  <c r="V236" i="10"/>
  <c r="U236" i="10"/>
  <c r="U302" i="10" s="1"/>
  <c r="T236" i="10"/>
  <c r="S236" i="10"/>
  <c r="S302" i="10" s="1"/>
  <c r="R236" i="10"/>
  <c r="Q236" i="10"/>
  <c r="P236" i="10"/>
  <c r="O236" i="10"/>
  <c r="O302" i="10" s="1"/>
  <c r="N236" i="10"/>
  <c r="M236" i="10"/>
  <c r="M302" i="10" s="1"/>
  <c r="L236" i="10"/>
  <c r="K236" i="10"/>
  <c r="K302" i="10" s="1"/>
  <c r="J236" i="10"/>
  <c r="I236" i="10"/>
  <c r="H236" i="10"/>
  <c r="G236" i="10"/>
  <c r="G302" i="10" s="1"/>
  <c r="AA227" i="10"/>
  <c r="S227" i="10"/>
  <c r="K227" i="10"/>
  <c r="G227" i="10"/>
  <c r="G293" i="10" s="1"/>
  <c r="G225" i="10"/>
  <c r="G224" i="10"/>
  <c r="G223" i="10"/>
  <c r="A213" i="10"/>
  <c r="A212" i="10"/>
  <c r="A211" i="10"/>
  <c r="A210" i="10"/>
  <c r="AA207" i="10"/>
  <c r="AA240" i="10" s="1"/>
  <c r="Z207" i="10"/>
  <c r="Y207" i="10"/>
  <c r="Y240" i="10" s="1"/>
  <c r="X207" i="10"/>
  <c r="W207" i="10"/>
  <c r="W240" i="10" s="1"/>
  <c r="V207" i="10"/>
  <c r="U207" i="10"/>
  <c r="U240" i="10" s="1"/>
  <c r="T207" i="10"/>
  <c r="S207" i="10"/>
  <c r="S240" i="10" s="1"/>
  <c r="R207" i="10"/>
  <c r="Q207" i="10"/>
  <c r="Q240" i="10" s="1"/>
  <c r="P207" i="10"/>
  <c r="O207" i="10"/>
  <c r="O240" i="10" s="1"/>
  <c r="N207" i="10"/>
  <c r="M207" i="10"/>
  <c r="M240" i="10" s="1"/>
  <c r="L207" i="10"/>
  <c r="K207" i="10"/>
  <c r="K240" i="10" s="1"/>
  <c r="J207" i="10"/>
  <c r="I207" i="10"/>
  <c r="I240" i="10" s="1"/>
  <c r="H207" i="10"/>
  <c r="A206" i="10"/>
  <c r="A205" i="10"/>
  <c r="A204" i="10"/>
  <c r="A203" i="10"/>
  <c r="A198" i="10"/>
  <c r="A197" i="10"/>
  <c r="A194" i="10"/>
  <c r="H193" i="10"/>
  <c r="I193" i="10" s="1"/>
  <c r="J193" i="10" s="1"/>
  <c r="K193" i="10" s="1"/>
  <c r="L193" i="10" s="1"/>
  <c r="M193" i="10" s="1"/>
  <c r="N193" i="10" s="1"/>
  <c r="O193" i="10" s="1"/>
  <c r="P193" i="10" s="1"/>
  <c r="Q193" i="10" s="1"/>
  <c r="R193" i="10" s="1"/>
  <c r="S193" i="10" s="1"/>
  <c r="T193" i="10" s="1"/>
  <c r="U193" i="10" s="1"/>
  <c r="V193" i="10" s="1"/>
  <c r="W193" i="10" s="1"/>
  <c r="X193" i="10" s="1"/>
  <c r="Y193" i="10" s="1"/>
  <c r="Z193" i="10" s="1"/>
  <c r="AA193" i="10" s="1"/>
  <c r="A193" i="10"/>
  <c r="H192" i="10"/>
  <c r="I192" i="10" s="1"/>
  <c r="A192" i="10"/>
  <c r="A191" i="10"/>
  <c r="A186" i="10"/>
  <c r="H185" i="10"/>
  <c r="A185" i="10"/>
  <c r="A184" i="10"/>
  <c r="C183" i="10"/>
  <c r="H168" i="10"/>
  <c r="I168" i="10" s="1"/>
  <c r="J168" i="10" s="1"/>
  <c r="K168" i="10" s="1"/>
  <c r="L168" i="10" s="1"/>
  <c r="M168" i="10" s="1"/>
  <c r="N168" i="10" s="1"/>
  <c r="O168" i="10" s="1"/>
  <c r="P168" i="10" s="1"/>
  <c r="Q168" i="10" s="1"/>
  <c r="R168" i="10" s="1"/>
  <c r="S168" i="10" s="1"/>
  <c r="T168" i="10" s="1"/>
  <c r="U168" i="10" s="1"/>
  <c r="V168" i="10" s="1"/>
  <c r="W168" i="10" s="1"/>
  <c r="X168" i="10" s="1"/>
  <c r="Y168" i="10" s="1"/>
  <c r="Z168" i="10" s="1"/>
  <c r="AA168" i="10" s="1"/>
  <c r="H167" i="10"/>
  <c r="I167" i="10" s="1"/>
  <c r="J167" i="10" s="1"/>
  <c r="K167" i="10" s="1"/>
  <c r="L167" i="10" s="1"/>
  <c r="M167" i="10" s="1"/>
  <c r="N167" i="10" s="1"/>
  <c r="O167" i="10" s="1"/>
  <c r="P167" i="10" s="1"/>
  <c r="Q167" i="10" s="1"/>
  <c r="R167" i="10" s="1"/>
  <c r="S167" i="10" s="1"/>
  <c r="T167" i="10" s="1"/>
  <c r="U167" i="10" s="1"/>
  <c r="V167" i="10" s="1"/>
  <c r="W167" i="10" s="1"/>
  <c r="X167" i="10" s="1"/>
  <c r="Y167" i="10" s="1"/>
  <c r="Z167" i="10" s="1"/>
  <c r="AA167" i="10" s="1"/>
  <c r="H166" i="10"/>
  <c r="I166" i="10" s="1"/>
  <c r="J166" i="10" s="1"/>
  <c r="K166" i="10" s="1"/>
  <c r="L166" i="10" s="1"/>
  <c r="M166" i="10" s="1"/>
  <c r="N166" i="10" s="1"/>
  <c r="O166" i="10" s="1"/>
  <c r="P166" i="10" s="1"/>
  <c r="Q166" i="10" s="1"/>
  <c r="R166" i="10" s="1"/>
  <c r="S166" i="10" s="1"/>
  <c r="T166" i="10" s="1"/>
  <c r="U166" i="10" s="1"/>
  <c r="V166" i="10" s="1"/>
  <c r="W166" i="10" s="1"/>
  <c r="X166" i="10" s="1"/>
  <c r="Y166" i="10" s="1"/>
  <c r="Z166" i="10" s="1"/>
  <c r="AA166" i="10" s="1"/>
  <c r="H165" i="10"/>
  <c r="I165" i="10" s="1"/>
  <c r="J165" i="10" s="1"/>
  <c r="K165" i="10" s="1"/>
  <c r="L165" i="10" s="1"/>
  <c r="M165" i="10" s="1"/>
  <c r="N165" i="10" s="1"/>
  <c r="O165" i="10" s="1"/>
  <c r="P165" i="10" s="1"/>
  <c r="Q165" i="10" s="1"/>
  <c r="R165" i="10" s="1"/>
  <c r="S165" i="10" s="1"/>
  <c r="T165" i="10" s="1"/>
  <c r="U165" i="10" s="1"/>
  <c r="V165" i="10" s="1"/>
  <c r="W165" i="10" s="1"/>
  <c r="X165" i="10" s="1"/>
  <c r="Y165" i="10" s="1"/>
  <c r="Z165" i="10" s="1"/>
  <c r="AA165" i="10" s="1"/>
  <c r="A165" i="10"/>
  <c r="A164" i="10"/>
  <c r="A160" i="10"/>
  <c r="A158" i="10"/>
  <c r="AA156" i="10"/>
  <c r="Z156" i="10"/>
  <c r="Y156" i="10"/>
  <c r="X156" i="10"/>
  <c r="W156" i="10"/>
  <c r="V156" i="10"/>
  <c r="U156" i="10"/>
  <c r="T156" i="10"/>
  <c r="S156" i="10"/>
  <c r="R156" i="10"/>
  <c r="Q156" i="10"/>
  <c r="P156" i="10"/>
  <c r="O156" i="10"/>
  <c r="N156" i="10"/>
  <c r="M156" i="10"/>
  <c r="L156" i="10"/>
  <c r="K156" i="10"/>
  <c r="J156" i="10"/>
  <c r="I156" i="10"/>
  <c r="H156" i="10"/>
  <c r="A155" i="10"/>
  <c r="H154" i="10"/>
  <c r="H163" i="10" s="1"/>
  <c r="A153" i="10"/>
  <c r="H147" i="10"/>
  <c r="I147" i="10" s="1"/>
  <c r="J147" i="10" s="1"/>
  <c r="K147" i="10" s="1"/>
  <c r="L147" i="10" s="1"/>
  <c r="M147" i="10" s="1"/>
  <c r="N147" i="10" s="1"/>
  <c r="O147" i="10" s="1"/>
  <c r="P147" i="10" s="1"/>
  <c r="Q147" i="10" s="1"/>
  <c r="R147" i="10" s="1"/>
  <c r="S147" i="10" s="1"/>
  <c r="T147" i="10" s="1"/>
  <c r="U147" i="10" s="1"/>
  <c r="V147" i="10" s="1"/>
  <c r="W147" i="10" s="1"/>
  <c r="X147" i="10" s="1"/>
  <c r="Y147" i="10" s="1"/>
  <c r="Z147" i="10" s="1"/>
  <c r="AA147" i="10" s="1"/>
  <c r="H146" i="10"/>
  <c r="I146" i="10" s="1"/>
  <c r="J146" i="10" s="1"/>
  <c r="K146" i="10" s="1"/>
  <c r="L146" i="10" s="1"/>
  <c r="M146" i="10" s="1"/>
  <c r="N146" i="10" s="1"/>
  <c r="O146" i="10" s="1"/>
  <c r="P146" i="10" s="1"/>
  <c r="Q146" i="10" s="1"/>
  <c r="R146" i="10" s="1"/>
  <c r="S146" i="10" s="1"/>
  <c r="T146" i="10" s="1"/>
  <c r="U146" i="10" s="1"/>
  <c r="V146" i="10" s="1"/>
  <c r="W146" i="10" s="1"/>
  <c r="X146" i="10" s="1"/>
  <c r="Y146" i="10" s="1"/>
  <c r="Z146" i="10" s="1"/>
  <c r="AA146" i="10" s="1"/>
  <c r="H145" i="10"/>
  <c r="I145" i="10" s="1"/>
  <c r="J145" i="10" s="1"/>
  <c r="K145" i="10" s="1"/>
  <c r="L145" i="10" s="1"/>
  <c r="M145" i="10" s="1"/>
  <c r="N145" i="10" s="1"/>
  <c r="O145" i="10" s="1"/>
  <c r="P145" i="10" s="1"/>
  <c r="Q145" i="10" s="1"/>
  <c r="R145" i="10" s="1"/>
  <c r="S145" i="10" s="1"/>
  <c r="T145" i="10" s="1"/>
  <c r="U145" i="10" s="1"/>
  <c r="V145" i="10" s="1"/>
  <c r="W145" i="10" s="1"/>
  <c r="X145" i="10" s="1"/>
  <c r="Y145" i="10" s="1"/>
  <c r="Z145" i="10" s="1"/>
  <c r="AA145" i="10" s="1"/>
  <c r="H144" i="10"/>
  <c r="I144" i="10" s="1"/>
  <c r="J144" i="10" s="1"/>
  <c r="K144" i="10" s="1"/>
  <c r="L144" i="10" s="1"/>
  <c r="M144" i="10" s="1"/>
  <c r="N144" i="10" s="1"/>
  <c r="O144" i="10" s="1"/>
  <c r="P144" i="10" s="1"/>
  <c r="Q144" i="10" s="1"/>
  <c r="R144" i="10" s="1"/>
  <c r="S144" i="10" s="1"/>
  <c r="T144" i="10" s="1"/>
  <c r="U144" i="10" s="1"/>
  <c r="V144" i="10" s="1"/>
  <c r="W144" i="10" s="1"/>
  <c r="X144" i="10" s="1"/>
  <c r="Y144" i="10" s="1"/>
  <c r="Z144" i="10" s="1"/>
  <c r="AA144" i="10" s="1"/>
  <c r="A144" i="10"/>
  <c r="A143" i="10"/>
  <c r="A139" i="10"/>
  <c r="A137" i="10"/>
  <c r="AA135" i="10"/>
  <c r="Z135" i="10"/>
  <c r="Y135" i="10"/>
  <c r="X135" i="10"/>
  <c r="W135" i="10"/>
  <c r="V135" i="10"/>
  <c r="U135" i="10"/>
  <c r="T135" i="10"/>
  <c r="S135" i="10"/>
  <c r="R135" i="10"/>
  <c r="Q135" i="10"/>
  <c r="P135" i="10"/>
  <c r="O135" i="10"/>
  <c r="N135" i="10"/>
  <c r="M135" i="10"/>
  <c r="L135" i="10"/>
  <c r="K135" i="10"/>
  <c r="J135" i="10"/>
  <c r="I135" i="10"/>
  <c r="H135" i="10"/>
  <c r="A134" i="10"/>
  <c r="H133" i="10"/>
  <c r="H142" i="10" s="1"/>
  <c r="A132" i="10"/>
  <c r="H126" i="10"/>
  <c r="I126" i="10" s="1"/>
  <c r="J126" i="10" s="1"/>
  <c r="K126" i="10" s="1"/>
  <c r="L126" i="10" s="1"/>
  <c r="M126" i="10" s="1"/>
  <c r="N126" i="10" s="1"/>
  <c r="O126" i="10" s="1"/>
  <c r="P126" i="10" s="1"/>
  <c r="Q126" i="10" s="1"/>
  <c r="R126" i="10" s="1"/>
  <c r="S126" i="10" s="1"/>
  <c r="T126" i="10" s="1"/>
  <c r="U126" i="10" s="1"/>
  <c r="V126" i="10" s="1"/>
  <c r="W126" i="10" s="1"/>
  <c r="X126" i="10" s="1"/>
  <c r="Y126" i="10" s="1"/>
  <c r="Z126" i="10" s="1"/>
  <c r="AA126" i="10" s="1"/>
  <c r="H125" i="10"/>
  <c r="I125" i="10" s="1"/>
  <c r="J125" i="10" s="1"/>
  <c r="K125" i="10" s="1"/>
  <c r="L125" i="10" s="1"/>
  <c r="M125" i="10" s="1"/>
  <c r="N125" i="10" s="1"/>
  <c r="O125" i="10" s="1"/>
  <c r="P125" i="10" s="1"/>
  <c r="Q125" i="10" s="1"/>
  <c r="R125" i="10" s="1"/>
  <c r="S125" i="10" s="1"/>
  <c r="T125" i="10" s="1"/>
  <c r="U125" i="10" s="1"/>
  <c r="V125" i="10" s="1"/>
  <c r="W125" i="10" s="1"/>
  <c r="X125" i="10" s="1"/>
  <c r="Y125" i="10" s="1"/>
  <c r="Z125" i="10" s="1"/>
  <c r="AA125" i="10" s="1"/>
  <c r="H124" i="10"/>
  <c r="I124" i="10" s="1"/>
  <c r="J124" i="10" s="1"/>
  <c r="K124" i="10" s="1"/>
  <c r="L124" i="10" s="1"/>
  <c r="M124" i="10" s="1"/>
  <c r="N124" i="10" s="1"/>
  <c r="O124" i="10" s="1"/>
  <c r="P124" i="10" s="1"/>
  <c r="Q124" i="10" s="1"/>
  <c r="R124" i="10" s="1"/>
  <c r="S124" i="10" s="1"/>
  <c r="T124" i="10" s="1"/>
  <c r="U124" i="10" s="1"/>
  <c r="V124" i="10" s="1"/>
  <c r="W124" i="10" s="1"/>
  <c r="X124" i="10" s="1"/>
  <c r="Y124" i="10" s="1"/>
  <c r="Z124" i="10" s="1"/>
  <c r="AA124" i="10" s="1"/>
  <c r="H123" i="10"/>
  <c r="I123" i="10" s="1"/>
  <c r="J123" i="10" s="1"/>
  <c r="K123" i="10" s="1"/>
  <c r="L123" i="10" s="1"/>
  <c r="M123" i="10" s="1"/>
  <c r="N123" i="10" s="1"/>
  <c r="O123" i="10" s="1"/>
  <c r="P123" i="10" s="1"/>
  <c r="Q123" i="10" s="1"/>
  <c r="R123" i="10" s="1"/>
  <c r="S123" i="10" s="1"/>
  <c r="T123" i="10" s="1"/>
  <c r="U123" i="10" s="1"/>
  <c r="V123" i="10" s="1"/>
  <c r="W123" i="10" s="1"/>
  <c r="X123" i="10" s="1"/>
  <c r="Y123" i="10" s="1"/>
  <c r="Z123" i="10" s="1"/>
  <c r="AA123" i="10" s="1"/>
  <c r="A123" i="10"/>
  <c r="A122" i="10"/>
  <c r="A116" i="10"/>
  <c r="AA114" i="10"/>
  <c r="Z114" i="10"/>
  <c r="Y114" i="10"/>
  <c r="X114" i="10"/>
  <c r="W114" i="10"/>
  <c r="V114" i="10"/>
  <c r="U114" i="10"/>
  <c r="T114" i="10"/>
  <c r="S114" i="10"/>
  <c r="R114" i="10"/>
  <c r="Q114" i="10"/>
  <c r="P114" i="10"/>
  <c r="O114" i="10"/>
  <c r="N114" i="10"/>
  <c r="M114" i="10"/>
  <c r="L114" i="10"/>
  <c r="K114" i="10"/>
  <c r="J114" i="10"/>
  <c r="I114" i="10"/>
  <c r="H114" i="10"/>
  <c r="A113" i="10"/>
  <c r="H112" i="10"/>
  <c r="H121" i="10" s="1"/>
  <c r="A111" i="10"/>
  <c r="H105" i="10"/>
  <c r="I105" i="10" s="1"/>
  <c r="J105" i="10" s="1"/>
  <c r="K105" i="10" s="1"/>
  <c r="L105" i="10" s="1"/>
  <c r="M105" i="10" s="1"/>
  <c r="N105" i="10" s="1"/>
  <c r="O105" i="10" s="1"/>
  <c r="P105" i="10" s="1"/>
  <c r="Q105" i="10" s="1"/>
  <c r="R105" i="10" s="1"/>
  <c r="S105" i="10" s="1"/>
  <c r="T105" i="10" s="1"/>
  <c r="U105" i="10" s="1"/>
  <c r="V105" i="10" s="1"/>
  <c r="W105" i="10" s="1"/>
  <c r="X105" i="10" s="1"/>
  <c r="Y105" i="10" s="1"/>
  <c r="Z105" i="10" s="1"/>
  <c r="AA105" i="10" s="1"/>
  <c r="H104" i="10"/>
  <c r="I104" i="10" s="1"/>
  <c r="J104" i="10" s="1"/>
  <c r="K104" i="10" s="1"/>
  <c r="L104" i="10" s="1"/>
  <c r="M104" i="10" s="1"/>
  <c r="N104" i="10" s="1"/>
  <c r="O104" i="10" s="1"/>
  <c r="P104" i="10" s="1"/>
  <c r="Q104" i="10" s="1"/>
  <c r="R104" i="10" s="1"/>
  <c r="S104" i="10" s="1"/>
  <c r="T104" i="10" s="1"/>
  <c r="U104" i="10" s="1"/>
  <c r="V104" i="10" s="1"/>
  <c r="W104" i="10" s="1"/>
  <c r="X104" i="10" s="1"/>
  <c r="Y104" i="10" s="1"/>
  <c r="Z104" i="10" s="1"/>
  <c r="AA104" i="10" s="1"/>
  <c r="H103" i="10"/>
  <c r="H102" i="10"/>
  <c r="I102" i="10" s="1"/>
  <c r="J102" i="10" s="1"/>
  <c r="K102" i="10" s="1"/>
  <c r="L102" i="10" s="1"/>
  <c r="M102" i="10" s="1"/>
  <c r="N102" i="10" s="1"/>
  <c r="O102" i="10" s="1"/>
  <c r="P102" i="10" s="1"/>
  <c r="Q102" i="10" s="1"/>
  <c r="R102" i="10" s="1"/>
  <c r="S102" i="10" s="1"/>
  <c r="T102" i="10" s="1"/>
  <c r="U102" i="10" s="1"/>
  <c r="V102" i="10" s="1"/>
  <c r="W102" i="10" s="1"/>
  <c r="X102" i="10" s="1"/>
  <c r="Y102" i="10" s="1"/>
  <c r="Z102" i="10" s="1"/>
  <c r="AA102" i="10" s="1"/>
  <c r="A102" i="10"/>
  <c r="A101" i="10"/>
  <c r="A95" i="10"/>
  <c r="AA93" i="10"/>
  <c r="Z93" i="10"/>
  <c r="Y93" i="10"/>
  <c r="X93" i="10"/>
  <c r="W93" i="10"/>
  <c r="A92" i="10"/>
  <c r="A90" i="10"/>
  <c r="C87" i="10"/>
  <c r="AA80" i="10"/>
  <c r="Z80" i="10"/>
  <c r="Y80" i="10"/>
  <c r="X80" i="10"/>
  <c r="W80" i="10"/>
  <c r="V80" i="10"/>
  <c r="U80" i="10"/>
  <c r="T80" i="10"/>
  <c r="S80" i="10"/>
  <c r="R80" i="10"/>
  <c r="Q80" i="10"/>
  <c r="P80" i="10"/>
  <c r="O80" i="10"/>
  <c r="N80" i="10"/>
  <c r="M80" i="10"/>
  <c r="L80" i="10"/>
  <c r="K80" i="10"/>
  <c r="J80" i="10"/>
  <c r="I80" i="10"/>
  <c r="H80" i="10"/>
  <c r="G80" i="10"/>
  <c r="AA79" i="10"/>
  <c r="Z79" i="10"/>
  <c r="Y79" i="10"/>
  <c r="X79" i="10"/>
  <c r="W79" i="10"/>
  <c r="V79" i="10"/>
  <c r="U79" i="10"/>
  <c r="T79" i="10"/>
  <c r="S79" i="10"/>
  <c r="R79" i="10"/>
  <c r="Q79" i="10"/>
  <c r="P79" i="10"/>
  <c r="O79" i="10"/>
  <c r="N79" i="10"/>
  <c r="M79" i="10"/>
  <c r="L79" i="10"/>
  <c r="K79" i="10"/>
  <c r="J79" i="10"/>
  <c r="I79" i="10"/>
  <c r="H79" i="10"/>
  <c r="G79" i="10"/>
  <c r="AA78" i="10"/>
  <c r="Z78" i="10"/>
  <c r="Y78" i="10"/>
  <c r="X78" i="10"/>
  <c r="W78" i="10"/>
  <c r="V78" i="10"/>
  <c r="U78" i="10"/>
  <c r="T78" i="10"/>
  <c r="S78" i="10"/>
  <c r="R78" i="10"/>
  <c r="Q78" i="10"/>
  <c r="P78" i="10"/>
  <c r="O78" i="10"/>
  <c r="N78" i="10"/>
  <c r="M78" i="10"/>
  <c r="L78" i="10"/>
  <c r="K78" i="10"/>
  <c r="J78" i="10"/>
  <c r="I78" i="10"/>
  <c r="H78" i="10"/>
  <c r="G78" i="10"/>
  <c r="AA75" i="10"/>
  <c r="Z75" i="10"/>
  <c r="Y75" i="10"/>
  <c r="X75" i="10"/>
  <c r="W75" i="10"/>
  <c r="V75" i="10"/>
  <c r="U75" i="10"/>
  <c r="T75" i="10"/>
  <c r="S75" i="10"/>
  <c r="R75" i="10"/>
  <c r="Q75" i="10"/>
  <c r="P75" i="10"/>
  <c r="O75" i="10"/>
  <c r="N75" i="10"/>
  <c r="M75" i="10"/>
  <c r="L75" i="10"/>
  <c r="K75" i="10"/>
  <c r="J75" i="10"/>
  <c r="I75" i="10"/>
  <c r="H75" i="10"/>
  <c r="G75" i="10"/>
  <c r="E73" i="10"/>
  <c r="E80" i="10" s="1"/>
  <c r="E72" i="10"/>
  <c r="E79" i="10" s="1"/>
  <c r="E71" i="10"/>
  <c r="E78" i="10" s="1"/>
  <c r="A70" i="10"/>
  <c r="AA66" i="10"/>
  <c r="Z66" i="10"/>
  <c r="Y66" i="10"/>
  <c r="X66" i="10"/>
  <c r="W66" i="10"/>
  <c r="V66" i="10"/>
  <c r="U66" i="10"/>
  <c r="T66" i="10"/>
  <c r="S66" i="10"/>
  <c r="R66" i="10"/>
  <c r="Q66" i="10"/>
  <c r="P66" i="10"/>
  <c r="O66" i="10"/>
  <c r="N66" i="10"/>
  <c r="M66" i="10"/>
  <c r="L66" i="10"/>
  <c r="K66" i="10"/>
  <c r="J66" i="10"/>
  <c r="I66" i="10"/>
  <c r="H66" i="10"/>
  <c r="G66" i="10"/>
  <c r="AA65" i="10"/>
  <c r="Z65" i="10"/>
  <c r="Y65" i="10"/>
  <c r="X65" i="10"/>
  <c r="W65" i="10"/>
  <c r="V65" i="10"/>
  <c r="U65" i="10"/>
  <c r="T65" i="10"/>
  <c r="S65" i="10"/>
  <c r="R65" i="10"/>
  <c r="Q65" i="10"/>
  <c r="P65" i="10"/>
  <c r="O65" i="10"/>
  <c r="N65" i="10"/>
  <c r="M65" i="10"/>
  <c r="L65" i="10"/>
  <c r="K65" i="10"/>
  <c r="J65" i="10"/>
  <c r="I65" i="10"/>
  <c r="H65" i="10"/>
  <c r="G65" i="10"/>
  <c r="AA64" i="10"/>
  <c r="Z64" i="10"/>
  <c r="Y64" i="10"/>
  <c r="X64" i="10"/>
  <c r="W64" i="10"/>
  <c r="V64" i="10"/>
  <c r="U64" i="10"/>
  <c r="T64" i="10"/>
  <c r="S64" i="10"/>
  <c r="R64" i="10"/>
  <c r="Q64" i="10"/>
  <c r="P64" i="10"/>
  <c r="O64" i="10"/>
  <c r="N64" i="10"/>
  <c r="M64" i="10"/>
  <c r="L64" i="10"/>
  <c r="K64" i="10"/>
  <c r="J64" i="10"/>
  <c r="I64" i="10"/>
  <c r="H64" i="10"/>
  <c r="G64" i="10"/>
  <c r="AA61" i="10"/>
  <c r="AA84" i="10" s="1"/>
  <c r="AA235" i="10" s="1"/>
  <c r="Z61" i="10"/>
  <c r="Y61" i="10"/>
  <c r="Y84" i="10" s="1"/>
  <c r="Y235" i="10" s="1"/>
  <c r="X61" i="10"/>
  <c r="X84" i="10" s="1"/>
  <c r="X235" i="10" s="1"/>
  <c r="W61" i="10"/>
  <c r="W84" i="10" s="1"/>
  <c r="W235" i="10" s="1"/>
  <c r="V61" i="10"/>
  <c r="U61" i="10"/>
  <c r="U84" i="10" s="1"/>
  <c r="U235" i="10" s="1"/>
  <c r="T61" i="10"/>
  <c r="S61" i="10"/>
  <c r="S84" i="10" s="1"/>
  <c r="S235" i="10" s="1"/>
  <c r="R61" i="10"/>
  <c r="Q61" i="10"/>
  <c r="Q84" i="10" s="1"/>
  <c r="Q235" i="10" s="1"/>
  <c r="P61" i="10"/>
  <c r="P84" i="10" s="1"/>
  <c r="P235" i="10" s="1"/>
  <c r="O61" i="10"/>
  <c r="O84" i="10" s="1"/>
  <c r="O235" i="10" s="1"/>
  <c r="N61" i="10"/>
  <c r="M61" i="10"/>
  <c r="M84" i="10" s="1"/>
  <c r="M235" i="10" s="1"/>
  <c r="L61" i="10"/>
  <c r="L84" i="10" s="1"/>
  <c r="L235" i="10" s="1"/>
  <c r="K61" i="10"/>
  <c r="K84" i="10" s="1"/>
  <c r="K235" i="10" s="1"/>
  <c r="J61" i="10"/>
  <c r="I61" i="10"/>
  <c r="I84" i="10" s="1"/>
  <c r="I235" i="10" s="1"/>
  <c r="H61" i="10"/>
  <c r="H84" i="10" s="1"/>
  <c r="H235" i="10" s="1"/>
  <c r="G61" i="10"/>
  <c r="G84" i="10" s="1"/>
  <c r="G235" i="10" s="1"/>
  <c r="E59" i="10"/>
  <c r="E66" i="10" s="1"/>
  <c r="E58" i="10"/>
  <c r="E65" i="10" s="1"/>
  <c r="E57" i="10"/>
  <c r="E64" i="10" s="1"/>
  <c r="A56" i="10"/>
  <c r="A52" i="10"/>
  <c r="AA48" i="10"/>
  <c r="Z48" i="10"/>
  <c r="Y48" i="10"/>
  <c r="X48" i="10"/>
  <c r="W48" i="10"/>
  <c r="V48" i="10"/>
  <c r="U48" i="10"/>
  <c r="T48" i="10"/>
  <c r="S48" i="10"/>
  <c r="R48" i="10"/>
  <c r="Q48" i="10"/>
  <c r="P48" i="10"/>
  <c r="O48" i="10"/>
  <c r="N48" i="10"/>
  <c r="M48" i="10"/>
  <c r="L48" i="10"/>
  <c r="K48" i="10"/>
  <c r="J48" i="10"/>
  <c r="I48" i="10"/>
  <c r="H48" i="10"/>
  <c r="G48" i="10"/>
  <c r="AA47" i="10"/>
  <c r="Z47" i="10"/>
  <c r="Y47" i="10"/>
  <c r="X47" i="10"/>
  <c r="W47" i="10"/>
  <c r="V47" i="10"/>
  <c r="U47" i="10"/>
  <c r="T47" i="10"/>
  <c r="S47" i="10"/>
  <c r="R47" i="10"/>
  <c r="Q47" i="10"/>
  <c r="P47" i="10"/>
  <c r="O47" i="10"/>
  <c r="N47" i="10"/>
  <c r="M47" i="10"/>
  <c r="L47" i="10"/>
  <c r="K47" i="10"/>
  <c r="J47" i="10"/>
  <c r="I47" i="10"/>
  <c r="H47" i="10"/>
  <c r="G47" i="10"/>
  <c r="AA46" i="10"/>
  <c r="Z46" i="10"/>
  <c r="Y46" i="10"/>
  <c r="X46" i="10"/>
  <c r="W46" i="10"/>
  <c r="V46" i="10"/>
  <c r="U46" i="10"/>
  <c r="T46" i="10"/>
  <c r="S46" i="10"/>
  <c r="R46" i="10"/>
  <c r="Q46" i="10"/>
  <c r="P46" i="10"/>
  <c r="O46" i="10"/>
  <c r="N46" i="10"/>
  <c r="M46" i="10"/>
  <c r="L46" i="10"/>
  <c r="K46" i="10"/>
  <c r="J46" i="10"/>
  <c r="I46" i="10"/>
  <c r="H46" i="10"/>
  <c r="G46" i="10"/>
  <c r="G45" i="10"/>
  <c r="G42" i="10"/>
  <c r="G222" i="10" s="1"/>
  <c r="E40" i="10"/>
  <c r="E48" i="10" s="1"/>
  <c r="E39" i="10"/>
  <c r="E47" i="10" s="1"/>
  <c r="E38" i="10"/>
  <c r="E46" i="10" s="1"/>
  <c r="AA42" i="10"/>
  <c r="AA222" i="10" s="1"/>
  <c r="Z42" i="10"/>
  <c r="Z222" i="10" s="1"/>
  <c r="Y42" i="10"/>
  <c r="Y222" i="10" s="1"/>
  <c r="X45" i="10"/>
  <c r="W42" i="10"/>
  <c r="W222" i="10" s="1"/>
  <c r="E37" i="10"/>
  <c r="E45" i="10" s="1"/>
  <c r="A36" i="10"/>
  <c r="AA32" i="10"/>
  <c r="Z32" i="10"/>
  <c r="Y32" i="10"/>
  <c r="X32" i="10"/>
  <c r="W32" i="10"/>
  <c r="V32" i="10"/>
  <c r="U32" i="10"/>
  <c r="T32" i="10"/>
  <c r="S32" i="10"/>
  <c r="R32" i="10"/>
  <c r="Q32" i="10"/>
  <c r="P32" i="10"/>
  <c r="O32" i="10"/>
  <c r="N32" i="10"/>
  <c r="M32" i="10"/>
  <c r="L32" i="10"/>
  <c r="K32" i="10"/>
  <c r="J32" i="10"/>
  <c r="I32" i="10"/>
  <c r="H32" i="10"/>
  <c r="G32" i="10"/>
  <c r="E32" i="10"/>
  <c r="AA31" i="10"/>
  <c r="Z31" i="10"/>
  <c r="Y31" i="10"/>
  <c r="X31" i="10"/>
  <c r="W31" i="10"/>
  <c r="V31" i="10"/>
  <c r="U31" i="10"/>
  <c r="T31" i="10"/>
  <c r="S31" i="10"/>
  <c r="R31" i="10"/>
  <c r="Q31" i="10"/>
  <c r="P31" i="10"/>
  <c r="O31" i="10"/>
  <c r="N31" i="10"/>
  <c r="M31" i="10"/>
  <c r="L31" i="10"/>
  <c r="K31" i="10"/>
  <c r="J31" i="10"/>
  <c r="I31" i="10"/>
  <c r="H31" i="10"/>
  <c r="G31" i="10"/>
  <c r="AA30" i="10"/>
  <c r="Z30" i="10"/>
  <c r="Y30" i="10"/>
  <c r="X30" i="10"/>
  <c r="W30" i="10"/>
  <c r="V30" i="10"/>
  <c r="U30" i="10"/>
  <c r="T30" i="10"/>
  <c r="S30" i="10"/>
  <c r="R30" i="10"/>
  <c r="Q30" i="10"/>
  <c r="P30" i="10"/>
  <c r="O30" i="10"/>
  <c r="N30" i="10"/>
  <c r="M30" i="10"/>
  <c r="L30" i="10"/>
  <c r="K30" i="10"/>
  <c r="J30" i="10"/>
  <c r="I30" i="10"/>
  <c r="H30" i="10"/>
  <c r="G30" i="10"/>
  <c r="AA29" i="10"/>
  <c r="Z29" i="10"/>
  <c r="Y29" i="10"/>
  <c r="X29" i="10"/>
  <c r="W29" i="10"/>
  <c r="V29" i="10"/>
  <c r="U29" i="10"/>
  <c r="T29" i="10"/>
  <c r="S29" i="10"/>
  <c r="R29" i="10"/>
  <c r="Q29" i="10"/>
  <c r="P29" i="10"/>
  <c r="O29" i="10"/>
  <c r="N29" i="10"/>
  <c r="M29" i="10"/>
  <c r="L29" i="10"/>
  <c r="K29" i="10"/>
  <c r="J29" i="10"/>
  <c r="I29" i="10"/>
  <c r="H29" i="10"/>
  <c r="G29" i="10"/>
  <c r="AA26" i="10"/>
  <c r="AA234" i="10" s="1"/>
  <c r="Z26" i="10"/>
  <c r="Z234" i="10" s="1"/>
  <c r="Y26" i="10"/>
  <c r="Y234" i="10" s="1"/>
  <c r="X26" i="10"/>
  <c r="X234" i="10" s="1"/>
  <c r="W26" i="10"/>
  <c r="W234" i="10" s="1"/>
  <c r="V26" i="10"/>
  <c r="V234" i="10" s="1"/>
  <c r="U26" i="10"/>
  <c r="U234" i="10" s="1"/>
  <c r="T26" i="10"/>
  <c r="T234" i="10" s="1"/>
  <c r="S26" i="10"/>
  <c r="S234" i="10" s="1"/>
  <c r="R26" i="10"/>
  <c r="R234" i="10" s="1"/>
  <c r="Q26" i="10"/>
  <c r="Q234" i="10" s="1"/>
  <c r="P26" i="10"/>
  <c r="P234" i="10" s="1"/>
  <c r="O26" i="10"/>
  <c r="O234" i="10" s="1"/>
  <c r="N26" i="10"/>
  <c r="N234" i="10" s="1"/>
  <c r="M26" i="10"/>
  <c r="M234" i="10" s="1"/>
  <c r="L26" i="10"/>
  <c r="L234" i="10" s="1"/>
  <c r="K26" i="10"/>
  <c r="K234" i="10" s="1"/>
  <c r="J26" i="10"/>
  <c r="J234" i="10" s="1"/>
  <c r="I26" i="10"/>
  <c r="I234" i="10" s="1"/>
  <c r="H26" i="10"/>
  <c r="H234" i="10" s="1"/>
  <c r="G26" i="10"/>
  <c r="G234" i="10" s="1"/>
  <c r="E23" i="10"/>
  <c r="E31" i="10" s="1"/>
  <c r="E22" i="10"/>
  <c r="E30" i="10" s="1"/>
  <c r="E21" i="10"/>
  <c r="E29" i="10" s="1"/>
  <c r="A20" i="10"/>
  <c r="A18" i="10"/>
  <c r="G16" i="10"/>
  <c r="A15" i="10"/>
  <c r="A14" i="10"/>
  <c r="A10" i="10"/>
  <c r="A9" i="10"/>
  <c r="A8" i="10"/>
  <c r="A7" i="10"/>
  <c r="A4" i="10"/>
  <c r="H162" i="16" l="1"/>
  <c r="I192" i="11"/>
  <c r="I193" i="13"/>
  <c r="J193" i="13" s="1"/>
  <c r="K193" i="13" s="1"/>
  <c r="L193" i="13" s="1"/>
  <c r="M193" i="13" s="1"/>
  <c r="N193" i="13" s="1"/>
  <c r="O193" i="13" s="1"/>
  <c r="P193" i="13" s="1"/>
  <c r="Q193" i="13" s="1"/>
  <c r="R193" i="13" s="1"/>
  <c r="S193" i="13" s="1"/>
  <c r="T193" i="13" s="1"/>
  <c r="U193" i="13" s="1"/>
  <c r="V193" i="13" s="1"/>
  <c r="W193" i="13" s="1"/>
  <c r="X193" i="13" s="1"/>
  <c r="Y193" i="13" s="1"/>
  <c r="Z193" i="13" s="1"/>
  <c r="AA193" i="13" s="1"/>
  <c r="J123" i="14"/>
  <c r="K123" i="14" s="1"/>
  <c r="L123" i="14" s="1"/>
  <c r="M123" i="14" s="1"/>
  <c r="N123" i="14" s="1"/>
  <c r="O123" i="14" s="1"/>
  <c r="P123" i="14" s="1"/>
  <c r="Q123" i="14" s="1"/>
  <c r="R123" i="14" s="1"/>
  <c r="S123" i="14" s="1"/>
  <c r="T123" i="14" s="1"/>
  <c r="U123" i="14" s="1"/>
  <c r="V123" i="14" s="1"/>
  <c r="W123" i="14" s="1"/>
  <c r="X123" i="14" s="1"/>
  <c r="Y123" i="14" s="1"/>
  <c r="Z123" i="14" s="1"/>
  <c r="AA123" i="14" s="1"/>
  <c r="H136" i="14"/>
  <c r="H157" i="14"/>
  <c r="H157" i="16"/>
  <c r="I133" i="10"/>
  <c r="H140" i="10"/>
  <c r="I154" i="10"/>
  <c r="I157" i="10" s="1"/>
  <c r="I133" i="11"/>
  <c r="I142" i="11" s="1"/>
  <c r="H161" i="16"/>
  <c r="H140" i="11"/>
  <c r="Y82" i="13"/>
  <c r="H141" i="14"/>
  <c r="H150" i="14" s="1"/>
  <c r="Z68" i="16"/>
  <c r="Z82" i="16"/>
  <c r="G50" i="10"/>
  <c r="H161" i="10"/>
  <c r="W270" i="10"/>
  <c r="I154" i="16"/>
  <c r="Y174" i="14"/>
  <c r="Y217" i="14" s="1"/>
  <c r="X174" i="11"/>
  <c r="X217" i="11" s="1"/>
  <c r="X174" i="13"/>
  <c r="X217" i="13" s="1"/>
  <c r="X174" i="10"/>
  <c r="X217" i="10" s="1"/>
  <c r="Z174" i="14"/>
  <c r="Z217" i="14" s="1"/>
  <c r="W174" i="11"/>
  <c r="W217" i="11" s="1"/>
  <c r="AA174" i="11"/>
  <c r="AA217" i="11" s="1"/>
  <c r="Y174" i="16"/>
  <c r="Y217" i="16" s="1"/>
  <c r="Y174" i="10"/>
  <c r="Y217" i="10" s="1"/>
  <c r="M227" i="10"/>
  <c r="M293" i="10" s="1"/>
  <c r="U227" i="10"/>
  <c r="U293" i="10" s="1"/>
  <c r="Y174" i="13"/>
  <c r="Y217" i="13" s="1"/>
  <c r="H142" i="14"/>
  <c r="H163" i="14"/>
  <c r="Z174" i="10"/>
  <c r="Z217" i="10" s="1"/>
  <c r="H136" i="10"/>
  <c r="H141" i="10"/>
  <c r="H157" i="10"/>
  <c r="H162" i="10"/>
  <c r="H170" i="10" s="1"/>
  <c r="O227" i="10"/>
  <c r="O293" i="10" s="1"/>
  <c r="W227" i="10"/>
  <c r="W293" i="10" s="1"/>
  <c r="G270" i="10"/>
  <c r="X68" i="11"/>
  <c r="X82" i="11"/>
  <c r="Y174" i="11"/>
  <c r="Y217" i="11" s="1"/>
  <c r="H136" i="11"/>
  <c r="H141" i="11"/>
  <c r="Z174" i="13"/>
  <c r="Z217" i="13" s="1"/>
  <c r="Y68" i="14"/>
  <c r="W174" i="14"/>
  <c r="W217" i="14" s="1"/>
  <c r="AA174" i="14"/>
  <c r="AA217" i="14" s="1"/>
  <c r="I133" i="14"/>
  <c r="I142" i="14" s="1"/>
  <c r="I154" i="14"/>
  <c r="I163" i="14" s="1"/>
  <c r="W174" i="16"/>
  <c r="W217" i="16" s="1"/>
  <c r="AA174" i="16"/>
  <c r="AA217" i="16" s="1"/>
  <c r="H170" i="16"/>
  <c r="H149" i="10"/>
  <c r="H149" i="11"/>
  <c r="G50" i="16"/>
  <c r="T84" i="10"/>
  <c r="T235" i="10" s="1"/>
  <c r="T301" i="10" s="1"/>
  <c r="G82" i="10"/>
  <c r="W174" i="10"/>
  <c r="W217" i="10" s="1"/>
  <c r="AA174" i="10"/>
  <c r="AA217" i="10" s="1"/>
  <c r="I227" i="10"/>
  <c r="I293" i="10" s="1"/>
  <c r="Q227" i="10"/>
  <c r="Q293" i="10" s="1"/>
  <c r="Y227" i="10"/>
  <c r="Y293" i="10" s="1"/>
  <c r="O270" i="10"/>
  <c r="G50" i="11"/>
  <c r="Z174" i="11"/>
  <c r="Z217" i="11" s="1"/>
  <c r="H84" i="13"/>
  <c r="H235" i="13" s="1"/>
  <c r="H269" i="13" s="1"/>
  <c r="L84" i="13"/>
  <c r="L235" i="13" s="1"/>
  <c r="P84" i="13"/>
  <c r="P235" i="13" s="1"/>
  <c r="P269" i="13" s="1"/>
  <c r="T84" i="13"/>
  <c r="T235" i="13" s="1"/>
  <c r="X84" i="13"/>
  <c r="X235" i="13" s="1"/>
  <c r="X269" i="13" s="1"/>
  <c r="W174" i="13"/>
  <c r="W217" i="13" s="1"/>
  <c r="AA174" i="13"/>
  <c r="AA217" i="13" s="1"/>
  <c r="I84" i="14"/>
  <c r="I235" i="14" s="1"/>
  <c r="I269" i="14" s="1"/>
  <c r="M84" i="14"/>
  <c r="M235" i="14" s="1"/>
  <c r="Q84" i="14"/>
  <c r="Q235" i="14" s="1"/>
  <c r="Q269" i="14" s="1"/>
  <c r="U84" i="14"/>
  <c r="U235" i="14" s="1"/>
  <c r="Y84" i="14"/>
  <c r="Y235" i="14" s="1"/>
  <c r="Y269" i="14" s="1"/>
  <c r="X174" i="14"/>
  <c r="X217" i="14" s="1"/>
  <c r="H161" i="14"/>
  <c r="H170" i="14" s="1"/>
  <c r="Y34" i="13"/>
  <c r="Z34" i="10"/>
  <c r="R157" i="21"/>
  <c r="S154" i="21"/>
  <c r="R163" i="21"/>
  <c r="R162" i="21"/>
  <c r="R161" i="21"/>
  <c r="S185" i="21"/>
  <c r="R192" i="21"/>
  <c r="Q170" i="21"/>
  <c r="Q136" i="21"/>
  <c r="Q140" i="21"/>
  <c r="R133" i="21"/>
  <c r="Q142" i="21"/>
  <c r="Q141" i="21"/>
  <c r="Q171" i="21"/>
  <c r="P149" i="21"/>
  <c r="H115" i="10"/>
  <c r="I112" i="10"/>
  <c r="I121" i="10" s="1"/>
  <c r="X34" i="10"/>
  <c r="Z68" i="10"/>
  <c r="M82" i="10"/>
  <c r="Y68" i="13"/>
  <c r="Y85" i="13" s="1"/>
  <c r="Y82" i="14"/>
  <c r="Y34" i="14"/>
  <c r="Z45" i="10"/>
  <c r="AA45" i="10"/>
  <c r="W45" i="10"/>
  <c r="Z34" i="16"/>
  <c r="I301" i="16"/>
  <c r="I269" i="16"/>
  <c r="M301" i="16"/>
  <c r="M269" i="16"/>
  <c r="Q301" i="16"/>
  <c r="Q269" i="16"/>
  <c r="U269" i="16"/>
  <c r="U301" i="16"/>
  <c r="Y301" i="16"/>
  <c r="Y269" i="16"/>
  <c r="W288" i="16"/>
  <c r="W256" i="16"/>
  <c r="AA288" i="16"/>
  <c r="AA256" i="16"/>
  <c r="J301" i="16"/>
  <c r="J269" i="16"/>
  <c r="N301" i="16"/>
  <c r="N269" i="16"/>
  <c r="R301" i="16"/>
  <c r="R269" i="16"/>
  <c r="V301" i="16"/>
  <c r="V269" i="16"/>
  <c r="Z301" i="16"/>
  <c r="Z269" i="16"/>
  <c r="X288" i="16"/>
  <c r="X256" i="16"/>
  <c r="G301" i="16"/>
  <c r="G269" i="16"/>
  <c r="K301" i="16"/>
  <c r="K269" i="16"/>
  <c r="O301" i="16"/>
  <c r="O269" i="16"/>
  <c r="S301" i="16"/>
  <c r="S269" i="16"/>
  <c r="W301" i="16"/>
  <c r="W269" i="16"/>
  <c r="AA301" i="16"/>
  <c r="AA269" i="16"/>
  <c r="H301" i="16"/>
  <c r="H269" i="16"/>
  <c r="L301" i="16"/>
  <c r="L269" i="16"/>
  <c r="P301" i="16"/>
  <c r="P269" i="16"/>
  <c r="T301" i="16"/>
  <c r="T269" i="16"/>
  <c r="X301" i="16"/>
  <c r="X269" i="16"/>
  <c r="H300" i="16"/>
  <c r="H268" i="16"/>
  <c r="L300" i="16"/>
  <c r="L268" i="16"/>
  <c r="P300" i="16"/>
  <c r="P268" i="16"/>
  <c r="T300" i="16"/>
  <c r="T268" i="16"/>
  <c r="X300" i="16"/>
  <c r="X268" i="16"/>
  <c r="G34" i="16"/>
  <c r="K34" i="16"/>
  <c r="O34" i="16"/>
  <c r="S34" i="16"/>
  <c r="W34" i="16"/>
  <c r="AA34" i="16"/>
  <c r="Y42" i="16"/>
  <c r="Y222" i="16" s="1"/>
  <c r="W45" i="16"/>
  <c r="AA45" i="16"/>
  <c r="G68" i="16"/>
  <c r="K68" i="16"/>
  <c r="O68" i="16"/>
  <c r="S68" i="16"/>
  <c r="W68" i="16"/>
  <c r="AA68" i="16"/>
  <c r="G82" i="16"/>
  <c r="K82" i="16"/>
  <c r="O82" i="16"/>
  <c r="S82" i="16"/>
  <c r="W82" i="16"/>
  <c r="AA82" i="16"/>
  <c r="Z174" i="16"/>
  <c r="Z217" i="16" s="1"/>
  <c r="I300" i="16"/>
  <c r="I268" i="16"/>
  <c r="M300" i="16"/>
  <c r="M268" i="16"/>
  <c r="Q300" i="16"/>
  <c r="Q268" i="16"/>
  <c r="U300" i="16"/>
  <c r="U268" i="16"/>
  <c r="Y300" i="16"/>
  <c r="Y268" i="16"/>
  <c r="H34" i="16"/>
  <c r="L34" i="16"/>
  <c r="P34" i="16"/>
  <c r="T34" i="16"/>
  <c r="X34" i="16"/>
  <c r="Z42" i="16"/>
  <c r="Z222" i="16" s="1"/>
  <c r="X45" i="16"/>
  <c r="H68" i="16"/>
  <c r="L68" i="16"/>
  <c r="P68" i="16"/>
  <c r="T68" i="16"/>
  <c r="X68" i="16"/>
  <c r="X85" i="16" s="1"/>
  <c r="H82" i="16"/>
  <c r="L82" i="16"/>
  <c r="P82" i="16"/>
  <c r="T82" i="16"/>
  <c r="X82" i="16"/>
  <c r="J300" i="16"/>
  <c r="J268" i="16"/>
  <c r="N300" i="16"/>
  <c r="N268" i="16"/>
  <c r="R300" i="16"/>
  <c r="R268" i="16"/>
  <c r="V300" i="16"/>
  <c r="V268" i="16"/>
  <c r="Z268" i="16"/>
  <c r="Z300" i="16"/>
  <c r="I34" i="16"/>
  <c r="M34" i="16"/>
  <c r="Q34" i="16"/>
  <c r="U34" i="16"/>
  <c r="Y34" i="16"/>
  <c r="G288" i="16"/>
  <c r="G256" i="16"/>
  <c r="I68" i="16"/>
  <c r="M68" i="16"/>
  <c r="M85" i="16" s="1"/>
  <c r="Q68" i="16"/>
  <c r="U68" i="16"/>
  <c r="U85" i="16" s="1"/>
  <c r="Y68" i="16"/>
  <c r="I82" i="16"/>
  <c r="M82" i="16"/>
  <c r="Q82" i="16"/>
  <c r="U82" i="16"/>
  <c r="Y82" i="16"/>
  <c r="X174" i="16"/>
  <c r="X217" i="16" s="1"/>
  <c r="G300" i="16"/>
  <c r="G268" i="16"/>
  <c r="K300" i="16"/>
  <c r="K268" i="16"/>
  <c r="O300" i="16"/>
  <c r="O268" i="16"/>
  <c r="S300" i="16"/>
  <c r="S268" i="16"/>
  <c r="W300" i="16"/>
  <c r="W268" i="16"/>
  <c r="AA300" i="16"/>
  <c r="AA268" i="16"/>
  <c r="J34" i="16"/>
  <c r="N34" i="16"/>
  <c r="R34" i="16"/>
  <c r="V34" i="16"/>
  <c r="J68" i="16"/>
  <c r="N68" i="16"/>
  <c r="R68" i="16"/>
  <c r="V68" i="16"/>
  <c r="J82" i="16"/>
  <c r="N82" i="16"/>
  <c r="R82" i="16"/>
  <c r="V82" i="16"/>
  <c r="H140" i="16"/>
  <c r="H141" i="16"/>
  <c r="H142" i="16"/>
  <c r="I133" i="16"/>
  <c r="H136" i="16"/>
  <c r="I163" i="16"/>
  <c r="I162" i="16"/>
  <c r="I161" i="16"/>
  <c r="I157" i="16"/>
  <c r="J154" i="16"/>
  <c r="H171" i="16"/>
  <c r="J185" i="16"/>
  <c r="J306" i="16"/>
  <c r="J274" i="16"/>
  <c r="N306" i="16"/>
  <c r="N274" i="16"/>
  <c r="R306" i="16"/>
  <c r="R274" i="16"/>
  <c r="V306" i="16"/>
  <c r="AB306" i="16" s="1"/>
  <c r="V274" i="16"/>
  <c r="AB274" i="16" s="1"/>
  <c r="AB240" i="16"/>
  <c r="Z306" i="16"/>
  <c r="Z274" i="16"/>
  <c r="H227" i="16"/>
  <c r="P227" i="16"/>
  <c r="X227" i="16"/>
  <c r="K240" i="16"/>
  <c r="K227" i="16"/>
  <c r="O240" i="16"/>
  <c r="O227" i="16"/>
  <c r="S240" i="16"/>
  <c r="S227" i="16"/>
  <c r="W240" i="16"/>
  <c r="W227" i="16"/>
  <c r="AA240" i="16"/>
  <c r="AA227" i="16"/>
  <c r="J227" i="16"/>
  <c r="R227" i="16"/>
  <c r="Z227" i="16"/>
  <c r="I192" i="16"/>
  <c r="H306" i="16"/>
  <c r="H274" i="16"/>
  <c r="L306" i="16"/>
  <c r="L274" i="16"/>
  <c r="P306" i="16"/>
  <c r="P274" i="16"/>
  <c r="T306" i="16"/>
  <c r="T274" i="16"/>
  <c r="X306" i="16"/>
  <c r="X274" i="16"/>
  <c r="G290" i="16"/>
  <c r="G258" i="16"/>
  <c r="G238" i="16"/>
  <c r="L227" i="16"/>
  <c r="T227" i="16"/>
  <c r="I240" i="16"/>
  <c r="I227" i="16"/>
  <c r="M240" i="16"/>
  <c r="M227" i="16"/>
  <c r="Q240" i="16"/>
  <c r="Q227" i="16"/>
  <c r="U240" i="16"/>
  <c r="U227" i="16"/>
  <c r="Y240" i="16"/>
  <c r="Y227" i="16"/>
  <c r="N227" i="16"/>
  <c r="V227" i="16"/>
  <c r="G289" i="16"/>
  <c r="G257" i="16"/>
  <c r="G293" i="16"/>
  <c r="G261" i="16"/>
  <c r="J302" i="16"/>
  <c r="J270" i="16"/>
  <c r="N302" i="16"/>
  <c r="N270" i="16"/>
  <c r="R302" i="16"/>
  <c r="R270" i="16"/>
  <c r="V302" i="16"/>
  <c r="V270" i="16"/>
  <c r="Z302" i="16"/>
  <c r="Z270" i="16"/>
  <c r="G306" i="16"/>
  <c r="G274" i="16"/>
  <c r="G302" i="16"/>
  <c r="G270" i="16"/>
  <c r="K302" i="16"/>
  <c r="K270" i="16"/>
  <c r="O302" i="16"/>
  <c r="O270" i="16"/>
  <c r="S302" i="16"/>
  <c r="S270" i="16"/>
  <c r="W302" i="16"/>
  <c r="W270" i="16"/>
  <c r="AA302" i="16"/>
  <c r="AA270" i="16"/>
  <c r="G291" i="16"/>
  <c r="G259" i="16"/>
  <c r="H302" i="16"/>
  <c r="H270" i="16"/>
  <c r="L302" i="16"/>
  <c r="L270" i="16"/>
  <c r="P270" i="16"/>
  <c r="P302" i="16"/>
  <c r="T302" i="16"/>
  <c r="T270" i="16"/>
  <c r="X302" i="16"/>
  <c r="X270" i="16"/>
  <c r="G303" i="16"/>
  <c r="G271" i="16"/>
  <c r="G305" i="16"/>
  <c r="G273" i="16"/>
  <c r="G307" i="16"/>
  <c r="G275" i="16"/>
  <c r="I302" i="16"/>
  <c r="I270" i="16"/>
  <c r="M302" i="16"/>
  <c r="M270" i="16"/>
  <c r="Q302" i="16"/>
  <c r="Q270" i="16"/>
  <c r="U302" i="16"/>
  <c r="U270" i="16"/>
  <c r="Y302" i="16"/>
  <c r="Y270" i="16"/>
  <c r="W288" i="14"/>
  <c r="W256" i="14"/>
  <c r="AA288" i="14"/>
  <c r="AA256" i="14"/>
  <c r="I301" i="14"/>
  <c r="M301" i="14"/>
  <c r="M269" i="14"/>
  <c r="Q301" i="14"/>
  <c r="U301" i="14"/>
  <c r="U269" i="14"/>
  <c r="Y301" i="14"/>
  <c r="J301" i="14"/>
  <c r="J269" i="14"/>
  <c r="N301" i="14"/>
  <c r="N269" i="14"/>
  <c r="R301" i="14"/>
  <c r="R269" i="14"/>
  <c r="V301" i="14"/>
  <c r="V269" i="14"/>
  <c r="Z301" i="14"/>
  <c r="Z269" i="14"/>
  <c r="G301" i="14"/>
  <c r="G269" i="14"/>
  <c r="K301" i="14"/>
  <c r="K269" i="14"/>
  <c r="O301" i="14"/>
  <c r="O269" i="14"/>
  <c r="S301" i="14"/>
  <c r="S269" i="14"/>
  <c r="W301" i="14"/>
  <c r="W269" i="14"/>
  <c r="AA301" i="14"/>
  <c r="AA269" i="14"/>
  <c r="Z288" i="14"/>
  <c r="Z256" i="14"/>
  <c r="H301" i="14"/>
  <c r="H269" i="14"/>
  <c r="L301" i="14"/>
  <c r="L269" i="14"/>
  <c r="P301" i="14"/>
  <c r="P269" i="14"/>
  <c r="T301" i="14"/>
  <c r="T269" i="14"/>
  <c r="X301" i="14"/>
  <c r="X269" i="14"/>
  <c r="G300" i="14"/>
  <c r="G268" i="14"/>
  <c r="K300" i="14"/>
  <c r="K268" i="14"/>
  <c r="O300" i="14"/>
  <c r="O268" i="14"/>
  <c r="S300" i="14"/>
  <c r="S268" i="14"/>
  <c r="W300" i="14"/>
  <c r="W268" i="14"/>
  <c r="AA300" i="14"/>
  <c r="AA268" i="14"/>
  <c r="J34" i="14"/>
  <c r="N34" i="14"/>
  <c r="R34" i="14"/>
  <c r="V34" i="14"/>
  <c r="Z34" i="14"/>
  <c r="X42" i="14"/>
  <c r="X222" i="14" s="1"/>
  <c r="Z45" i="14"/>
  <c r="G50" i="14"/>
  <c r="J68" i="14"/>
  <c r="N68" i="14"/>
  <c r="R68" i="14"/>
  <c r="V68" i="14"/>
  <c r="Z68" i="14"/>
  <c r="J82" i="14"/>
  <c r="N82" i="14"/>
  <c r="R82" i="14"/>
  <c r="V82" i="14"/>
  <c r="Z82" i="14"/>
  <c r="H300" i="14"/>
  <c r="H268" i="14"/>
  <c r="L300" i="14"/>
  <c r="L268" i="14"/>
  <c r="P300" i="14"/>
  <c r="P268" i="14"/>
  <c r="T300" i="14"/>
  <c r="T268" i="14"/>
  <c r="X300" i="14"/>
  <c r="X268" i="14"/>
  <c r="G34" i="14"/>
  <c r="K34" i="14"/>
  <c r="O34" i="14"/>
  <c r="S34" i="14"/>
  <c r="W34" i="14"/>
  <c r="AA34" i="14"/>
  <c r="Y42" i="14"/>
  <c r="Y222" i="14" s="1"/>
  <c r="W45" i="14"/>
  <c r="AA45" i="14"/>
  <c r="G68" i="14"/>
  <c r="K68" i="14"/>
  <c r="O68" i="14"/>
  <c r="S68" i="14"/>
  <c r="W68" i="14"/>
  <c r="AA68" i="14"/>
  <c r="G82" i="14"/>
  <c r="K82" i="14"/>
  <c r="O82" i="14"/>
  <c r="S82" i="14"/>
  <c r="W82" i="14"/>
  <c r="AA82" i="14"/>
  <c r="I300" i="14"/>
  <c r="I268" i="14"/>
  <c r="M300" i="14"/>
  <c r="M268" i="14"/>
  <c r="Q300" i="14"/>
  <c r="Q268" i="14"/>
  <c r="U300" i="14"/>
  <c r="U268" i="14"/>
  <c r="Y300" i="14"/>
  <c r="Y268" i="14"/>
  <c r="H34" i="14"/>
  <c r="L34" i="14"/>
  <c r="P34" i="14"/>
  <c r="T34" i="14"/>
  <c r="X34" i="14"/>
  <c r="H68" i="14"/>
  <c r="L68" i="14"/>
  <c r="P68" i="14"/>
  <c r="T68" i="14"/>
  <c r="X68" i="14"/>
  <c r="H82" i="14"/>
  <c r="L82" i="14"/>
  <c r="P82" i="14"/>
  <c r="T82" i="14"/>
  <c r="X82" i="14"/>
  <c r="J133" i="14"/>
  <c r="I141" i="14"/>
  <c r="J300" i="14"/>
  <c r="J268" i="14"/>
  <c r="N300" i="14"/>
  <c r="N268" i="14"/>
  <c r="R300" i="14"/>
  <c r="R268" i="14"/>
  <c r="V300" i="14"/>
  <c r="V268" i="14"/>
  <c r="Z300" i="14"/>
  <c r="Z268" i="14"/>
  <c r="I34" i="14"/>
  <c r="M34" i="14"/>
  <c r="Q34" i="14"/>
  <c r="U34" i="14"/>
  <c r="G288" i="14"/>
  <c r="G256" i="14"/>
  <c r="I68" i="14"/>
  <c r="M68" i="14"/>
  <c r="Q68" i="14"/>
  <c r="U68" i="14"/>
  <c r="I82" i="14"/>
  <c r="M82" i="14"/>
  <c r="Q82" i="14"/>
  <c r="U82" i="14"/>
  <c r="K306" i="14"/>
  <c r="K274" i="14"/>
  <c r="O293" i="14"/>
  <c r="O261" i="14"/>
  <c r="S306" i="14"/>
  <c r="S274" i="14"/>
  <c r="I185" i="14"/>
  <c r="I293" i="14"/>
  <c r="I261" i="14"/>
  <c r="M306" i="14"/>
  <c r="M274" i="14"/>
  <c r="Q293" i="14"/>
  <c r="Q261" i="14"/>
  <c r="U306" i="14"/>
  <c r="U274" i="14"/>
  <c r="Y293" i="14"/>
  <c r="Y261" i="14"/>
  <c r="J306" i="14"/>
  <c r="J274" i="14"/>
  <c r="N306" i="14"/>
  <c r="N274" i="14"/>
  <c r="R306" i="14"/>
  <c r="R274" i="14"/>
  <c r="V306" i="14"/>
  <c r="AB306" i="14" s="1"/>
  <c r="V274" i="14"/>
  <c r="AB274" i="14" s="1"/>
  <c r="AB240" i="14"/>
  <c r="Z306" i="14"/>
  <c r="Z274" i="14"/>
  <c r="J227" i="14"/>
  <c r="N227" i="14"/>
  <c r="R227" i="14"/>
  <c r="V227" i="14"/>
  <c r="Z227" i="14"/>
  <c r="I302" i="14"/>
  <c r="I270" i="14"/>
  <c r="M302" i="14"/>
  <c r="M270" i="14"/>
  <c r="Q302" i="14"/>
  <c r="Q270" i="14"/>
  <c r="U302" i="14"/>
  <c r="U270" i="14"/>
  <c r="Y302" i="14"/>
  <c r="Y270" i="14"/>
  <c r="G306" i="14"/>
  <c r="G274" i="14"/>
  <c r="O240" i="14"/>
  <c r="Y240" i="14"/>
  <c r="W306" i="14"/>
  <c r="W274" i="14"/>
  <c r="AA306" i="14"/>
  <c r="AA274" i="14"/>
  <c r="G289" i="14"/>
  <c r="G257" i="14"/>
  <c r="G293" i="14"/>
  <c r="G261" i="14"/>
  <c r="K227" i="14"/>
  <c r="S227" i="14"/>
  <c r="W227" i="14"/>
  <c r="AA227" i="14"/>
  <c r="J302" i="14"/>
  <c r="J270" i="14"/>
  <c r="N302" i="14"/>
  <c r="N270" i="14"/>
  <c r="R302" i="14"/>
  <c r="R270" i="14"/>
  <c r="V302" i="14"/>
  <c r="V270" i="14"/>
  <c r="Z302" i="14"/>
  <c r="Z270" i="14"/>
  <c r="G305" i="14"/>
  <c r="G273" i="14"/>
  <c r="I240" i="14"/>
  <c r="Q240" i="14"/>
  <c r="G307" i="14"/>
  <c r="G275" i="14"/>
  <c r="I192" i="14"/>
  <c r="H306" i="14"/>
  <c r="H274" i="14"/>
  <c r="L306" i="14"/>
  <c r="L274" i="14"/>
  <c r="P306" i="14"/>
  <c r="P274" i="14"/>
  <c r="T306" i="14"/>
  <c r="T274" i="14"/>
  <c r="X306" i="14"/>
  <c r="X274" i="14"/>
  <c r="G290" i="14"/>
  <c r="G258" i="14"/>
  <c r="H227" i="14"/>
  <c r="L227" i="14"/>
  <c r="P227" i="14"/>
  <c r="T227" i="14"/>
  <c r="X227" i="14"/>
  <c r="G302" i="14"/>
  <c r="G270" i="14"/>
  <c r="K302" i="14"/>
  <c r="K270" i="14"/>
  <c r="O302" i="14"/>
  <c r="O270" i="14"/>
  <c r="S302" i="14"/>
  <c r="S270" i="14"/>
  <c r="W302" i="14"/>
  <c r="W270" i="14"/>
  <c r="AA302" i="14"/>
  <c r="AA270" i="14"/>
  <c r="G238" i="14"/>
  <c r="G291" i="14"/>
  <c r="G259" i="14"/>
  <c r="M227" i="14"/>
  <c r="U227" i="14"/>
  <c r="H302" i="14"/>
  <c r="H270" i="14"/>
  <c r="L302" i="14"/>
  <c r="L270" i="14"/>
  <c r="P302" i="14"/>
  <c r="P270" i="14"/>
  <c r="T302" i="14"/>
  <c r="T270" i="14"/>
  <c r="X302" i="14"/>
  <c r="X270" i="14"/>
  <c r="G303" i="14"/>
  <c r="G271" i="14"/>
  <c r="W288" i="13"/>
  <c r="W256" i="13"/>
  <c r="AA288" i="13"/>
  <c r="AA256" i="13"/>
  <c r="I301" i="13"/>
  <c r="I269" i="13"/>
  <c r="M301" i="13"/>
  <c r="M269" i="13"/>
  <c r="Q301" i="13"/>
  <c r="Q269" i="13"/>
  <c r="U301" i="13"/>
  <c r="U269" i="13"/>
  <c r="Y301" i="13"/>
  <c r="Y269" i="13"/>
  <c r="J301" i="13"/>
  <c r="J269" i="13"/>
  <c r="N301" i="13"/>
  <c r="N269" i="13"/>
  <c r="R301" i="13"/>
  <c r="R269" i="13"/>
  <c r="V301" i="13"/>
  <c r="V269" i="13"/>
  <c r="Z301" i="13"/>
  <c r="Z269" i="13"/>
  <c r="G269" i="13"/>
  <c r="G301" i="13"/>
  <c r="K301" i="13"/>
  <c r="K269" i="13"/>
  <c r="O269" i="13"/>
  <c r="O301" i="13"/>
  <c r="S269" i="13"/>
  <c r="S301" i="13"/>
  <c r="W269" i="13"/>
  <c r="W301" i="13"/>
  <c r="AA301" i="13"/>
  <c r="AA269" i="13"/>
  <c r="Z288" i="13"/>
  <c r="Z256" i="13"/>
  <c r="H301" i="13"/>
  <c r="L301" i="13"/>
  <c r="L269" i="13"/>
  <c r="P301" i="13"/>
  <c r="T301" i="13"/>
  <c r="T269" i="13"/>
  <c r="X301" i="13"/>
  <c r="G300" i="13"/>
  <c r="G268" i="13"/>
  <c r="K300" i="13"/>
  <c r="K268" i="13"/>
  <c r="O300" i="13"/>
  <c r="O268" i="13"/>
  <c r="S300" i="13"/>
  <c r="S268" i="13"/>
  <c r="W300" i="13"/>
  <c r="W268" i="13"/>
  <c r="AA300" i="13"/>
  <c r="AA268" i="13"/>
  <c r="J34" i="13"/>
  <c r="N34" i="13"/>
  <c r="R34" i="13"/>
  <c r="V34" i="13"/>
  <c r="Z34" i="13"/>
  <c r="X42" i="13"/>
  <c r="X222" i="13" s="1"/>
  <c r="Z45" i="13"/>
  <c r="G50" i="13"/>
  <c r="J68" i="13"/>
  <c r="N68" i="13"/>
  <c r="R68" i="13"/>
  <c r="V68" i="13"/>
  <c r="Z68" i="13"/>
  <c r="J82" i="13"/>
  <c r="N82" i="13"/>
  <c r="R82" i="13"/>
  <c r="V82" i="13"/>
  <c r="Z82" i="13"/>
  <c r="H142" i="13"/>
  <c r="H141" i="13"/>
  <c r="H140" i="13"/>
  <c r="H136" i="13"/>
  <c r="I133" i="13"/>
  <c r="H300" i="13"/>
  <c r="H268" i="13"/>
  <c r="L300" i="13"/>
  <c r="L268" i="13"/>
  <c r="P300" i="13"/>
  <c r="P268" i="13"/>
  <c r="T300" i="13"/>
  <c r="T268" i="13"/>
  <c r="X300" i="13"/>
  <c r="X268" i="13"/>
  <c r="G34" i="13"/>
  <c r="K34" i="13"/>
  <c r="O34" i="13"/>
  <c r="S34" i="13"/>
  <c r="W34" i="13"/>
  <c r="AA34" i="13"/>
  <c r="Y42" i="13"/>
  <c r="Y222" i="13" s="1"/>
  <c r="W45" i="13"/>
  <c r="AA45" i="13"/>
  <c r="G68" i="13"/>
  <c r="K68" i="13"/>
  <c r="O68" i="13"/>
  <c r="S68" i="13"/>
  <c r="W68" i="13"/>
  <c r="AA68" i="13"/>
  <c r="G82" i="13"/>
  <c r="K82" i="13"/>
  <c r="O82" i="13"/>
  <c r="S82" i="13"/>
  <c r="W82" i="13"/>
  <c r="AA82" i="13"/>
  <c r="I300" i="13"/>
  <c r="I268" i="13"/>
  <c r="M300" i="13"/>
  <c r="M268" i="13"/>
  <c r="Q300" i="13"/>
  <c r="Q268" i="13"/>
  <c r="U300" i="13"/>
  <c r="U268" i="13"/>
  <c r="Y300" i="13"/>
  <c r="Y268" i="13"/>
  <c r="H34" i="13"/>
  <c r="L34" i="13"/>
  <c r="P34" i="13"/>
  <c r="T34" i="13"/>
  <c r="X34" i="13"/>
  <c r="H68" i="13"/>
  <c r="L68" i="13"/>
  <c r="P68" i="13"/>
  <c r="T68" i="13"/>
  <c r="X68" i="13"/>
  <c r="H82" i="13"/>
  <c r="L82" i="13"/>
  <c r="P82" i="13"/>
  <c r="T82" i="13"/>
  <c r="X82" i="13"/>
  <c r="J300" i="13"/>
  <c r="J268" i="13"/>
  <c r="N300" i="13"/>
  <c r="N268" i="13"/>
  <c r="R300" i="13"/>
  <c r="R268" i="13"/>
  <c r="V300" i="13"/>
  <c r="V268" i="13"/>
  <c r="Z300" i="13"/>
  <c r="Z268" i="13"/>
  <c r="I34" i="13"/>
  <c r="M34" i="13"/>
  <c r="Q34" i="13"/>
  <c r="U34" i="13"/>
  <c r="G288" i="13"/>
  <c r="G256" i="13"/>
  <c r="I68" i="13"/>
  <c r="M68" i="13"/>
  <c r="Q68" i="13"/>
  <c r="U68" i="13"/>
  <c r="I82" i="13"/>
  <c r="M82" i="13"/>
  <c r="Q82" i="13"/>
  <c r="U82" i="13"/>
  <c r="H161" i="13"/>
  <c r="H162" i="13"/>
  <c r="H163" i="13"/>
  <c r="H306" i="13"/>
  <c r="H274" i="13"/>
  <c r="L306" i="13"/>
  <c r="L274" i="13"/>
  <c r="P306" i="13"/>
  <c r="P274" i="13"/>
  <c r="T306" i="13"/>
  <c r="T274" i="13"/>
  <c r="X306" i="13"/>
  <c r="X274" i="13"/>
  <c r="I240" i="13"/>
  <c r="I227" i="13"/>
  <c r="M240" i="13"/>
  <c r="M227" i="13"/>
  <c r="Q240" i="13"/>
  <c r="Q227" i="13"/>
  <c r="U240" i="13"/>
  <c r="U227" i="13"/>
  <c r="Y240" i="13"/>
  <c r="Y227" i="13"/>
  <c r="I154" i="13"/>
  <c r="H157" i="13"/>
  <c r="I192" i="13"/>
  <c r="J306" i="13"/>
  <c r="J274" i="13"/>
  <c r="N306" i="13"/>
  <c r="N274" i="13"/>
  <c r="R306" i="13"/>
  <c r="R274" i="13"/>
  <c r="V306" i="13"/>
  <c r="AB306" i="13" s="1"/>
  <c r="V274" i="13"/>
  <c r="AB274" i="13" s="1"/>
  <c r="AB240" i="13"/>
  <c r="Z306" i="13"/>
  <c r="Z274" i="13"/>
  <c r="K240" i="13"/>
  <c r="K227" i="13"/>
  <c r="O240" i="13"/>
  <c r="O227" i="13"/>
  <c r="S240" i="13"/>
  <c r="S227" i="13"/>
  <c r="W240" i="13"/>
  <c r="W227" i="13"/>
  <c r="AA306" i="13"/>
  <c r="AA274" i="13"/>
  <c r="J227" i="13"/>
  <c r="N227" i="13"/>
  <c r="R227" i="13"/>
  <c r="V227" i="13"/>
  <c r="Z227" i="13"/>
  <c r="I302" i="13"/>
  <c r="I270" i="13"/>
  <c r="M302" i="13"/>
  <c r="M270" i="13"/>
  <c r="Q302" i="13"/>
  <c r="Q270" i="13"/>
  <c r="U302" i="13"/>
  <c r="U270" i="13"/>
  <c r="Y302" i="13"/>
  <c r="Y270" i="13"/>
  <c r="G289" i="13"/>
  <c r="G257" i="13"/>
  <c r="G293" i="13"/>
  <c r="G261" i="13"/>
  <c r="AA227" i="13"/>
  <c r="J270" i="13"/>
  <c r="J302" i="13"/>
  <c r="N270" i="13"/>
  <c r="N302" i="13"/>
  <c r="R270" i="13"/>
  <c r="R302" i="13"/>
  <c r="V302" i="13"/>
  <c r="V270" i="13"/>
  <c r="Z270" i="13"/>
  <c r="Z302" i="13"/>
  <c r="G238" i="13"/>
  <c r="G306" i="13"/>
  <c r="G274" i="13"/>
  <c r="G258" i="13"/>
  <c r="H227" i="13"/>
  <c r="L227" i="13"/>
  <c r="P227" i="13"/>
  <c r="T227" i="13"/>
  <c r="X227" i="13"/>
  <c r="G302" i="13"/>
  <c r="G270" i="13"/>
  <c r="K302" i="13"/>
  <c r="K270" i="13"/>
  <c r="O302" i="13"/>
  <c r="O270" i="13"/>
  <c r="S302" i="13"/>
  <c r="S270" i="13"/>
  <c r="W302" i="13"/>
  <c r="W270" i="13"/>
  <c r="AA302" i="13"/>
  <c r="AA270" i="13"/>
  <c r="G291" i="13"/>
  <c r="G259" i="13"/>
  <c r="H302" i="13"/>
  <c r="H270" i="13"/>
  <c r="L302" i="13"/>
  <c r="L270" i="13"/>
  <c r="P302" i="13"/>
  <c r="P270" i="13"/>
  <c r="T302" i="13"/>
  <c r="T270" i="13"/>
  <c r="X302" i="13"/>
  <c r="X270" i="13"/>
  <c r="G303" i="13"/>
  <c r="G271" i="13"/>
  <c r="G305" i="13"/>
  <c r="G273" i="13"/>
  <c r="G307" i="13"/>
  <c r="G275" i="13"/>
  <c r="X34" i="11"/>
  <c r="G301" i="11"/>
  <c r="G269" i="11"/>
  <c r="K301" i="11"/>
  <c r="K269" i="11"/>
  <c r="O301" i="11"/>
  <c r="O269" i="11"/>
  <c r="S301" i="11"/>
  <c r="S269" i="11"/>
  <c r="W301" i="11"/>
  <c r="W269" i="11"/>
  <c r="AA301" i="11"/>
  <c r="AA269" i="11"/>
  <c r="Y288" i="11"/>
  <c r="Y256" i="11"/>
  <c r="H301" i="11"/>
  <c r="H269" i="11"/>
  <c r="L301" i="11"/>
  <c r="L269" i="11"/>
  <c r="P301" i="11"/>
  <c r="P269" i="11"/>
  <c r="T301" i="11"/>
  <c r="T269" i="11"/>
  <c r="X301" i="11"/>
  <c r="X269" i="11"/>
  <c r="Z288" i="11"/>
  <c r="Z256" i="11"/>
  <c r="I301" i="11"/>
  <c r="I269" i="11"/>
  <c r="M301" i="11"/>
  <c r="M269" i="11"/>
  <c r="Q269" i="11"/>
  <c r="Q301" i="11"/>
  <c r="U301" i="11"/>
  <c r="U269" i="11"/>
  <c r="Y301" i="11"/>
  <c r="Y269" i="11"/>
  <c r="J301" i="11"/>
  <c r="J269" i="11"/>
  <c r="N301" i="11"/>
  <c r="N269" i="11"/>
  <c r="R301" i="11"/>
  <c r="R269" i="11"/>
  <c r="V301" i="11"/>
  <c r="V269" i="11"/>
  <c r="Z301" i="11"/>
  <c r="Z269" i="11"/>
  <c r="J300" i="11"/>
  <c r="J268" i="11"/>
  <c r="N300" i="11"/>
  <c r="N268" i="11"/>
  <c r="R300" i="11"/>
  <c r="R268" i="11"/>
  <c r="V268" i="11"/>
  <c r="V300" i="11"/>
  <c r="Z300" i="11"/>
  <c r="Z268" i="11"/>
  <c r="I34" i="11"/>
  <c r="M34" i="11"/>
  <c r="Q34" i="11"/>
  <c r="U34" i="11"/>
  <c r="Y34" i="11"/>
  <c r="G288" i="11"/>
  <c r="G256" i="11"/>
  <c r="W42" i="11"/>
  <c r="W222" i="11" s="1"/>
  <c r="AA42" i="11"/>
  <c r="AA222" i="11" s="1"/>
  <c r="Y45" i="11"/>
  <c r="I68" i="11"/>
  <c r="M68" i="11"/>
  <c r="Q68" i="11"/>
  <c r="U68" i="11"/>
  <c r="Y68" i="11"/>
  <c r="I82" i="11"/>
  <c r="M82" i="11"/>
  <c r="Q82" i="11"/>
  <c r="U82" i="11"/>
  <c r="Y82" i="11"/>
  <c r="G300" i="11"/>
  <c r="G268" i="11"/>
  <c r="K300" i="11"/>
  <c r="K268" i="11"/>
  <c r="O300" i="11"/>
  <c r="O268" i="11"/>
  <c r="S300" i="11"/>
  <c r="S268" i="11"/>
  <c r="W300" i="11"/>
  <c r="W268" i="11"/>
  <c r="AA300" i="11"/>
  <c r="AA268" i="11"/>
  <c r="J34" i="11"/>
  <c r="N34" i="11"/>
  <c r="R34" i="11"/>
  <c r="V34" i="11"/>
  <c r="Z34" i="11"/>
  <c r="X42" i="11"/>
  <c r="X222" i="11" s="1"/>
  <c r="Z45" i="11"/>
  <c r="J68" i="11"/>
  <c r="N68" i="11"/>
  <c r="R68" i="11"/>
  <c r="V68" i="11"/>
  <c r="Z68" i="11"/>
  <c r="J82" i="11"/>
  <c r="N82" i="11"/>
  <c r="R82" i="11"/>
  <c r="V82" i="11"/>
  <c r="Z82" i="11"/>
  <c r="H300" i="11"/>
  <c r="H268" i="11"/>
  <c r="L300" i="11"/>
  <c r="L268" i="11"/>
  <c r="P300" i="11"/>
  <c r="P268" i="11"/>
  <c r="T300" i="11"/>
  <c r="T268" i="11"/>
  <c r="X300" i="11"/>
  <c r="X268" i="11"/>
  <c r="G34" i="11"/>
  <c r="K34" i="11"/>
  <c r="O34" i="11"/>
  <c r="S34" i="11"/>
  <c r="W34" i="11"/>
  <c r="AA34" i="11"/>
  <c r="G68" i="11"/>
  <c r="K68" i="11"/>
  <c r="O68" i="11"/>
  <c r="S68" i="11"/>
  <c r="W68" i="11"/>
  <c r="AA68" i="11"/>
  <c r="G82" i="11"/>
  <c r="K82" i="11"/>
  <c r="O82" i="11"/>
  <c r="S82" i="11"/>
  <c r="W82" i="11"/>
  <c r="AA82" i="11"/>
  <c r="I300" i="11"/>
  <c r="I268" i="11"/>
  <c r="M300" i="11"/>
  <c r="M268" i="11"/>
  <c r="Q300" i="11"/>
  <c r="Q268" i="11"/>
  <c r="U300" i="11"/>
  <c r="U268" i="11"/>
  <c r="Y300" i="11"/>
  <c r="Y268" i="11"/>
  <c r="H34" i="11"/>
  <c r="L34" i="11"/>
  <c r="P34" i="11"/>
  <c r="T34" i="11"/>
  <c r="H68" i="11"/>
  <c r="L68" i="11"/>
  <c r="P68" i="11"/>
  <c r="T68" i="11"/>
  <c r="H82" i="11"/>
  <c r="L82" i="11"/>
  <c r="P82" i="11"/>
  <c r="T82" i="11"/>
  <c r="J133" i="11"/>
  <c r="I136" i="11"/>
  <c r="H163" i="11"/>
  <c r="H162" i="11"/>
  <c r="H161" i="11"/>
  <c r="H157" i="11"/>
  <c r="H150" i="11"/>
  <c r="I140" i="11"/>
  <c r="I141" i="11"/>
  <c r="I154" i="11"/>
  <c r="J192" i="11"/>
  <c r="I240" i="11"/>
  <c r="I227" i="11"/>
  <c r="M240" i="11"/>
  <c r="M227" i="11"/>
  <c r="Q240" i="11"/>
  <c r="Q227" i="11"/>
  <c r="U240" i="11"/>
  <c r="U227" i="11"/>
  <c r="Y240" i="11"/>
  <c r="Y227" i="11"/>
  <c r="N227" i="11"/>
  <c r="V227" i="11"/>
  <c r="J306" i="11"/>
  <c r="J274" i="11"/>
  <c r="N306" i="11"/>
  <c r="N274" i="11"/>
  <c r="R306" i="11"/>
  <c r="R274" i="11"/>
  <c r="V306" i="11"/>
  <c r="AB306" i="11" s="1"/>
  <c r="V274" i="11"/>
  <c r="AB274" i="11" s="1"/>
  <c r="AB240" i="11"/>
  <c r="Z306" i="11"/>
  <c r="Z274" i="11"/>
  <c r="H227" i="11"/>
  <c r="P227" i="11"/>
  <c r="X227" i="11"/>
  <c r="K240" i="11"/>
  <c r="K227" i="11"/>
  <c r="O240" i="11"/>
  <c r="O227" i="11"/>
  <c r="S240" i="11"/>
  <c r="S227" i="11"/>
  <c r="W240" i="11"/>
  <c r="W227" i="11"/>
  <c r="AA240" i="11"/>
  <c r="AA227" i="11"/>
  <c r="J227" i="11"/>
  <c r="R227" i="11"/>
  <c r="Z227" i="11"/>
  <c r="H306" i="11"/>
  <c r="H274" i="11"/>
  <c r="L306" i="11"/>
  <c r="L274" i="11"/>
  <c r="P306" i="11"/>
  <c r="P274" i="11"/>
  <c r="T306" i="11"/>
  <c r="T274" i="11"/>
  <c r="X306" i="11"/>
  <c r="X274" i="11"/>
  <c r="G290" i="11"/>
  <c r="G238" i="11"/>
  <c r="G258" i="11"/>
  <c r="L227" i="11"/>
  <c r="T227" i="11"/>
  <c r="G291" i="11"/>
  <c r="G259" i="11"/>
  <c r="H302" i="11"/>
  <c r="H270" i="11"/>
  <c r="L302" i="11"/>
  <c r="L270" i="11"/>
  <c r="P302" i="11"/>
  <c r="P270" i="11"/>
  <c r="T302" i="11"/>
  <c r="T270" i="11"/>
  <c r="X302" i="11"/>
  <c r="X270" i="11"/>
  <c r="G303" i="11"/>
  <c r="G271" i="11"/>
  <c r="G305" i="11"/>
  <c r="G273" i="11"/>
  <c r="G307" i="11"/>
  <c r="G275" i="11"/>
  <c r="I302" i="11"/>
  <c r="I270" i="11"/>
  <c r="M302" i="11"/>
  <c r="M270" i="11"/>
  <c r="Q302" i="11"/>
  <c r="Q270" i="11"/>
  <c r="U302" i="11"/>
  <c r="U270" i="11"/>
  <c r="Y302" i="11"/>
  <c r="Y270" i="11"/>
  <c r="G289" i="11"/>
  <c r="G257" i="11"/>
  <c r="G293" i="11"/>
  <c r="G261" i="11"/>
  <c r="J302" i="11"/>
  <c r="J270" i="11"/>
  <c r="N302" i="11"/>
  <c r="N270" i="11"/>
  <c r="R302" i="11"/>
  <c r="R270" i="11"/>
  <c r="V302" i="11"/>
  <c r="V270" i="11"/>
  <c r="Z302" i="11"/>
  <c r="Z270" i="11"/>
  <c r="G306" i="11"/>
  <c r="G274" i="11"/>
  <c r="G302" i="11"/>
  <c r="G270" i="11"/>
  <c r="K302" i="11"/>
  <c r="K270" i="11"/>
  <c r="O302" i="11"/>
  <c r="O270" i="11"/>
  <c r="S302" i="11"/>
  <c r="S270" i="11"/>
  <c r="W302" i="11"/>
  <c r="W270" i="11"/>
  <c r="AA302" i="11"/>
  <c r="AA270" i="11"/>
  <c r="W288" i="10"/>
  <c r="W256" i="10"/>
  <c r="AA288" i="10"/>
  <c r="AA256" i="10"/>
  <c r="H301" i="10"/>
  <c r="H269" i="10"/>
  <c r="P301" i="10"/>
  <c r="P269" i="10"/>
  <c r="X301" i="10"/>
  <c r="X269" i="10"/>
  <c r="T269" i="10"/>
  <c r="Y288" i="10"/>
  <c r="Y256" i="10"/>
  <c r="Z288" i="10"/>
  <c r="Z256" i="10"/>
  <c r="O300" i="10"/>
  <c r="O268" i="10"/>
  <c r="J300" i="10"/>
  <c r="J268" i="10"/>
  <c r="N300" i="10"/>
  <c r="N268" i="10"/>
  <c r="R300" i="10"/>
  <c r="R268" i="10"/>
  <c r="V300" i="10"/>
  <c r="V268" i="10"/>
  <c r="Z300" i="10"/>
  <c r="Z268" i="10"/>
  <c r="I34" i="10"/>
  <c r="M34" i="10"/>
  <c r="Q34" i="10"/>
  <c r="U34" i="10"/>
  <c r="Y34" i="10"/>
  <c r="G288" i="10"/>
  <c r="G256" i="10"/>
  <c r="Y45" i="10"/>
  <c r="J68" i="10"/>
  <c r="O68" i="10"/>
  <c r="U68" i="10"/>
  <c r="X82" i="10"/>
  <c r="G300" i="10"/>
  <c r="G268" i="10"/>
  <c r="AA300" i="10"/>
  <c r="AA268" i="10"/>
  <c r="R34" i="10"/>
  <c r="I301" i="10"/>
  <c r="I269" i="10"/>
  <c r="M301" i="10"/>
  <c r="M269" i="10"/>
  <c r="Q301" i="10"/>
  <c r="Q269" i="10"/>
  <c r="U301" i="10"/>
  <c r="U269" i="10"/>
  <c r="Y301" i="10"/>
  <c r="Y269" i="10"/>
  <c r="X68" i="10"/>
  <c r="T68" i="10"/>
  <c r="P68" i="10"/>
  <c r="L68" i="10"/>
  <c r="H68" i="10"/>
  <c r="K68" i="10"/>
  <c r="Q68" i="10"/>
  <c r="V68" i="10"/>
  <c r="AA68" i="10"/>
  <c r="AA85" i="10" s="1"/>
  <c r="AA82" i="10"/>
  <c r="W82" i="10"/>
  <c r="S82" i="10"/>
  <c r="O82" i="10"/>
  <c r="Q82" i="10"/>
  <c r="L301" i="10"/>
  <c r="L269" i="10"/>
  <c r="K300" i="10"/>
  <c r="K268" i="10"/>
  <c r="W300" i="10"/>
  <c r="W268" i="10"/>
  <c r="J34" i="10"/>
  <c r="V34" i="10"/>
  <c r="X42" i="10"/>
  <c r="X222" i="10" s="1"/>
  <c r="H300" i="10"/>
  <c r="H268" i="10"/>
  <c r="L300" i="10"/>
  <c r="L268" i="10"/>
  <c r="P268" i="10"/>
  <c r="P300" i="10"/>
  <c r="T268" i="10"/>
  <c r="T300" i="10"/>
  <c r="X300" i="10"/>
  <c r="X268" i="10"/>
  <c r="G34" i="10"/>
  <c r="K34" i="10"/>
  <c r="O34" i="10"/>
  <c r="S34" i="10"/>
  <c r="W34" i="10"/>
  <c r="AA34" i="10"/>
  <c r="J84" i="10"/>
  <c r="J235" i="10" s="1"/>
  <c r="N84" i="10"/>
  <c r="N235" i="10" s="1"/>
  <c r="R84" i="10"/>
  <c r="R235" i="10" s="1"/>
  <c r="V84" i="10"/>
  <c r="V235" i="10" s="1"/>
  <c r="Z84" i="10"/>
  <c r="Z235" i="10" s="1"/>
  <c r="G68" i="10"/>
  <c r="G85" i="10" s="1"/>
  <c r="M68" i="10"/>
  <c r="R68" i="10"/>
  <c r="W68" i="10"/>
  <c r="I82" i="10"/>
  <c r="U82" i="10"/>
  <c r="S300" i="10"/>
  <c r="S268" i="10"/>
  <c r="N34" i="10"/>
  <c r="I300" i="10"/>
  <c r="I268" i="10"/>
  <c r="M300" i="10"/>
  <c r="M268" i="10"/>
  <c r="Q300" i="10"/>
  <c r="Q268" i="10"/>
  <c r="U300" i="10"/>
  <c r="U268" i="10"/>
  <c r="Y300" i="10"/>
  <c r="Y268" i="10"/>
  <c r="H34" i="10"/>
  <c r="L34" i="10"/>
  <c r="P34" i="10"/>
  <c r="T34" i="10"/>
  <c r="G301" i="10"/>
  <c r="G269" i="10"/>
  <c r="K269" i="10"/>
  <c r="K301" i="10"/>
  <c r="O269" i="10"/>
  <c r="O301" i="10"/>
  <c r="S301" i="10"/>
  <c r="S269" i="10"/>
  <c r="W301" i="10"/>
  <c r="W269" i="10"/>
  <c r="AA269" i="10"/>
  <c r="AA301" i="10"/>
  <c r="I68" i="10"/>
  <c r="N68" i="10"/>
  <c r="S68" i="10"/>
  <c r="S85" i="10" s="1"/>
  <c r="Y68" i="10"/>
  <c r="K82" i="10"/>
  <c r="Y82" i="10"/>
  <c r="J82" i="10"/>
  <c r="N82" i="10"/>
  <c r="R82" i="10"/>
  <c r="V82" i="10"/>
  <c r="Z82" i="10"/>
  <c r="Z85" i="10" s="1"/>
  <c r="I103" i="10"/>
  <c r="J103" i="10" s="1"/>
  <c r="K103" i="10" s="1"/>
  <c r="L103" i="10" s="1"/>
  <c r="M103" i="10" s="1"/>
  <c r="N103" i="10" s="1"/>
  <c r="O103" i="10" s="1"/>
  <c r="P103" i="10" s="1"/>
  <c r="Q103" i="10" s="1"/>
  <c r="R103" i="10" s="1"/>
  <c r="S103" i="10" s="1"/>
  <c r="T103" i="10" s="1"/>
  <c r="U103" i="10" s="1"/>
  <c r="V103" i="10" s="1"/>
  <c r="W103" i="10" s="1"/>
  <c r="X103" i="10" s="1"/>
  <c r="Y103" i="10" s="1"/>
  <c r="Z103" i="10" s="1"/>
  <c r="AA103" i="10" s="1"/>
  <c r="I142" i="10"/>
  <c r="I141" i="10"/>
  <c r="I140" i="10"/>
  <c r="I136" i="10"/>
  <c r="J133" i="10"/>
  <c r="H150" i="10"/>
  <c r="H82" i="10"/>
  <c r="L82" i="10"/>
  <c r="P82" i="10"/>
  <c r="T82" i="10"/>
  <c r="H119" i="10"/>
  <c r="H120" i="10"/>
  <c r="H171" i="10"/>
  <c r="I185" i="10"/>
  <c r="J192" i="10"/>
  <c r="H240" i="10"/>
  <c r="H227" i="10"/>
  <c r="L240" i="10"/>
  <c r="L227" i="10"/>
  <c r="P240" i="10"/>
  <c r="P227" i="10"/>
  <c r="T240" i="10"/>
  <c r="T227" i="10"/>
  <c r="X240" i="10"/>
  <c r="X227" i="10"/>
  <c r="J227" i="10"/>
  <c r="J240" i="10"/>
  <c r="N240" i="10"/>
  <c r="N227" i="10"/>
  <c r="R227" i="10"/>
  <c r="R240" i="10"/>
  <c r="V240" i="10"/>
  <c r="V227" i="10"/>
  <c r="Z227" i="10"/>
  <c r="Z240" i="10"/>
  <c r="K306" i="10"/>
  <c r="K274" i="10"/>
  <c r="O274" i="10"/>
  <c r="O306" i="10"/>
  <c r="S274" i="10"/>
  <c r="S306" i="10"/>
  <c r="W306" i="10"/>
  <c r="W274" i="10"/>
  <c r="AA306" i="10"/>
  <c r="AA274" i="10"/>
  <c r="G290" i="10"/>
  <c r="G258" i="10"/>
  <c r="G238" i="10"/>
  <c r="Q261" i="10"/>
  <c r="G291" i="10"/>
  <c r="G259" i="10"/>
  <c r="U261" i="10"/>
  <c r="I302" i="10"/>
  <c r="I270" i="10"/>
  <c r="Q302" i="10"/>
  <c r="Q270" i="10"/>
  <c r="Y302" i="10"/>
  <c r="Y270" i="10"/>
  <c r="G261" i="10"/>
  <c r="W261" i="10"/>
  <c r="M270" i="10"/>
  <c r="I306" i="10"/>
  <c r="I274" i="10"/>
  <c r="M306" i="10"/>
  <c r="M274" i="10"/>
  <c r="Q306" i="10"/>
  <c r="Q274" i="10"/>
  <c r="U306" i="10"/>
  <c r="U274" i="10"/>
  <c r="Y306" i="10"/>
  <c r="Y274" i="10"/>
  <c r="J270" i="10"/>
  <c r="J302" i="10"/>
  <c r="N302" i="10"/>
  <c r="N270" i="10"/>
  <c r="R302" i="10"/>
  <c r="R270" i="10"/>
  <c r="V270" i="10"/>
  <c r="V302" i="10"/>
  <c r="Z270" i="10"/>
  <c r="Z302" i="10"/>
  <c r="I261" i="10"/>
  <c r="Y261" i="10"/>
  <c r="G289" i="10"/>
  <c r="G257" i="10"/>
  <c r="K293" i="10"/>
  <c r="K261" i="10"/>
  <c r="S293" i="10"/>
  <c r="S261" i="10"/>
  <c r="AA293" i="10"/>
  <c r="AA261" i="10"/>
  <c r="G306" i="10"/>
  <c r="G274" i="10"/>
  <c r="O261" i="10"/>
  <c r="U270" i="10"/>
  <c r="H302" i="10"/>
  <c r="H270" i="10"/>
  <c r="L302" i="10"/>
  <c r="L270" i="10"/>
  <c r="P302" i="10"/>
  <c r="P270" i="10"/>
  <c r="T302" i="10"/>
  <c r="T270" i="10"/>
  <c r="X302" i="10"/>
  <c r="X270" i="10"/>
  <c r="G303" i="10"/>
  <c r="G271" i="10"/>
  <c r="G305" i="10"/>
  <c r="G273" i="10"/>
  <c r="K270" i="10"/>
  <c r="S270" i="10"/>
  <c r="AA270" i="10"/>
  <c r="G275" i="10"/>
  <c r="N85" i="11" l="1"/>
  <c r="I161" i="10"/>
  <c r="I162" i="14"/>
  <c r="H149" i="14"/>
  <c r="M261" i="10"/>
  <c r="I162" i="10"/>
  <c r="I171" i="10" s="1"/>
  <c r="I161" i="14"/>
  <c r="I157" i="14"/>
  <c r="I163" i="10"/>
  <c r="J154" i="14"/>
  <c r="J154" i="10"/>
  <c r="L85" i="13"/>
  <c r="P85" i="16"/>
  <c r="V85" i="11"/>
  <c r="H85" i="16"/>
  <c r="Q150" i="21"/>
  <c r="H171" i="11"/>
  <c r="Y85" i="11"/>
  <c r="Z85" i="16"/>
  <c r="J112" i="10"/>
  <c r="J120" i="10" s="1"/>
  <c r="I120" i="10"/>
  <c r="I119" i="10"/>
  <c r="I115" i="10"/>
  <c r="I150" i="10"/>
  <c r="R170" i="21"/>
  <c r="H171" i="14"/>
  <c r="N85" i="10"/>
  <c r="M85" i="10"/>
  <c r="I150" i="11"/>
  <c r="H149" i="13"/>
  <c r="I140" i="14"/>
  <c r="I150" i="14" s="1"/>
  <c r="I136" i="14"/>
  <c r="N85" i="14"/>
  <c r="I171" i="16"/>
  <c r="X85" i="11"/>
  <c r="W85" i="10"/>
  <c r="H171" i="13"/>
  <c r="N85" i="13"/>
  <c r="Y85" i="14"/>
  <c r="S192" i="21"/>
  <c r="R171" i="21"/>
  <c r="R142" i="21"/>
  <c r="R141" i="21"/>
  <c r="R140" i="21"/>
  <c r="R136" i="21"/>
  <c r="S133" i="21"/>
  <c r="Q149" i="21"/>
  <c r="T185" i="21"/>
  <c r="S163" i="21"/>
  <c r="S162" i="21"/>
  <c r="S161" i="21"/>
  <c r="S157" i="21"/>
  <c r="T154" i="21"/>
  <c r="H129" i="10"/>
  <c r="X85" i="10"/>
  <c r="U85" i="10"/>
  <c r="Q85" i="11"/>
  <c r="I85" i="11"/>
  <c r="S85" i="13"/>
  <c r="T85" i="13"/>
  <c r="V85" i="13"/>
  <c r="W85" i="13"/>
  <c r="G85" i="13"/>
  <c r="G226" i="13" s="1"/>
  <c r="G230" i="13" s="1"/>
  <c r="G231" i="13" s="1"/>
  <c r="G242" i="13" s="1"/>
  <c r="G243" i="13" s="1"/>
  <c r="W85" i="14"/>
  <c r="G85" i="14"/>
  <c r="G226" i="14" s="1"/>
  <c r="G230" i="14" s="1"/>
  <c r="G231" i="14" s="1"/>
  <c r="G242" i="14" s="1"/>
  <c r="V85" i="14"/>
  <c r="T85" i="14"/>
  <c r="L85" i="14"/>
  <c r="N293" i="16"/>
  <c r="N261" i="16"/>
  <c r="U306" i="16"/>
  <c r="U274" i="16"/>
  <c r="M306" i="16"/>
  <c r="M274" i="16"/>
  <c r="L293" i="16"/>
  <c r="L261" i="16"/>
  <c r="R293" i="16"/>
  <c r="R261" i="16"/>
  <c r="W293" i="16"/>
  <c r="W261" i="16"/>
  <c r="O293" i="16"/>
  <c r="O261" i="16"/>
  <c r="X293" i="16"/>
  <c r="X261" i="16"/>
  <c r="V85" i="16"/>
  <c r="Q85" i="16"/>
  <c r="T85" i="16"/>
  <c r="S85" i="16"/>
  <c r="Y293" i="16"/>
  <c r="Y261" i="16"/>
  <c r="Q293" i="16"/>
  <c r="Q261" i="16"/>
  <c r="I293" i="16"/>
  <c r="I261" i="16"/>
  <c r="G304" i="16"/>
  <c r="G272" i="16"/>
  <c r="J293" i="16"/>
  <c r="J261" i="16"/>
  <c r="W306" i="16"/>
  <c r="W274" i="16"/>
  <c r="O306" i="16"/>
  <c r="O274" i="16"/>
  <c r="P293" i="16"/>
  <c r="P261" i="16"/>
  <c r="I170" i="16"/>
  <c r="I136" i="16"/>
  <c r="J133" i="16"/>
  <c r="I142" i="16"/>
  <c r="I141" i="16"/>
  <c r="I140" i="16"/>
  <c r="R85" i="16"/>
  <c r="Z288" i="16"/>
  <c r="Z256" i="16"/>
  <c r="O85" i="16"/>
  <c r="Y274" i="16"/>
  <c r="Y306" i="16"/>
  <c r="Q306" i="16"/>
  <c r="Q274" i="16"/>
  <c r="I274" i="16"/>
  <c r="I306" i="16"/>
  <c r="J192" i="16"/>
  <c r="AA293" i="16"/>
  <c r="AA261" i="16"/>
  <c r="S293" i="16"/>
  <c r="S261" i="16"/>
  <c r="K293" i="16"/>
  <c r="K261" i="16"/>
  <c r="H293" i="16"/>
  <c r="H261" i="16"/>
  <c r="K185" i="16"/>
  <c r="K154" i="16"/>
  <c r="J163" i="16"/>
  <c r="J161" i="16"/>
  <c r="J157" i="16"/>
  <c r="J162" i="16"/>
  <c r="H149" i="16"/>
  <c r="N85" i="16"/>
  <c r="H150" i="16"/>
  <c r="Y85" i="16"/>
  <c r="I85" i="16"/>
  <c r="L85" i="16"/>
  <c r="AA85" i="16"/>
  <c r="K85" i="16"/>
  <c r="Y288" i="16"/>
  <c r="Y256" i="16"/>
  <c r="V293" i="16"/>
  <c r="V261" i="16"/>
  <c r="U293" i="16"/>
  <c r="U261" i="16"/>
  <c r="M293" i="16"/>
  <c r="M261" i="16"/>
  <c r="T293" i="16"/>
  <c r="T261" i="16"/>
  <c r="Z293" i="16"/>
  <c r="Z261" i="16"/>
  <c r="AA306" i="16"/>
  <c r="AA274" i="16"/>
  <c r="S306" i="16"/>
  <c r="S274" i="16"/>
  <c r="K306" i="16"/>
  <c r="K274" i="16"/>
  <c r="J85" i="16"/>
  <c r="W85" i="16"/>
  <c r="G85" i="16"/>
  <c r="G226" i="16" s="1"/>
  <c r="P293" i="14"/>
  <c r="P261" i="14"/>
  <c r="AA293" i="14"/>
  <c r="AA261" i="14"/>
  <c r="Y306" i="14"/>
  <c r="Y274" i="14"/>
  <c r="R293" i="14"/>
  <c r="R261" i="14"/>
  <c r="I170" i="14"/>
  <c r="I171" i="14"/>
  <c r="I85" i="14"/>
  <c r="P85" i="14"/>
  <c r="Z85" i="14"/>
  <c r="J85" i="14"/>
  <c r="X288" i="14"/>
  <c r="X256" i="14"/>
  <c r="U293" i="14"/>
  <c r="U261" i="14"/>
  <c r="G304" i="14"/>
  <c r="G272" i="14"/>
  <c r="L293" i="14"/>
  <c r="L261" i="14"/>
  <c r="W293" i="14"/>
  <c r="W261" i="14"/>
  <c r="O306" i="14"/>
  <c r="O274" i="14"/>
  <c r="N293" i="14"/>
  <c r="N261" i="14"/>
  <c r="J185" i="14"/>
  <c r="U85" i="14"/>
  <c r="S85" i="14"/>
  <c r="M293" i="14"/>
  <c r="M261" i="14"/>
  <c r="X293" i="14"/>
  <c r="X261" i="14"/>
  <c r="H293" i="14"/>
  <c r="H261" i="14"/>
  <c r="Q306" i="14"/>
  <c r="Q274" i="14"/>
  <c r="S293" i="14"/>
  <c r="S261" i="14"/>
  <c r="Z293" i="14"/>
  <c r="Z261" i="14"/>
  <c r="J293" i="14"/>
  <c r="J261" i="14"/>
  <c r="J163" i="14"/>
  <c r="J162" i="14"/>
  <c r="J161" i="14"/>
  <c r="J157" i="14"/>
  <c r="K154" i="14"/>
  <c r="Q85" i="14"/>
  <c r="J136" i="14"/>
  <c r="K133" i="14"/>
  <c r="J142" i="14"/>
  <c r="J141" i="14"/>
  <c r="J140" i="14"/>
  <c r="X85" i="14"/>
  <c r="H85" i="14"/>
  <c r="O85" i="14"/>
  <c r="R85" i="14"/>
  <c r="T293" i="14"/>
  <c r="T261" i="14"/>
  <c r="J192" i="14"/>
  <c r="I306" i="14"/>
  <c r="I274" i="14"/>
  <c r="K293" i="14"/>
  <c r="K261" i="14"/>
  <c r="V293" i="14"/>
  <c r="V261" i="14"/>
  <c r="M85" i="14"/>
  <c r="I149" i="14"/>
  <c r="AA85" i="14"/>
  <c r="K85" i="14"/>
  <c r="Y288" i="14"/>
  <c r="Y256" i="14"/>
  <c r="X293" i="13"/>
  <c r="X261" i="13"/>
  <c r="H293" i="13"/>
  <c r="H261" i="13"/>
  <c r="G304" i="13"/>
  <c r="G272" i="13"/>
  <c r="R293" i="13"/>
  <c r="R261" i="13"/>
  <c r="S306" i="13"/>
  <c r="S274" i="13"/>
  <c r="K306" i="13"/>
  <c r="K274" i="13"/>
  <c r="J192" i="13"/>
  <c r="Y306" i="13"/>
  <c r="Y274" i="13"/>
  <c r="Q306" i="13"/>
  <c r="Q274" i="13"/>
  <c r="I306" i="13"/>
  <c r="I274" i="13"/>
  <c r="I85" i="13"/>
  <c r="X85" i="13"/>
  <c r="H85" i="13"/>
  <c r="H150" i="13"/>
  <c r="Z85" i="13"/>
  <c r="J85" i="13"/>
  <c r="X288" i="13"/>
  <c r="X256" i="13"/>
  <c r="T293" i="13"/>
  <c r="T261" i="13"/>
  <c r="N293" i="13"/>
  <c r="N261" i="13"/>
  <c r="W293" i="13"/>
  <c r="W261" i="13"/>
  <c r="O293" i="13"/>
  <c r="O261" i="13"/>
  <c r="U293" i="13"/>
  <c r="U261" i="13"/>
  <c r="M293" i="13"/>
  <c r="M261" i="13"/>
  <c r="U85" i="13"/>
  <c r="P293" i="13"/>
  <c r="P261" i="13"/>
  <c r="Z293" i="13"/>
  <c r="Z261" i="13"/>
  <c r="J293" i="13"/>
  <c r="J261" i="13"/>
  <c r="W274" i="13"/>
  <c r="W306" i="13"/>
  <c r="O274" i="13"/>
  <c r="O306" i="13"/>
  <c r="I157" i="13"/>
  <c r="J154" i="13"/>
  <c r="I163" i="13"/>
  <c r="I162" i="13"/>
  <c r="I161" i="13"/>
  <c r="U306" i="13"/>
  <c r="U274" i="13"/>
  <c r="M306" i="13"/>
  <c r="M274" i="13"/>
  <c r="H170" i="13"/>
  <c r="Q85" i="13"/>
  <c r="P85" i="13"/>
  <c r="O85" i="13"/>
  <c r="I142" i="13"/>
  <c r="I141" i="13"/>
  <c r="I140" i="13"/>
  <c r="I136" i="13"/>
  <c r="J133" i="13"/>
  <c r="R85" i="13"/>
  <c r="L293" i="13"/>
  <c r="L261" i="13"/>
  <c r="AA293" i="13"/>
  <c r="AA261" i="13"/>
  <c r="V293" i="13"/>
  <c r="V261" i="13"/>
  <c r="S293" i="13"/>
  <c r="S261" i="13"/>
  <c r="K293" i="13"/>
  <c r="K261" i="13"/>
  <c r="Y293" i="13"/>
  <c r="Y261" i="13"/>
  <c r="Q293" i="13"/>
  <c r="Q261" i="13"/>
  <c r="I293" i="13"/>
  <c r="I261" i="13"/>
  <c r="M85" i="13"/>
  <c r="AA85" i="13"/>
  <c r="K85" i="13"/>
  <c r="Y288" i="13"/>
  <c r="Y256" i="13"/>
  <c r="T293" i="11"/>
  <c r="T261" i="11"/>
  <c r="R293" i="11"/>
  <c r="R261" i="11"/>
  <c r="W293" i="11"/>
  <c r="W261" i="11"/>
  <c r="O293" i="11"/>
  <c r="O261" i="11"/>
  <c r="X293" i="11"/>
  <c r="X261" i="11"/>
  <c r="Y293" i="11"/>
  <c r="Y261" i="11"/>
  <c r="Q293" i="11"/>
  <c r="Q261" i="11"/>
  <c r="I293" i="11"/>
  <c r="I261" i="11"/>
  <c r="I149" i="11"/>
  <c r="H170" i="11"/>
  <c r="L85" i="11"/>
  <c r="O85" i="11"/>
  <c r="R85" i="11"/>
  <c r="X288" i="11"/>
  <c r="X256" i="11"/>
  <c r="M85" i="11"/>
  <c r="AA288" i="11"/>
  <c r="AA256" i="11"/>
  <c r="L293" i="11"/>
  <c r="L261" i="11"/>
  <c r="J293" i="11"/>
  <c r="J261" i="11"/>
  <c r="W306" i="11"/>
  <c r="W274" i="11"/>
  <c r="O306" i="11"/>
  <c r="O274" i="11"/>
  <c r="P293" i="11"/>
  <c r="P261" i="11"/>
  <c r="Y306" i="11"/>
  <c r="Y274" i="11"/>
  <c r="Q306" i="11"/>
  <c r="Q274" i="11"/>
  <c r="I306" i="11"/>
  <c r="I274" i="11"/>
  <c r="J142" i="11"/>
  <c r="J141" i="11"/>
  <c r="J140" i="11"/>
  <c r="J136" i="11"/>
  <c r="K133" i="11"/>
  <c r="H85" i="11"/>
  <c r="AA85" i="11"/>
  <c r="K85" i="11"/>
  <c r="W288" i="11"/>
  <c r="W256" i="11"/>
  <c r="AA293" i="11"/>
  <c r="AA261" i="11"/>
  <c r="S293" i="11"/>
  <c r="S261" i="11"/>
  <c r="K293" i="11"/>
  <c r="K261" i="11"/>
  <c r="H293" i="11"/>
  <c r="H261" i="11"/>
  <c r="V293" i="11"/>
  <c r="V261" i="11"/>
  <c r="U293" i="11"/>
  <c r="U261" i="11"/>
  <c r="M293" i="11"/>
  <c r="M261" i="11"/>
  <c r="K192" i="11"/>
  <c r="I163" i="11"/>
  <c r="J154" i="11"/>
  <c r="I161" i="11"/>
  <c r="I157" i="11"/>
  <c r="I162" i="11"/>
  <c r="T85" i="11"/>
  <c r="W85" i="11"/>
  <c r="G85" i="11"/>
  <c r="G226" i="11" s="1"/>
  <c r="Z85" i="11"/>
  <c r="J85" i="11"/>
  <c r="U85" i="11"/>
  <c r="G304" i="11"/>
  <c r="G272" i="11"/>
  <c r="Z293" i="11"/>
  <c r="Z261" i="11"/>
  <c r="AA306" i="11"/>
  <c r="AA274" i="11"/>
  <c r="S306" i="11"/>
  <c r="S274" i="11"/>
  <c r="K306" i="11"/>
  <c r="K274" i="11"/>
  <c r="N293" i="11"/>
  <c r="N261" i="11"/>
  <c r="U306" i="11"/>
  <c r="U274" i="11"/>
  <c r="M306" i="11"/>
  <c r="M274" i="11"/>
  <c r="P85" i="11"/>
  <c r="S85" i="11"/>
  <c r="R306" i="10"/>
  <c r="R274" i="10"/>
  <c r="T261" i="10"/>
  <c r="T293" i="10"/>
  <c r="V293" i="10"/>
  <c r="V261" i="10"/>
  <c r="N293" i="10"/>
  <c r="N261" i="10"/>
  <c r="X261" i="10"/>
  <c r="X293" i="10"/>
  <c r="P293" i="10"/>
  <c r="P261" i="10"/>
  <c r="H293" i="10"/>
  <c r="H261" i="10"/>
  <c r="J185" i="10"/>
  <c r="J141" i="10"/>
  <c r="K133" i="10"/>
  <c r="J142" i="10"/>
  <c r="J140" i="10"/>
  <c r="J136" i="10"/>
  <c r="Y85" i="10"/>
  <c r="R301" i="10"/>
  <c r="R269" i="10"/>
  <c r="G226" i="10"/>
  <c r="X288" i="10"/>
  <c r="X256" i="10"/>
  <c r="K85" i="10"/>
  <c r="T85" i="10"/>
  <c r="G304" i="10"/>
  <c r="G272" i="10"/>
  <c r="V306" i="10"/>
  <c r="AB306" i="10" s="1"/>
  <c r="V274" i="10"/>
  <c r="AB274" i="10" s="1"/>
  <c r="AB240" i="10"/>
  <c r="N306" i="10"/>
  <c r="N274" i="10"/>
  <c r="X306" i="10"/>
  <c r="X274" i="10"/>
  <c r="P306" i="10"/>
  <c r="P274" i="10"/>
  <c r="H306" i="10"/>
  <c r="H274" i="10"/>
  <c r="J162" i="10"/>
  <c r="K154" i="10"/>
  <c r="J163" i="10"/>
  <c r="J161" i="10"/>
  <c r="J157" i="10"/>
  <c r="N301" i="10"/>
  <c r="N269" i="10"/>
  <c r="H85" i="10"/>
  <c r="K192" i="10"/>
  <c r="Z301" i="10"/>
  <c r="Z269" i="10"/>
  <c r="J301" i="10"/>
  <c r="J269" i="10"/>
  <c r="V85" i="10"/>
  <c r="L85" i="10"/>
  <c r="O85" i="10"/>
  <c r="Z306" i="10"/>
  <c r="Z274" i="10"/>
  <c r="J306" i="10"/>
  <c r="J274" i="10"/>
  <c r="L261" i="10"/>
  <c r="L293" i="10"/>
  <c r="Z293" i="10"/>
  <c r="Z261" i="10"/>
  <c r="R293" i="10"/>
  <c r="R261" i="10"/>
  <c r="J293" i="10"/>
  <c r="J261" i="10"/>
  <c r="T306" i="10"/>
  <c r="T274" i="10"/>
  <c r="L306" i="10"/>
  <c r="L274" i="10"/>
  <c r="H128" i="10"/>
  <c r="I149" i="10"/>
  <c r="I85" i="10"/>
  <c r="R85" i="10"/>
  <c r="V301" i="10"/>
  <c r="V269" i="10"/>
  <c r="Q85" i="10"/>
  <c r="P85" i="10"/>
  <c r="J85" i="10"/>
  <c r="G243" i="14" l="1"/>
  <c r="G244" i="14" s="1"/>
  <c r="J119" i="10"/>
  <c r="I150" i="13"/>
  <c r="I170" i="10"/>
  <c r="J150" i="11"/>
  <c r="J170" i="14"/>
  <c r="I149" i="16"/>
  <c r="J150" i="14"/>
  <c r="J170" i="16"/>
  <c r="J121" i="10"/>
  <c r="J115" i="10"/>
  <c r="K112" i="10"/>
  <c r="K121" i="10" s="1"/>
  <c r="I129" i="10"/>
  <c r="I128" i="10"/>
  <c r="I171" i="13"/>
  <c r="S171" i="21"/>
  <c r="J170" i="10"/>
  <c r="G292" i="13"/>
  <c r="I170" i="11"/>
  <c r="R150" i="21"/>
  <c r="J129" i="10"/>
  <c r="S170" i="21"/>
  <c r="S142" i="21"/>
  <c r="S141" i="21"/>
  <c r="S140" i="21"/>
  <c r="S136" i="21"/>
  <c r="T133" i="21"/>
  <c r="U185" i="21"/>
  <c r="T163" i="21"/>
  <c r="T162" i="21"/>
  <c r="T161" i="21"/>
  <c r="T157" i="21"/>
  <c r="U154" i="21"/>
  <c r="T192" i="21"/>
  <c r="R149" i="21"/>
  <c r="G292" i="14"/>
  <c r="G260" i="14"/>
  <c r="G292" i="16"/>
  <c r="G260" i="16"/>
  <c r="G230" i="16"/>
  <c r="G231" i="16" s="1"/>
  <c r="G242" i="16" s="1"/>
  <c r="J142" i="16"/>
  <c r="J141" i="16"/>
  <c r="J140" i="16"/>
  <c r="J136" i="16"/>
  <c r="K133" i="16"/>
  <c r="K157" i="16"/>
  <c r="L154" i="16"/>
  <c r="K163" i="16"/>
  <c r="K162" i="16"/>
  <c r="K161" i="16"/>
  <c r="K192" i="16"/>
  <c r="J171" i="16"/>
  <c r="I150" i="16"/>
  <c r="L185" i="16"/>
  <c r="J149" i="14"/>
  <c r="K157" i="14"/>
  <c r="L154" i="14"/>
  <c r="K163" i="14"/>
  <c r="K162" i="14"/>
  <c r="K161" i="14"/>
  <c r="K192" i="14"/>
  <c r="J171" i="14"/>
  <c r="K185" i="14"/>
  <c r="K142" i="14"/>
  <c r="K141" i="14"/>
  <c r="K140" i="14"/>
  <c r="K136" i="14"/>
  <c r="L133" i="14"/>
  <c r="G244" i="13"/>
  <c r="G260" i="13"/>
  <c r="I149" i="13"/>
  <c r="I170" i="13"/>
  <c r="K192" i="13"/>
  <c r="J136" i="13"/>
  <c r="K133" i="13"/>
  <c r="J142" i="13"/>
  <c r="J141" i="13"/>
  <c r="J140" i="13"/>
  <c r="J163" i="13"/>
  <c r="J162" i="13"/>
  <c r="J161" i="13"/>
  <c r="J157" i="13"/>
  <c r="K154" i="13"/>
  <c r="G292" i="11"/>
  <c r="G260" i="11"/>
  <c r="G230" i="11"/>
  <c r="G231" i="11" s="1"/>
  <c r="G242" i="11" s="1"/>
  <c r="L192" i="11"/>
  <c r="K136" i="11"/>
  <c r="L133" i="11"/>
  <c r="K142" i="11"/>
  <c r="K141" i="11"/>
  <c r="K140" i="11"/>
  <c r="J157" i="11"/>
  <c r="K154" i="11"/>
  <c r="J163" i="11"/>
  <c r="J162" i="11"/>
  <c r="J161" i="11"/>
  <c r="I171" i="11"/>
  <c r="J149" i="11"/>
  <c r="L192" i="10"/>
  <c r="K163" i="10"/>
  <c r="K162" i="10"/>
  <c r="K161" i="10"/>
  <c r="K157" i="10"/>
  <c r="L154" i="10"/>
  <c r="K185" i="10"/>
  <c r="K136" i="10"/>
  <c r="L133" i="10"/>
  <c r="K142" i="10"/>
  <c r="K141" i="10"/>
  <c r="K140" i="10"/>
  <c r="J171" i="10"/>
  <c r="J128" i="10"/>
  <c r="K120" i="10"/>
  <c r="G292" i="10"/>
  <c r="G260" i="10"/>
  <c r="G230" i="10"/>
  <c r="G231" i="10" s="1"/>
  <c r="G242" i="10" s="1"/>
  <c r="J149" i="10"/>
  <c r="J150" i="10"/>
  <c r="J150" i="16" l="1"/>
  <c r="J170" i="11"/>
  <c r="K171" i="16"/>
  <c r="K171" i="10"/>
  <c r="T171" i="21"/>
  <c r="K171" i="14"/>
  <c r="K115" i="10"/>
  <c r="K119" i="10"/>
  <c r="K128" i="10" s="1"/>
  <c r="L112" i="10"/>
  <c r="L120" i="10" s="1"/>
  <c r="K150" i="10"/>
  <c r="J150" i="13"/>
  <c r="K149" i="14"/>
  <c r="S150" i="21"/>
  <c r="J170" i="13"/>
  <c r="T136" i="21"/>
  <c r="U133" i="21"/>
  <c r="T142" i="21"/>
  <c r="T141" i="21"/>
  <c r="T140" i="21"/>
  <c r="U157" i="21"/>
  <c r="V154" i="21"/>
  <c r="U163" i="21"/>
  <c r="U162" i="21"/>
  <c r="U161" i="21"/>
  <c r="V185" i="21"/>
  <c r="U192" i="21"/>
  <c r="T170" i="21"/>
  <c r="S149" i="21"/>
  <c r="K142" i="16"/>
  <c r="K141" i="16"/>
  <c r="K140" i="16"/>
  <c r="K136" i="16"/>
  <c r="L133" i="16"/>
  <c r="L192" i="16"/>
  <c r="G243" i="16"/>
  <c r="G244" i="16" s="1"/>
  <c r="L163" i="16"/>
  <c r="L161" i="16"/>
  <c r="L157" i="16"/>
  <c r="L162" i="16"/>
  <c r="M154" i="16"/>
  <c r="J149" i="16"/>
  <c r="M185" i="16"/>
  <c r="K170" i="16"/>
  <c r="K150" i="14"/>
  <c r="K170" i="14"/>
  <c r="L157" i="14"/>
  <c r="M154" i="14"/>
  <c r="L163" i="14"/>
  <c r="L162" i="14"/>
  <c r="L161" i="14"/>
  <c r="L185" i="14"/>
  <c r="L192" i="14"/>
  <c r="L142" i="14"/>
  <c r="L141" i="14"/>
  <c r="L140" i="14"/>
  <c r="M133" i="14"/>
  <c r="L136" i="14"/>
  <c r="K163" i="13"/>
  <c r="K162" i="13"/>
  <c r="K161" i="13"/>
  <c r="K170" i="13" s="1"/>
  <c r="K157" i="13"/>
  <c r="L154" i="13"/>
  <c r="J149" i="13"/>
  <c r="L192" i="13"/>
  <c r="J171" i="13"/>
  <c r="K142" i="13"/>
  <c r="K141" i="13"/>
  <c r="K140" i="13"/>
  <c r="K149" i="13" s="1"/>
  <c r="L133" i="13"/>
  <c r="K136" i="13"/>
  <c r="M192" i="11"/>
  <c r="J171" i="11"/>
  <c r="L136" i="11"/>
  <c r="M133" i="11"/>
  <c r="L142" i="11"/>
  <c r="L141" i="11"/>
  <c r="L140" i="11"/>
  <c r="K149" i="11"/>
  <c r="K163" i="11"/>
  <c r="K162" i="11"/>
  <c r="K161" i="11"/>
  <c r="K157" i="11"/>
  <c r="L154" i="11"/>
  <c r="K150" i="11"/>
  <c r="G243" i="11"/>
  <c r="G244" i="11" s="1"/>
  <c r="G243" i="10"/>
  <c r="G244" i="10" s="1"/>
  <c r="L121" i="10"/>
  <c r="L115" i="10"/>
  <c r="M112" i="10"/>
  <c r="K149" i="10"/>
  <c r="K170" i="10"/>
  <c r="M154" i="10"/>
  <c r="L163" i="10"/>
  <c r="L161" i="10"/>
  <c r="L157" i="10"/>
  <c r="L162" i="10"/>
  <c r="L185" i="10"/>
  <c r="L141" i="10"/>
  <c r="M133" i="10"/>
  <c r="L142" i="10"/>
  <c r="L140" i="10"/>
  <c r="L136" i="10"/>
  <c r="M192" i="10"/>
  <c r="L119" i="10" l="1"/>
  <c r="L129" i="10" s="1"/>
  <c r="K170" i="11"/>
  <c r="K150" i="16"/>
  <c r="L171" i="10"/>
  <c r="L149" i="14"/>
  <c r="L170" i="16"/>
  <c r="T149" i="21"/>
  <c r="U170" i="21"/>
  <c r="K129" i="10"/>
  <c r="L149" i="10"/>
  <c r="L171" i="14"/>
  <c r="L150" i="11"/>
  <c r="V192" i="21"/>
  <c r="V157" i="21"/>
  <c r="W154" i="21"/>
  <c r="V163" i="21"/>
  <c r="V162" i="21"/>
  <c r="V161" i="21"/>
  <c r="U136" i="21"/>
  <c r="U142" i="21"/>
  <c r="U141" i="21"/>
  <c r="V133" i="21"/>
  <c r="U140" i="21"/>
  <c r="W185" i="21"/>
  <c r="U171" i="21"/>
  <c r="T150" i="21"/>
  <c r="M163" i="16"/>
  <c r="M162" i="16"/>
  <c r="M161" i="16"/>
  <c r="M157" i="16"/>
  <c r="N154" i="16"/>
  <c r="L171" i="16"/>
  <c r="M192" i="16"/>
  <c r="K149" i="16"/>
  <c r="N185" i="16"/>
  <c r="L136" i="16"/>
  <c r="M133" i="16"/>
  <c r="L142" i="16"/>
  <c r="L141" i="16"/>
  <c r="L140" i="16"/>
  <c r="M136" i="14"/>
  <c r="N133" i="14"/>
  <c r="M142" i="14"/>
  <c r="M141" i="14"/>
  <c r="M140" i="14"/>
  <c r="L150" i="14"/>
  <c r="M192" i="14"/>
  <c r="L170" i="14"/>
  <c r="M163" i="14"/>
  <c r="M162" i="14"/>
  <c r="M161" i="14"/>
  <c r="M157" i="14"/>
  <c r="N154" i="14"/>
  <c r="M185" i="14"/>
  <c r="K171" i="13"/>
  <c r="M192" i="13"/>
  <c r="L142" i="13"/>
  <c r="L141" i="13"/>
  <c r="L140" i="13"/>
  <c r="L136" i="13"/>
  <c r="M133" i="13"/>
  <c r="K150" i="13"/>
  <c r="L157" i="13"/>
  <c r="M154" i="13"/>
  <c r="L163" i="13"/>
  <c r="L162" i="13"/>
  <c r="L161" i="13"/>
  <c r="M142" i="11"/>
  <c r="M141" i="11"/>
  <c r="M140" i="11"/>
  <c r="M136" i="11"/>
  <c r="N133" i="11"/>
  <c r="N192" i="11"/>
  <c r="L149" i="11"/>
  <c r="L163" i="11"/>
  <c r="L162" i="11"/>
  <c r="L161" i="11"/>
  <c r="M154" i="11"/>
  <c r="L157" i="11"/>
  <c r="K171" i="11"/>
  <c r="M185" i="10"/>
  <c r="M157" i="10"/>
  <c r="N154" i="10"/>
  <c r="M163" i="10"/>
  <c r="M162" i="10"/>
  <c r="M161" i="10"/>
  <c r="L128" i="10"/>
  <c r="L150" i="10"/>
  <c r="N192" i="10"/>
  <c r="L170" i="10"/>
  <c r="M121" i="10"/>
  <c r="M120" i="10"/>
  <c r="M119" i="10"/>
  <c r="M115" i="10"/>
  <c r="N112" i="10"/>
  <c r="M142" i="10"/>
  <c r="M141" i="10"/>
  <c r="M140" i="10"/>
  <c r="M150" i="10" s="1"/>
  <c r="M136" i="10"/>
  <c r="N133" i="10"/>
  <c r="L150" i="16" l="1"/>
  <c r="M170" i="16"/>
  <c r="L171" i="11"/>
  <c r="L171" i="13"/>
  <c r="V171" i="21"/>
  <c r="U150" i="21"/>
  <c r="M171" i="14"/>
  <c r="M171" i="10"/>
  <c r="M150" i="11"/>
  <c r="L150" i="13"/>
  <c r="M149" i="14"/>
  <c r="V142" i="21"/>
  <c r="V141" i="21"/>
  <c r="V140" i="21"/>
  <c r="V136" i="21"/>
  <c r="W133" i="21"/>
  <c r="W192" i="21"/>
  <c r="X185" i="21"/>
  <c r="U149" i="21"/>
  <c r="V170" i="21"/>
  <c r="W163" i="21"/>
  <c r="W162" i="21"/>
  <c r="W161" i="21"/>
  <c r="W157" i="21"/>
  <c r="X154" i="21"/>
  <c r="M171" i="16"/>
  <c r="L149" i="16"/>
  <c r="M136" i="16"/>
  <c r="N133" i="16"/>
  <c r="M142" i="16"/>
  <c r="M141" i="16"/>
  <c r="M140" i="16"/>
  <c r="O185" i="16"/>
  <c r="N163" i="16"/>
  <c r="N162" i="16"/>
  <c r="O154" i="16"/>
  <c r="N161" i="16"/>
  <c r="N157" i="16"/>
  <c r="N192" i="16"/>
  <c r="N185" i="14"/>
  <c r="M170" i="14"/>
  <c r="M150" i="14"/>
  <c r="N163" i="14"/>
  <c r="N162" i="14"/>
  <c r="N161" i="14"/>
  <c r="N157" i="14"/>
  <c r="O154" i="14"/>
  <c r="N136" i="14"/>
  <c r="O133" i="14"/>
  <c r="N142" i="14"/>
  <c r="N141" i="14"/>
  <c r="N140" i="14"/>
  <c r="N192" i="14"/>
  <c r="M157" i="13"/>
  <c r="N154" i="13"/>
  <c r="M163" i="13"/>
  <c r="M162" i="13"/>
  <c r="M161" i="13"/>
  <c r="L170" i="13"/>
  <c r="L149" i="13"/>
  <c r="M142" i="13"/>
  <c r="M141" i="13"/>
  <c r="M140" i="13"/>
  <c r="N133" i="13"/>
  <c r="M136" i="13"/>
  <c r="N192" i="13"/>
  <c r="O192" i="11"/>
  <c r="N142" i="11"/>
  <c r="N141" i="11"/>
  <c r="N140" i="11"/>
  <c r="N136" i="11"/>
  <c r="O133" i="11"/>
  <c r="M163" i="11"/>
  <c r="M157" i="11"/>
  <c r="M162" i="11"/>
  <c r="N154" i="11"/>
  <c r="M161" i="11"/>
  <c r="L170" i="11"/>
  <c r="M149" i="11"/>
  <c r="O192" i="10"/>
  <c r="N163" i="10"/>
  <c r="N161" i="10"/>
  <c r="N157" i="10"/>
  <c r="N162" i="10"/>
  <c r="O154" i="10"/>
  <c r="M149" i="10"/>
  <c r="M170" i="10"/>
  <c r="O133" i="10"/>
  <c r="N142" i="10"/>
  <c r="N140" i="10"/>
  <c r="N136" i="10"/>
  <c r="N141" i="10"/>
  <c r="M128" i="10"/>
  <c r="M129" i="10"/>
  <c r="N185" i="10"/>
  <c r="N115" i="10"/>
  <c r="O112" i="10"/>
  <c r="N121" i="10"/>
  <c r="N120" i="10"/>
  <c r="N119" i="10"/>
  <c r="V149" i="21" l="1"/>
  <c r="N171" i="14"/>
  <c r="N150" i="11"/>
  <c r="M171" i="13"/>
  <c r="N171" i="10"/>
  <c r="M150" i="13"/>
  <c r="N149" i="10"/>
  <c r="N150" i="14"/>
  <c r="W171" i="21"/>
  <c r="V150" i="21"/>
  <c r="W170" i="21"/>
  <c r="X192" i="21"/>
  <c r="X163" i="21"/>
  <c r="X162" i="21"/>
  <c r="X161" i="21"/>
  <c r="X157" i="21"/>
  <c r="Y154" i="21"/>
  <c r="Y185" i="21"/>
  <c r="W142" i="21"/>
  <c r="W141" i="21"/>
  <c r="W140" i="21"/>
  <c r="W149" i="21" s="1"/>
  <c r="X133" i="21"/>
  <c r="W136" i="21"/>
  <c r="N129" i="10"/>
  <c r="O192" i="16"/>
  <c r="N142" i="16"/>
  <c r="N141" i="16"/>
  <c r="N140" i="16"/>
  <c r="N136" i="16"/>
  <c r="O133" i="16"/>
  <c r="N170" i="16"/>
  <c r="N171" i="16"/>
  <c r="M149" i="16"/>
  <c r="O157" i="16"/>
  <c r="P154" i="16"/>
  <c r="O163" i="16"/>
  <c r="O162" i="16"/>
  <c r="O161" i="16"/>
  <c r="P185" i="16"/>
  <c r="M150" i="16"/>
  <c r="O192" i="14"/>
  <c r="O157" i="14"/>
  <c r="P154" i="14"/>
  <c r="O163" i="14"/>
  <c r="O162" i="14"/>
  <c r="O161" i="14"/>
  <c r="O142" i="14"/>
  <c r="O141" i="14"/>
  <c r="O140" i="14"/>
  <c r="O150" i="14" s="1"/>
  <c r="O136" i="14"/>
  <c r="P133" i="14"/>
  <c r="N149" i="14"/>
  <c r="N170" i="14"/>
  <c r="O185" i="14"/>
  <c r="N136" i="13"/>
  <c r="O133" i="13"/>
  <c r="N142" i="13"/>
  <c r="N141" i="13"/>
  <c r="N140" i="13"/>
  <c r="O192" i="13"/>
  <c r="M149" i="13"/>
  <c r="N163" i="13"/>
  <c r="N162" i="13"/>
  <c r="N161" i="13"/>
  <c r="N157" i="13"/>
  <c r="O154" i="13"/>
  <c r="M170" i="13"/>
  <c r="O136" i="11"/>
  <c r="P133" i="11"/>
  <c r="O142" i="11"/>
  <c r="O141" i="11"/>
  <c r="O140" i="11"/>
  <c r="M170" i="11"/>
  <c r="M171" i="11"/>
  <c r="N157" i="11"/>
  <c r="O154" i="11"/>
  <c r="N163" i="11"/>
  <c r="N162" i="11"/>
  <c r="N161" i="11"/>
  <c r="P192" i="11"/>
  <c r="N149" i="11"/>
  <c r="N150" i="10"/>
  <c r="N128" i="10"/>
  <c r="O121" i="10"/>
  <c r="O120" i="10"/>
  <c r="O119" i="10"/>
  <c r="O115" i="10"/>
  <c r="P112" i="10"/>
  <c r="O163" i="10"/>
  <c r="O162" i="10"/>
  <c r="O161" i="10"/>
  <c r="O157" i="10"/>
  <c r="P154" i="10"/>
  <c r="N170" i="10"/>
  <c r="O185" i="10"/>
  <c r="O136" i="10"/>
  <c r="P133" i="10"/>
  <c r="O142" i="10"/>
  <c r="O141" i="10"/>
  <c r="O140" i="10"/>
  <c r="P192" i="10"/>
  <c r="O170" i="10" l="1"/>
  <c r="N170" i="13"/>
  <c r="O171" i="14"/>
  <c r="N149" i="16"/>
  <c r="X171" i="21"/>
  <c r="O129" i="10"/>
  <c r="O149" i="10"/>
  <c r="N171" i="11"/>
  <c r="O171" i="16"/>
  <c r="W150" i="21"/>
  <c r="X170" i="21"/>
  <c r="Y192" i="21"/>
  <c r="X136" i="21"/>
  <c r="Y133" i="21"/>
  <c r="X142" i="21"/>
  <c r="X141" i="21"/>
  <c r="X140" i="21"/>
  <c r="Y157" i="21"/>
  <c r="Z154" i="21"/>
  <c r="Y163" i="21"/>
  <c r="Y162" i="21"/>
  <c r="Y161" i="21"/>
  <c r="Z185" i="21"/>
  <c r="O170" i="16"/>
  <c r="N150" i="16"/>
  <c r="P192" i="16"/>
  <c r="Q185" i="16"/>
  <c r="O142" i="16"/>
  <c r="O141" i="16"/>
  <c r="O140" i="16"/>
  <c r="O136" i="16"/>
  <c r="P133" i="16"/>
  <c r="P163" i="16"/>
  <c r="P162" i="16"/>
  <c r="Q154" i="16"/>
  <c r="P161" i="16"/>
  <c r="P157" i="16"/>
  <c r="O149" i="14"/>
  <c r="O170" i="14"/>
  <c r="P157" i="14"/>
  <c r="Q154" i="14"/>
  <c r="P163" i="14"/>
  <c r="P162" i="14"/>
  <c r="P161" i="14"/>
  <c r="P170" i="14" s="1"/>
  <c r="P192" i="14"/>
  <c r="P142" i="14"/>
  <c r="P141" i="14"/>
  <c r="P140" i="14"/>
  <c r="P136" i="14"/>
  <c r="Q133" i="14"/>
  <c r="P185" i="14"/>
  <c r="N171" i="13"/>
  <c r="O142" i="13"/>
  <c r="O141" i="13"/>
  <c r="O140" i="13"/>
  <c r="O136" i="13"/>
  <c r="P133" i="13"/>
  <c r="O163" i="13"/>
  <c r="O162" i="13"/>
  <c r="O161" i="13"/>
  <c r="O157" i="13"/>
  <c r="P154" i="13"/>
  <c r="N149" i="13"/>
  <c r="P192" i="13"/>
  <c r="N150" i="13"/>
  <c r="N170" i="11"/>
  <c r="P136" i="11"/>
  <c r="Q133" i="11"/>
  <c r="P142" i="11"/>
  <c r="P141" i="11"/>
  <c r="P140" i="11"/>
  <c r="O149" i="11"/>
  <c r="Q192" i="11"/>
  <c r="O150" i="11"/>
  <c r="O163" i="11"/>
  <c r="O162" i="11"/>
  <c r="O161" i="11"/>
  <c r="P154" i="11"/>
  <c r="O157" i="11"/>
  <c r="P121" i="10"/>
  <c r="P120" i="10"/>
  <c r="P119" i="10"/>
  <c r="P115" i="10"/>
  <c r="Q112" i="10"/>
  <c r="P162" i="10"/>
  <c r="Q154" i="10"/>
  <c r="P163" i="10"/>
  <c r="P161" i="10"/>
  <c r="P157" i="10"/>
  <c r="P142" i="10"/>
  <c r="P140" i="10"/>
  <c r="P136" i="10"/>
  <c r="P141" i="10"/>
  <c r="Q133" i="10"/>
  <c r="O171" i="10"/>
  <c r="O150" i="10"/>
  <c r="Q192" i="10"/>
  <c r="P185" i="10"/>
  <c r="O128" i="10"/>
  <c r="P170" i="16" l="1"/>
  <c r="P150" i="10"/>
  <c r="O171" i="11"/>
  <c r="Y171" i="21"/>
  <c r="P149" i="11"/>
  <c r="O149" i="13"/>
  <c r="X150" i="21"/>
  <c r="O171" i="13"/>
  <c r="P149" i="14"/>
  <c r="O150" i="16"/>
  <c r="O170" i="11"/>
  <c r="Z157" i="21"/>
  <c r="AA154" i="21"/>
  <c r="Z163" i="21"/>
  <c r="Z162" i="21"/>
  <c r="Z161" i="21"/>
  <c r="Y136" i="21"/>
  <c r="Y142" i="21"/>
  <c r="Z133" i="21"/>
  <c r="Y141" i="21"/>
  <c r="Y140" i="21"/>
  <c r="Y170" i="21"/>
  <c r="X149" i="21"/>
  <c r="AA185" i="21"/>
  <c r="Z192" i="21"/>
  <c r="P128" i="10"/>
  <c r="O149" i="16"/>
  <c r="Q163" i="16"/>
  <c r="Q162" i="16"/>
  <c r="Q161" i="16"/>
  <c r="Q157" i="16"/>
  <c r="R154" i="16"/>
  <c r="P171" i="16"/>
  <c r="P136" i="16"/>
  <c r="Q133" i="16"/>
  <c r="P142" i="16"/>
  <c r="P141" i="16"/>
  <c r="P140" i="16"/>
  <c r="R185" i="16"/>
  <c r="Q192" i="16"/>
  <c r="Q136" i="14"/>
  <c r="R133" i="14"/>
  <c r="Q142" i="14"/>
  <c r="Q141" i="14"/>
  <c r="Q140" i="14"/>
  <c r="P171" i="14"/>
  <c r="Q163" i="14"/>
  <c r="Q162" i="14"/>
  <c r="Q161" i="14"/>
  <c r="Q157" i="14"/>
  <c r="R154" i="14"/>
  <c r="Q185" i="14"/>
  <c r="P150" i="14"/>
  <c r="Q192" i="14"/>
  <c r="Q192" i="13"/>
  <c r="O170" i="13"/>
  <c r="P142" i="13"/>
  <c r="P141" i="13"/>
  <c r="P140" i="13"/>
  <c r="P149" i="13" s="1"/>
  <c r="P136" i="13"/>
  <c r="Q133" i="13"/>
  <c r="P157" i="13"/>
  <c r="Q154" i="13"/>
  <c r="P163" i="13"/>
  <c r="P162" i="13"/>
  <c r="P161" i="13"/>
  <c r="O150" i="13"/>
  <c r="P163" i="11"/>
  <c r="P162" i="11"/>
  <c r="P161" i="11"/>
  <c r="P170" i="11" s="1"/>
  <c r="P157" i="11"/>
  <c r="Q154" i="11"/>
  <c r="R192" i="11"/>
  <c r="Q142" i="11"/>
  <c r="Q141" i="11"/>
  <c r="Q140" i="11"/>
  <c r="Q136" i="11"/>
  <c r="R133" i="11"/>
  <c r="P150" i="11"/>
  <c r="Q157" i="10"/>
  <c r="R154" i="10"/>
  <c r="Q163" i="10"/>
  <c r="Q162" i="10"/>
  <c r="Q161" i="10"/>
  <c r="R192" i="10"/>
  <c r="Q185" i="10"/>
  <c r="P129" i="10"/>
  <c r="Q142" i="10"/>
  <c r="Q141" i="10"/>
  <c r="Q140" i="10"/>
  <c r="Q136" i="10"/>
  <c r="R133" i="10"/>
  <c r="P149" i="10"/>
  <c r="P170" i="10"/>
  <c r="P171" i="10"/>
  <c r="Q121" i="10"/>
  <c r="Q120" i="10"/>
  <c r="Q119" i="10"/>
  <c r="Q115" i="10"/>
  <c r="R112" i="10"/>
  <c r="Q171" i="16" l="1"/>
  <c r="Z170" i="21"/>
  <c r="Q149" i="14"/>
  <c r="Y150" i="21"/>
  <c r="Q170" i="14"/>
  <c r="Q171" i="10"/>
  <c r="P171" i="11"/>
  <c r="P150" i="16"/>
  <c r="Q170" i="16"/>
  <c r="Q150" i="10"/>
  <c r="Q149" i="11"/>
  <c r="P171" i="13"/>
  <c r="Q171" i="14"/>
  <c r="Z171" i="21"/>
  <c r="AA192" i="21"/>
  <c r="Y149" i="21"/>
  <c r="AA163" i="21"/>
  <c r="AA162" i="21"/>
  <c r="AA161" i="21"/>
  <c r="AA157" i="21"/>
  <c r="Z142" i="21"/>
  <c r="Z141" i="21"/>
  <c r="Z140" i="21"/>
  <c r="Z136" i="21"/>
  <c r="AA133" i="21"/>
  <c r="Q129" i="10"/>
  <c r="Q128" i="10"/>
  <c r="R192" i="16"/>
  <c r="P149" i="16"/>
  <c r="S185" i="16"/>
  <c r="Q136" i="16"/>
  <c r="R133" i="16"/>
  <c r="Q142" i="16"/>
  <c r="Q141" i="16"/>
  <c r="Q140" i="16"/>
  <c r="S154" i="16"/>
  <c r="R161" i="16"/>
  <c r="R157" i="16"/>
  <c r="R163" i="16"/>
  <c r="R162" i="16"/>
  <c r="R192" i="14"/>
  <c r="R185" i="14"/>
  <c r="R163" i="14"/>
  <c r="R162" i="14"/>
  <c r="R161" i="14"/>
  <c r="R157" i="14"/>
  <c r="S154" i="14"/>
  <c r="R136" i="14"/>
  <c r="S133" i="14"/>
  <c r="R142" i="14"/>
  <c r="R141" i="14"/>
  <c r="R140" i="14"/>
  <c r="Q150" i="14"/>
  <c r="Q157" i="13"/>
  <c r="R154" i="13"/>
  <c r="Q163" i="13"/>
  <c r="Q162" i="13"/>
  <c r="Q161" i="13"/>
  <c r="R192" i="13"/>
  <c r="P170" i="13"/>
  <c r="P150" i="13"/>
  <c r="Q142" i="13"/>
  <c r="Q141" i="13"/>
  <c r="Q140" i="13"/>
  <c r="Q149" i="13" s="1"/>
  <c r="Q136" i="13"/>
  <c r="R133" i="13"/>
  <c r="S192" i="11"/>
  <c r="Q150" i="11"/>
  <c r="R142" i="11"/>
  <c r="R141" i="11"/>
  <c r="R140" i="11"/>
  <c r="R136" i="11"/>
  <c r="S133" i="11"/>
  <c r="Q163" i="11"/>
  <c r="Q157" i="11"/>
  <c r="Q162" i="11"/>
  <c r="Q161" i="11"/>
  <c r="R154" i="11"/>
  <c r="R115" i="10"/>
  <c r="S112" i="10"/>
  <c r="R121" i="10"/>
  <c r="R120" i="10"/>
  <c r="R119" i="10"/>
  <c r="Q149" i="10"/>
  <c r="R141" i="10"/>
  <c r="S133" i="10"/>
  <c r="R142" i="10"/>
  <c r="R140" i="10"/>
  <c r="R136" i="10"/>
  <c r="R185" i="10"/>
  <c r="R162" i="10"/>
  <c r="S154" i="10"/>
  <c r="R163" i="10"/>
  <c r="R161" i="10"/>
  <c r="R157" i="10"/>
  <c r="S192" i="10"/>
  <c r="Q170" i="10"/>
  <c r="Q171" i="11" l="1"/>
  <c r="R170" i="14"/>
  <c r="R150" i="11"/>
  <c r="AA171" i="21"/>
  <c r="Q171" i="13"/>
  <c r="Z150" i="21"/>
  <c r="Q149" i="16"/>
  <c r="AA170" i="21"/>
  <c r="Z149" i="21"/>
  <c r="AA142" i="21"/>
  <c r="AA141" i="21"/>
  <c r="AA140" i="21"/>
  <c r="AA136" i="21"/>
  <c r="R128" i="10"/>
  <c r="R171" i="16"/>
  <c r="R170" i="10"/>
  <c r="R150" i="14"/>
  <c r="S157" i="16"/>
  <c r="T154" i="16"/>
  <c r="S163" i="16"/>
  <c r="S162" i="16"/>
  <c r="S161" i="16"/>
  <c r="T185" i="16"/>
  <c r="R142" i="16"/>
  <c r="R141" i="16"/>
  <c r="R140" i="16"/>
  <c r="R136" i="16"/>
  <c r="S133" i="16"/>
  <c r="S192" i="16"/>
  <c r="R170" i="16"/>
  <c r="Q150" i="16"/>
  <c r="S142" i="14"/>
  <c r="S141" i="14"/>
  <c r="S140" i="14"/>
  <c r="S136" i="14"/>
  <c r="T133" i="14"/>
  <c r="S157" i="14"/>
  <c r="T154" i="14"/>
  <c r="S163" i="14"/>
  <c r="S162" i="14"/>
  <c r="S161" i="14"/>
  <c r="R149" i="14"/>
  <c r="R171" i="14"/>
  <c r="S185" i="14"/>
  <c r="S192" i="14"/>
  <c r="Q150" i="13"/>
  <c r="Q170" i="13"/>
  <c r="R136" i="13"/>
  <c r="S133" i="13"/>
  <c r="R142" i="13"/>
  <c r="R141" i="13"/>
  <c r="R140" i="13"/>
  <c r="S192" i="13"/>
  <c r="R163" i="13"/>
  <c r="R162" i="13"/>
  <c r="R161" i="13"/>
  <c r="R157" i="13"/>
  <c r="S154" i="13"/>
  <c r="Q170" i="11"/>
  <c r="R149" i="11"/>
  <c r="T192" i="11"/>
  <c r="S136" i="11"/>
  <c r="T133" i="11"/>
  <c r="S142" i="11"/>
  <c r="S141" i="11"/>
  <c r="S140" i="11"/>
  <c r="R157" i="11"/>
  <c r="S154" i="11"/>
  <c r="R163" i="11"/>
  <c r="R162" i="11"/>
  <c r="R161" i="11"/>
  <c r="S136" i="10"/>
  <c r="T133" i="10"/>
  <c r="S142" i="10"/>
  <c r="S141" i="10"/>
  <c r="S140" i="10"/>
  <c r="R129" i="10"/>
  <c r="T192" i="10"/>
  <c r="S163" i="10"/>
  <c r="S162" i="10"/>
  <c r="S161" i="10"/>
  <c r="S157" i="10"/>
  <c r="T154" i="10"/>
  <c r="S185" i="10"/>
  <c r="S121" i="10"/>
  <c r="S120" i="10"/>
  <c r="S119" i="10"/>
  <c r="S115" i="10"/>
  <c r="T112" i="10"/>
  <c r="R149" i="10"/>
  <c r="R150" i="10"/>
  <c r="R171" i="10"/>
  <c r="R171" i="13" l="1"/>
  <c r="S171" i="10"/>
  <c r="S150" i="10"/>
  <c r="AA150" i="21"/>
  <c r="AA149" i="21"/>
  <c r="S170" i="16"/>
  <c r="R150" i="16"/>
  <c r="S149" i="14"/>
  <c r="S129" i="10"/>
  <c r="R171" i="11"/>
  <c r="S142" i="16"/>
  <c r="S141" i="16"/>
  <c r="S140" i="16"/>
  <c r="S136" i="16"/>
  <c r="T133" i="16"/>
  <c r="S171" i="16"/>
  <c r="U185" i="16"/>
  <c r="T192" i="16"/>
  <c r="R149" i="16"/>
  <c r="T163" i="16"/>
  <c r="T161" i="16"/>
  <c r="T157" i="16"/>
  <c r="T162" i="16"/>
  <c r="U154" i="16"/>
  <c r="T157" i="14"/>
  <c r="U154" i="14"/>
  <c r="T163" i="14"/>
  <c r="T162" i="14"/>
  <c r="T161" i="14"/>
  <c r="T142" i="14"/>
  <c r="T141" i="14"/>
  <c r="T140" i="14"/>
  <c r="T150" i="14" s="1"/>
  <c r="T136" i="14"/>
  <c r="U133" i="14"/>
  <c r="T185" i="14"/>
  <c r="S170" i="14"/>
  <c r="S171" i="14"/>
  <c r="S150" i="14"/>
  <c r="T192" i="14"/>
  <c r="S163" i="13"/>
  <c r="S162" i="13"/>
  <c r="S161" i="13"/>
  <c r="S157" i="13"/>
  <c r="T154" i="13"/>
  <c r="S136" i="13"/>
  <c r="S142" i="13"/>
  <c r="S141" i="13"/>
  <c r="S140" i="13"/>
  <c r="T133" i="13"/>
  <c r="R149" i="13"/>
  <c r="T192" i="13"/>
  <c r="R150" i="13"/>
  <c r="R170" i="13"/>
  <c r="S163" i="11"/>
  <c r="S162" i="11"/>
  <c r="S161" i="11"/>
  <c r="S157" i="11"/>
  <c r="T154" i="11"/>
  <c r="S149" i="11"/>
  <c r="T136" i="11"/>
  <c r="U133" i="11"/>
  <c r="T142" i="11"/>
  <c r="T141" i="11"/>
  <c r="T140" i="11"/>
  <c r="R170" i="11"/>
  <c r="U192" i="11"/>
  <c r="S150" i="11"/>
  <c r="T121" i="10"/>
  <c r="T120" i="10"/>
  <c r="T119" i="10"/>
  <c r="T115" i="10"/>
  <c r="U112" i="10"/>
  <c r="T185" i="10"/>
  <c r="U192" i="10"/>
  <c r="S170" i="10"/>
  <c r="T141" i="10"/>
  <c r="U133" i="10"/>
  <c r="T142" i="10"/>
  <c r="T140" i="10"/>
  <c r="T136" i="10"/>
  <c r="S128" i="10"/>
  <c r="U154" i="10"/>
  <c r="T163" i="10"/>
  <c r="T161" i="10"/>
  <c r="T157" i="10"/>
  <c r="T162" i="10"/>
  <c r="S149" i="10"/>
  <c r="T171" i="10" l="1"/>
  <c r="T149" i="10"/>
  <c r="T171" i="16"/>
  <c r="T128" i="10"/>
  <c r="T171" i="14"/>
  <c r="S171" i="13"/>
  <c r="T170" i="16"/>
  <c r="S150" i="16"/>
  <c r="T170" i="10"/>
  <c r="S171" i="11"/>
  <c r="T149" i="11"/>
  <c r="T136" i="16"/>
  <c r="U133" i="16"/>
  <c r="T142" i="16"/>
  <c r="T141" i="16"/>
  <c r="T140" i="16"/>
  <c r="U163" i="16"/>
  <c r="U162" i="16"/>
  <c r="U161" i="16"/>
  <c r="U157" i="16"/>
  <c r="V154" i="16"/>
  <c r="U192" i="16"/>
  <c r="V185" i="16"/>
  <c r="S149" i="16"/>
  <c r="U192" i="14"/>
  <c r="U163" i="14"/>
  <c r="U162" i="14"/>
  <c r="U161" i="14"/>
  <c r="U157" i="14"/>
  <c r="V154" i="14"/>
  <c r="T149" i="14"/>
  <c r="T170" i="14"/>
  <c r="U185" i="14"/>
  <c r="U136" i="14"/>
  <c r="V133" i="14"/>
  <c r="U142" i="14"/>
  <c r="U141" i="14"/>
  <c r="U140" i="14"/>
  <c r="U192" i="13"/>
  <c r="T142" i="13"/>
  <c r="T141" i="13"/>
  <c r="T140" i="13"/>
  <c r="T136" i="13"/>
  <c r="U133" i="13"/>
  <c r="S170" i="13"/>
  <c r="S149" i="13"/>
  <c r="S150" i="13"/>
  <c r="T157" i="13"/>
  <c r="U154" i="13"/>
  <c r="T163" i="13"/>
  <c r="T162" i="13"/>
  <c r="T161" i="13"/>
  <c r="S170" i="11"/>
  <c r="U142" i="11"/>
  <c r="U141" i="11"/>
  <c r="U140" i="11"/>
  <c r="U136" i="11"/>
  <c r="V133" i="11"/>
  <c r="V192" i="11"/>
  <c r="T163" i="11"/>
  <c r="T162" i="11"/>
  <c r="T161" i="11"/>
  <c r="U154" i="11"/>
  <c r="T157" i="11"/>
  <c r="T150" i="11"/>
  <c r="U157" i="10"/>
  <c r="V154" i="10"/>
  <c r="U163" i="10"/>
  <c r="U162" i="10"/>
  <c r="U161" i="10"/>
  <c r="U142" i="10"/>
  <c r="U141" i="10"/>
  <c r="U140" i="10"/>
  <c r="U136" i="10"/>
  <c r="V133" i="10"/>
  <c r="U185" i="10"/>
  <c r="T150" i="10"/>
  <c r="U121" i="10"/>
  <c r="U120" i="10"/>
  <c r="U119" i="10"/>
  <c r="U115" i="10"/>
  <c r="V112" i="10"/>
  <c r="V192" i="10"/>
  <c r="T129" i="10"/>
  <c r="T150" i="13" l="1"/>
  <c r="U171" i="16"/>
  <c r="U150" i="10"/>
  <c r="U170" i="10"/>
  <c r="U149" i="11"/>
  <c r="U128" i="10"/>
  <c r="T170" i="11"/>
  <c r="U170" i="16"/>
  <c r="T150" i="16"/>
  <c r="U170" i="14"/>
  <c r="U150" i="14"/>
  <c r="T170" i="13"/>
  <c r="W185" i="16"/>
  <c r="V192" i="16"/>
  <c r="V162" i="16"/>
  <c r="V163" i="16"/>
  <c r="W154" i="16"/>
  <c r="V161" i="16"/>
  <c r="V157" i="16"/>
  <c r="T149" i="16"/>
  <c r="U136" i="16"/>
  <c r="V133" i="16"/>
  <c r="U142" i="16"/>
  <c r="U141" i="16"/>
  <c r="U140" i="16"/>
  <c r="V136" i="14"/>
  <c r="W133" i="14"/>
  <c r="V142" i="14"/>
  <c r="V141" i="14"/>
  <c r="V140" i="14"/>
  <c r="U171" i="14"/>
  <c r="U149" i="14"/>
  <c r="V163" i="14"/>
  <c r="V162" i="14"/>
  <c r="V161" i="14"/>
  <c r="V157" i="14"/>
  <c r="W154" i="14"/>
  <c r="V192" i="14"/>
  <c r="V185" i="14"/>
  <c r="T149" i="13"/>
  <c r="U157" i="13"/>
  <c r="V154" i="13"/>
  <c r="U163" i="13"/>
  <c r="U162" i="13"/>
  <c r="U161" i="13"/>
  <c r="U142" i="13"/>
  <c r="U141" i="13"/>
  <c r="U140" i="13"/>
  <c r="U136" i="13"/>
  <c r="V133" i="13"/>
  <c r="V192" i="13"/>
  <c r="T171" i="13"/>
  <c r="U163" i="11"/>
  <c r="U157" i="11"/>
  <c r="U161" i="11"/>
  <c r="U162" i="11"/>
  <c r="V154" i="11"/>
  <c r="W192" i="11"/>
  <c r="V142" i="11"/>
  <c r="V141" i="11"/>
  <c r="V140" i="11"/>
  <c r="V136" i="11"/>
  <c r="W133" i="11"/>
  <c r="T171" i="11"/>
  <c r="U150" i="11"/>
  <c r="U129" i="10"/>
  <c r="V185" i="10"/>
  <c r="U149" i="10"/>
  <c r="V163" i="10"/>
  <c r="V161" i="10"/>
  <c r="V157" i="10"/>
  <c r="V162" i="10"/>
  <c r="W154" i="10"/>
  <c r="W133" i="10"/>
  <c r="V142" i="10"/>
  <c r="V140" i="10"/>
  <c r="V136" i="10"/>
  <c r="V141" i="10"/>
  <c r="U171" i="10"/>
  <c r="W192" i="10"/>
  <c r="V115" i="10"/>
  <c r="W112" i="10"/>
  <c r="V121" i="10"/>
  <c r="V120" i="10"/>
  <c r="V119" i="10"/>
  <c r="V171" i="14" l="1"/>
  <c r="V149" i="11"/>
  <c r="U170" i="13"/>
  <c r="U171" i="11"/>
  <c r="U149" i="16"/>
  <c r="V150" i="14"/>
  <c r="U150" i="13"/>
  <c r="V171" i="10"/>
  <c r="V150" i="10"/>
  <c r="V128" i="10"/>
  <c r="V142" i="16"/>
  <c r="V141" i="16"/>
  <c r="V140" i="16"/>
  <c r="V136" i="16"/>
  <c r="W133" i="16"/>
  <c r="W157" i="16"/>
  <c r="X154" i="16"/>
  <c r="W163" i="16"/>
  <c r="W162" i="16"/>
  <c r="W161" i="16"/>
  <c r="X185" i="16"/>
  <c r="U150" i="16"/>
  <c r="V170" i="16"/>
  <c r="V171" i="16"/>
  <c r="W192" i="16"/>
  <c r="W185" i="14"/>
  <c r="W157" i="14"/>
  <c r="X154" i="14"/>
  <c r="W163" i="14"/>
  <c r="W162" i="14"/>
  <c r="W161" i="14"/>
  <c r="W192" i="14"/>
  <c r="V170" i="14"/>
  <c r="W142" i="14"/>
  <c r="W141" i="14"/>
  <c r="W140" i="14"/>
  <c r="W136" i="14"/>
  <c r="X133" i="14"/>
  <c r="V149" i="14"/>
  <c r="V136" i="13"/>
  <c r="W133" i="13"/>
  <c r="V142" i="13"/>
  <c r="V141" i="13"/>
  <c r="V140" i="13"/>
  <c r="W192" i="13"/>
  <c r="V163" i="13"/>
  <c r="V162" i="13"/>
  <c r="V161" i="13"/>
  <c r="V157" i="13"/>
  <c r="W154" i="13"/>
  <c r="U149" i="13"/>
  <c r="U171" i="13"/>
  <c r="W136" i="11"/>
  <c r="X133" i="11"/>
  <c r="W142" i="11"/>
  <c r="W141" i="11"/>
  <c r="W140" i="11"/>
  <c r="X192" i="11"/>
  <c r="U170" i="11"/>
  <c r="V150" i="11"/>
  <c r="V157" i="11"/>
  <c r="W154" i="11"/>
  <c r="V163" i="11"/>
  <c r="V162" i="11"/>
  <c r="V161" i="11"/>
  <c r="V129" i="10"/>
  <c r="W136" i="10"/>
  <c r="X133" i="10"/>
  <c r="W142" i="10"/>
  <c r="W141" i="10"/>
  <c r="W140" i="10"/>
  <c r="W163" i="10"/>
  <c r="W162" i="10"/>
  <c r="W161" i="10"/>
  <c r="W157" i="10"/>
  <c r="X154" i="10"/>
  <c r="V170" i="10"/>
  <c r="W121" i="10"/>
  <c r="W120" i="10"/>
  <c r="W119" i="10"/>
  <c r="W115" i="10"/>
  <c r="X112" i="10"/>
  <c r="X192" i="10"/>
  <c r="V149" i="10"/>
  <c r="W185" i="10"/>
  <c r="W170" i="10" l="1"/>
  <c r="W150" i="10"/>
  <c r="W170" i="16"/>
  <c r="W150" i="14"/>
  <c r="V150" i="13"/>
  <c r="W171" i="16"/>
  <c r="V150" i="16"/>
  <c r="W170" i="14"/>
  <c r="V171" i="13"/>
  <c r="W129" i="10"/>
  <c r="V171" i="11"/>
  <c r="W150" i="11"/>
  <c r="X192" i="16"/>
  <c r="X163" i="16"/>
  <c r="X162" i="16"/>
  <c r="Y154" i="16"/>
  <c r="X161" i="16"/>
  <c r="X157" i="16"/>
  <c r="Y185" i="16"/>
  <c r="V149" i="16"/>
  <c r="W142" i="16"/>
  <c r="W141" i="16"/>
  <c r="W140" i="16"/>
  <c r="W136" i="16"/>
  <c r="X133" i="16"/>
  <c r="W149" i="14"/>
  <c r="X157" i="14"/>
  <c r="Y154" i="14"/>
  <c r="X163" i="14"/>
  <c r="X162" i="14"/>
  <c r="X161" i="14"/>
  <c r="X185" i="14"/>
  <c r="X142" i="14"/>
  <c r="X141" i="14"/>
  <c r="X140" i="14"/>
  <c r="Y133" i="14"/>
  <c r="X136" i="14"/>
  <c r="X192" i="14"/>
  <c r="W171" i="14"/>
  <c r="X192" i="13"/>
  <c r="V149" i="13"/>
  <c r="W163" i="13"/>
  <c r="W162" i="13"/>
  <c r="W161" i="13"/>
  <c r="W157" i="13"/>
  <c r="X154" i="13"/>
  <c r="V170" i="13"/>
  <c r="W136" i="13"/>
  <c r="W142" i="13"/>
  <c r="W141" i="13"/>
  <c r="W140" i="13"/>
  <c r="X133" i="13"/>
  <c r="Y192" i="11"/>
  <c r="W163" i="11"/>
  <c r="W162" i="11"/>
  <c r="W161" i="11"/>
  <c r="W157" i="11"/>
  <c r="X154" i="11"/>
  <c r="V170" i="11"/>
  <c r="W149" i="11"/>
  <c r="X136" i="11"/>
  <c r="Y133" i="11"/>
  <c r="X142" i="11"/>
  <c r="X141" i="11"/>
  <c r="X140" i="11"/>
  <c r="X121" i="10"/>
  <c r="X120" i="10"/>
  <c r="X119" i="10"/>
  <c r="X115" i="10"/>
  <c r="Y112" i="10"/>
  <c r="W171" i="10"/>
  <c r="W149" i="10"/>
  <c r="X185" i="10"/>
  <c r="X162" i="10"/>
  <c r="Y154" i="10"/>
  <c r="X163" i="10"/>
  <c r="X161" i="10"/>
  <c r="X157" i="10"/>
  <c r="Y192" i="10"/>
  <c r="W128" i="10"/>
  <c r="X142" i="10"/>
  <c r="X140" i="10"/>
  <c r="X136" i="10"/>
  <c r="X141" i="10"/>
  <c r="Y133" i="10"/>
  <c r="X150" i="10" l="1"/>
  <c r="W171" i="13"/>
  <c r="X171" i="14"/>
  <c r="X129" i="10"/>
  <c r="X150" i="11"/>
  <c r="X149" i="10"/>
  <c r="W150" i="16"/>
  <c r="X150" i="14"/>
  <c r="W170" i="11"/>
  <c r="W149" i="16"/>
  <c r="X170" i="16"/>
  <c r="Z185" i="16"/>
  <c r="Y163" i="16"/>
  <c r="Y162" i="16"/>
  <c r="Y161" i="16"/>
  <c r="Y157" i="16"/>
  <c r="Z154" i="16"/>
  <c r="Y192" i="16"/>
  <c r="X136" i="16"/>
  <c r="Y133" i="16"/>
  <c r="X142" i="16"/>
  <c r="X141" i="16"/>
  <c r="X140" i="16"/>
  <c r="X171" i="16"/>
  <c r="X170" i="14"/>
  <c r="X149" i="14"/>
  <c r="Y185" i="14"/>
  <c r="Y192" i="14"/>
  <c r="Y136" i="14"/>
  <c r="Z133" i="14"/>
  <c r="Y142" i="14"/>
  <c r="Y141" i="14"/>
  <c r="Y140" i="14"/>
  <c r="Y163" i="14"/>
  <c r="Y162" i="14"/>
  <c r="Y161" i="14"/>
  <c r="Y157" i="14"/>
  <c r="Z154" i="14"/>
  <c r="W170" i="13"/>
  <c r="X142" i="13"/>
  <c r="X141" i="13"/>
  <c r="X140" i="13"/>
  <c r="X136" i="13"/>
  <c r="Y133" i="13"/>
  <c r="X157" i="13"/>
  <c r="Y154" i="13"/>
  <c r="X163" i="13"/>
  <c r="X162" i="13"/>
  <c r="X161" i="13"/>
  <c r="W149" i="13"/>
  <c r="W150" i="13"/>
  <c r="Y192" i="13"/>
  <c r="W171" i="11"/>
  <c r="Y142" i="11"/>
  <c r="Y141" i="11"/>
  <c r="Y140" i="11"/>
  <c r="Y136" i="11"/>
  <c r="Z133" i="11"/>
  <c r="Z192" i="11"/>
  <c r="X149" i="11"/>
  <c r="X163" i="11"/>
  <c r="X162" i="11"/>
  <c r="X161" i="11"/>
  <c r="X157" i="11"/>
  <c r="Y154" i="11"/>
  <c r="X128" i="10"/>
  <c r="Z192" i="10"/>
  <c r="Y157" i="10"/>
  <c r="Z154" i="10"/>
  <c r="Y163" i="10"/>
  <c r="Y162" i="10"/>
  <c r="Y161" i="10"/>
  <c r="Y185" i="10"/>
  <c r="Y121" i="10"/>
  <c r="Y120" i="10"/>
  <c r="Y119" i="10"/>
  <c r="Y115" i="10"/>
  <c r="Z112" i="10"/>
  <c r="Y142" i="10"/>
  <c r="Y141" i="10"/>
  <c r="Y140" i="10"/>
  <c r="Y136" i="10"/>
  <c r="Z133" i="10"/>
  <c r="X170" i="10"/>
  <c r="X171" i="10"/>
  <c r="X170" i="13" l="1"/>
  <c r="Y150" i="10"/>
  <c r="X149" i="16"/>
  <c r="X171" i="11"/>
  <c r="Y171" i="16"/>
  <c r="Y170" i="14"/>
  <c r="Y150" i="14"/>
  <c r="X150" i="13"/>
  <c r="Y171" i="10"/>
  <c r="Y149" i="10"/>
  <c r="Y150" i="11"/>
  <c r="Y170" i="16"/>
  <c r="Y136" i="16"/>
  <c r="Z133" i="16"/>
  <c r="Y142" i="16"/>
  <c r="Y141" i="16"/>
  <c r="Y140" i="16"/>
  <c r="AA154" i="16"/>
  <c r="Z163" i="16"/>
  <c r="Z161" i="16"/>
  <c r="Z157" i="16"/>
  <c r="Z162" i="16"/>
  <c r="X150" i="16"/>
  <c r="Z192" i="16"/>
  <c r="AA185" i="16"/>
  <c r="Y171" i="14"/>
  <c r="Y149" i="14"/>
  <c r="Z163" i="14"/>
  <c r="Z162" i="14"/>
  <c r="Z161" i="14"/>
  <c r="Z157" i="14"/>
  <c r="AA154" i="14"/>
  <c r="Z192" i="14"/>
  <c r="Z185" i="14"/>
  <c r="Z136" i="14"/>
  <c r="AA133" i="14"/>
  <c r="Z142" i="14"/>
  <c r="Z141" i="14"/>
  <c r="Z140" i="14"/>
  <c r="Z192" i="13"/>
  <c r="X171" i="13"/>
  <c r="Y157" i="13"/>
  <c r="Z154" i="13"/>
  <c r="Y163" i="13"/>
  <c r="Y162" i="13"/>
  <c r="Y161" i="13"/>
  <c r="Y170" i="13" s="1"/>
  <c r="X149" i="13"/>
  <c r="Y142" i="13"/>
  <c r="Y141" i="13"/>
  <c r="Y140" i="13"/>
  <c r="Y149" i="13" s="1"/>
  <c r="Y136" i="13"/>
  <c r="Z133" i="13"/>
  <c r="Y163" i="11"/>
  <c r="Y162" i="11"/>
  <c r="Y157" i="11"/>
  <c r="Z154" i="11"/>
  <c r="Y161" i="11"/>
  <c r="Y149" i="11"/>
  <c r="AA192" i="11"/>
  <c r="Z142" i="11"/>
  <c r="Z141" i="11"/>
  <c r="Z140" i="11"/>
  <c r="Z136" i="11"/>
  <c r="AA133" i="11"/>
  <c r="X170" i="11"/>
  <c r="Y128" i="10"/>
  <c r="Y170" i="10"/>
  <c r="AA192" i="10"/>
  <c r="Z115" i="10"/>
  <c r="AA112" i="10"/>
  <c r="Z121" i="10"/>
  <c r="Z120" i="10"/>
  <c r="Z119" i="10"/>
  <c r="Z141" i="10"/>
  <c r="AA133" i="10"/>
  <c r="Z142" i="10"/>
  <c r="Z140" i="10"/>
  <c r="Z136" i="10"/>
  <c r="Y129" i="10"/>
  <c r="Z185" i="10"/>
  <c r="Z162" i="10"/>
  <c r="AA154" i="10"/>
  <c r="Z163" i="10"/>
  <c r="Z161" i="10"/>
  <c r="Z157" i="10"/>
  <c r="Y150" i="16" l="1"/>
  <c r="Y170" i="11"/>
  <c r="Z149" i="10"/>
  <c r="Y150" i="13"/>
  <c r="Z150" i="11"/>
  <c r="Z170" i="16"/>
  <c r="Z171" i="14"/>
  <c r="Z150" i="14"/>
  <c r="Z129" i="10"/>
  <c r="AA157" i="16"/>
  <c r="AA163" i="16"/>
  <c r="AA162" i="16"/>
  <c r="AA161" i="16"/>
  <c r="Z142" i="16"/>
  <c r="Z141" i="16"/>
  <c r="Z150" i="16" s="1"/>
  <c r="Z140" i="16"/>
  <c r="Z136" i="16"/>
  <c r="AA133" i="16"/>
  <c r="Z171" i="16"/>
  <c r="Y149" i="16"/>
  <c r="AA192" i="16"/>
  <c r="AA142" i="14"/>
  <c r="AA141" i="14"/>
  <c r="AA140" i="14"/>
  <c r="AA136" i="14"/>
  <c r="AA185" i="14"/>
  <c r="AA157" i="14"/>
  <c r="AA163" i="14"/>
  <c r="AA162" i="14"/>
  <c r="AA161" i="14"/>
  <c r="Z149" i="14"/>
  <c r="AA192" i="14"/>
  <c r="Z170" i="14"/>
  <c r="Z136" i="13"/>
  <c r="AA133" i="13"/>
  <c r="Z142" i="13"/>
  <c r="Z141" i="13"/>
  <c r="Z140" i="13"/>
  <c r="Z163" i="13"/>
  <c r="Z162" i="13"/>
  <c r="Z161" i="13"/>
  <c r="Z157" i="13"/>
  <c r="AA154" i="13"/>
  <c r="AA192" i="13"/>
  <c r="Y171" i="13"/>
  <c r="AA136" i="11"/>
  <c r="AA142" i="11"/>
  <c r="AA141" i="11"/>
  <c r="AA140" i="11"/>
  <c r="Y171" i="11"/>
  <c r="Z157" i="11"/>
  <c r="AA154" i="11"/>
  <c r="Z163" i="11"/>
  <c r="Z162" i="11"/>
  <c r="Z161" i="11"/>
  <c r="Z149" i="11"/>
  <c r="AA185" i="10"/>
  <c r="Z170" i="10"/>
  <c r="Z171" i="10"/>
  <c r="Z150" i="10"/>
  <c r="AA163" i="10"/>
  <c r="AA162" i="10"/>
  <c r="AA161" i="10"/>
  <c r="AA157" i="10"/>
  <c r="AA136" i="10"/>
  <c r="AA142" i="10"/>
  <c r="AA141" i="10"/>
  <c r="AA140" i="10"/>
  <c r="Z128" i="10"/>
  <c r="AA121" i="10"/>
  <c r="AA120" i="10"/>
  <c r="AA119" i="10"/>
  <c r="AA115" i="10"/>
  <c r="Z149" i="16" l="1"/>
  <c r="AA171" i="14"/>
  <c r="AA150" i="14"/>
  <c r="Z171" i="13"/>
  <c r="Z149" i="13"/>
  <c r="AA128" i="10"/>
  <c r="Z171" i="11"/>
  <c r="AA142" i="16"/>
  <c r="AA141" i="16"/>
  <c r="AA140" i="16"/>
  <c r="AA136" i="16"/>
  <c r="AA170" i="16"/>
  <c r="AA171" i="16"/>
  <c r="AA170" i="14"/>
  <c r="AA149" i="14"/>
  <c r="Z170" i="13"/>
  <c r="AA136" i="13"/>
  <c r="AA142" i="13"/>
  <c r="AA141" i="13"/>
  <c r="AA140" i="13"/>
  <c r="AA163" i="13"/>
  <c r="AA162" i="13"/>
  <c r="AA161" i="13"/>
  <c r="AA157" i="13"/>
  <c r="Z150" i="13"/>
  <c r="AA163" i="11"/>
  <c r="AA162" i="11"/>
  <c r="AA161" i="11"/>
  <c r="AA157" i="11"/>
  <c r="Z170" i="11"/>
  <c r="AA149" i="11"/>
  <c r="AA150" i="11"/>
  <c r="AA129" i="10"/>
  <c r="AA170" i="10"/>
  <c r="AA149" i="10"/>
  <c r="AA150" i="10"/>
  <c r="AA171" i="10"/>
  <c r="AA149" i="16" l="1"/>
  <c r="AA170" i="11"/>
  <c r="AA170" i="13"/>
  <c r="AA171" i="11"/>
  <c r="AA150" i="16"/>
  <c r="AA149" i="13"/>
  <c r="AA150" i="13"/>
  <c r="AA171" i="13"/>
  <c r="AA26" i="4" l="1"/>
  <c r="AA234" i="4" s="1"/>
  <c r="Z26" i="4"/>
  <c r="Z234" i="4" s="1"/>
  <c r="Z268" i="4" s="1"/>
  <c r="Y26" i="4"/>
  <c r="Y234" i="4" s="1"/>
  <c r="X26" i="4"/>
  <c r="X234" i="4" s="1"/>
  <c r="W26" i="4"/>
  <c r="W234" i="4" s="1"/>
  <c r="W300" i="4" s="1"/>
  <c r="V26" i="4"/>
  <c r="V234" i="4" s="1"/>
  <c r="U26" i="4"/>
  <c r="U234" i="4" s="1"/>
  <c r="U300" i="4" s="1"/>
  <c r="T26" i="4"/>
  <c r="T234" i="4" s="1"/>
  <c r="S26" i="4"/>
  <c r="S234" i="4" s="1"/>
  <c r="R26" i="4"/>
  <c r="R234" i="4" s="1"/>
  <c r="V207" i="4"/>
  <c r="V240" i="4" s="1"/>
  <c r="V306" i="4" s="1"/>
  <c r="AB306" i="4" s="1"/>
  <c r="H112" i="4"/>
  <c r="H133" i="4"/>
  <c r="H154" i="4"/>
  <c r="I154" i="4" s="1"/>
  <c r="H192" i="4"/>
  <c r="I192" i="4" s="1"/>
  <c r="H193" i="4"/>
  <c r="I193" i="4" s="1"/>
  <c r="J193" i="4" s="1"/>
  <c r="K193" i="4" s="1"/>
  <c r="L193" i="4" s="1"/>
  <c r="M193" i="4" s="1"/>
  <c r="N193" i="4" s="1"/>
  <c r="O193" i="4" s="1"/>
  <c r="P193" i="4" s="1"/>
  <c r="Q193" i="4" s="1"/>
  <c r="R193" i="4" s="1"/>
  <c r="S193" i="4" s="1"/>
  <c r="T193" i="4" s="1"/>
  <c r="U193" i="4" s="1"/>
  <c r="V193" i="4" s="1"/>
  <c r="W193" i="4" s="1"/>
  <c r="X193" i="4" s="1"/>
  <c r="Y193" i="4" s="1"/>
  <c r="Z193" i="4" s="1"/>
  <c r="AA193" i="4" s="1"/>
  <c r="H185" i="4"/>
  <c r="I185" i="4" s="1"/>
  <c r="H102" i="4"/>
  <c r="I102" i="4" s="1"/>
  <c r="H103" i="4"/>
  <c r="I103" i="4" s="1"/>
  <c r="H104" i="4"/>
  <c r="I104" i="4" s="1"/>
  <c r="J104" i="4" s="1"/>
  <c r="K104" i="4" s="1"/>
  <c r="L104" i="4" s="1"/>
  <c r="M104" i="4" s="1"/>
  <c r="N104" i="4" s="1"/>
  <c r="O104" i="4" s="1"/>
  <c r="P104" i="4" s="1"/>
  <c r="Q104" i="4" s="1"/>
  <c r="R104" i="4" s="1"/>
  <c r="S104" i="4" s="1"/>
  <c r="T104" i="4" s="1"/>
  <c r="U104" i="4" s="1"/>
  <c r="V104" i="4" s="1"/>
  <c r="W104" i="4" s="1"/>
  <c r="X104" i="4" s="1"/>
  <c r="Y104" i="4" s="1"/>
  <c r="Z104" i="4" s="1"/>
  <c r="AA104" i="4" s="1"/>
  <c r="H105" i="4"/>
  <c r="I105" i="4" s="1"/>
  <c r="J105" i="4" s="1"/>
  <c r="K105" i="4" s="1"/>
  <c r="L105" i="4" s="1"/>
  <c r="M105" i="4" s="1"/>
  <c r="N105" i="4" s="1"/>
  <c r="O105" i="4" s="1"/>
  <c r="P105" i="4" s="1"/>
  <c r="Q105" i="4" s="1"/>
  <c r="R105" i="4" s="1"/>
  <c r="S105" i="4" s="1"/>
  <c r="T105" i="4" s="1"/>
  <c r="U105" i="4" s="1"/>
  <c r="V105" i="4" s="1"/>
  <c r="W105" i="4" s="1"/>
  <c r="X105" i="4" s="1"/>
  <c r="Y105" i="4" s="1"/>
  <c r="Z105" i="4" s="1"/>
  <c r="AA105" i="4" s="1"/>
  <c r="H123" i="4"/>
  <c r="I123" i="4" s="1"/>
  <c r="H124" i="4"/>
  <c r="I124" i="4" s="1"/>
  <c r="J124" i="4" s="1"/>
  <c r="K124" i="4" s="1"/>
  <c r="L124" i="4" s="1"/>
  <c r="M124" i="4" s="1"/>
  <c r="N124" i="4" s="1"/>
  <c r="O124" i="4" s="1"/>
  <c r="P124" i="4" s="1"/>
  <c r="Q124" i="4" s="1"/>
  <c r="R124" i="4" s="1"/>
  <c r="S124" i="4" s="1"/>
  <c r="T124" i="4" s="1"/>
  <c r="U124" i="4" s="1"/>
  <c r="V124" i="4" s="1"/>
  <c r="W124" i="4" s="1"/>
  <c r="X124" i="4" s="1"/>
  <c r="Y124" i="4" s="1"/>
  <c r="Z124" i="4" s="1"/>
  <c r="AA124" i="4" s="1"/>
  <c r="H125" i="4"/>
  <c r="I125" i="4" s="1"/>
  <c r="J125" i="4" s="1"/>
  <c r="K125" i="4" s="1"/>
  <c r="L125" i="4" s="1"/>
  <c r="M125" i="4" s="1"/>
  <c r="N125" i="4" s="1"/>
  <c r="O125" i="4" s="1"/>
  <c r="P125" i="4" s="1"/>
  <c r="Q125" i="4" s="1"/>
  <c r="R125" i="4" s="1"/>
  <c r="S125" i="4" s="1"/>
  <c r="T125" i="4" s="1"/>
  <c r="U125" i="4" s="1"/>
  <c r="V125" i="4" s="1"/>
  <c r="W125" i="4" s="1"/>
  <c r="X125" i="4" s="1"/>
  <c r="Y125" i="4" s="1"/>
  <c r="Z125" i="4" s="1"/>
  <c r="AA125" i="4" s="1"/>
  <c r="H126" i="4"/>
  <c r="I126" i="4" s="1"/>
  <c r="J126" i="4" s="1"/>
  <c r="K126" i="4" s="1"/>
  <c r="L126" i="4" s="1"/>
  <c r="M126" i="4" s="1"/>
  <c r="N126" i="4" s="1"/>
  <c r="O126" i="4" s="1"/>
  <c r="P126" i="4" s="1"/>
  <c r="Q126" i="4" s="1"/>
  <c r="R126" i="4" s="1"/>
  <c r="S126" i="4" s="1"/>
  <c r="T126" i="4" s="1"/>
  <c r="U126" i="4" s="1"/>
  <c r="V126" i="4" s="1"/>
  <c r="W126" i="4" s="1"/>
  <c r="X126" i="4" s="1"/>
  <c r="Y126" i="4" s="1"/>
  <c r="Z126" i="4" s="1"/>
  <c r="AA126" i="4" s="1"/>
  <c r="H144" i="4"/>
  <c r="I144" i="4" s="1"/>
  <c r="H145" i="4"/>
  <c r="I145" i="4" s="1"/>
  <c r="J145" i="4" s="1"/>
  <c r="K145" i="4" s="1"/>
  <c r="L145" i="4" s="1"/>
  <c r="M145" i="4" s="1"/>
  <c r="N145" i="4" s="1"/>
  <c r="O145" i="4" s="1"/>
  <c r="P145" i="4" s="1"/>
  <c r="Q145" i="4" s="1"/>
  <c r="R145" i="4" s="1"/>
  <c r="S145" i="4" s="1"/>
  <c r="T145" i="4" s="1"/>
  <c r="U145" i="4" s="1"/>
  <c r="V145" i="4" s="1"/>
  <c r="W145" i="4" s="1"/>
  <c r="X145" i="4" s="1"/>
  <c r="Y145" i="4" s="1"/>
  <c r="Z145" i="4" s="1"/>
  <c r="AA145" i="4" s="1"/>
  <c r="H146" i="4"/>
  <c r="I146" i="4" s="1"/>
  <c r="J146" i="4" s="1"/>
  <c r="K146" i="4" s="1"/>
  <c r="L146" i="4" s="1"/>
  <c r="M146" i="4" s="1"/>
  <c r="N146" i="4" s="1"/>
  <c r="O146" i="4" s="1"/>
  <c r="P146" i="4" s="1"/>
  <c r="Q146" i="4" s="1"/>
  <c r="R146" i="4" s="1"/>
  <c r="S146" i="4" s="1"/>
  <c r="T146" i="4" s="1"/>
  <c r="U146" i="4" s="1"/>
  <c r="V146" i="4" s="1"/>
  <c r="W146" i="4" s="1"/>
  <c r="X146" i="4" s="1"/>
  <c r="Y146" i="4" s="1"/>
  <c r="Z146" i="4" s="1"/>
  <c r="AA146" i="4" s="1"/>
  <c r="H147" i="4"/>
  <c r="I147" i="4" s="1"/>
  <c r="J147" i="4" s="1"/>
  <c r="K147" i="4" s="1"/>
  <c r="L147" i="4" s="1"/>
  <c r="M147" i="4" s="1"/>
  <c r="N147" i="4" s="1"/>
  <c r="O147" i="4" s="1"/>
  <c r="P147" i="4" s="1"/>
  <c r="Q147" i="4" s="1"/>
  <c r="R147" i="4" s="1"/>
  <c r="S147" i="4" s="1"/>
  <c r="T147" i="4" s="1"/>
  <c r="U147" i="4" s="1"/>
  <c r="V147" i="4" s="1"/>
  <c r="W147" i="4" s="1"/>
  <c r="X147" i="4" s="1"/>
  <c r="Y147" i="4" s="1"/>
  <c r="Z147" i="4" s="1"/>
  <c r="AA147" i="4" s="1"/>
  <c r="H165" i="4"/>
  <c r="I165" i="4" s="1"/>
  <c r="H166" i="4"/>
  <c r="I166" i="4" s="1"/>
  <c r="J166" i="4" s="1"/>
  <c r="K166" i="4" s="1"/>
  <c r="L166" i="4" s="1"/>
  <c r="M166" i="4" s="1"/>
  <c r="N166" i="4" s="1"/>
  <c r="O166" i="4" s="1"/>
  <c r="P166" i="4" s="1"/>
  <c r="Q166" i="4" s="1"/>
  <c r="R166" i="4" s="1"/>
  <c r="S166" i="4" s="1"/>
  <c r="T166" i="4" s="1"/>
  <c r="U166" i="4" s="1"/>
  <c r="V166" i="4" s="1"/>
  <c r="W166" i="4" s="1"/>
  <c r="X166" i="4" s="1"/>
  <c r="Y166" i="4" s="1"/>
  <c r="Z166" i="4" s="1"/>
  <c r="AA166" i="4" s="1"/>
  <c r="H167" i="4"/>
  <c r="I167" i="4" s="1"/>
  <c r="J167" i="4" s="1"/>
  <c r="K167" i="4" s="1"/>
  <c r="L167" i="4" s="1"/>
  <c r="M167" i="4" s="1"/>
  <c r="N167" i="4" s="1"/>
  <c r="O167" i="4" s="1"/>
  <c r="P167" i="4" s="1"/>
  <c r="Q167" i="4" s="1"/>
  <c r="R167" i="4" s="1"/>
  <c r="S167" i="4" s="1"/>
  <c r="T167" i="4" s="1"/>
  <c r="U167" i="4" s="1"/>
  <c r="V167" i="4" s="1"/>
  <c r="W167" i="4" s="1"/>
  <c r="X167" i="4" s="1"/>
  <c r="Y167" i="4" s="1"/>
  <c r="Z167" i="4" s="1"/>
  <c r="AA167" i="4" s="1"/>
  <c r="H168" i="4"/>
  <c r="I168" i="4" s="1"/>
  <c r="J168" i="4" s="1"/>
  <c r="K168" i="4" s="1"/>
  <c r="L168" i="4" s="1"/>
  <c r="M168" i="4" s="1"/>
  <c r="N168" i="4" s="1"/>
  <c r="O168" i="4" s="1"/>
  <c r="P168" i="4" s="1"/>
  <c r="Q168" i="4" s="1"/>
  <c r="R168" i="4" s="1"/>
  <c r="S168" i="4" s="1"/>
  <c r="T168" i="4" s="1"/>
  <c r="U168" i="4" s="1"/>
  <c r="V168" i="4" s="1"/>
  <c r="W168" i="4" s="1"/>
  <c r="X168" i="4" s="1"/>
  <c r="Y168" i="4" s="1"/>
  <c r="Z168" i="4" s="1"/>
  <c r="AA168" i="4" s="1"/>
  <c r="G64" i="4"/>
  <c r="H64" i="4"/>
  <c r="I64" i="4"/>
  <c r="J64" i="4"/>
  <c r="K64" i="4"/>
  <c r="L64" i="4"/>
  <c r="M64" i="4"/>
  <c r="N64" i="4"/>
  <c r="O64" i="4"/>
  <c r="P64" i="4"/>
  <c r="Q64" i="4"/>
  <c r="R64" i="4"/>
  <c r="S64" i="4"/>
  <c r="T64" i="4"/>
  <c r="U64" i="4"/>
  <c r="V64" i="4"/>
  <c r="G65" i="4"/>
  <c r="H65" i="4"/>
  <c r="I65" i="4"/>
  <c r="J65" i="4"/>
  <c r="K65" i="4"/>
  <c r="L65" i="4"/>
  <c r="M65" i="4"/>
  <c r="N65" i="4"/>
  <c r="O65" i="4"/>
  <c r="P65" i="4"/>
  <c r="Q65" i="4"/>
  <c r="R65" i="4"/>
  <c r="S65" i="4"/>
  <c r="T65" i="4"/>
  <c r="U65" i="4"/>
  <c r="V65" i="4"/>
  <c r="G66" i="4"/>
  <c r="H66" i="4"/>
  <c r="I66" i="4"/>
  <c r="J66" i="4"/>
  <c r="K66" i="4"/>
  <c r="L66" i="4"/>
  <c r="M66" i="4"/>
  <c r="N66" i="4"/>
  <c r="O66" i="4"/>
  <c r="P66" i="4"/>
  <c r="Q66" i="4"/>
  <c r="R66" i="4"/>
  <c r="S66" i="4"/>
  <c r="T66" i="4"/>
  <c r="U66" i="4"/>
  <c r="V66" i="4"/>
  <c r="G78" i="4"/>
  <c r="H78" i="4"/>
  <c r="I78" i="4"/>
  <c r="J78" i="4"/>
  <c r="K78" i="4"/>
  <c r="L78" i="4"/>
  <c r="M78" i="4"/>
  <c r="N78" i="4"/>
  <c r="O78" i="4"/>
  <c r="P78" i="4"/>
  <c r="Q78" i="4"/>
  <c r="R78" i="4"/>
  <c r="S78" i="4"/>
  <c r="T78" i="4"/>
  <c r="U78" i="4"/>
  <c r="V78" i="4"/>
  <c r="G79" i="4"/>
  <c r="H79" i="4"/>
  <c r="I79" i="4"/>
  <c r="J79" i="4"/>
  <c r="K79" i="4"/>
  <c r="L79" i="4"/>
  <c r="M79" i="4"/>
  <c r="N79" i="4"/>
  <c r="O79" i="4"/>
  <c r="P79" i="4"/>
  <c r="Q79" i="4"/>
  <c r="R79" i="4"/>
  <c r="S79" i="4"/>
  <c r="T79" i="4"/>
  <c r="U79" i="4"/>
  <c r="V79" i="4"/>
  <c r="G80" i="4"/>
  <c r="H80" i="4"/>
  <c r="I80" i="4"/>
  <c r="J80" i="4"/>
  <c r="K80" i="4"/>
  <c r="L80" i="4"/>
  <c r="M80" i="4"/>
  <c r="N80" i="4"/>
  <c r="O80" i="4"/>
  <c r="P80" i="4"/>
  <c r="Q80" i="4"/>
  <c r="R80" i="4"/>
  <c r="S80" i="4"/>
  <c r="T80" i="4"/>
  <c r="U80" i="4"/>
  <c r="V80" i="4"/>
  <c r="G29" i="4"/>
  <c r="H29" i="4"/>
  <c r="I29" i="4"/>
  <c r="J29" i="4"/>
  <c r="K29" i="4"/>
  <c r="L29" i="4"/>
  <c r="M29" i="4"/>
  <c r="N29" i="4"/>
  <c r="O29" i="4"/>
  <c r="P29" i="4"/>
  <c r="Q29" i="4"/>
  <c r="R29" i="4"/>
  <c r="S29" i="4"/>
  <c r="T29" i="4"/>
  <c r="U29" i="4"/>
  <c r="V29" i="4"/>
  <c r="G30" i="4"/>
  <c r="H30" i="4"/>
  <c r="I30" i="4"/>
  <c r="J30" i="4"/>
  <c r="K30" i="4"/>
  <c r="L30" i="4"/>
  <c r="M30" i="4"/>
  <c r="N30" i="4"/>
  <c r="O30" i="4"/>
  <c r="P30" i="4"/>
  <c r="Q30" i="4"/>
  <c r="R30" i="4"/>
  <c r="S30" i="4"/>
  <c r="T30" i="4"/>
  <c r="U30" i="4"/>
  <c r="V30" i="4"/>
  <c r="G31" i="4"/>
  <c r="H31" i="4"/>
  <c r="I31" i="4"/>
  <c r="J31" i="4"/>
  <c r="K31" i="4"/>
  <c r="L31" i="4"/>
  <c r="M31" i="4"/>
  <c r="N31" i="4"/>
  <c r="O31" i="4"/>
  <c r="P31" i="4"/>
  <c r="Q31" i="4"/>
  <c r="R31" i="4"/>
  <c r="S31" i="4"/>
  <c r="T31" i="4"/>
  <c r="U31" i="4"/>
  <c r="V31" i="4"/>
  <c r="G32" i="4"/>
  <c r="H32" i="4"/>
  <c r="I32" i="4"/>
  <c r="J32" i="4"/>
  <c r="K32" i="4"/>
  <c r="L32" i="4"/>
  <c r="M32" i="4"/>
  <c r="N32" i="4"/>
  <c r="O32" i="4"/>
  <c r="P32" i="4"/>
  <c r="Q32" i="4"/>
  <c r="R32" i="4"/>
  <c r="S32" i="4"/>
  <c r="T32" i="4"/>
  <c r="U32" i="4"/>
  <c r="V32" i="4"/>
  <c r="G45" i="4"/>
  <c r="G46" i="4"/>
  <c r="H46" i="4"/>
  <c r="I46" i="4"/>
  <c r="J46" i="4"/>
  <c r="K46" i="4"/>
  <c r="L46" i="4"/>
  <c r="M46" i="4"/>
  <c r="N46" i="4"/>
  <c r="O46" i="4"/>
  <c r="P46" i="4"/>
  <c r="Q46" i="4"/>
  <c r="R46" i="4"/>
  <c r="S46" i="4"/>
  <c r="T46" i="4"/>
  <c r="U46" i="4"/>
  <c r="V46" i="4"/>
  <c r="G47" i="4"/>
  <c r="H47" i="4"/>
  <c r="I47" i="4"/>
  <c r="J47" i="4"/>
  <c r="K47" i="4"/>
  <c r="L47" i="4"/>
  <c r="M47" i="4"/>
  <c r="N47" i="4"/>
  <c r="O47" i="4"/>
  <c r="P47" i="4"/>
  <c r="Q47" i="4"/>
  <c r="R47" i="4"/>
  <c r="S47" i="4"/>
  <c r="T47" i="4"/>
  <c r="U47" i="4"/>
  <c r="V47" i="4"/>
  <c r="G48" i="4"/>
  <c r="H48" i="4"/>
  <c r="I48" i="4"/>
  <c r="J48" i="4"/>
  <c r="K48" i="4"/>
  <c r="L48" i="4"/>
  <c r="M48" i="4"/>
  <c r="N48" i="4"/>
  <c r="O48" i="4"/>
  <c r="P48" i="4"/>
  <c r="Q48" i="4"/>
  <c r="R48" i="4"/>
  <c r="S48" i="4"/>
  <c r="T48" i="4"/>
  <c r="U48" i="4"/>
  <c r="V48" i="4"/>
  <c r="V227" i="4"/>
  <c r="W64" i="4"/>
  <c r="X64" i="4"/>
  <c r="Y64" i="4"/>
  <c r="Z64" i="4"/>
  <c r="AA64" i="4"/>
  <c r="W65" i="4"/>
  <c r="X65" i="4"/>
  <c r="Y65" i="4"/>
  <c r="Z65" i="4"/>
  <c r="AA65" i="4"/>
  <c r="W66" i="4"/>
  <c r="X66" i="4"/>
  <c r="Y66" i="4"/>
  <c r="Z66" i="4"/>
  <c r="AA66" i="4"/>
  <c r="W78" i="4"/>
  <c r="X78" i="4"/>
  <c r="Y78" i="4"/>
  <c r="Z78" i="4"/>
  <c r="AA78" i="4"/>
  <c r="W79" i="4"/>
  <c r="X79" i="4"/>
  <c r="Y79" i="4"/>
  <c r="Z79" i="4"/>
  <c r="AA79" i="4"/>
  <c r="W80" i="4"/>
  <c r="X80" i="4"/>
  <c r="Y80" i="4"/>
  <c r="Z80" i="4"/>
  <c r="AA80" i="4"/>
  <c r="W29" i="4"/>
  <c r="X29" i="4"/>
  <c r="Y29" i="4"/>
  <c r="Z29" i="4"/>
  <c r="AA29" i="4"/>
  <c r="W30" i="4"/>
  <c r="X30" i="4"/>
  <c r="Y30" i="4"/>
  <c r="Z30" i="4"/>
  <c r="AA30" i="4"/>
  <c r="W31" i="4"/>
  <c r="X31" i="4"/>
  <c r="Y31" i="4"/>
  <c r="Z31" i="4"/>
  <c r="AA31" i="4"/>
  <c r="W32" i="4"/>
  <c r="X32" i="4"/>
  <c r="Y32" i="4"/>
  <c r="Z32" i="4"/>
  <c r="AA32" i="4"/>
  <c r="W45" i="4"/>
  <c r="X45" i="4"/>
  <c r="Y45" i="4"/>
  <c r="Z45" i="4"/>
  <c r="AA45" i="4"/>
  <c r="W46" i="4"/>
  <c r="X46" i="4"/>
  <c r="Y46" i="4"/>
  <c r="Z46" i="4"/>
  <c r="AA46" i="4"/>
  <c r="W47" i="4"/>
  <c r="X47" i="4"/>
  <c r="Y47" i="4"/>
  <c r="Z47" i="4"/>
  <c r="AA47" i="4"/>
  <c r="W48" i="4"/>
  <c r="X48" i="4"/>
  <c r="Y48" i="4"/>
  <c r="Z48" i="4"/>
  <c r="AA48" i="4"/>
  <c r="AA42" i="4"/>
  <c r="AA222" i="4" s="1"/>
  <c r="AA256" i="4" s="1"/>
  <c r="AA207" i="4"/>
  <c r="A320" i="4"/>
  <c r="H26" i="4"/>
  <c r="H234" i="4" s="1"/>
  <c r="H61" i="4"/>
  <c r="H75" i="4"/>
  <c r="H236" i="4"/>
  <c r="H140" i="4"/>
  <c r="H142" i="4"/>
  <c r="H161" i="4"/>
  <c r="H162" i="4"/>
  <c r="H163" i="4"/>
  <c r="H157" i="4"/>
  <c r="H207" i="4"/>
  <c r="H240" i="4" s="1"/>
  <c r="AA61" i="4"/>
  <c r="AA75" i="4"/>
  <c r="AA236" i="4"/>
  <c r="AA270" i="4" s="1"/>
  <c r="Z300" i="4"/>
  <c r="Z61" i="4"/>
  <c r="Z75" i="4"/>
  <c r="Z236" i="4"/>
  <c r="Z207" i="4"/>
  <c r="Z240" i="4" s="1"/>
  <c r="Z274" i="4" s="1"/>
  <c r="Z42" i="4"/>
  <c r="Z222" i="4" s="1"/>
  <c r="Y300" i="4"/>
  <c r="Y61" i="4"/>
  <c r="Y75" i="4"/>
  <c r="Y236" i="4"/>
  <c r="Y302" i="4" s="1"/>
  <c r="Y207" i="4"/>
  <c r="Y42" i="4"/>
  <c r="Y222" i="4" s="1"/>
  <c r="X61" i="4"/>
  <c r="X75" i="4"/>
  <c r="X236" i="4"/>
  <c r="X302" i="4" s="1"/>
  <c r="X207" i="4"/>
  <c r="X227" i="4" s="1"/>
  <c r="X42" i="4"/>
  <c r="X222" i="4" s="1"/>
  <c r="W61" i="4"/>
  <c r="W75" i="4"/>
  <c r="W236" i="4"/>
  <c r="W302" i="4"/>
  <c r="W207" i="4"/>
  <c r="W240" i="4" s="1"/>
  <c r="W42" i="4"/>
  <c r="W222" i="4" s="1"/>
  <c r="V61" i="4"/>
  <c r="V75" i="4"/>
  <c r="V236" i="4"/>
  <c r="U61" i="4"/>
  <c r="U75" i="4"/>
  <c r="U236" i="4"/>
  <c r="U207" i="4"/>
  <c r="T61" i="4"/>
  <c r="T75" i="4"/>
  <c r="T236" i="4"/>
  <c r="T207" i="4"/>
  <c r="S61" i="4"/>
  <c r="S75" i="4"/>
  <c r="S236" i="4"/>
  <c r="S270" i="4" s="1"/>
  <c r="S207" i="4"/>
  <c r="S227" i="4" s="1"/>
  <c r="S240" i="4"/>
  <c r="S306" i="4" s="1"/>
  <c r="R61" i="4"/>
  <c r="R75" i="4"/>
  <c r="R84" i="4"/>
  <c r="R235" i="4" s="1"/>
  <c r="R301" i="4" s="1"/>
  <c r="R236" i="4"/>
  <c r="R302" i="4" s="1"/>
  <c r="R207" i="4"/>
  <c r="R240" i="4"/>
  <c r="R227" i="4"/>
  <c r="R293" i="4" s="1"/>
  <c r="Q26" i="4"/>
  <c r="Q234" i="4" s="1"/>
  <c r="Q268" i="4" s="1"/>
  <c r="Q61" i="4"/>
  <c r="Q84" i="4" s="1"/>
  <c r="Q235" i="4" s="1"/>
  <c r="Q75" i="4"/>
  <c r="Q236" i="4"/>
  <c r="Q207" i="4"/>
  <c r="Q240" i="4" s="1"/>
  <c r="Q68" i="4"/>
  <c r="P26" i="4"/>
  <c r="P234" i="4" s="1"/>
  <c r="P61" i="4"/>
  <c r="P75" i="4"/>
  <c r="P236" i="4"/>
  <c r="P302" i="4" s="1"/>
  <c r="P207" i="4"/>
  <c r="O26" i="4"/>
  <c r="O234" i="4" s="1"/>
  <c r="O268" i="4" s="1"/>
  <c r="O61" i="4"/>
  <c r="O75" i="4"/>
  <c r="O236" i="4"/>
  <c r="O270" i="4" s="1"/>
  <c r="O302" i="4"/>
  <c r="O207" i="4"/>
  <c r="O240" i="4" s="1"/>
  <c r="N26" i="4"/>
  <c r="N234" i="4" s="1"/>
  <c r="N61" i="4"/>
  <c r="N75" i="4"/>
  <c r="N236" i="4"/>
  <c r="N302" i="4" s="1"/>
  <c r="N207" i="4"/>
  <c r="N227" i="4" s="1"/>
  <c r="M26" i="4"/>
  <c r="M234" i="4" s="1"/>
  <c r="M300" i="4" s="1"/>
  <c r="M61" i="4"/>
  <c r="M75" i="4"/>
  <c r="M236" i="4"/>
  <c r="M302" i="4" s="1"/>
  <c r="M207" i="4"/>
  <c r="L26" i="4"/>
  <c r="L234" i="4" s="1"/>
  <c r="L300" i="4" s="1"/>
  <c r="L61" i="4"/>
  <c r="L75" i="4"/>
  <c r="L84" i="4"/>
  <c r="L235" i="4" s="1"/>
  <c r="L269" i="4" s="1"/>
  <c r="L236" i="4"/>
  <c r="L302" i="4" s="1"/>
  <c r="L207" i="4"/>
  <c r="L240" i="4" s="1"/>
  <c r="K26" i="4"/>
  <c r="K234" i="4" s="1"/>
  <c r="K300" i="4" s="1"/>
  <c r="K61" i="4"/>
  <c r="K75" i="4"/>
  <c r="K236" i="4"/>
  <c r="K270" i="4" s="1"/>
  <c r="K207" i="4"/>
  <c r="K240" i="4" s="1"/>
  <c r="J26" i="4"/>
  <c r="J234" i="4" s="1"/>
  <c r="J61" i="4"/>
  <c r="J75" i="4"/>
  <c r="J236" i="4"/>
  <c r="J302" i="4" s="1"/>
  <c r="J207" i="4"/>
  <c r="J240" i="4" s="1"/>
  <c r="I26" i="4"/>
  <c r="I234" i="4" s="1"/>
  <c r="I61" i="4"/>
  <c r="I75" i="4"/>
  <c r="I236" i="4"/>
  <c r="I207" i="4"/>
  <c r="I240" i="4" s="1"/>
  <c r="G26" i="4"/>
  <c r="G234" i="4" s="1"/>
  <c r="G61" i="4"/>
  <c r="G75" i="4"/>
  <c r="G236" i="4"/>
  <c r="G270" i="4" s="1"/>
  <c r="G237" i="4"/>
  <c r="G303" i="4"/>
  <c r="G224" i="4"/>
  <c r="G238" i="4" s="1"/>
  <c r="G304" i="4" s="1"/>
  <c r="G239" i="4"/>
  <c r="G240" i="4"/>
  <c r="G306" i="4" s="1"/>
  <c r="G241" i="4"/>
  <c r="G42" i="4"/>
  <c r="G222" i="4" s="1"/>
  <c r="G223" i="4"/>
  <c r="G225" i="4"/>
  <c r="G291" i="4" s="1"/>
  <c r="G68" i="4"/>
  <c r="G82" i="4"/>
  <c r="G227" i="4"/>
  <c r="G293" i="4" s="1"/>
  <c r="A283" i="4"/>
  <c r="J270" i="4"/>
  <c r="R270" i="4"/>
  <c r="W268" i="4"/>
  <c r="W270" i="4"/>
  <c r="Y268" i="4"/>
  <c r="G271" i="4"/>
  <c r="AA93" i="4"/>
  <c r="AA114" i="4"/>
  <c r="AA135" i="4"/>
  <c r="AA156" i="4"/>
  <c r="Z93" i="4"/>
  <c r="Z114" i="4"/>
  <c r="Z135" i="4"/>
  <c r="Z156" i="4"/>
  <c r="Y93" i="4"/>
  <c r="Y114" i="4"/>
  <c r="Y135" i="4"/>
  <c r="Y156" i="4"/>
  <c r="X93" i="4"/>
  <c r="X114" i="4"/>
  <c r="X135" i="4"/>
  <c r="X156" i="4"/>
  <c r="W93" i="4"/>
  <c r="W114" i="4"/>
  <c r="W135" i="4"/>
  <c r="W156" i="4"/>
  <c r="V114" i="4"/>
  <c r="V135" i="4"/>
  <c r="V156" i="4"/>
  <c r="U114" i="4"/>
  <c r="U135" i="4"/>
  <c r="U156" i="4"/>
  <c r="T114" i="4"/>
  <c r="T135" i="4"/>
  <c r="T156" i="4"/>
  <c r="S114" i="4"/>
  <c r="S135" i="4"/>
  <c r="S156" i="4"/>
  <c r="R114" i="4"/>
  <c r="R135" i="4"/>
  <c r="R156" i="4"/>
  <c r="Q114" i="4"/>
  <c r="Q135" i="4"/>
  <c r="Q156" i="4"/>
  <c r="P114" i="4"/>
  <c r="P135" i="4"/>
  <c r="P156" i="4"/>
  <c r="O114" i="4"/>
  <c r="O135" i="4"/>
  <c r="O156" i="4"/>
  <c r="N114" i="4"/>
  <c r="N135" i="4"/>
  <c r="N156" i="4"/>
  <c r="M114" i="4"/>
  <c r="M135" i="4"/>
  <c r="M156" i="4"/>
  <c r="L114" i="4"/>
  <c r="L135" i="4"/>
  <c r="L156" i="4"/>
  <c r="K114" i="4"/>
  <c r="K135" i="4"/>
  <c r="K156" i="4"/>
  <c r="J114" i="4"/>
  <c r="J135" i="4"/>
  <c r="J156" i="4"/>
  <c r="I114" i="4"/>
  <c r="I135" i="4"/>
  <c r="I156" i="4"/>
  <c r="H114" i="4"/>
  <c r="H135" i="4"/>
  <c r="H156" i="4"/>
  <c r="A213" i="4"/>
  <c r="A212" i="4"/>
  <c r="A211" i="4"/>
  <c r="A210" i="4"/>
  <c r="A206" i="4"/>
  <c r="A205" i="4"/>
  <c r="A204" i="4"/>
  <c r="A203" i="4"/>
  <c r="A198" i="4"/>
  <c r="A197" i="4"/>
  <c r="A194" i="4"/>
  <c r="A193" i="4"/>
  <c r="A192" i="4"/>
  <c r="A191" i="4"/>
  <c r="A186" i="4"/>
  <c r="A185" i="4"/>
  <c r="A184" i="4"/>
  <c r="C183" i="4"/>
  <c r="A165" i="4"/>
  <c r="A164" i="4"/>
  <c r="A160" i="4"/>
  <c r="A158" i="4"/>
  <c r="A155" i="4"/>
  <c r="A153" i="4"/>
  <c r="A144" i="4"/>
  <c r="A143" i="4"/>
  <c r="A139" i="4"/>
  <c r="A137" i="4"/>
  <c r="A134" i="4"/>
  <c r="A132" i="4"/>
  <c r="A123" i="4"/>
  <c r="A122" i="4"/>
  <c r="A116" i="4"/>
  <c r="A113" i="4"/>
  <c r="A111" i="4"/>
  <c r="A102" i="4"/>
  <c r="A101" i="4"/>
  <c r="A95" i="4"/>
  <c r="A92" i="4"/>
  <c r="A90" i="4"/>
  <c r="C87" i="4"/>
  <c r="E73" i="4"/>
  <c r="E80" i="4" s="1"/>
  <c r="E72" i="4"/>
  <c r="E79" i="4" s="1"/>
  <c r="E71" i="4"/>
  <c r="E78" i="4" s="1"/>
  <c r="A70" i="4"/>
  <c r="E59" i="4"/>
  <c r="E66" i="4" s="1"/>
  <c r="E58" i="4"/>
  <c r="E65" i="4" s="1"/>
  <c r="E57" i="4"/>
  <c r="E64" i="4" s="1"/>
  <c r="A56" i="4"/>
  <c r="A52" i="4"/>
  <c r="E40" i="4"/>
  <c r="E48" i="4" s="1"/>
  <c r="E39" i="4"/>
  <c r="E47" i="4"/>
  <c r="E38" i="4"/>
  <c r="E46" i="4" s="1"/>
  <c r="E37" i="4"/>
  <c r="E45" i="4" s="1"/>
  <c r="A36" i="4"/>
  <c r="E32" i="4"/>
  <c r="E23" i="4"/>
  <c r="E31" i="4"/>
  <c r="E22" i="4"/>
  <c r="E30" i="4" s="1"/>
  <c r="E21" i="4"/>
  <c r="E29" i="4" s="1"/>
  <c r="A20" i="4"/>
  <c r="A18" i="4"/>
  <c r="G16" i="4"/>
  <c r="A15" i="4"/>
  <c r="A14" i="4"/>
  <c r="A10" i="4"/>
  <c r="A9" i="4"/>
  <c r="A8" i="4"/>
  <c r="A7" i="4"/>
  <c r="A4" i="4"/>
  <c r="J103" i="4" l="1"/>
  <c r="K103" i="4" s="1"/>
  <c r="L103" i="4" s="1"/>
  <c r="M103" i="4" s="1"/>
  <c r="N103" i="4" s="1"/>
  <c r="O103" i="4" s="1"/>
  <c r="P103" i="4" s="1"/>
  <c r="Q103" i="4" s="1"/>
  <c r="R103" i="4" s="1"/>
  <c r="S103" i="4" s="1"/>
  <c r="T103" i="4" s="1"/>
  <c r="U103" i="4" s="1"/>
  <c r="V103" i="4" s="1"/>
  <c r="W103" i="4" s="1"/>
  <c r="X103" i="4" s="1"/>
  <c r="Y103" i="4" s="1"/>
  <c r="Z103" i="4" s="1"/>
  <c r="AA103" i="4" s="1"/>
  <c r="H119" i="4"/>
  <c r="X270" i="4"/>
  <c r="G84" i="4"/>
  <c r="G235" i="4" s="1"/>
  <c r="K84" i="4"/>
  <c r="K235" i="4" s="1"/>
  <c r="K269" i="4" s="1"/>
  <c r="N84" i="4"/>
  <c r="N235" i="4" s="1"/>
  <c r="N269" i="4" s="1"/>
  <c r="W84" i="4"/>
  <c r="W235" i="4" s="1"/>
  <c r="Z84" i="4"/>
  <c r="Z235" i="4" s="1"/>
  <c r="J84" i="4"/>
  <c r="J235" i="4" s="1"/>
  <c r="P84" i="4"/>
  <c r="P235" i="4" s="1"/>
  <c r="T84" i="4"/>
  <c r="T235" i="4" s="1"/>
  <c r="X240" i="4"/>
  <c r="X306" i="4" s="1"/>
  <c r="R269" i="4"/>
  <c r="G290" i="4"/>
  <c r="AA84" i="4"/>
  <c r="AA235" i="4" s="1"/>
  <c r="AA269" i="4" s="1"/>
  <c r="L270" i="4"/>
  <c r="X84" i="4"/>
  <c r="X235" i="4" s="1"/>
  <c r="X301" i="4" s="1"/>
  <c r="J301" i="4"/>
  <c r="J269" i="4"/>
  <c r="X293" i="4"/>
  <c r="X261" i="4"/>
  <c r="N293" i="4"/>
  <c r="N261" i="4"/>
  <c r="AA301" i="4"/>
  <c r="G261" i="4"/>
  <c r="N270" i="4"/>
  <c r="G302" i="4"/>
  <c r="N240" i="4"/>
  <c r="N306" i="4" s="1"/>
  <c r="O227" i="4"/>
  <c r="H84" i="4"/>
  <c r="H235" i="4" s="1"/>
  <c r="G259" i="4"/>
  <c r="R261" i="4"/>
  <c r="M270" i="4"/>
  <c r="L227" i="4"/>
  <c r="S302" i="4"/>
  <c r="G258" i="4"/>
  <c r="X274" i="4"/>
  <c r="K302" i="4"/>
  <c r="W227" i="4"/>
  <c r="Z227" i="4"/>
  <c r="AA302" i="4"/>
  <c r="H170" i="4"/>
  <c r="P270" i="4"/>
  <c r="M84" i="4"/>
  <c r="M235" i="4" s="1"/>
  <c r="S84" i="4"/>
  <c r="S235" i="4" s="1"/>
  <c r="U84" i="4"/>
  <c r="U235" i="4" s="1"/>
  <c r="U301" i="4" s="1"/>
  <c r="Z306" i="4"/>
  <c r="Y270" i="4"/>
  <c r="O84" i="4"/>
  <c r="O235" i="4" s="1"/>
  <c r="I112" i="4"/>
  <c r="I120" i="4" s="1"/>
  <c r="Z174" i="4"/>
  <c r="Z217" i="4" s="1"/>
  <c r="AA174" i="4"/>
  <c r="AA217" i="4" s="1"/>
  <c r="H121" i="4"/>
  <c r="H120" i="4"/>
  <c r="H115" i="4"/>
  <c r="P301" i="4"/>
  <c r="P269" i="4"/>
  <c r="N301" i="4"/>
  <c r="T240" i="4"/>
  <c r="T227" i="4"/>
  <c r="H302" i="4"/>
  <c r="H270" i="4"/>
  <c r="U269" i="4"/>
  <c r="G269" i="4"/>
  <c r="G301" i="4"/>
  <c r="K301" i="4"/>
  <c r="L306" i="4"/>
  <c r="L274" i="4"/>
  <c r="L301" i="4"/>
  <c r="M240" i="4"/>
  <c r="M227" i="4"/>
  <c r="X269" i="4"/>
  <c r="H301" i="4"/>
  <c r="H269" i="4"/>
  <c r="G288" i="4"/>
  <c r="G256" i="4"/>
  <c r="Q306" i="4"/>
  <c r="Q274" i="4"/>
  <c r="R306" i="4"/>
  <c r="R274" i="4"/>
  <c r="S293" i="4"/>
  <c r="S261" i="4"/>
  <c r="T301" i="4"/>
  <c r="T269" i="4"/>
  <c r="W269" i="4"/>
  <c r="W301" i="4"/>
  <c r="Z293" i="4"/>
  <c r="Z261" i="4"/>
  <c r="Z302" i="4"/>
  <c r="Z270" i="4"/>
  <c r="AA227" i="4"/>
  <c r="AA240" i="4"/>
  <c r="V261" i="4"/>
  <c r="V293" i="4"/>
  <c r="H82" i="4"/>
  <c r="Q82" i="4"/>
  <c r="S82" i="4"/>
  <c r="Y82" i="4"/>
  <c r="N68" i="4"/>
  <c r="U68" i="4"/>
  <c r="P68" i="4"/>
  <c r="I68" i="4"/>
  <c r="M68" i="4"/>
  <c r="AA268" i="4"/>
  <c r="AA300" i="4"/>
  <c r="G272" i="4"/>
  <c r="G307" i="4"/>
  <c r="G275" i="4"/>
  <c r="I84" i="4"/>
  <c r="I235" i="4" s="1"/>
  <c r="M301" i="4"/>
  <c r="M269" i="4"/>
  <c r="O306" i="4"/>
  <c r="O274" i="4"/>
  <c r="Q227" i="4"/>
  <c r="Q270" i="4"/>
  <c r="Q302" i="4"/>
  <c r="V270" i="4"/>
  <c r="V302" i="4"/>
  <c r="X300" i="4"/>
  <c r="X268" i="4"/>
  <c r="I302" i="4"/>
  <c r="I270" i="4"/>
  <c r="P240" i="4"/>
  <c r="P227" i="4"/>
  <c r="T302" i="4"/>
  <c r="T270" i="4"/>
  <c r="U240" i="4"/>
  <c r="U227" i="4"/>
  <c r="Y240" i="4"/>
  <c r="Y227" i="4"/>
  <c r="Y84" i="4"/>
  <c r="Y235" i="4" s="1"/>
  <c r="I133" i="4"/>
  <c r="I136" i="4" s="1"/>
  <c r="H141" i="4"/>
  <c r="H149" i="4" s="1"/>
  <c r="H136" i="4"/>
  <c r="AB240" i="4"/>
  <c r="V274" i="4"/>
  <c r="AB274" i="4" s="1"/>
  <c r="G274" i="4"/>
  <c r="S274" i="4"/>
  <c r="G257" i="4"/>
  <c r="G289" i="4"/>
  <c r="G273" i="4"/>
  <c r="G305" i="4"/>
  <c r="U270" i="4"/>
  <c r="U302" i="4"/>
  <c r="V84" i="4"/>
  <c r="V235" i="4" s="1"/>
  <c r="W306" i="4"/>
  <c r="W274" i="4"/>
  <c r="J227" i="4"/>
  <c r="G34" i="4"/>
  <c r="Y68" i="4"/>
  <c r="Z288" i="4"/>
  <c r="Z256" i="4"/>
  <c r="W174" i="4"/>
  <c r="W217" i="4" s="1"/>
  <c r="N34" i="4"/>
  <c r="L34" i="4"/>
  <c r="Z269" i="4"/>
  <c r="Z301" i="4"/>
  <c r="G85" i="4"/>
  <c r="I82" i="4"/>
  <c r="I85" i="4" s="1"/>
  <c r="K82" i="4"/>
  <c r="M82" i="4"/>
  <c r="N82" i="4"/>
  <c r="O82" i="4"/>
  <c r="Q85" i="4"/>
  <c r="Z82" i="4"/>
  <c r="U82" i="4"/>
  <c r="U85" i="4" s="1"/>
  <c r="W82" i="4"/>
  <c r="X82" i="4"/>
  <c r="V82" i="4"/>
  <c r="J82" i="4"/>
  <c r="L82" i="4"/>
  <c r="P82" i="4"/>
  <c r="R82" i="4"/>
  <c r="T82" i="4"/>
  <c r="AA82" i="4"/>
  <c r="Y85" i="4"/>
  <c r="Q301" i="4"/>
  <c r="Q269" i="4"/>
  <c r="W68" i="4"/>
  <c r="AA68" i="4"/>
  <c r="V68" i="4"/>
  <c r="S68" i="4"/>
  <c r="S85" i="4" s="1"/>
  <c r="Z68" i="4"/>
  <c r="Z85" i="4" s="1"/>
  <c r="H68" i="4"/>
  <c r="H85" i="4" s="1"/>
  <c r="J68" i="4"/>
  <c r="J85" i="4" s="1"/>
  <c r="K68" i="4"/>
  <c r="L68" i="4"/>
  <c r="O68" i="4"/>
  <c r="R68" i="4"/>
  <c r="T68" i="4"/>
  <c r="X68" i="4"/>
  <c r="X85" i="4" s="1"/>
  <c r="W256" i="4"/>
  <c r="W288" i="4"/>
  <c r="X288" i="4"/>
  <c r="X256" i="4"/>
  <c r="Y288" i="4"/>
  <c r="Y256" i="4"/>
  <c r="AA288" i="4"/>
  <c r="G50" i="4"/>
  <c r="J300" i="4"/>
  <c r="J268" i="4"/>
  <c r="S300" i="4"/>
  <c r="S268" i="4"/>
  <c r="V300" i="4"/>
  <c r="V268" i="4"/>
  <c r="I300" i="4"/>
  <c r="I268" i="4"/>
  <c r="N268" i="4"/>
  <c r="N300" i="4"/>
  <c r="O300" i="4"/>
  <c r="Q300" i="4"/>
  <c r="R34" i="4"/>
  <c r="H34" i="4"/>
  <c r="U268" i="4"/>
  <c r="I34" i="4"/>
  <c r="J34" i="4"/>
  <c r="S34" i="4"/>
  <c r="W34" i="4"/>
  <c r="U34" i="4"/>
  <c r="P300" i="4"/>
  <c r="P268" i="4"/>
  <c r="M268" i="4"/>
  <c r="M34" i="4"/>
  <c r="O34" i="4"/>
  <c r="P34" i="4"/>
  <c r="Q34" i="4"/>
  <c r="K34" i="4"/>
  <c r="Z34" i="4"/>
  <c r="Y34" i="4"/>
  <c r="T300" i="4"/>
  <c r="T268" i="4"/>
  <c r="R300" i="4"/>
  <c r="R268" i="4"/>
  <c r="L268" i="4"/>
  <c r="K268" i="4"/>
  <c r="T34" i="4"/>
  <c r="X34" i="4"/>
  <c r="H268" i="4"/>
  <c r="H300" i="4"/>
  <c r="G300" i="4"/>
  <c r="G268" i="4"/>
  <c r="AA34" i="4"/>
  <c r="V34" i="4"/>
  <c r="H171" i="4"/>
  <c r="X174" i="4"/>
  <c r="X217" i="4" s="1"/>
  <c r="Y174" i="4"/>
  <c r="Y217" i="4" s="1"/>
  <c r="J102" i="4"/>
  <c r="J123" i="4"/>
  <c r="I140" i="4"/>
  <c r="I141" i="4"/>
  <c r="J144" i="4"/>
  <c r="I163" i="4"/>
  <c r="I157" i="4"/>
  <c r="J154" i="4"/>
  <c r="I161" i="4"/>
  <c r="I162" i="4"/>
  <c r="J165" i="4"/>
  <c r="J185" i="4"/>
  <c r="J192" i="4"/>
  <c r="J306" i="4"/>
  <c r="J274" i="4"/>
  <c r="I306" i="4"/>
  <c r="I274" i="4"/>
  <c r="K274" i="4"/>
  <c r="K306" i="4"/>
  <c r="H274" i="4"/>
  <c r="H306" i="4"/>
  <c r="K227" i="4"/>
  <c r="H227" i="4"/>
  <c r="I227" i="4"/>
  <c r="H129" i="4" l="1"/>
  <c r="J112" i="4"/>
  <c r="I119" i="4"/>
  <c r="N274" i="4"/>
  <c r="N85" i="4"/>
  <c r="O85" i="4"/>
  <c r="W261" i="4"/>
  <c r="W293" i="4"/>
  <c r="L261" i="4"/>
  <c r="L293" i="4"/>
  <c r="O293" i="4"/>
  <c r="O261" i="4"/>
  <c r="H150" i="4"/>
  <c r="I171" i="4"/>
  <c r="K85" i="4"/>
  <c r="O269" i="4"/>
  <c r="O301" i="4"/>
  <c r="S301" i="4"/>
  <c r="S269" i="4"/>
  <c r="T85" i="4"/>
  <c r="I115" i="4"/>
  <c r="I121" i="4"/>
  <c r="H128" i="4"/>
  <c r="G226" i="4"/>
  <c r="G230" i="4" s="1"/>
  <c r="G231" i="4" s="1"/>
  <c r="G242" i="4" s="1"/>
  <c r="G243" i="4" s="1"/>
  <c r="G244" i="4" s="1"/>
  <c r="Y269" i="4"/>
  <c r="Y301" i="4"/>
  <c r="U274" i="4"/>
  <c r="U306" i="4"/>
  <c r="P274" i="4"/>
  <c r="P306" i="4"/>
  <c r="AA293" i="4"/>
  <c r="AA261" i="4"/>
  <c r="M274" i="4"/>
  <c r="M306" i="4"/>
  <c r="T306" i="4"/>
  <c r="T274" i="4"/>
  <c r="I142" i="4"/>
  <c r="I150" i="4" s="1"/>
  <c r="J133" i="4"/>
  <c r="Y293" i="4"/>
  <c r="Y261" i="4"/>
  <c r="Y274" i="4"/>
  <c r="Y306" i="4"/>
  <c r="Q293" i="4"/>
  <c r="Q261" i="4"/>
  <c r="L85" i="4"/>
  <c r="W85" i="4"/>
  <c r="P85" i="4"/>
  <c r="M85" i="4"/>
  <c r="J293" i="4"/>
  <c r="J261" i="4"/>
  <c r="V301" i="4"/>
  <c r="V269" i="4"/>
  <c r="U261" i="4"/>
  <c r="U293" i="4"/>
  <c r="P261" i="4"/>
  <c r="P293" i="4"/>
  <c r="I301" i="4"/>
  <c r="I269" i="4"/>
  <c r="AA274" i="4"/>
  <c r="AA306" i="4"/>
  <c r="M293" i="4"/>
  <c r="M261" i="4"/>
  <c r="T293" i="4"/>
  <c r="T261" i="4"/>
  <c r="R85" i="4"/>
  <c r="V85" i="4"/>
  <c r="AA85" i="4"/>
  <c r="I149" i="4"/>
  <c r="K102" i="4"/>
  <c r="K112" i="4"/>
  <c r="J121" i="4"/>
  <c r="J115" i="4"/>
  <c r="J119" i="4"/>
  <c r="J120" i="4"/>
  <c r="K123" i="4"/>
  <c r="J136" i="4"/>
  <c r="K133" i="4"/>
  <c r="J140" i="4"/>
  <c r="J141" i="4"/>
  <c r="J142" i="4"/>
  <c r="K144" i="4"/>
  <c r="I170" i="4"/>
  <c r="J163" i="4"/>
  <c r="J157" i="4"/>
  <c r="K154" i="4"/>
  <c r="J161" i="4"/>
  <c r="J162" i="4"/>
  <c r="K165" i="4"/>
  <c r="K185" i="4"/>
  <c r="K192" i="4"/>
  <c r="I261" i="4"/>
  <c r="I293" i="4"/>
  <c r="H293" i="4"/>
  <c r="H261" i="4"/>
  <c r="K293" i="4"/>
  <c r="K261" i="4"/>
  <c r="I128" i="4" l="1"/>
  <c r="J150" i="4"/>
  <c r="I129" i="4"/>
  <c r="G292" i="4"/>
  <c r="J129" i="4"/>
  <c r="G260" i="4"/>
  <c r="J170" i="4"/>
  <c r="J171" i="4"/>
  <c r="L102" i="4"/>
  <c r="J128" i="4"/>
  <c r="L112" i="4"/>
  <c r="K119" i="4"/>
  <c r="K120" i="4"/>
  <c r="K121" i="4"/>
  <c r="K115" i="4"/>
  <c r="L123" i="4"/>
  <c r="K142" i="4"/>
  <c r="L133" i="4"/>
  <c r="K140" i="4"/>
  <c r="K136" i="4"/>
  <c r="K141" i="4"/>
  <c r="J149" i="4"/>
  <c r="L144" i="4"/>
  <c r="K161" i="4"/>
  <c r="K162" i="4"/>
  <c r="L154" i="4"/>
  <c r="K163" i="4"/>
  <c r="K157" i="4"/>
  <c r="L165" i="4"/>
  <c r="L185" i="4"/>
  <c r="L192" i="4"/>
  <c r="K129" i="4" l="1"/>
  <c r="K150" i="4"/>
  <c r="K171" i="4"/>
  <c r="M102" i="4"/>
  <c r="K128" i="4"/>
  <c r="L119" i="4"/>
  <c r="L120" i="4"/>
  <c r="M112" i="4"/>
  <c r="L121" i="4"/>
  <c r="L115" i="4"/>
  <c r="M123" i="4"/>
  <c r="L141" i="4"/>
  <c r="L142" i="4"/>
  <c r="M133" i="4"/>
  <c r="L140" i="4"/>
  <c r="L136" i="4"/>
  <c r="K149" i="4"/>
  <c r="M144" i="4"/>
  <c r="M154" i="4"/>
  <c r="L162" i="4"/>
  <c r="L163" i="4"/>
  <c r="L157" i="4"/>
  <c r="L161" i="4"/>
  <c r="K170" i="4"/>
  <c r="M165" i="4"/>
  <c r="M185" i="4"/>
  <c r="M192" i="4"/>
  <c r="L150" i="4" l="1"/>
  <c r="L128" i="4"/>
  <c r="N102" i="4"/>
  <c r="L129" i="4"/>
  <c r="M120" i="4"/>
  <c r="M121" i="4"/>
  <c r="M115" i="4"/>
  <c r="N112" i="4"/>
  <c r="M119" i="4"/>
  <c r="N123" i="4"/>
  <c r="N133" i="4"/>
  <c r="M140" i="4"/>
  <c r="M136" i="4"/>
  <c r="M141" i="4"/>
  <c r="M142" i="4"/>
  <c r="L149" i="4"/>
  <c r="N144" i="4"/>
  <c r="L170" i="4"/>
  <c r="M163" i="4"/>
  <c r="M157" i="4"/>
  <c r="N154" i="4"/>
  <c r="M161" i="4"/>
  <c r="M162" i="4"/>
  <c r="L171" i="4"/>
  <c r="N165" i="4"/>
  <c r="N185" i="4"/>
  <c r="N192" i="4"/>
  <c r="M171" i="4" l="1"/>
  <c r="M150" i="4"/>
  <c r="M128" i="4"/>
  <c r="O102" i="4"/>
  <c r="M129" i="4"/>
  <c r="O112" i="4"/>
  <c r="N119" i="4"/>
  <c r="N120" i="4"/>
  <c r="N121" i="4"/>
  <c r="N115" i="4"/>
  <c r="O123" i="4"/>
  <c r="N140" i="4"/>
  <c r="N136" i="4"/>
  <c r="O133" i="4"/>
  <c r="N141" i="4"/>
  <c r="N142" i="4"/>
  <c r="M149" i="4"/>
  <c r="O144" i="4"/>
  <c r="N162" i="4"/>
  <c r="N163" i="4"/>
  <c r="N157" i="4"/>
  <c r="O154" i="4"/>
  <c r="N161" i="4"/>
  <c r="M170" i="4"/>
  <c r="O165" i="4"/>
  <c r="O185" i="4"/>
  <c r="O192" i="4"/>
  <c r="N150" i="4" l="1"/>
  <c r="N129" i="4"/>
  <c r="N149" i="4"/>
  <c r="N171" i="4"/>
  <c r="P102" i="4"/>
  <c r="N128" i="4"/>
  <c r="O119" i="4"/>
  <c r="P112" i="4"/>
  <c r="O120" i="4"/>
  <c r="O121" i="4"/>
  <c r="O115" i="4"/>
  <c r="P123" i="4"/>
  <c r="O140" i="4"/>
  <c r="O136" i="4"/>
  <c r="P133" i="4"/>
  <c r="O141" i="4"/>
  <c r="O142" i="4"/>
  <c r="P144" i="4"/>
  <c r="N170" i="4"/>
  <c r="O161" i="4"/>
  <c r="O171" i="4" s="1"/>
  <c r="O162" i="4"/>
  <c r="P154" i="4"/>
  <c r="O163" i="4"/>
  <c r="O157" i="4"/>
  <c r="P165" i="4"/>
  <c r="P185" i="4"/>
  <c r="P192" i="4"/>
  <c r="O129" i="4" l="1"/>
  <c r="O149" i="4"/>
  <c r="Q102" i="4"/>
  <c r="O128" i="4"/>
  <c r="P120" i="4"/>
  <c r="P121" i="4"/>
  <c r="P115" i="4"/>
  <c r="Q112" i="4"/>
  <c r="P119" i="4"/>
  <c r="Q123" i="4"/>
  <c r="O150" i="4"/>
  <c r="P142" i="4"/>
  <c r="P140" i="4"/>
  <c r="P136" i="4"/>
  <c r="Q133" i="4"/>
  <c r="P141" i="4"/>
  <c r="Q144" i="4"/>
  <c r="O170" i="4"/>
  <c r="Q154" i="4"/>
  <c r="P162" i="4"/>
  <c r="P163" i="4"/>
  <c r="P157" i="4"/>
  <c r="P161" i="4"/>
  <c r="Q165" i="4"/>
  <c r="Q185" i="4"/>
  <c r="Q192" i="4"/>
  <c r="P149" i="4" l="1"/>
  <c r="P128" i="4"/>
  <c r="P171" i="4"/>
  <c r="P170" i="4"/>
  <c r="R102" i="4"/>
  <c r="P129" i="4"/>
  <c r="Q120" i="4"/>
  <c r="Q115" i="4"/>
  <c r="Q121" i="4"/>
  <c r="R112" i="4"/>
  <c r="Q119" i="4"/>
  <c r="R123" i="4"/>
  <c r="P150" i="4"/>
  <c r="R133" i="4"/>
  <c r="Q141" i="4"/>
  <c r="Q142" i="4"/>
  <c r="Q140" i="4"/>
  <c r="Q136" i="4"/>
  <c r="R144" i="4"/>
  <c r="Q161" i="4"/>
  <c r="R154" i="4"/>
  <c r="Q162" i="4"/>
  <c r="Q163" i="4"/>
  <c r="Q157" i="4"/>
  <c r="R165" i="4"/>
  <c r="R185" i="4"/>
  <c r="R192" i="4"/>
  <c r="Q171" i="4" l="1"/>
  <c r="Q149" i="4"/>
  <c r="Q129" i="4"/>
  <c r="Q170" i="4"/>
  <c r="S102" i="4"/>
  <c r="S112" i="4"/>
  <c r="R119" i="4"/>
  <c r="R120" i="4"/>
  <c r="R121" i="4"/>
  <c r="R115" i="4"/>
  <c r="Q128" i="4"/>
  <c r="S123" i="4"/>
  <c r="Q150" i="4"/>
  <c r="R141" i="4"/>
  <c r="S133" i="4"/>
  <c r="R142" i="4"/>
  <c r="R140" i="4"/>
  <c r="R136" i="4"/>
  <c r="S144" i="4"/>
  <c r="R161" i="4"/>
  <c r="S154" i="4"/>
  <c r="R162" i="4"/>
  <c r="R163" i="4"/>
  <c r="R157" i="4"/>
  <c r="S165" i="4"/>
  <c r="S185" i="4"/>
  <c r="S192" i="4"/>
  <c r="R128" i="4" l="1"/>
  <c r="R150" i="4"/>
  <c r="R170" i="4"/>
  <c r="T102" i="4"/>
  <c r="S121" i="4"/>
  <c r="S115" i="4"/>
  <c r="T112" i="4"/>
  <c r="S119" i="4"/>
  <c r="S120" i="4"/>
  <c r="R129" i="4"/>
  <c r="T123" i="4"/>
  <c r="R149" i="4"/>
  <c r="S142" i="4"/>
  <c r="T133" i="4"/>
  <c r="S140" i="4"/>
  <c r="S136" i="4"/>
  <c r="S141" i="4"/>
  <c r="T144" i="4"/>
  <c r="S161" i="4"/>
  <c r="S162" i="4"/>
  <c r="T154" i="4"/>
  <c r="S163" i="4"/>
  <c r="S157" i="4"/>
  <c r="R171" i="4"/>
  <c r="T165" i="4"/>
  <c r="T185" i="4"/>
  <c r="T192" i="4"/>
  <c r="S171" i="4" l="1"/>
  <c r="S129" i="4"/>
  <c r="S149" i="4"/>
  <c r="S128" i="4"/>
  <c r="S170" i="4"/>
  <c r="U102" i="4"/>
  <c r="T120" i="4"/>
  <c r="T121" i="4"/>
  <c r="T115" i="4"/>
  <c r="U112" i="4"/>
  <c r="T119" i="4"/>
  <c r="U123" i="4"/>
  <c r="S150" i="4"/>
  <c r="T140" i="4"/>
  <c r="T136" i="4"/>
  <c r="T141" i="4"/>
  <c r="U133" i="4"/>
  <c r="T142" i="4"/>
  <c r="U144" i="4"/>
  <c r="U154" i="4"/>
  <c r="T163" i="4"/>
  <c r="T157" i="4"/>
  <c r="T161" i="4"/>
  <c r="T162" i="4"/>
  <c r="U165" i="4"/>
  <c r="U185" i="4"/>
  <c r="U192" i="4"/>
  <c r="T150" i="4" l="1"/>
  <c r="T129" i="4"/>
  <c r="T171" i="4"/>
  <c r="V102" i="4"/>
  <c r="T128" i="4"/>
  <c r="U119" i="4"/>
  <c r="U120" i="4"/>
  <c r="U121" i="4"/>
  <c r="U115" i="4"/>
  <c r="V112" i="4"/>
  <c r="V123" i="4"/>
  <c r="T149" i="4"/>
  <c r="V133" i="4"/>
  <c r="U140" i="4"/>
  <c r="U136" i="4"/>
  <c r="U141" i="4"/>
  <c r="U142" i="4"/>
  <c r="V144" i="4"/>
  <c r="U163" i="4"/>
  <c r="U157" i="4"/>
  <c r="V154" i="4"/>
  <c r="U161" i="4"/>
  <c r="U171" i="4" s="1"/>
  <c r="U162" i="4"/>
  <c r="T170" i="4"/>
  <c r="V165" i="4"/>
  <c r="V185" i="4"/>
  <c r="V192" i="4"/>
  <c r="U150" i="4" l="1"/>
  <c r="U129" i="4"/>
  <c r="W102" i="4"/>
  <c r="W112" i="4"/>
  <c r="V120" i="4"/>
  <c r="V121" i="4"/>
  <c r="V115" i="4"/>
  <c r="V119" i="4"/>
  <c r="U128" i="4"/>
  <c r="W123" i="4"/>
  <c r="U149" i="4"/>
  <c r="V140" i="4"/>
  <c r="W133" i="4"/>
  <c r="V141" i="4"/>
  <c r="V142" i="4"/>
  <c r="V136" i="4"/>
  <c r="W144" i="4"/>
  <c r="V163" i="4"/>
  <c r="V157" i="4"/>
  <c r="W154" i="4"/>
  <c r="V161" i="4"/>
  <c r="V162" i="4"/>
  <c r="U170" i="4"/>
  <c r="W165" i="4"/>
  <c r="W185" i="4"/>
  <c r="W192" i="4"/>
  <c r="V171" i="4" l="1"/>
  <c r="V149" i="4"/>
  <c r="V129" i="4"/>
  <c r="X102" i="4"/>
  <c r="V128" i="4"/>
  <c r="W121" i="4"/>
  <c r="W115" i="4"/>
  <c r="X112" i="4"/>
  <c r="W119" i="4"/>
  <c r="W120" i="4"/>
  <c r="X123" i="4"/>
  <c r="W140" i="4"/>
  <c r="W136" i="4"/>
  <c r="W141" i="4"/>
  <c r="X133" i="4"/>
  <c r="W142" i="4"/>
  <c r="V150" i="4"/>
  <c r="X144" i="4"/>
  <c r="V170" i="4"/>
  <c r="W163" i="4"/>
  <c r="W157" i="4"/>
  <c r="W161" i="4"/>
  <c r="X154" i="4"/>
  <c r="W162" i="4"/>
  <c r="X165" i="4"/>
  <c r="X185" i="4"/>
  <c r="X192" i="4"/>
  <c r="W171" i="4" l="1"/>
  <c r="W129" i="4"/>
  <c r="W150" i="4"/>
  <c r="Y102" i="4"/>
  <c r="X119" i="4"/>
  <c r="Y112" i="4"/>
  <c r="X120" i="4"/>
  <c r="X121" i="4"/>
  <c r="X115" i="4"/>
  <c r="W128" i="4"/>
  <c r="Y123" i="4"/>
  <c r="W149" i="4"/>
  <c r="X140" i="4"/>
  <c r="X136" i="4"/>
  <c r="X141" i="4"/>
  <c r="Y133" i="4"/>
  <c r="X142" i="4"/>
  <c r="Y144" i="4"/>
  <c r="Y154" i="4"/>
  <c r="X161" i="4"/>
  <c r="X162" i="4"/>
  <c r="X163" i="4"/>
  <c r="X157" i="4"/>
  <c r="W170" i="4"/>
  <c r="Y165" i="4"/>
  <c r="Y185" i="4"/>
  <c r="Y192" i="4"/>
  <c r="X170" i="4" l="1"/>
  <c r="X129" i="4"/>
  <c r="X150" i="4"/>
  <c r="X171" i="4"/>
  <c r="Z102" i="4"/>
  <c r="Y119" i="4"/>
  <c r="Y120" i="4"/>
  <c r="Z112" i="4"/>
  <c r="Y121" i="4"/>
  <c r="Y115" i="4"/>
  <c r="X128" i="4"/>
  <c r="Z123" i="4"/>
  <c r="X149" i="4"/>
  <c r="Z133" i="4"/>
  <c r="Y141" i="4"/>
  <c r="Y142" i="4"/>
  <c r="Y140" i="4"/>
  <c r="Y150" i="4" s="1"/>
  <c r="Y136" i="4"/>
  <c r="Z144" i="4"/>
  <c r="Y163" i="4"/>
  <c r="Z154" i="4"/>
  <c r="Y161" i="4"/>
  <c r="Y171" i="4" s="1"/>
  <c r="Y162" i="4"/>
  <c r="Y157" i="4"/>
  <c r="Z165" i="4"/>
  <c r="Z185" i="4"/>
  <c r="Z192" i="4"/>
  <c r="Y129" i="4" l="1"/>
  <c r="AA102" i="4"/>
  <c r="AA112" i="4"/>
  <c r="Z120" i="4"/>
  <c r="Z115" i="4"/>
  <c r="Z121" i="4"/>
  <c r="Z119" i="4"/>
  <c r="Y128" i="4"/>
  <c r="AA123" i="4"/>
  <c r="Z141" i="4"/>
  <c r="AA133" i="4"/>
  <c r="Z142" i="4"/>
  <c r="Z136" i="4"/>
  <c r="Z140" i="4"/>
  <c r="Y149" i="4"/>
  <c r="AA144" i="4"/>
  <c r="Z163" i="4"/>
  <c r="Z157" i="4"/>
  <c r="AA154" i="4"/>
  <c r="Z161" i="4"/>
  <c r="Z162" i="4"/>
  <c r="Y170" i="4"/>
  <c r="AA165" i="4"/>
  <c r="AA185" i="4"/>
  <c r="AA192" i="4"/>
  <c r="Z171" i="4" l="1"/>
  <c r="Z150" i="4"/>
  <c r="Z129" i="4"/>
  <c r="Z149" i="4"/>
  <c r="Z128" i="4"/>
  <c r="AA119" i="4"/>
  <c r="AA115" i="4"/>
  <c r="AA120" i="4"/>
  <c r="AA121" i="4"/>
  <c r="AA140" i="4"/>
  <c r="AA141" i="4"/>
  <c r="AA150" i="4" s="1"/>
  <c r="AA136" i="4"/>
  <c r="AA142" i="4"/>
  <c r="Z170" i="4"/>
  <c r="AA161" i="4"/>
  <c r="AA162" i="4"/>
  <c r="AA157" i="4"/>
  <c r="AA163" i="4"/>
  <c r="AA128" i="4" l="1"/>
  <c r="AA129" i="4"/>
  <c r="AA149" i="4"/>
  <c r="AA170" i="4"/>
  <c r="AA171" i="4"/>
  <c r="O114" i="11" l="1"/>
  <c r="L114" i="11"/>
  <c r="L114" i="14" l="1"/>
  <c r="O114" i="14"/>
  <c r="Q114" i="11"/>
  <c r="P114" i="11"/>
  <c r="N114" i="11"/>
  <c r="M114" i="11"/>
  <c r="K114" i="11"/>
  <c r="J114" i="11"/>
  <c r="I114" i="11"/>
  <c r="O114" i="25"/>
  <c r="O114" i="21"/>
  <c r="L114" i="25"/>
  <c r="L114" i="21"/>
  <c r="M114" i="13"/>
  <c r="L114" i="13"/>
  <c r="K114" i="13"/>
  <c r="J114" i="13"/>
  <c r="I114" i="13"/>
  <c r="V114" i="13"/>
  <c r="U114" i="13"/>
  <c r="T114" i="13"/>
  <c r="S114" i="13"/>
  <c r="R114" i="13"/>
  <c r="Q114" i="13"/>
  <c r="P114" i="13"/>
  <c r="O114" i="13"/>
  <c r="N114" i="13"/>
  <c r="K114" i="14" l="1"/>
  <c r="N114" i="14"/>
  <c r="Q114" i="14"/>
  <c r="I114" i="14"/>
  <c r="P114" i="14"/>
  <c r="M114" i="14"/>
  <c r="J114" i="14"/>
  <c r="R114" i="11"/>
  <c r="P114" i="21"/>
  <c r="M114" i="21"/>
  <c r="P114" i="25"/>
  <c r="N114" i="25"/>
  <c r="Q114" i="21"/>
  <c r="K114" i="25"/>
  <c r="J114" i="25"/>
  <c r="N114" i="21"/>
  <c r="M114" i="25"/>
  <c r="Q114" i="25"/>
  <c r="K114" i="21"/>
  <c r="J114" i="21"/>
  <c r="I114" i="25"/>
  <c r="I114" i="21"/>
  <c r="R114" i="14" l="1"/>
  <c r="S114" i="11"/>
  <c r="R114" i="25"/>
  <c r="R114" i="21"/>
  <c r="S114" i="14" l="1"/>
  <c r="S114" i="25"/>
  <c r="S114" i="21"/>
  <c r="T114" i="11" l="1"/>
  <c r="T114" i="14"/>
  <c r="T114" i="25"/>
  <c r="T114" i="21"/>
  <c r="U114" i="14" l="1"/>
  <c r="U114" i="11"/>
  <c r="U114" i="21"/>
  <c r="U114" i="25"/>
  <c r="V114" i="11" l="1"/>
  <c r="V114" i="14"/>
  <c r="V114" i="25"/>
  <c r="V114" i="21"/>
  <c r="Q93" i="10" l="1"/>
  <c r="Q174" i="10" s="1"/>
  <c r="Q217" i="10" s="1"/>
  <c r="Q93" i="16"/>
  <c r="Q174" i="16" s="1"/>
  <c r="Q217" i="16" s="1"/>
  <c r="Q93" i="13"/>
  <c r="Q174" i="13" s="1"/>
  <c r="Q217" i="13" s="1"/>
  <c r="H111" i="13"/>
  <c r="H111" i="83" s="1"/>
  <c r="H111" i="16"/>
  <c r="H111" i="82" s="1"/>
  <c r="H114" i="82" l="1"/>
  <c r="H174" i="82" s="1"/>
  <c r="H217" i="82" s="1"/>
  <c r="H112" i="82"/>
  <c r="H114" i="83"/>
  <c r="H174" i="83" s="1"/>
  <c r="H217" i="83" s="1"/>
  <c r="H112" i="83"/>
  <c r="H37" i="16"/>
  <c r="H37" i="82" s="1"/>
  <c r="H37" i="13"/>
  <c r="H37" i="83" s="1"/>
  <c r="Q93" i="14"/>
  <c r="Q174" i="14" s="1"/>
  <c r="Q217" i="14" s="1"/>
  <c r="Q93" i="11"/>
  <c r="Q174" i="11" s="1"/>
  <c r="Q217" i="11" s="1"/>
  <c r="M93" i="14"/>
  <c r="M174" i="14" s="1"/>
  <c r="M217" i="14" s="1"/>
  <c r="M93" i="11"/>
  <c r="M174" i="11" s="1"/>
  <c r="M217" i="11" s="1"/>
  <c r="L93" i="14"/>
  <c r="L174" i="14" s="1"/>
  <c r="L217" i="14" s="1"/>
  <c r="L93" i="11"/>
  <c r="L174" i="11" s="1"/>
  <c r="L217" i="11" s="1"/>
  <c r="I93" i="14"/>
  <c r="I174" i="14" s="1"/>
  <c r="I217" i="14" s="1"/>
  <c r="I93" i="11"/>
  <c r="I174" i="11" s="1"/>
  <c r="I217" i="11" s="1"/>
  <c r="L93" i="21"/>
  <c r="L174" i="21" s="1"/>
  <c r="L217" i="21" s="1"/>
  <c r="M93" i="25"/>
  <c r="M174" i="25" s="1"/>
  <c r="M217" i="25" s="1"/>
  <c r="L93" i="25"/>
  <c r="L174" i="25" s="1"/>
  <c r="M93" i="21"/>
  <c r="M174" i="21" s="1"/>
  <c r="M217" i="21" s="1"/>
  <c r="Q93" i="25"/>
  <c r="Q174" i="25" s="1"/>
  <c r="Q217" i="25" s="1"/>
  <c r="I93" i="21"/>
  <c r="I174" i="21" s="1"/>
  <c r="I217" i="21" s="1"/>
  <c r="Q93" i="21"/>
  <c r="Q174" i="21" s="1"/>
  <c r="Q217" i="21" s="1"/>
  <c r="I93" i="25"/>
  <c r="I174" i="25" s="1"/>
  <c r="L93" i="10"/>
  <c r="L174" i="10" s="1"/>
  <c r="L217" i="10" s="1"/>
  <c r="Q42" i="13"/>
  <c r="Q222" i="13" s="1"/>
  <c r="Q45" i="13"/>
  <c r="M93" i="16"/>
  <c r="M174" i="16" s="1"/>
  <c r="M217" i="16" s="1"/>
  <c r="M93" i="10"/>
  <c r="M174" i="10" s="1"/>
  <c r="M217" i="10" s="1"/>
  <c r="M93" i="13"/>
  <c r="M174" i="13" s="1"/>
  <c r="M217" i="13" s="1"/>
  <c r="Q42" i="16"/>
  <c r="Q222" i="16" s="1"/>
  <c r="Q45" i="16"/>
  <c r="L93" i="16"/>
  <c r="L174" i="16" s="1"/>
  <c r="Q42" i="10"/>
  <c r="Q222" i="10" s="1"/>
  <c r="Q45" i="10"/>
  <c r="L93" i="13"/>
  <c r="L174" i="13" s="1"/>
  <c r="L217" i="13" s="1"/>
  <c r="I93" i="10"/>
  <c r="I174" i="10" s="1"/>
  <c r="I217" i="10" s="1"/>
  <c r="I93" i="13"/>
  <c r="I174" i="13" s="1"/>
  <c r="I217" i="13" s="1"/>
  <c r="I93" i="16"/>
  <c r="I174" i="16" s="1"/>
  <c r="H91" i="13"/>
  <c r="H93" i="13"/>
  <c r="H114" i="16"/>
  <c r="H112" i="16"/>
  <c r="H93" i="16"/>
  <c r="H114" i="13"/>
  <c r="H112" i="13"/>
  <c r="H114" i="25"/>
  <c r="H112" i="25"/>
  <c r="H93" i="21"/>
  <c r="H91" i="25"/>
  <c r="H93" i="25"/>
  <c r="H114" i="21"/>
  <c r="H114" i="14"/>
  <c r="H174" i="14" s="1"/>
  <c r="H93" i="11"/>
  <c r="H91" i="11"/>
  <c r="H112" i="11"/>
  <c r="H115" i="11" s="1"/>
  <c r="H114" i="11"/>
  <c r="L93" i="29"/>
  <c r="L174" i="29" s="1"/>
  <c r="L217" i="29" s="1"/>
  <c r="I93" i="29"/>
  <c r="I174" i="29" s="1"/>
  <c r="I217" i="29" s="1"/>
  <c r="Q93" i="29"/>
  <c r="Q174" i="29" s="1"/>
  <c r="Q217" i="29" s="1"/>
  <c r="H93" i="29"/>
  <c r="H174" i="29" s="1"/>
  <c r="H217" i="29" s="1"/>
  <c r="H91" i="29"/>
  <c r="M93" i="29"/>
  <c r="M174" i="29" s="1"/>
  <c r="M217" i="29" s="1"/>
  <c r="H93" i="4"/>
  <c r="H174" i="4" s="1"/>
  <c r="H217" i="4" s="1"/>
  <c r="H91" i="4"/>
  <c r="H98" i="4" s="1"/>
  <c r="I93" i="4"/>
  <c r="I174" i="4" s="1"/>
  <c r="I217" i="4" s="1"/>
  <c r="Q93" i="4"/>
  <c r="Q174" i="4" s="1"/>
  <c r="Q217" i="4" s="1"/>
  <c r="L93" i="4"/>
  <c r="L174" i="4" s="1"/>
  <c r="L217" i="4" s="1"/>
  <c r="M93" i="4"/>
  <c r="M174" i="4" s="1"/>
  <c r="M217" i="4" s="1"/>
  <c r="H45" i="83" l="1"/>
  <c r="H42" i="83"/>
  <c r="H222" i="83" s="1"/>
  <c r="H45" i="82"/>
  <c r="H42" i="82"/>
  <c r="H222" i="82" s="1"/>
  <c r="I112" i="83"/>
  <c r="H120" i="83"/>
  <c r="H115" i="83"/>
  <c r="H175" i="83" s="1"/>
  <c r="H119" i="83"/>
  <c r="H128" i="83" s="1"/>
  <c r="H176" i="83" s="1"/>
  <c r="H121" i="83"/>
  <c r="H186" i="83"/>
  <c r="H121" i="82"/>
  <c r="H119" i="82"/>
  <c r="I112" i="82"/>
  <c r="H120" i="82"/>
  <c r="H115" i="82"/>
  <c r="H175" i="82" s="1"/>
  <c r="I217" i="25"/>
  <c r="L217" i="16"/>
  <c r="I217" i="16"/>
  <c r="L217" i="25"/>
  <c r="H186" i="13"/>
  <c r="H98" i="13"/>
  <c r="H174" i="25"/>
  <c r="R93" i="11"/>
  <c r="R174" i="11" s="1"/>
  <c r="R217" i="11" s="1"/>
  <c r="R93" i="14"/>
  <c r="R174" i="14" s="1"/>
  <c r="R217" i="14" s="1"/>
  <c r="Q42" i="14"/>
  <c r="Q222" i="14" s="1"/>
  <c r="Q45" i="14"/>
  <c r="Q45" i="11"/>
  <c r="Q42" i="11"/>
  <c r="Q222" i="11" s="1"/>
  <c r="P93" i="14"/>
  <c r="P174" i="14" s="1"/>
  <c r="P217" i="14" s="1"/>
  <c r="P93" i="11"/>
  <c r="P174" i="11" s="1"/>
  <c r="P217" i="11" s="1"/>
  <c r="O93" i="11"/>
  <c r="O174" i="11" s="1"/>
  <c r="O217" i="11" s="1"/>
  <c r="O93" i="14"/>
  <c r="O174" i="14" s="1"/>
  <c r="O217" i="14" s="1"/>
  <c r="N93" i="11"/>
  <c r="N174" i="11" s="1"/>
  <c r="N217" i="11" s="1"/>
  <c r="N93" i="14"/>
  <c r="N174" i="14" s="1"/>
  <c r="N217" i="14" s="1"/>
  <c r="M45" i="11"/>
  <c r="M42" i="11"/>
  <c r="M222" i="11" s="1"/>
  <c r="M45" i="14"/>
  <c r="M42" i="14"/>
  <c r="M222" i="14" s="1"/>
  <c r="L42" i="11"/>
  <c r="L222" i="11" s="1"/>
  <c r="L45" i="11"/>
  <c r="L45" i="14"/>
  <c r="L42" i="14"/>
  <c r="L222" i="14" s="1"/>
  <c r="K93" i="14"/>
  <c r="K174" i="14" s="1"/>
  <c r="K217" i="14" s="1"/>
  <c r="K93" i="11"/>
  <c r="K174" i="11" s="1"/>
  <c r="K217" i="11" s="1"/>
  <c r="J93" i="11"/>
  <c r="J174" i="11" s="1"/>
  <c r="J217" i="11" s="1"/>
  <c r="J93" i="14"/>
  <c r="J174" i="14" s="1"/>
  <c r="J217" i="14" s="1"/>
  <c r="I42" i="11"/>
  <c r="I222" i="11" s="1"/>
  <c r="I45" i="11"/>
  <c r="I45" i="14"/>
  <c r="I42" i="14"/>
  <c r="I222" i="14" s="1"/>
  <c r="H174" i="21"/>
  <c r="H217" i="21" s="1"/>
  <c r="R93" i="21"/>
  <c r="R174" i="21" s="1"/>
  <c r="R217" i="21" s="1"/>
  <c r="L45" i="21"/>
  <c r="L42" i="21"/>
  <c r="L222" i="21" s="1"/>
  <c r="Q42" i="25"/>
  <c r="Q222" i="25" s="1"/>
  <c r="Q45" i="25"/>
  <c r="K93" i="21"/>
  <c r="K174" i="21" s="1"/>
  <c r="K217" i="21" s="1"/>
  <c r="M42" i="25"/>
  <c r="M222" i="25" s="1"/>
  <c r="M45" i="25"/>
  <c r="I45" i="25"/>
  <c r="I42" i="25"/>
  <c r="I222" i="25" s="1"/>
  <c r="O93" i="21"/>
  <c r="O174" i="21" s="1"/>
  <c r="O217" i="21" s="1"/>
  <c r="I42" i="21"/>
  <c r="I222" i="21" s="1"/>
  <c r="I45" i="21"/>
  <c r="R93" i="25"/>
  <c r="R174" i="25" s="1"/>
  <c r="R217" i="25" s="1"/>
  <c r="M45" i="21"/>
  <c r="M42" i="21"/>
  <c r="M222" i="21" s="1"/>
  <c r="N93" i="25"/>
  <c r="N174" i="25" s="1"/>
  <c r="N217" i="25" s="1"/>
  <c r="O93" i="25"/>
  <c r="O174" i="25" s="1"/>
  <c r="O217" i="25" s="1"/>
  <c r="N93" i="21"/>
  <c r="N174" i="21" s="1"/>
  <c r="N217" i="21" s="1"/>
  <c r="Q42" i="21"/>
  <c r="Q222" i="21" s="1"/>
  <c r="Q45" i="21"/>
  <c r="J93" i="21"/>
  <c r="J174" i="21" s="1"/>
  <c r="J217" i="21" s="1"/>
  <c r="P93" i="25"/>
  <c r="P174" i="25" s="1"/>
  <c r="P217" i="25" s="1"/>
  <c r="J93" i="25"/>
  <c r="J174" i="25" s="1"/>
  <c r="K93" i="25"/>
  <c r="K174" i="25" s="1"/>
  <c r="L42" i="25"/>
  <c r="L222" i="25" s="1"/>
  <c r="L45" i="25"/>
  <c r="P93" i="21"/>
  <c r="P174" i="21" s="1"/>
  <c r="P217" i="21" s="1"/>
  <c r="J93" i="16"/>
  <c r="J174" i="16" s="1"/>
  <c r="Q256" i="10"/>
  <c r="Q288" i="10"/>
  <c r="R93" i="16"/>
  <c r="R174" i="16" s="1"/>
  <c r="R217" i="16" s="1"/>
  <c r="M45" i="16"/>
  <c r="M42" i="16"/>
  <c r="M222" i="16" s="1"/>
  <c r="N93" i="10"/>
  <c r="N174" i="10" s="1"/>
  <c r="N217" i="10" s="1"/>
  <c r="L42" i="13"/>
  <c r="L222" i="13" s="1"/>
  <c r="L45" i="13"/>
  <c r="L45" i="16"/>
  <c r="L42" i="16"/>
  <c r="L222" i="16" s="1"/>
  <c r="Q256" i="16"/>
  <c r="Q288" i="16"/>
  <c r="R93" i="13"/>
  <c r="R174" i="13" s="1"/>
  <c r="R217" i="13" s="1"/>
  <c r="O93" i="16"/>
  <c r="O174" i="16" s="1"/>
  <c r="O217" i="16" s="1"/>
  <c r="N93" i="16"/>
  <c r="N174" i="16" s="1"/>
  <c r="N217" i="16" s="1"/>
  <c r="L45" i="10"/>
  <c r="L42" i="10"/>
  <c r="L222" i="10" s="1"/>
  <c r="K93" i="10"/>
  <c r="K174" i="10" s="1"/>
  <c r="K217" i="10" s="1"/>
  <c r="R93" i="10"/>
  <c r="R174" i="10" s="1"/>
  <c r="R217" i="10" s="1"/>
  <c r="J93" i="10"/>
  <c r="J174" i="10" s="1"/>
  <c r="J217" i="10" s="1"/>
  <c r="P93" i="16"/>
  <c r="P174" i="16" s="1"/>
  <c r="P217" i="16" s="1"/>
  <c r="M42" i="10"/>
  <c r="M222" i="10" s="1"/>
  <c r="M45" i="10"/>
  <c r="O93" i="13"/>
  <c r="O174" i="13" s="1"/>
  <c r="O217" i="13" s="1"/>
  <c r="N93" i="13"/>
  <c r="N174" i="13" s="1"/>
  <c r="N217" i="13" s="1"/>
  <c r="K93" i="13"/>
  <c r="K174" i="13" s="1"/>
  <c r="K217" i="13" s="1"/>
  <c r="O93" i="10"/>
  <c r="O174" i="10" s="1"/>
  <c r="O217" i="10" s="1"/>
  <c r="P93" i="10"/>
  <c r="P174" i="10" s="1"/>
  <c r="P217" i="10" s="1"/>
  <c r="J93" i="13"/>
  <c r="J174" i="13" s="1"/>
  <c r="J217" i="13" s="1"/>
  <c r="P93" i="13"/>
  <c r="P174" i="13" s="1"/>
  <c r="P217" i="13" s="1"/>
  <c r="M42" i="13"/>
  <c r="M222" i="13" s="1"/>
  <c r="M45" i="13"/>
  <c r="Q256" i="13"/>
  <c r="Q288" i="13"/>
  <c r="K93" i="16"/>
  <c r="K174" i="16" s="1"/>
  <c r="I45" i="13"/>
  <c r="I42" i="13"/>
  <c r="I222" i="13" s="1"/>
  <c r="I45" i="16"/>
  <c r="I42" i="16"/>
  <c r="I222" i="16" s="1"/>
  <c r="I42" i="10"/>
  <c r="I222" i="10" s="1"/>
  <c r="I45" i="10"/>
  <c r="H174" i="13"/>
  <c r="H217" i="13" s="1"/>
  <c r="I116" i="16"/>
  <c r="Y116" i="16"/>
  <c r="V116" i="16"/>
  <c r="S116" i="16"/>
  <c r="P116" i="16"/>
  <c r="M116" i="16"/>
  <c r="J116" i="16"/>
  <c r="Z116" i="16"/>
  <c r="W116" i="16"/>
  <c r="T116" i="16"/>
  <c r="Q116" i="16"/>
  <c r="N116" i="16"/>
  <c r="K116" i="16"/>
  <c r="AA116" i="16"/>
  <c r="X116" i="16"/>
  <c r="U116" i="16"/>
  <c r="R116" i="16"/>
  <c r="O116" i="16"/>
  <c r="L116" i="16"/>
  <c r="H116" i="16"/>
  <c r="H119" i="16" s="1"/>
  <c r="H121" i="16"/>
  <c r="H120" i="16"/>
  <c r="H115" i="16"/>
  <c r="I112" i="16"/>
  <c r="I91" i="13"/>
  <c r="H99" i="13"/>
  <c r="H94" i="13"/>
  <c r="H100" i="13"/>
  <c r="H42" i="16"/>
  <c r="H222" i="16" s="1"/>
  <c r="H45" i="16"/>
  <c r="I91" i="16"/>
  <c r="H99" i="16"/>
  <c r="H100" i="16"/>
  <c r="H94" i="16"/>
  <c r="H115" i="13"/>
  <c r="I112" i="13"/>
  <c r="H119" i="13"/>
  <c r="H121" i="13"/>
  <c r="H120" i="13"/>
  <c r="H174" i="16"/>
  <c r="H45" i="13"/>
  <c r="H42" i="13"/>
  <c r="H222" i="13" s="1"/>
  <c r="H93" i="10"/>
  <c r="H174" i="10" s="1"/>
  <c r="H217" i="10" s="1"/>
  <c r="H91" i="10"/>
  <c r="H45" i="21"/>
  <c r="H42" i="21"/>
  <c r="H222" i="21" s="1"/>
  <c r="H42" i="25"/>
  <c r="H222" i="25" s="1"/>
  <c r="H45" i="25"/>
  <c r="H100" i="25"/>
  <c r="I91" i="25"/>
  <c r="H94" i="25"/>
  <c r="H99" i="25"/>
  <c r="H98" i="25"/>
  <c r="I112" i="25"/>
  <c r="H120" i="25"/>
  <c r="H119" i="25"/>
  <c r="H121" i="25"/>
  <c r="H115" i="25"/>
  <c r="H115" i="21"/>
  <c r="I112" i="21"/>
  <c r="H121" i="21"/>
  <c r="H120" i="21"/>
  <c r="H100" i="21"/>
  <c r="H94" i="21"/>
  <c r="H99" i="21"/>
  <c r="I91" i="21"/>
  <c r="H100" i="11"/>
  <c r="H94" i="11"/>
  <c r="H98" i="11"/>
  <c r="I91" i="11"/>
  <c r="H99" i="11"/>
  <c r="H119" i="11"/>
  <c r="I112" i="11"/>
  <c r="I115" i="11" s="1"/>
  <c r="H121" i="11"/>
  <c r="H120" i="11"/>
  <c r="H174" i="11"/>
  <c r="H217" i="11" s="1"/>
  <c r="H45" i="14"/>
  <c r="H42" i="14"/>
  <c r="H222" i="14" s="1"/>
  <c r="H217" i="14"/>
  <c r="H42" i="11"/>
  <c r="H222" i="11" s="1"/>
  <c r="H45" i="11"/>
  <c r="H120" i="14"/>
  <c r="H115" i="14"/>
  <c r="I112" i="14"/>
  <c r="H121" i="14"/>
  <c r="I91" i="14"/>
  <c r="H100" i="14"/>
  <c r="H99" i="14"/>
  <c r="P93" i="29"/>
  <c r="P174" i="29" s="1"/>
  <c r="P217" i="29" s="1"/>
  <c r="K93" i="29"/>
  <c r="K174" i="29" s="1"/>
  <c r="K217" i="29" s="1"/>
  <c r="J93" i="29"/>
  <c r="J174" i="29" s="1"/>
  <c r="J217" i="29" s="1"/>
  <c r="N93" i="29"/>
  <c r="N174" i="29" s="1"/>
  <c r="N217" i="29" s="1"/>
  <c r="I45" i="29"/>
  <c r="I42" i="29"/>
  <c r="I222" i="29" s="1"/>
  <c r="M42" i="29"/>
  <c r="M222" i="29" s="1"/>
  <c r="M45" i="29"/>
  <c r="H45" i="29"/>
  <c r="H42" i="29"/>
  <c r="H222" i="29" s="1"/>
  <c r="L42" i="29"/>
  <c r="L222" i="29" s="1"/>
  <c r="L45" i="29"/>
  <c r="R93" i="29"/>
  <c r="R174" i="29" s="1"/>
  <c r="R217" i="29" s="1"/>
  <c r="O93" i="29"/>
  <c r="O174" i="29" s="1"/>
  <c r="O217" i="29" s="1"/>
  <c r="I91" i="29"/>
  <c r="H100" i="29"/>
  <c r="H98" i="29"/>
  <c r="H99" i="29"/>
  <c r="H94" i="29"/>
  <c r="H175" i="29" s="1"/>
  <c r="Q45" i="29"/>
  <c r="Q42" i="29"/>
  <c r="Q222" i="29" s="1"/>
  <c r="R93" i="4"/>
  <c r="R174" i="4" s="1"/>
  <c r="R217" i="4" s="1"/>
  <c r="H94" i="4"/>
  <c r="H175" i="4" s="1"/>
  <c r="H99" i="4"/>
  <c r="H100" i="4"/>
  <c r="I91" i="4"/>
  <c r="K93" i="4"/>
  <c r="K174" i="4" s="1"/>
  <c r="K217" i="4" s="1"/>
  <c r="M42" i="4"/>
  <c r="M222" i="4" s="1"/>
  <c r="M45" i="4"/>
  <c r="L42" i="4"/>
  <c r="L222" i="4" s="1"/>
  <c r="L45" i="4"/>
  <c r="I45" i="4"/>
  <c r="I42" i="4"/>
  <c r="I222" i="4" s="1"/>
  <c r="O93" i="4"/>
  <c r="O174" i="4" s="1"/>
  <c r="O217" i="4" s="1"/>
  <c r="J93" i="4"/>
  <c r="J174" i="4" s="1"/>
  <c r="J217" i="4" s="1"/>
  <c r="H42" i="4"/>
  <c r="H222" i="4" s="1"/>
  <c r="H45" i="4"/>
  <c r="N93" i="4"/>
  <c r="N174" i="4" s="1"/>
  <c r="N217" i="4" s="1"/>
  <c r="P93" i="4"/>
  <c r="P174" i="4" s="1"/>
  <c r="P217" i="4" s="1"/>
  <c r="Q45" i="4"/>
  <c r="Q42" i="4"/>
  <c r="Q222" i="4" s="1"/>
  <c r="H129" i="82" l="1"/>
  <c r="H177" i="82" s="1"/>
  <c r="H128" i="82"/>
  <c r="H176" i="82" s="1"/>
  <c r="H181" i="82" s="1"/>
  <c r="H180" i="82"/>
  <c r="H223" i="82"/>
  <c r="H237" i="82"/>
  <c r="I119" i="82"/>
  <c r="I115" i="82"/>
  <c r="I175" i="82" s="1"/>
  <c r="J112" i="82"/>
  <c r="I120" i="82"/>
  <c r="I121" i="82"/>
  <c r="H200" i="82"/>
  <c r="H179" i="82"/>
  <c r="J112" i="83"/>
  <c r="I120" i="83"/>
  <c r="I121" i="83"/>
  <c r="I119" i="83"/>
  <c r="I115" i="83"/>
  <c r="I175" i="83" s="1"/>
  <c r="H256" i="82"/>
  <c r="H288" i="82"/>
  <c r="H200" i="83"/>
  <c r="H187" i="83"/>
  <c r="H224" i="83" s="1"/>
  <c r="H179" i="83"/>
  <c r="H129" i="83"/>
  <c r="H177" i="83" s="1"/>
  <c r="H50" i="82"/>
  <c r="H226" i="82" s="1"/>
  <c r="J50" i="82"/>
  <c r="J226" i="82" s="1"/>
  <c r="K50" i="82"/>
  <c r="K226" i="82" s="1"/>
  <c r="L50" i="82"/>
  <c r="L226" i="82" s="1"/>
  <c r="M50" i="82"/>
  <c r="M226" i="82" s="1"/>
  <c r="N50" i="82"/>
  <c r="N226" i="82" s="1"/>
  <c r="P50" i="82"/>
  <c r="P226" i="82" s="1"/>
  <c r="V50" i="82"/>
  <c r="V226" i="82" s="1"/>
  <c r="X50" i="82"/>
  <c r="X226" i="82" s="1"/>
  <c r="AA50" i="82"/>
  <c r="AA226" i="82" s="1"/>
  <c r="W50" i="82"/>
  <c r="W226" i="82" s="1"/>
  <c r="Z50" i="82"/>
  <c r="Z226" i="82" s="1"/>
  <c r="Y50" i="82"/>
  <c r="Y226" i="82" s="1"/>
  <c r="I50" i="82"/>
  <c r="I226" i="82" s="1"/>
  <c r="Q50" i="82"/>
  <c r="Q226" i="82" s="1"/>
  <c r="O50" i="82"/>
  <c r="O226" i="82" s="1"/>
  <c r="U50" i="82"/>
  <c r="U226" i="82" s="1"/>
  <c r="T50" i="82"/>
  <c r="T226" i="82" s="1"/>
  <c r="R50" i="82"/>
  <c r="R226" i="82" s="1"/>
  <c r="S50" i="82"/>
  <c r="S226" i="82" s="1"/>
  <c r="I186" i="83"/>
  <c r="H256" i="83"/>
  <c r="H288" i="83"/>
  <c r="H50" i="83"/>
  <c r="H226" i="83" s="1"/>
  <c r="J50" i="83"/>
  <c r="J226" i="83" s="1"/>
  <c r="K50" i="83"/>
  <c r="K226" i="83" s="1"/>
  <c r="N50" i="83"/>
  <c r="N226" i="83" s="1"/>
  <c r="M50" i="83"/>
  <c r="M226" i="83" s="1"/>
  <c r="L50" i="83"/>
  <c r="L226" i="83" s="1"/>
  <c r="O50" i="83"/>
  <c r="O226" i="83" s="1"/>
  <c r="Q50" i="83"/>
  <c r="Q226" i="83" s="1"/>
  <c r="V50" i="83"/>
  <c r="V226" i="83" s="1"/>
  <c r="AA50" i="83"/>
  <c r="AA226" i="83" s="1"/>
  <c r="X50" i="83"/>
  <c r="X226" i="83" s="1"/>
  <c r="Z50" i="83"/>
  <c r="Z226" i="83" s="1"/>
  <c r="W50" i="83"/>
  <c r="W226" i="83" s="1"/>
  <c r="Y50" i="83"/>
  <c r="Y226" i="83" s="1"/>
  <c r="T50" i="83"/>
  <c r="T226" i="83" s="1"/>
  <c r="U50" i="83"/>
  <c r="U226" i="83" s="1"/>
  <c r="I50" i="83"/>
  <c r="I226" i="83" s="1"/>
  <c r="R50" i="83"/>
  <c r="R226" i="83" s="1"/>
  <c r="P50" i="83"/>
  <c r="P226" i="83" s="1"/>
  <c r="S50" i="83"/>
  <c r="S226" i="83" s="1"/>
  <c r="H175" i="13"/>
  <c r="J217" i="16"/>
  <c r="K217" i="25"/>
  <c r="K217" i="16"/>
  <c r="J217" i="25"/>
  <c r="H217" i="25"/>
  <c r="H217" i="16"/>
  <c r="I186" i="13"/>
  <c r="H107" i="25"/>
  <c r="H108" i="13"/>
  <c r="I94" i="14"/>
  <c r="H175" i="16"/>
  <c r="H129" i="13"/>
  <c r="T93" i="11"/>
  <c r="T174" i="11" s="1"/>
  <c r="T217" i="11" s="1"/>
  <c r="T93" i="14"/>
  <c r="T174" i="14" s="1"/>
  <c r="T217" i="14" s="1"/>
  <c r="S93" i="14"/>
  <c r="S174" i="14" s="1"/>
  <c r="S217" i="14" s="1"/>
  <c r="S93" i="11"/>
  <c r="S174" i="11" s="1"/>
  <c r="S217" i="11" s="1"/>
  <c r="R42" i="14"/>
  <c r="R222" i="14" s="1"/>
  <c r="R45" i="14"/>
  <c r="R42" i="11"/>
  <c r="R222" i="11" s="1"/>
  <c r="R45" i="11"/>
  <c r="Q256" i="11"/>
  <c r="Q288" i="11"/>
  <c r="Q288" i="14"/>
  <c r="Q256" i="14"/>
  <c r="P42" i="11"/>
  <c r="P222" i="11" s="1"/>
  <c r="P45" i="11"/>
  <c r="P42" i="14"/>
  <c r="P222" i="14" s="1"/>
  <c r="P45" i="14"/>
  <c r="O45" i="14"/>
  <c r="O42" i="14"/>
  <c r="O222" i="14" s="1"/>
  <c r="O42" i="11"/>
  <c r="O222" i="11" s="1"/>
  <c r="O45" i="11"/>
  <c r="N45" i="14"/>
  <c r="N42" i="14"/>
  <c r="N222" i="14" s="1"/>
  <c r="N42" i="11"/>
  <c r="N222" i="11" s="1"/>
  <c r="N45" i="11"/>
  <c r="M288" i="14"/>
  <c r="M256" i="14"/>
  <c r="M256" i="11"/>
  <c r="M288" i="11"/>
  <c r="L288" i="14"/>
  <c r="L256" i="14"/>
  <c r="L288" i="11"/>
  <c r="L256" i="11"/>
  <c r="K42" i="11"/>
  <c r="K222" i="11" s="1"/>
  <c r="K45" i="11"/>
  <c r="K45" i="14"/>
  <c r="K42" i="14"/>
  <c r="K222" i="14" s="1"/>
  <c r="J42" i="14"/>
  <c r="J222" i="14" s="1"/>
  <c r="J45" i="14"/>
  <c r="J45" i="11"/>
  <c r="J42" i="11"/>
  <c r="J222" i="11" s="1"/>
  <c r="I256" i="14"/>
  <c r="I288" i="14"/>
  <c r="I256" i="11"/>
  <c r="I288" i="11"/>
  <c r="K42" i="25"/>
  <c r="K222" i="25" s="1"/>
  <c r="K45" i="25"/>
  <c r="T93" i="21"/>
  <c r="T174" i="21" s="1"/>
  <c r="T217" i="21" s="1"/>
  <c r="S93" i="21"/>
  <c r="S174" i="21" s="1"/>
  <c r="S217" i="21" s="1"/>
  <c r="M288" i="21"/>
  <c r="M256" i="21"/>
  <c r="I256" i="25"/>
  <c r="I288" i="25"/>
  <c r="L256" i="21"/>
  <c r="L288" i="21"/>
  <c r="P42" i="21"/>
  <c r="P222" i="21" s="1"/>
  <c r="P45" i="21"/>
  <c r="T93" i="25"/>
  <c r="T174" i="25" s="1"/>
  <c r="T217" i="25" s="1"/>
  <c r="J42" i="21"/>
  <c r="J222" i="21" s="1"/>
  <c r="J45" i="21"/>
  <c r="N42" i="21"/>
  <c r="N222" i="21" s="1"/>
  <c r="N45" i="21"/>
  <c r="S93" i="25"/>
  <c r="S174" i="25" s="1"/>
  <c r="S217" i="25" s="1"/>
  <c r="I256" i="21"/>
  <c r="I288" i="21"/>
  <c r="K42" i="21"/>
  <c r="K222" i="21" s="1"/>
  <c r="K45" i="21"/>
  <c r="P45" i="25"/>
  <c r="P42" i="25"/>
  <c r="P222" i="25" s="1"/>
  <c r="O45" i="25"/>
  <c r="O42" i="25"/>
  <c r="O222" i="25" s="1"/>
  <c r="R42" i="25"/>
  <c r="R222" i="25" s="1"/>
  <c r="R45" i="25"/>
  <c r="R45" i="21"/>
  <c r="R42" i="21"/>
  <c r="R222" i="21" s="1"/>
  <c r="L288" i="25"/>
  <c r="L256" i="25"/>
  <c r="J42" i="25"/>
  <c r="J222" i="25" s="1"/>
  <c r="J45" i="25"/>
  <c r="J50" i="25" s="1"/>
  <c r="J226" i="25" s="1"/>
  <c r="Q288" i="21"/>
  <c r="Q256" i="21"/>
  <c r="N42" i="25"/>
  <c r="N222" i="25" s="1"/>
  <c r="N45" i="25"/>
  <c r="O45" i="21"/>
  <c r="O42" i="21"/>
  <c r="O222" i="21" s="1"/>
  <c r="M256" i="25"/>
  <c r="M288" i="25"/>
  <c r="Q288" i="25"/>
  <c r="Q256" i="25"/>
  <c r="S93" i="10"/>
  <c r="S174" i="10" s="1"/>
  <c r="S217" i="10" s="1"/>
  <c r="K45" i="16"/>
  <c r="K42" i="16"/>
  <c r="K222" i="16" s="1"/>
  <c r="J42" i="13"/>
  <c r="J222" i="13" s="1"/>
  <c r="J45" i="13"/>
  <c r="O45" i="13"/>
  <c r="O42" i="13"/>
  <c r="O222" i="13" s="1"/>
  <c r="R45" i="10"/>
  <c r="R42" i="10"/>
  <c r="R222" i="10" s="1"/>
  <c r="P42" i="10"/>
  <c r="P222" i="10" s="1"/>
  <c r="P45" i="10"/>
  <c r="N42" i="13"/>
  <c r="N222" i="13" s="1"/>
  <c r="N45" i="13"/>
  <c r="N45" i="16"/>
  <c r="N42" i="16"/>
  <c r="N222" i="16" s="1"/>
  <c r="O42" i="16"/>
  <c r="O222" i="16" s="1"/>
  <c r="O45" i="16"/>
  <c r="N45" i="10"/>
  <c r="N42" i="10"/>
  <c r="N222" i="10" s="1"/>
  <c r="T93" i="13"/>
  <c r="T174" i="13" s="1"/>
  <c r="T217" i="13" s="1"/>
  <c r="R45" i="16"/>
  <c r="R42" i="16"/>
  <c r="R222" i="16" s="1"/>
  <c r="T93" i="10"/>
  <c r="T174" i="10" s="1"/>
  <c r="T217" i="10" s="1"/>
  <c r="P45" i="13"/>
  <c r="P42" i="13"/>
  <c r="P222" i="13" s="1"/>
  <c r="K42" i="13"/>
  <c r="K222" i="13" s="1"/>
  <c r="K45" i="13"/>
  <c r="M256" i="10"/>
  <c r="M288" i="10"/>
  <c r="J42" i="10"/>
  <c r="J222" i="10" s="1"/>
  <c r="J45" i="10"/>
  <c r="L288" i="16"/>
  <c r="L256" i="16"/>
  <c r="T93" i="16"/>
  <c r="T174" i="16" s="1"/>
  <c r="T217" i="16" s="1"/>
  <c r="S93" i="13"/>
  <c r="S174" i="13" s="1"/>
  <c r="S217" i="13" s="1"/>
  <c r="M256" i="13"/>
  <c r="M288" i="13"/>
  <c r="O45" i="10"/>
  <c r="O42" i="10"/>
  <c r="O222" i="10" s="1"/>
  <c r="P42" i="16"/>
  <c r="P222" i="16" s="1"/>
  <c r="P45" i="16"/>
  <c r="K45" i="10"/>
  <c r="K42" i="10"/>
  <c r="K222" i="10" s="1"/>
  <c r="L256" i="10"/>
  <c r="L288" i="10"/>
  <c r="R42" i="13"/>
  <c r="R222" i="13" s="1"/>
  <c r="R45" i="13"/>
  <c r="L256" i="13"/>
  <c r="L288" i="13"/>
  <c r="M256" i="16"/>
  <c r="M288" i="16"/>
  <c r="J42" i="16"/>
  <c r="J222" i="16" s="1"/>
  <c r="J45" i="16"/>
  <c r="S93" i="16"/>
  <c r="S174" i="16" s="1"/>
  <c r="S217" i="16" s="1"/>
  <c r="I288" i="13"/>
  <c r="I256" i="13"/>
  <c r="I288" i="16"/>
  <c r="I256" i="16"/>
  <c r="I288" i="10"/>
  <c r="I256" i="10"/>
  <c r="H108" i="25"/>
  <c r="H107" i="13"/>
  <c r="H210" i="13" s="1"/>
  <c r="H214" i="13" s="1"/>
  <c r="H241" i="13" s="1"/>
  <c r="H175" i="21"/>
  <c r="H129" i="25"/>
  <c r="H128" i="16"/>
  <c r="H129" i="16"/>
  <c r="I121" i="13"/>
  <c r="I115" i="13"/>
  <c r="I120" i="13"/>
  <c r="I119" i="13"/>
  <c r="J112" i="13"/>
  <c r="H50" i="16"/>
  <c r="H226" i="16" s="1"/>
  <c r="I50" i="16"/>
  <c r="I226" i="16" s="1"/>
  <c r="J91" i="13"/>
  <c r="I98" i="13"/>
  <c r="I100" i="13"/>
  <c r="I94" i="13"/>
  <c r="I99" i="13"/>
  <c r="J112" i="16"/>
  <c r="I121" i="16"/>
  <c r="I120" i="16"/>
  <c r="I115" i="16"/>
  <c r="I119" i="16"/>
  <c r="H288" i="13"/>
  <c r="H256" i="13"/>
  <c r="H256" i="16"/>
  <c r="H288" i="16"/>
  <c r="H100" i="10"/>
  <c r="I91" i="10"/>
  <c r="H98" i="10"/>
  <c r="H94" i="10"/>
  <c r="H175" i="10" s="1"/>
  <c r="H99" i="10"/>
  <c r="H50" i="13"/>
  <c r="H226" i="13" s="1"/>
  <c r="I50" i="13"/>
  <c r="I226" i="13" s="1"/>
  <c r="H45" i="10"/>
  <c r="H42" i="10"/>
  <c r="H222" i="10" s="1"/>
  <c r="H128" i="13"/>
  <c r="I94" i="16"/>
  <c r="J91" i="16"/>
  <c r="I99" i="16"/>
  <c r="I100" i="16"/>
  <c r="I120" i="25"/>
  <c r="I119" i="25"/>
  <c r="I115" i="25"/>
  <c r="I121" i="25"/>
  <c r="J112" i="25"/>
  <c r="H288" i="25"/>
  <c r="H256" i="25"/>
  <c r="I99" i="25"/>
  <c r="J91" i="25"/>
  <c r="I98" i="25"/>
  <c r="I100" i="25"/>
  <c r="I94" i="25"/>
  <c r="H107" i="29"/>
  <c r="H214" i="29" s="1"/>
  <c r="H241" i="29" s="1"/>
  <c r="H50" i="25"/>
  <c r="H226" i="25" s="1"/>
  <c r="I50" i="25"/>
  <c r="I226" i="25" s="1"/>
  <c r="I94" i="21"/>
  <c r="I100" i="21"/>
  <c r="I99" i="21"/>
  <c r="J91" i="21"/>
  <c r="I120" i="21"/>
  <c r="I115" i="21"/>
  <c r="J112" i="21"/>
  <c r="I121" i="21"/>
  <c r="H175" i="25"/>
  <c r="H256" i="21"/>
  <c r="H288" i="21"/>
  <c r="H128" i="25"/>
  <c r="H50" i="21"/>
  <c r="H226" i="21" s="1"/>
  <c r="I50" i="21"/>
  <c r="I226" i="21" s="1"/>
  <c r="H175" i="14"/>
  <c r="H107" i="11"/>
  <c r="H210" i="11" s="1"/>
  <c r="H214" i="11" s="1"/>
  <c r="H241" i="11" s="1"/>
  <c r="J91" i="14"/>
  <c r="I100" i="14"/>
  <c r="I99" i="14"/>
  <c r="I115" i="14"/>
  <c r="J112" i="14"/>
  <c r="I121" i="14"/>
  <c r="I120" i="14"/>
  <c r="I50" i="11"/>
  <c r="I226" i="11" s="1"/>
  <c r="H50" i="11"/>
  <c r="H226" i="11" s="1"/>
  <c r="H128" i="11"/>
  <c r="H288" i="11"/>
  <c r="H256" i="11"/>
  <c r="J91" i="11"/>
  <c r="I98" i="11"/>
  <c r="I99" i="11"/>
  <c r="I100" i="11"/>
  <c r="I94" i="11"/>
  <c r="H288" i="14"/>
  <c r="H256" i="14"/>
  <c r="H107" i="4"/>
  <c r="H214" i="4" s="1"/>
  <c r="H241" i="4" s="1"/>
  <c r="H50" i="14"/>
  <c r="H226" i="14" s="1"/>
  <c r="I50" i="14"/>
  <c r="I226" i="14" s="1"/>
  <c r="H129" i="11"/>
  <c r="I121" i="11"/>
  <c r="J112" i="11"/>
  <c r="I119" i="11"/>
  <c r="I120" i="11"/>
  <c r="H108" i="11"/>
  <c r="H175" i="11"/>
  <c r="H288" i="29"/>
  <c r="H256" i="29"/>
  <c r="S93" i="29"/>
  <c r="S174" i="29" s="1"/>
  <c r="S217" i="29" s="1"/>
  <c r="Q256" i="29"/>
  <c r="Q288" i="29"/>
  <c r="O42" i="29"/>
  <c r="O222" i="29" s="1"/>
  <c r="O45" i="29"/>
  <c r="N45" i="29"/>
  <c r="N42" i="29"/>
  <c r="N222" i="29" s="1"/>
  <c r="K42" i="29"/>
  <c r="K222" i="29" s="1"/>
  <c r="K45" i="29"/>
  <c r="L256" i="29"/>
  <c r="L288" i="29"/>
  <c r="M256" i="29"/>
  <c r="M288" i="29"/>
  <c r="T93" i="29"/>
  <c r="T174" i="29" s="1"/>
  <c r="T217" i="29" s="1"/>
  <c r="H108" i="29"/>
  <c r="H177" i="29" s="1"/>
  <c r="R42" i="29"/>
  <c r="R222" i="29" s="1"/>
  <c r="R45" i="29"/>
  <c r="I288" i="29"/>
  <c r="I256" i="29"/>
  <c r="J45" i="29"/>
  <c r="J50" i="29" s="1"/>
  <c r="J226" i="29" s="1"/>
  <c r="J42" i="29"/>
  <c r="J222" i="29" s="1"/>
  <c r="P42" i="29"/>
  <c r="P222" i="29" s="1"/>
  <c r="P45" i="29"/>
  <c r="I98" i="29"/>
  <c r="I94" i="29"/>
  <c r="I175" i="29" s="1"/>
  <c r="J91" i="29"/>
  <c r="I99" i="29"/>
  <c r="I100" i="29"/>
  <c r="I50" i="29"/>
  <c r="I226" i="29" s="1"/>
  <c r="H50" i="29"/>
  <c r="H226" i="29" s="1"/>
  <c r="T93" i="4"/>
  <c r="T174" i="4" s="1"/>
  <c r="T217" i="4" s="1"/>
  <c r="N45" i="4"/>
  <c r="N42" i="4"/>
  <c r="N222" i="4" s="1"/>
  <c r="M256" i="4"/>
  <c r="M288" i="4"/>
  <c r="I99" i="4"/>
  <c r="I94" i="4"/>
  <c r="I175" i="4" s="1"/>
  <c r="I100" i="4"/>
  <c r="J91" i="4"/>
  <c r="I98" i="4"/>
  <c r="J45" i="4"/>
  <c r="J42" i="4"/>
  <c r="J222" i="4" s="1"/>
  <c r="H108" i="4"/>
  <c r="H177" i="4" s="1"/>
  <c r="H288" i="4"/>
  <c r="H256" i="4"/>
  <c r="P45" i="4"/>
  <c r="P42" i="4"/>
  <c r="P222" i="4" s="1"/>
  <c r="O42" i="4"/>
  <c r="O222" i="4" s="1"/>
  <c r="O45" i="4"/>
  <c r="L288" i="4"/>
  <c r="L256" i="4"/>
  <c r="K45" i="4"/>
  <c r="K42" i="4"/>
  <c r="K222" i="4" s="1"/>
  <c r="R42" i="4"/>
  <c r="R222" i="4" s="1"/>
  <c r="R45" i="4"/>
  <c r="S93" i="4"/>
  <c r="S174" i="4" s="1"/>
  <c r="S217" i="4" s="1"/>
  <c r="Q256" i="4"/>
  <c r="Q288" i="4"/>
  <c r="I50" i="4"/>
  <c r="I226" i="4" s="1"/>
  <c r="H50" i="4"/>
  <c r="H226" i="4" s="1"/>
  <c r="I256" i="4"/>
  <c r="I288" i="4"/>
  <c r="I128" i="83" l="1"/>
  <c r="I176" i="83" s="1"/>
  <c r="I187" i="83" s="1"/>
  <c r="I224" i="83" s="1"/>
  <c r="U260" i="83"/>
  <c r="U292" i="83"/>
  <c r="T292" i="83"/>
  <c r="T260" i="83"/>
  <c r="O292" i="83"/>
  <c r="O260" i="83"/>
  <c r="I292" i="82"/>
  <c r="I260" i="82"/>
  <c r="N260" i="82"/>
  <c r="N292" i="82"/>
  <c r="J115" i="82"/>
  <c r="J175" i="82" s="1"/>
  <c r="J121" i="82"/>
  <c r="K112" i="82"/>
  <c r="J120" i="82"/>
  <c r="J119" i="82"/>
  <c r="I179" i="83"/>
  <c r="Y292" i="83"/>
  <c r="Y260" i="83"/>
  <c r="L292" i="83"/>
  <c r="L260" i="83"/>
  <c r="Y292" i="82"/>
  <c r="Y260" i="82"/>
  <c r="M292" i="82"/>
  <c r="M260" i="82"/>
  <c r="H258" i="83"/>
  <c r="H238" i="83"/>
  <c r="H290" i="83"/>
  <c r="Q292" i="82"/>
  <c r="Q260" i="82"/>
  <c r="W260" i="83"/>
  <c r="W292" i="83"/>
  <c r="M260" i="83"/>
  <c r="M292" i="83"/>
  <c r="S292" i="82"/>
  <c r="S260" i="82"/>
  <c r="Z260" i="82"/>
  <c r="Z292" i="82"/>
  <c r="L260" i="82"/>
  <c r="L292" i="82"/>
  <c r="H239" i="83"/>
  <c r="H225" i="83"/>
  <c r="J186" i="83"/>
  <c r="K112" i="83"/>
  <c r="J121" i="83"/>
  <c r="J120" i="83"/>
  <c r="J119" i="83"/>
  <c r="J115" i="83"/>
  <c r="J175" i="83" s="1"/>
  <c r="I128" i="82"/>
  <c r="I176" i="82" s="1"/>
  <c r="I200" i="82" s="1"/>
  <c r="S292" i="83"/>
  <c r="S260" i="83"/>
  <c r="Z260" i="83"/>
  <c r="Z292" i="83"/>
  <c r="N292" i="83"/>
  <c r="N260" i="83"/>
  <c r="R260" i="82"/>
  <c r="R292" i="82"/>
  <c r="W292" i="82"/>
  <c r="W260" i="82"/>
  <c r="K260" i="82"/>
  <c r="K292" i="82"/>
  <c r="P292" i="82"/>
  <c r="P260" i="82"/>
  <c r="P292" i="83"/>
  <c r="P260" i="83"/>
  <c r="X260" i="83"/>
  <c r="X292" i="83"/>
  <c r="K260" i="83"/>
  <c r="K292" i="83"/>
  <c r="T260" i="82"/>
  <c r="T292" i="82"/>
  <c r="AA292" i="82"/>
  <c r="AA260" i="82"/>
  <c r="J292" i="82"/>
  <c r="J260" i="82"/>
  <c r="H239" i="82"/>
  <c r="H225" i="82"/>
  <c r="H303" i="82"/>
  <c r="H271" i="82"/>
  <c r="R292" i="83"/>
  <c r="R260" i="83"/>
  <c r="AA260" i="83"/>
  <c r="AA292" i="83"/>
  <c r="J292" i="83"/>
  <c r="J260" i="83"/>
  <c r="U260" i="82"/>
  <c r="U292" i="82"/>
  <c r="X260" i="82"/>
  <c r="X292" i="82"/>
  <c r="H260" i="82"/>
  <c r="H292" i="82"/>
  <c r="I129" i="83"/>
  <c r="I177" i="83" s="1"/>
  <c r="I129" i="82"/>
  <c r="I177" i="82" s="1"/>
  <c r="H289" i="82"/>
  <c r="H257" i="82"/>
  <c r="Q292" i="83"/>
  <c r="Q260" i="83"/>
  <c r="I292" i="83"/>
  <c r="I260" i="83"/>
  <c r="V292" i="83"/>
  <c r="V260" i="83"/>
  <c r="H260" i="83"/>
  <c r="H292" i="83"/>
  <c r="O260" i="82"/>
  <c r="O292" i="82"/>
  <c r="V292" i="82"/>
  <c r="V260" i="82"/>
  <c r="H223" i="83"/>
  <c r="H237" i="83"/>
  <c r="H181" i="83"/>
  <c r="H180" i="83"/>
  <c r="I200" i="83"/>
  <c r="J186" i="13"/>
  <c r="H176" i="13"/>
  <c r="H177" i="13"/>
  <c r="H180" i="13" s="1"/>
  <c r="L50" i="16"/>
  <c r="L226" i="16" s="1"/>
  <c r="L260" i="16" s="1"/>
  <c r="K50" i="25"/>
  <c r="K226" i="25" s="1"/>
  <c r="K292" i="25" s="1"/>
  <c r="I128" i="25"/>
  <c r="R50" i="16"/>
  <c r="R226" i="16" s="1"/>
  <c r="R292" i="16" s="1"/>
  <c r="M50" i="13"/>
  <c r="M226" i="13" s="1"/>
  <c r="M260" i="13" s="1"/>
  <c r="J50" i="16"/>
  <c r="J226" i="16" s="1"/>
  <c r="J260" i="16" s="1"/>
  <c r="J50" i="13"/>
  <c r="J226" i="13" s="1"/>
  <c r="J292" i="13" s="1"/>
  <c r="O50" i="13"/>
  <c r="O226" i="13" s="1"/>
  <c r="O292" i="13" s="1"/>
  <c r="K50" i="16"/>
  <c r="K226" i="16" s="1"/>
  <c r="K292" i="16" s="1"/>
  <c r="Q50" i="13"/>
  <c r="Q226" i="13" s="1"/>
  <c r="Q260" i="13" s="1"/>
  <c r="M50" i="16"/>
  <c r="M226" i="16" s="1"/>
  <c r="M260" i="16" s="1"/>
  <c r="Q50" i="16"/>
  <c r="Q226" i="16" s="1"/>
  <c r="Q292" i="16" s="1"/>
  <c r="U93" i="14"/>
  <c r="U174" i="14" s="1"/>
  <c r="U217" i="14" s="1"/>
  <c r="U93" i="11"/>
  <c r="U174" i="11" s="1"/>
  <c r="U217" i="11" s="1"/>
  <c r="T45" i="14"/>
  <c r="T42" i="14"/>
  <c r="T222" i="14" s="1"/>
  <c r="T45" i="11"/>
  <c r="T42" i="11"/>
  <c r="T222" i="11" s="1"/>
  <c r="S42" i="14"/>
  <c r="S222" i="14" s="1"/>
  <c r="S45" i="14"/>
  <c r="S45" i="11"/>
  <c r="S42" i="11"/>
  <c r="S222" i="11" s="1"/>
  <c r="R256" i="11"/>
  <c r="R288" i="11"/>
  <c r="R256" i="14"/>
  <c r="R288" i="14"/>
  <c r="P288" i="14"/>
  <c r="P256" i="14"/>
  <c r="P256" i="11"/>
  <c r="P288" i="11"/>
  <c r="L50" i="21"/>
  <c r="L226" i="21" s="1"/>
  <c r="L260" i="21" s="1"/>
  <c r="K50" i="21"/>
  <c r="K226" i="21" s="1"/>
  <c r="K292" i="21" s="1"/>
  <c r="L50" i="25"/>
  <c r="L226" i="25" s="1"/>
  <c r="L292" i="25" s="1"/>
  <c r="N50" i="21"/>
  <c r="N226" i="21" s="1"/>
  <c r="N292" i="21" s="1"/>
  <c r="R50" i="13"/>
  <c r="R226" i="13" s="1"/>
  <c r="R260" i="13" s="1"/>
  <c r="N50" i="13"/>
  <c r="N226" i="13" s="1"/>
  <c r="N260" i="13" s="1"/>
  <c r="P50" i="13"/>
  <c r="P226" i="13" s="1"/>
  <c r="P292" i="13" s="1"/>
  <c r="P50" i="16"/>
  <c r="P226" i="16" s="1"/>
  <c r="P260" i="16" s="1"/>
  <c r="O288" i="11"/>
  <c r="O256" i="11"/>
  <c r="O256" i="14"/>
  <c r="O288" i="14"/>
  <c r="N288" i="11"/>
  <c r="N256" i="11"/>
  <c r="N288" i="14"/>
  <c r="N256" i="14"/>
  <c r="L50" i="14"/>
  <c r="L226" i="14" s="1"/>
  <c r="L292" i="14" s="1"/>
  <c r="O50" i="14"/>
  <c r="O226" i="14" s="1"/>
  <c r="O292" i="14" s="1"/>
  <c r="K288" i="14"/>
  <c r="K256" i="14"/>
  <c r="Q50" i="14"/>
  <c r="Q226" i="14" s="1"/>
  <c r="Q292" i="14" s="1"/>
  <c r="K256" i="11"/>
  <c r="K288" i="11"/>
  <c r="J50" i="14"/>
  <c r="J226" i="14" s="1"/>
  <c r="J292" i="14" s="1"/>
  <c r="J50" i="11"/>
  <c r="J226" i="11" s="1"/>
  <c r="J292" i="11" s="1"/>
  <c r="P50" i="11"/>
  <c r="P226" i="11" s="1"/>
  <c r="P292" i="11" s="1"/>
  <c r="M50" i="14"/>
  <c r="M226" i="14" s="1"/>
  <c r="M292" i="14" s="1"/>
  <c r="K50" i="14"/>
  <c r="K226" i="14" s="1"/>
  <c r="K260" i="14" s="1"/>
  <c r="N50" i="14"/>
  <c r="N226" i="14" s="1"/>
  <c r="N260" i="14" s="1"/>
  <c r="P50" i="14"/>
  <c r="P226" i="14" s="1"/>
  <c r="P260" i="14" s="1"/>
  <c r="Q50" i="11"/>
  <c r="Q226" i="11" s="1"/>
  <c r="Q260" i="11" s="1"/>
  <c r="K50" i="11"/>
  <c r="K226" i="11" s="1"/>
  <c r="K292" i="11" s="1"/>
  <c r="R50" i="14"/>
  <c r="R226" i="14" s="1"/>
  <c r="R292" i="14" s="1"/>
  <c r="N50" i="11"/>
  <c r="N226" i="11" s="1"/>
  <c r="N260" i="11" s="1"/>
  <c r="O50" i="11"/>
  <c r="O226" i="11" s="1"/>
  <c r="O292" i="11" s="1"/>
  <c r="L50" i="11"/>
  <c r="L226" i="11" s="1"/>
  <c r="L292" i="11" s="1"/>
  <c r="J288" i="11"/>
  <c r="J256" i="11"/>
  <c r="R50" i="11"/>
  <c r="R226" i="11" s="1"/>
  <c r="R292" i="11" s="1"/>
  <c r="M50" i="11"/>
  <c r="M226" i="11" s="1"/>
  <c r="M292" i="11" s="1"/>
  <c r="J256" i="14"/>
  <c r="J288" i="14"/>
  <c r="N50" i="25"/>
  <c r="N226" i="25" s="1"/>
  <c r="N260" i="25" s="1"/>
  <c r="P50" i="21"/>
  <c r="P226" i="21" s="1"/>
  <c r="P292" i="21" s="1"/>
  <c r="M50" i="21"/>
  <c r="M226" i="21" s="1"/>
  <c r="M260" i="21" s="1"/>
  <c r="J50" i="21"/>
  <c r="J226" i="21" s="1"/>
  <c r="J260" i="21" s="1"/>
  <c r="M50" i="25"/>
  <c r="M226" i="25" s="1"/>
  <c r="M292" i="25" s="1"/>
  <c r="Q50" i="25"/>
  <c r="Q226" i="25" s="1"/>
  <c r="Q260" i="25" s="1"/>
  <c r="J256" i="25"/>
  <c r="J288" i="25"/>
  <c r="S42" i="21"/>
  <c r="S222" i="21" s="1"/>
  <c r="S45" i="21"/>
  <c r="P288" i="25"/>
  <c r="P256" i="25"/>
  <c r="U93" i="25"/>
  <c r="U174" i="25" s="1"/>
  <c r="U217" i="25" s="1"/>
  <c r="R50" i="21"/>
  <c r="R226" i="21" s="1"/>
  <c r="R292" i="21" s="1"/>
  <c r="Q50" i="21"/>
  <c r="Q226" i="21" s="1"/>
  <c r="Q292" i="21" s="1"/>
  <c r="O50" i="21"/>
  <c r="O226" i="21" s="1"/>
  <c r="O292" i="21" s="1"/>
  <c r="O50" i="25"/>
  <c r="O226" i="25" s="1"/>
  <c r="O260" i="25" s="1"/>
  <c r="P50" i="25"/>
  <c r="P226" i="25" s="1"/>
  <c r="P260" i="25" s="1"/>
  <c r="R256" i="21"/>
  <c r="R288" i="21"/>
  <c r="O288" i="25"/>
  <c r="O256" i="25"/>
  <c r="S45" i="25"/>
  <c r="S42" i="25"/>
  <c r="S222" i="25" s="1"/>
  <c r="N256" i="25"/>
  <c r="N288" i="25"/>
  <c r="K288" i="21"/>
  <c r="K256" i="21"/>
  <c r="J288" i="21"/>
  <c r="J256" i="21"/>
  <c r="P288" i="21"/>
  <c r="P256" i="21"/>
  <c r="K256" i="25"/>
  <c r="K288" i="25"/>
  <c r="R50" i="25"/>
  <c r="R226" i="25" s="1"/>
  <c r="R260" i="25" s="1"/>
  <c r="H177" i="25"/>
  <c r="H223" i="25" s="1"/>
  <c r="O256" i="21"/>
  <c r="O288" i="21"/>
  <c r="T45" i="25"/>
  <c r="T42" i="25"/>
  <c r="T222" i="25" s="1"/>
  <c r="T42" i="21"/>
  <c r="T222" i="21" s="1"/>
  <c r="T45" i="21"/>
  <c r="R256" i="25"/>
  <c r="R288" i="25"/>
  <c r="N288" i="21"/>
  <c r="N256" i="21"/>
  <c r="U93" i="21"/>
  <c r="U174" i="21" s="1"/>
  <c r="U217" i="21" s="1"/>
  <c r="U93" i="10"/>
  <c r="U174" i="10" s="1"/>
  <c r="U217" i="10" s="1"/>
  <c r="R256" i="13"/>
  <c r="R288" i="13"/>
  <c r="P288" i="16"/>
  <c r="P256" i="16"/>
  <c r="J288" i="10"/>
  <c r="J256" i="10"/>
  <c r="T45" i="13"/>
  <c r="T42" i="13"/>
  <c r="T222" i="13" s="1"/>
  <c r="O288" i="16"/>
  <c r="O256" i="16"/>
  <c r="N256" i="13"/>
  <c r="N288" i="13"/>
  <c r="P256" i="10"/>
  <c r="P288" i="10"/>
  <c r="O288" i="13"/>
  <c r="O256" i="13"/>
  <c r="K256" i="16"/>
  <c r="K288" i="16"/>
  <c r="U93" i="16"/>
  <c r="U174" i="16" s="1"/>
  <c r="U217" i="16" s="1"/>
  <c r="K50" i="13"/>
  <c r="K226" i="13" s="1"/>
  <c r="K292" i="13" s="1"/>
  <c r="L50" i="13"/>
  <c r="L226" i="13" s="1"/>
  <c r="L260" i="13" s="1"/>
  <c r="N50" i="16"/>
  <c r="N226" i="16" s="1"/>
  <c r="N260" i="16" s="1"/>
  <c r="K288" i="10"/>
  <c r="K256" i="10"/>
  <c r="O288" i="10"/>
  <c r="O256" i="10"/>
  <c r="T45" i="16"/>
  <c r="T42" i="16"/>
  <c r="T222" i="16" s="1"/>
  <c r="N256" i="16"/>
  <c r="N288" i="16"/>
  <c r="U93" i="13"/>
  <c r="U174" i="13" s="1"/>
  <c r="U217" i="13" s="1"/>
  <c r="S42" i="16"/>
  <c r="S222" i="16" s="1"/>
  <c r="S45" i="16"/>
  <c r="J288" i="16"/>
  <c r="J256" i="16"/>
  <c r="K288" i="13"/>
  <c r="K256" i="13"/>
  <c r="R256" i="16"/>
  <c r="R288" i="16"/>
  <c r="O50" i="16"/>
  <c r="O226" i="16" s="1"/>
  <c r="O292" i="16" s="1"/>
  <c r="S45" i="13"/>
  <c r="S42" i="13"/>
  <c r="S222" i="13" s="1"/>
  <c r="P256" i="13"/>
  <c r="P288" i="13"/>
  <c r="T45" i="10"/>
  <c r="T42" i="10"/>
  <c r="T222" i="10" s="1"/>
  <c r="N288" i="10"/>
  <c r="N256" i="10"/>
  <c r="R288" i="10"/>
  <c r="R256" i="10"/>
  <c r="J288" i="13"/>
  <c r="J256" i="13"/>
  <c r="S42" i="10"/>
  <c r="S222" i="10" s="1"/>
  <c r="S45" i="10"/>
  <c r="S50" i="10" s="1"/>
  <c r="S226" i="10" s="1"/>
  <c r="H176" i="4"/>
  <c r="H200" i="4" s="1"/>
  <c r="I107" i="4"/>
  <c r="I176" i="4" s="1"/>
  <c r="H107" i="10"/>
  <c r="H176" i="10" s="1"/>
  <c r="H200" i="10" s="1"/>
  <c r="H176" i="29"/>
  <c r="H200" i="29" s="1"/>
  <c r="H239" i="29" s="1"/>
  <c r="I108" i="25"/>
  <c r="M50" i="29"/>
  <c r="M226" i="29" s="1"/>
  <c r="M292" i="29" s="1"/>
  <c r="L50" i="4"/>
  <c r="L226" i="4" s="1"/>
  <c r="L292" i="4" s="1"/>
  <c r="H176" i="11"/>
  <c r="H179" i="13"/>
  <c r="I108" i="13"/>
  <c r="P50" i="29"/>
  <c r="P226" i="29" s="1"/>
  <c r="P260" i="29" s="1"/>
  <c r="J50" i="4"/>
  <c r="J226" i="4" s="1"/>
  <c r="J260" i="4" s="1"/>
  <c r="P50" i="4"/>
  <c r="P226" i="4" s="1"/>
  <c r="P260" i="4" s="1"/>
  <c r="I128" i="11"/>
  <c r="I175" i="16"/>
  <c r="I129" i="16"/>
  <c r="I128" i="13"/>
  <c r="I129" i="11"/>
  <c r="J100" i="16"/>
  <c r="K91" i="16"/>
  <c r="J94" i="16"/>
  <c r="J99" i="16"/>
  <c r="I50" i="10"/>
  <c r="I226" i="10" s="1"/>
  <c r="H50" i="10"/>
  <c r="H226" i="10" s="1"/>
  <c r="J50" i="10"/>
  <c r="J226" i="10" s="1"/>
  <c r="O50" i="10"/>
  <c r="O226" i="10" s="1"/>
  <c r="Q50" i="10"/>
  <c r="Q226" i="10" s="1"/>
  <c r="P50" i="10"/>
  <c r="P226" i="10" s="1"/>
  <c r="N50" i="10"/>
  <c r="N226" i="10" s="1"/>
  <c r="K50" i="10"/>
  <c r="K226" i="10" s="1"/>
  <c r="M50" i="10"/>
  <c r="M226" i="10" s="1"/>
  <c r="R50" i="10"/>
  <c r="R226" i="10" s="1"/>
  <c r="L50" i="10"/>
  <c r="L226" i="10" s="1"/>
  <c r="K91" i="13"/>
  <c r="J99" i="13"/>
  <c r="J94" i="13"/>
  <c r="J98" i="13"/>
  <c r="J100" i="13"/>
  <c r="H260" i="16"/>
  <c r="H292" i="16"/>
  <c r="H260" i="13"/>
  <c r="H292" i="13"/>
  <c r="H108" i="10"/>
  <c r="H177" i="10" s="1"/>
  <c r="I94" i="10"/>
  <c r="I175" i="10" s="1"/>
  <c r="J91" i="10"/>
  <c r="I98" i="10"/>
  <c r="I99" i="10"/>
  <c r="I100" i="10"/>
  <c r="I175" i="13"/>
  <c r="H307" i="13"/>
  <c r="H275" i="13"/>
  <c r="I128" i="16"/>
  <c r="J121" i="16"/>
  <c r="J120" i="16"/>
  <c r="K112" i="16"/>
  <c r="J115" i="16"/>
  <c r="J119" i="16"/>
  <c r="I129" i="13"/>
  <c r="H256" i="10"/>
  <c r="H288" i="10"/>
  <c r="I292" i="13"/>
  <c r="I260" i="13"/>
  <c r="I107" i="13"/>
  <c r="I292" i="16"/>
  <c r="I260" i="16"/>
  <c r="J115" i="13"/>
  <c r="J120" i="13"/>
  <c r="J121" i="13"/>
  <c r="J119" i="13"/>
  <c r="K112" i="13"/>
  <c r="I108" i="29"/>
  <c r="I177" i="29" s="1"/>
  <c r="I180" i="29" s="1"/>
  <c r="J120" i="21"/>
  <c r="J121" i="21"/>
  <c r="K112" i="21"/>
  <c r="J115" i="21"/>
  <c r="J99" i="25"/>
  <c r="K91" i="25"/>
  <c r="J98" i="25"/>
  <c r="J94" i="25"/>
  <c r="J100" i="25"/>
  <c r="I292" i="25"/>
  <c r="I260" i="25"/>
  <c r="H210" i="25"/>
  <c r="H214" i="25" s="1"/>
  <c r="H241" i="25" s="1"/>
  <c r="H176" i="25"/>
  <c r="J99" i="21"/>
  <c r="J100" i="21"/>
  <c r="J94" i="21"/>
  <c r="K91" i="21"/>
  <c r="J292" i="25"/>
  <c r="J260" i="25"/>
  <c r="I107" i="25"/>
  <c r="O50" i="29"/>
  <c r="O226" i="29" s="1"/>
  <c r="O292" i="29" s="1"/>
  <c r="I260" i="21"/>
  <c r="I292" i="21"/>
  <c r="I175" i="25"/>
  <c r="I129" i="25"/>
  <c r="H260" i="21"/>
  <c r="H292" i="21"/>
  <c r="I175" i="21"/>
  <c r="H292" i="25"/>
  <c r="H260" i="25"/>
  <c r="J121" i="25"/>
  <c r="J120" i="25"/>
  <c r="J119" i="25"/>
  <c r="K112" i="25"/>
  <c r="J115" i="25"/>
  <c r="I175" i="11"/>
  <c r="I175" i="14"/>
  <c r="K50" i="4"/>
  <c r="K226" i="4" s="1"/>
  <c r="K292" i="4" s="1"/>
  <c r="I108" i="11"/>
  <c r="J119" i="11"/>
  <c r="J115" i="11"/>
  <c r="J120" i="11"/>
  <c r="J121" i="11"/>
  <c r="K112" i="11"/>
  <c r="H292" i="11"/>
  <c r="H260" i="11"/>
  <c r="R50" i="4"/>
  <c r="R226" i="4" s="1"/>
  <c r="R260" i="4" s="1"/>
  <c r="Q50" i="4"/>
  <c r="Q226" i="4" s="1"/>
  <c r="Q292" i="4" s="1"/>
  <c r="I260" i="14"/>
  <c r="I292" i="14"/>
  <c r="I107" i="11"/>
  <c r="I260" i="11"/>
  <c r="I292" i="11"/>
  <c r="J98" i="11"/>
  <c r="J99" i="11"/>
  <c r="J100" i="11"/>
  <c r="K91" i="11"/>
  <c r="J94" i="11"/>
  <c r="J115" i="14"/>
  <c r="J121" i="14"/>
  <c r="K112" i="14"/>
  <c r="J120" i="14"/>
  <c r="H177" i="11"/>
  <c r="H292" i="14"/>
  <c r="H260" i="14"/>
  <c r="H275" i="11"/>
  <c r="H307" i="11"/>
  <c r="J100" i="14"/>
  <c r="J94" i="14"/>
  <c r="K91" i="14"/>
  <c r="J99" i="14"/>
  <c r="J292" i="29"/>
  <c r="J260" i="29"/>
  <c r="T42" i="29"/>
  <c r="T222" i="29" s="1"/>
  <c r="T45" i="29"/>
  <c r="I260" i="29"/>
  <c r="I292" i="29"/>
  <c r="R50" i="29"/>
  <c r="R226" i="29" s="1"/>
  <c r="L50" i="29"/>
  <c r="L226" i="29" s="1"/>
  <c r="P256" i="29"/>
  <c r="P288" i="29"/>
  <c r="N288" i="29"/>
  <c r="N256" i="29"/>
  <c r="U93" i="29"/>
  <c r="U174" i="29" s="1"/>
  <c r="U217" i="29" s="1"/>
  <c r="H292" i="29"/>
  <c r="H260" i="29"/>
  <c r="I107" i="29"/>
  <c r="J288" i="29"/>
  <c r="J256" i="29"/>
  <c r="Q50" i="29"/>
  <c r="Q226" i="29" s="1"/>
  <c r="R288" i="29"/>
  <c r="R256" i="29"/>
  <c r="H307" i="29"/>
  <c r="H275" i="29"/>
  <c r="K50" i="29"/>
  <c r="K226" i="29" s="1"/>
  <c r="N50" i="29"/>
  <c r="N226" i="29" s="1"/>
  <c r="J100" i="29"/>
  <c r="J94" i="29"/>
  <c r="J175" i="29" s="1"/>
  <c r="K91" i="29"/>
  <c r="J99" i="29"/>
  <c r="J98" i="29"/>
  <c r="H237" i="29"/>
  <c r="H180" i="29"/>
  <c r="H223" i="29"/>
  <c r="K256" i="29"/>
  <c r="K288" i="29"/>
  <c r="O256" i="29"/>
  <c r="O288" i="29"/>
  <c r="S42" i="29"/>
  <c r="S222" i="29" s="1"/>
  <c r="S45" i="29"/>
  <c r="I292" i="4"/>
  <c r="I260" i="4"/>
  <c r="K256" i="4"/>
  <c r="K288" i="4"/>
  <c r="U93" i="4"/>
  <c r="U174" i="4" s="1"/>
  <c r="U217" i="4" s="1"/>
  <c r="O50" i="4"/>
  <c r="O226" i="4" s="1"/>
  <c r="N50" i="4"/>
  <c r="N226" i="4" s="1"/>
  <c r="S42" i="4"/>
  <c r="S222" i="4" s="1"/>
  <c r="S45" i="4"/>
  <c r="S50" i="4" s="1"/>
  <c r="S226" i="4" s="1"/>
  <c r="O288" i="4"/>
  <c r="O256" i="4"/>
  <c r="H275" i="4"/>
  <c r="H307" i="4"/>
  <c r="J98" i="4"/>
  <c r="J94" i="4"/>
  <c r="J175" i="4" s="1"/>
  <c r="J99" i="4"/>
  <c r="J100" i="4"/>
  <c r="K91" i="4"/>
  <c r="P256" i="4"/>
  <c r="P288" i="4"/>
  <c r="H223" i="4"/>
  <c r="H237" i="4"/>
  <c r="H180" i="4"/>
  <c r="T45" i="4"/>
  <c r="T42" i="4"/>
  <c r="T222" i="4" s="1"/>
  <c r="M50" i="4"/>
  <c r="M226" i="4" s="1"/>
  <c r="H292" i="4"/>
  <c r="H260" i="4"/>
  <c r="R288" i="4"/>
  <c r="R256" i="4"/>
  <c r="J288" i="4"/>
  <c r="J256" i="4"/>
  <c r="I108" i="4"/>
  <c r="I177" i="4" s="1"/>
  <c r="N288" i="4"/>
  <c r="N256" i="4"/>
  <c r="J128" i="82" l="1"/>
  <c r="J176" i="82" s="1"/>
  <c r="K186" i="83"/>
  <c r="J129" i="83"/>
  <c r="J177" i="83" s="1"/>
  <c r="J223" i="83" s="1"/>
  <c r="I239" i="82"/>
  <c r="I225" i="82"/>
  <c r="H289" i="83"/>
  <c r="H257" i="83"/>
  <c r="I180" i="83"/>
  <c r="I181" i="83"/>
  <c r="I237" i="83"/>
  <c r="I223" i="83"/>
  <c r="H305" i="82"/>
  <c r="H273" i="82"/>
  <c r="J200" i="82"/>
  <c r="J179" i="82"/>
  <c r="K120" i="83"/>
  <c r="K119" i="83"/>
  <c r="K121" i="83"/>
  <c r="K115" i="83"/>
  <c r="K175" i="83" s="1"/>
  <c r="K129" i="83"/>
  <c r="K177" i="83" s="1"/>
  <c r="L112" i="83"/>
  <c r="L186" i="83"/>
  <c r="K120" i="82"/>
  <c r="K129" i="82" s="1"/>
  <c r="K177" i="82" s="1"/>
  <c r="K121" i="82"/>
  <c r="K115" i="82"/>
  <c r="K175" i="82" s="1"/>
  <c r="L112" i="82"/>
  <c r="K119" i="82"/>
  <c r="I181" i="82"/>
  <c r="I179" i="82"/>
  <c r="H259" i="83"/>
  <c r="H291" i="83"/>
  <c r="H272" i="83"/>
  <c r="H304" i="83"/>
  <c r="I239" i="83"/>
  <c r="I225" i="83"/>
  <c r="H305" i="83"/>
  <c r="H273" i="83"/>
  <c r="J200" i="83"/>
  <c r="I290" i="83"/>
  <c r="I258" i="83"/>
  <c r="I238" i="83"/>
  <c r="J128" i="83"/>
  <c r="J176" i="83" s="1"/>
  <c r="H271" i="83"/>
  <c r="H303" i="83"/>
  <c r="I223" i="82"/>
  <c r="I180" i="82"/>
  <c r="I237" i="82"/>
  <c r="H291" i="82"/>
  <c r="H259" i="82"/>
  <c r="J129" i="82"/>
  <c r="J177" i="82" s="1"/>
  <c r="H200" i="11"/>
  <c r="H223" i="13"/>
  <c r="H187" i="13"/>
  <c r="H200" i="13"/>
  <c r="H200" i="25"/>
  <c r="H225" i="25" s="1"/>
  <c r="H179" i="11"/>
  <c r="K186" i="13"/>
  <c r="H179" i="25"/>
  <c r="H181" i="13"/>
  <c r="H237" i="13"/>
  <c r="H271" i="13" s="1"/>
  <c r="L292" i="16"/>
  <c r="O260" i="13"/>
  <c r="H187" i="4"/>
  <c r="H224" i="4" s="1"/>
  <c r="H290" i="4" s="1"/>
  <c r="P292" i="16"/>
  <c r="K260" i="25"/>
  <c r="R260" i="16"/>
  <c r="P260" i="21"/>
  <c r="J175" i="11"/>
  <c r="J175" i="25"/>
  <c r="L292" i="21"/>
  <c r="J260" i="13"/>
  <c r="T50" i="10"/>
  <c r="T226" i="10" s="1"/>
  <c r="T260" i="10" s="1"/>
  <c r="M292" i="16"/>
  <c r="H214" i="10"/>
  <c r="H241" i="10" s="1"/>
  <c r="H275" i="10" s="1"/>
  <c r="T50" i="16"/>
  <c r="T226" i="16" s="1"/>
  <c r="T292" i="16" s="1"/>
  <c r="P260" i="13"/>
  <c r="M292" i="13"/>
  <c r="J292" i="16"/>
  <c r="N292" i="13"/>
  <c r="Q292" i="13"/>
  <c r="Q260" i="16"/>
  <c r="K260" i="16"/>
  <c r="R292" i="13"/>
  <c r="K260" i="21"/>
  <c r="H237" i="25"/>
  <c r="H271" i="25" s="1"/>
  <c r="O260" i="16"/>
  <c r="N260" i="21"/>
  <c r="V93" i="14"/>
  <c r="V174" i="14" s="1"/>
  <c r="V217" i="14" s="1"/>
  <c r="V93" i="11"/>
  <c r="V174" i="11" s="1"/>
  <c r="V217" i="11" s="1"/>
  <c r="T50" i="14"/>
  <c r="T226" i="14" s="1"/>
  <c r="T260" i="14" s="1"/>
  <c r="U42" i="11"/>
  <c r="U222" i="11" s="1"/>
  <c r="U45" i="11"/>
  <c r="U45" i="14"/>
  <c r="U42" i="14"/>
  <c r="U222" i="14" s="1"/>
  <c r="T288" i="14"/>
  <c r="T256" i="14"/>
  <c r="T256" i="11"/>
  <c r="T288" i="11"/>
  <c r="S50" i="14"/>
  <c r="S226" i="14" s="1"/>
  <c r="S260" i="14" s="1"/>
  <c r="T50" i="11"/>
  <c r="T226" i="11" s="1"/>
  <c r="T292" i="11" s="1"/>
  <c r="S288" i="11"/>
  <c r="S256" i="11"/>
  <c r="S50" i="11"/>
  <c r="S226" i="11" s="1"/>
  <c r="S292" i="11" s="1"/>
  <c r="S256" i="14"/>
  <c r="S288" i="14"/>
  <c r="N292" i="25"/>
  <c r="L260" i="25"/>
  <c r="Q260" i="21"/>
  <c r="H180" i="25"/>
  <c r="Q292" i="25"/>
  <c r="M292" i="21"/>
  <c r="H187" i="29"/>
  <c r="H224" i="29" s="1"/>
  <c r="H258" i="29" s="1"/>
  <c r="R292" i="25"/>
  <c r="M260" i="25"/>
  <c r="R260" i="21"/>
  <c r="P292" i="25"/>
  <c r="J292" i="21"/>
  <c r="H179" i="4"/>
  <c r="L292" i="13"/>
  <c r="N292" i="16"/>
  <c r="J260" i="14"/>
  <c r="O260" i="14"/>
  <c r="L260" i="14"/>
  <c r="P260" i="11"/>
  <c r="Q260" i="14"/>
  <c r="M260" i="11"/>
  <c r="J260" i="11"/>
  <c r="K260" i="11"/>
  <c r="M260" i="14"/>
  <c r="O260" i="11"/>
  <c r="P292" i="14"/>
  <c r="R260" i="14"/>
  <c r="K292" i="14"/>
  <c r="Q292" i="11"/>
  <c r="N292" i="11"/>
  <c r="N292" i="14"/>
  <c r="L260" i="11"/>
  <c r="R260" i="11"/>
  <c r="H225" i="4"/>
  <c r="H181" i="4"/>
  <c r="L260" i="4"/>
  <c r="K260" i="4"/>
  <c r="P292" i="4"/>
  <c r="T50" i="25"/>
  <c r="T226" i="25" s="1"/>
  <c r="T292" i="25" s="1"/>
  <c r="O292" i="25"/>
  <c r="H225" i="29"/>
  <c r="H259" i="29" s="1"/>
  <c r="I177" i="25"/>
  <c r="I237" i="25" s="1"/>
  <c r="O260" i="21"/>
  <c r="H181" i="29"/>
  <c r="V93" i="21"/>
  <c r="V174" i="21" s="1"/>
  <c r="V217" i="21" s="1"/>
  <c r="T288" i="21"/>
  <c r="T256" i="21"/>
  <c r="T288" i="25"/>
  <c r="T256" i="25"/>
  <c r="S288" i="25"/>
  <c r="S256" i="25"/>
  <c r="U45" i="25"/>
  <c r="U42" i="25"/>
  <c r="U222" i="25" s="1"/>
  <c r="S50" i="21"/>
  <c r="S226" i="21" s="1"/>
  <c r="T50" i="21"/>
  <c r="T226" i="21" s="1"/>
  <c r="H179" i="29"/>
  <c r="U42" i="21"/>
  <c r="U222" i="21" s="1"/>
  <c r="U45" i="21"/>
  <c r="U50" i="21" s="1"/>
  <c r="U226" i="21" s="1"/>
  <c r="S50" i="25"/>
  <c r="S226" i="25" s="1"/>
  <c r="V93" i="25"/>
  <c r="V174" i="25" s="1"/>
  <c r="V217" i="25" s="1"/>
  <c r="S288" i="21"/>
  <c r="S256" i="21"/>
  <c r="V93" i="10"/>
  <c r="V174" i="10" s="1"/>
  <c r="V217" i="10" s="1"/>
  <c r="S288" i="10"/>
  <c r="S256" i="10"/>
  <c r="S50" i="13"/>
  <c r="S226" i="13" s="1"/>
  <c r="V93" i="16"/>
  <c r="V174" i="16" s="1"/>
  <c r="V217" i="16" s="1"/>
  <c r="T256" i="13"/>
  <c r="T288" i="13"/>
  <c r="U45" i="13"/>
  <c r="U50" i="13" s="1"/>
  <c r="U226" i="13" s="1"/>
  <c r="U42" i="13"/>
  <c r="U222" i="13" s="1"/>
  <c r="U42" i="16"/>
  <c r="U222" i="16" s="1"/>
  <c r="U45" i="16"/>
  <c r="U50" i="16" s="1"/>
  <c r="U226" i="16" s="1"/>
  <c r="K260" i="13"/>
  <c r="T50" i="13"/>
  <c r="T226" i="13" s="1"/>
  <c r="S50" i="16"/>
  <c r="S226" i="16" s="1"/>
  <c r="U45" i="10"/>
  <c r="U42" i="10"/>
  <c r="U222" i="10" s="1"/>
  <c r="T256" i="10"/>
  <c r="T288" i="10"/>
  <c r="S288" i="13"/>
  <c r="S256" i="13"/>
  <c r="S288" i="16"/>
  <c r="S256" i="16"/>
  <c r="T256" i="16"/>
  <c r="T288" i="16"/>
  <c r="V93" i="13"/>
  <c r="V174" i="13" s="1"/>
  <c r="V217" i="13" s="1"/>
  <c r="I214" i="4"/>
  <c r="I241" i="4" s="1"/>
  <c r="I275" i="4" s="1"/>
  <c r="J292" i="4"/>
  <c r="I237" i="29"/>
  <c r="I303" i="29" s="1"/>
  <c r="M260" i="29"/>
  <c r="P292" i="29"/>
  <c r="J107" i="25"/>
  <c r="J210" i="25" s="1"/>
  <c r="J214" i="25" s="1"/>
  <c r="J241" i="25" s="1"/>
  <c r="J108" i="29"/>
  <c r="J177" i="29" s="1"/>
  <c r="J237" i="29" s="1"/>
  <c r="I223" i="29"/>
  <c r="I289" i="29" s="1"/>
  <c r="O260" i="29"/>
  <c r="Q260" i="4"/>
  <c r="H239" i="11"/>
  <c r="J108" i="11"/>
  <c r="I177" i="13"/>
  <c r="I223" i="13" s="1"/>
  <c r="J108" i="13"/>
  <c r="I177" i="11"/>
  <c r="J128" i="16"/>
  <c r="J128" i="13"/>
  <c r="J175" i="16"/>
  <c r="H181" i="25"/>
  <c r="J128" i="25"/>
  <c r="J129" i="11"/>
  <c r="J129" i="13"/>
  <c r="I210" i="13"/>
  <c r="I214" i="13" s="1"/>
  <c r="I241" i="13" s="1"/>
  <c r="I176" i="13"/>
  <c r="I200" i="13" s="1"/>
  <c r="K120" i="16"/>
  <c r="K115" i="16"/>
  <c r="L112" i="16"/>
  <c r="K121" i="16"/>
  <c r="K119" i="16"/>
  <c r="I107" i="10"/>
  <c r="J107" i="13"/>
  <c r="L260" i="10"/>
  <c r="L292" i="10"/>
  <c r="N292" i="10"/>
  <c r="N260" i="10"/>
  <c r="J292" i="10"/>
  <c r="J260" i="10"/>
  <c r="K115" i="13"/>
  <c r="K119" i="13"/>
  <c r="L112" i="13"/>
  <c r="K120" i="13"/>
  <c r="K121" i="13"/>
  <c r="H239" i="10"/>
  <c r="H225" i="10"/>
  <c r="H289" i="13"/>
  <c r="H257" i="13"/>
  <c r="J129" i="16"/>
  <c r="I108" i="10"/>
  <c r="I177" i="10" s="1"/>
  <c r="J94" i="10"/>
  <c r="J175" i="10" s="1"/>
  <c r="K91" i="10"/>
  <c r="J98" i="10"/>
  <c r="J100" i="10"/>
  <c r="J99" i="10"/>
  <c r="J175" i="13"/>
  <c r="H179" i="10"/>
  <c r="H187" i="10"/>
  <c r="H224" i="10" s="1"/>
  <c r="R292" i="10"/>
  <c r="R260" i="10"/>
  <c r="P292" i="10"/>
  <c r="P260" i="10"/>
  <c r="H260" i="10"/>
  <c r="H292" i="10"/>
  <c r="M292" i="10"/>
  <c r="M260" i="10"/>
  <c r="Q260" i="10"/>
  <c r="Q292" i="10"/>
  <c r="I292" i="10"/>
  <c r="I260" i="10"/>
  <c r="H223" i="10"/>
  <c r="H180" i="10"/>
  <c r="H237" i="10"/>
  <c r="H181" i="10"/>
  <c r="K99" i="13"/>
  <c r="K100" i="13"/>
  <c r="K98" i="13"/>
  <c r="L91" i="13"/>
  <c r="K94" i="13"/>
  <c r="S292" i="10"/>
  <c r="S260" i="10"/>
  <c r="K260" i="10"/>
  <c r="K292" i="10"/>
  <c r="O292" i="10"/>
  <c r="O260" i="10"/>
  <c r="K94" i="16"/>
  <c r="L91" i="16"/>
  <c r="K100" i="16"/>
  <c r="K99" i="16"/>
  <c r="K100" i="25"/>
  <c r="L91" i="25"/>
  <c r="K94" i="25"/>
  <c r="K98" i="25"/>
  <c r="K99" i="25"/>
  <c r="I176" i="25"/>
  <c r="I210" i="25"/>
  <c r="I214" i="25" s="1"/>
  <c r="I241" i="25" s="1"/>
  <c r="J175" i="21"/>
  <c r="H275" i="25"/>
  <c r="H307" i="25"/>
  <c r="K120" i="25"/>
  <c r="L112" i="25"/>
  <c r="K119" i="25"/>
  <c r="K121" i="25"/>
  <c r="K115" i="25"/>
  <c r="H289" i="25"/>
  <c r="H257" i="25"/>
  <c r="J108" i="25"/>
  <c r="J129" i="25"/>
  <c r="K99" i="21"/>
  <c r="K100" i="21"/>
  <c r="K94" i="21"/>
  <c r="L91" i="21"/>
  <c r="K121" i="21"/>
  <c r="K120" i="21"/>
  <c r="K115" i="21"/>
  <c r="L112" i="21"/>
  <c r="R292" i="4"/>
  <c r="J108" i="4"/>
  <c r="J177" i="4" s="1"/>
  <c r="J223" i="4" s="1"/>
  <c r="K99" i="14"/>
  <c r="K100" i="14"/>
  <c r="K94" i="14"/>
  <c r="L91" i="14"/>
  <c r="H237" i="11"/>
  <c r="H181" i="11"/>
  <c r="H180" i="11"/>
  <c r="H223" i="11"/>
  <c r="K115" i="14"/>
  <c r="K120" i="14"/>
  <c r="K121" i="14"/>
  <c r="L112" i="14"/>
  <c r="J107" i="11"/>
  <c r="J175" i="14"/>
  <c r="K99" i="11"/>
  <c r="K94" i="11"/>
  <c r="K100" i="11"/>
  <c r="K98" i="11"/>
  <c r="L91" i="11"/>
  <c r="I210" i="11"/>
  <c r="I214" i="11" s="1"/>
  <c r="I241" i="11" s="1"/>
  <c r="I176" i="11"/>
  <c r="I200" i="11" s="1"/>
  <c r="K115" i="11"/>
  <c r="K120" i="11"/>
  <c r="K119" i="11"/>
  <c r="K121" i="11"/>
  <c r="L112" i="11"/>
  <c r="J128" i="11"/>
  <c r="L91" i="29"/>
  <c r="K99" i="29"/>
  <c r="K98" i="29"/>
  <c r="K100" i="29"/>
  <c r="K94" i="29"/>
  <c r="K175" i="29" s="1"/>
  <c r="T256" i="29"/>
  <c r="T288" i="29"/>
  <c r="V93" i="29"/>
  <c r="V174" i="29" s="1"/>
  <c r="V217" i="29" s="1"/>
  <c r="Q292" i="29"/>
  <c r="Q260" i="29"/>
  <c r="S50" i="29"/>
  <c r="S226" i="29" s="1"/>
  <c r="N292" i="29"/>
  <c r="N260" i="29"/>
  <c r="H305" i="29"/>
  <c r="H273" i="29"/>
  <c r="U45" i="29"/>
  <c r="U42" i="29"/>
  <c r="U222" i="29" s="1"/>
  <c r="T50" i="29"/>
  <c r="T226" i="29" s="1"/>
  <c r="S288" i="29"/>
  <c r="S256" i="29"/>
  <c r="H271" i="29"/>
  <c r="H303" i="29"/>
  <c r="K292" i="29"/>
  <c r="K260" i="29"/>
  <c r="H257" i="29"/>
  <c r="H289" i="29"/>
  <c r="I176" i="29"/>
  <c r="I200" i="29" s="1"/>
  <c r="I214" i="29"/>
  <c r="I241" i="29" s="1"/>
  <c r="L292" i="29"/>
  <c r="L260" i="29"/>
  <c r="J107" i="29"/>
  <c r="R292" i="29"/>
  <c r="R260" i="29"/>
  <c r="I237" i="4"/>
  <c r="I180" i="4"/>
  <c r="I223" i="4"/>
  <c r="I181" i="4"/>
  <c r="S292" i="4"/>
  <c r="S260" i="4"/>
  <c r="I179" i="4"/>
  <c r="I187" i="4"/>
  <c r="I224" i="4" s="1"/>
  <c r="K94" i="4"/>
  <c r="K175" i="4" s="1"/>
  <c r="K98" i="4"/>
  <c r="K99" i="4"/>
  <c r="K100" i="4"/>
  <c r="L91" i="4"/>
  <c r="J107" i="4"/>
  <c r="N292" i="4"/>
  <c r="N260" i="4"/>
  <c r="V93" i="4"/>
  <c r="V174" i="4" s="1"/>
  <c r="V217" i="4" s="1"/>
  <c r="H271" i="4"/>
  <c r="H303" i="4"/>
  <c r="O292" i="4"/>
  <c r="O260" i="4"/>
  <c r="U42" i="4"/>
  <c r="U222" i="4" s="1"/>
  <c r="U45" i="4"/>
  <c r="U50" i="4" s="1"/>
  <c r="U226" i="4" s="1"/>
  <c r="I200" i="4"/>
  <c r="M292" i="4"/>
  <c r="M260" i="4"/>
  <c r="T256" i="4"/>
  <c r="T288" i="4"/>
  <c r="H289" i="4"/>
  <c r="H257" i="4"/>
  <c r="S256" i="4"/>
  <c r="S288" i="4"/>
  <c r="T50" i="4"/>
  <c r="T226" i="4" s="1"/>
  <c r="J237" i="83" l="1"/>
  <c r="J180" i="83"/>
  <c r="K223" i="82"/>
  <c r="K180" i="82"/>
  <c r="K237" i="82"/>
  <c r="H264" i="83"/>
  <c r="H265" i="83" s="1"/>
  <c r="H276" i="83" s="1"/>
  <c r="H277" i="83" s="1"/>
  <c r="I289" i="82"/>
  <c r="I257" i="82"/>
  <c r="J239" i="82"/>
  <c r="J225" i="82"/>
  <c r="L115" i="83"/>
  <c r="L175" i="83" s="1"/>
  <c r="M112" i="83"/>
  <c r="M186" i="83" s="1"/>
  <c r="L119" i="83"/>
  <c r="L129" i="83" s="1"/>
  <c r="L177" i="83" s="1"/>
  <c r="L121" i="83"/>
  <c r="L120" i="83"/>
  <c r="I259" i="82"/>
  <c r="I291" i="82"/>
  <c r="I259" i="83"/>
  <c r="I291" i="83"/>
  <c r="K180" i="83"/>
  <c r="K237" i="83"/>
  <c r="K223" i="83"/>
  <c r="I305" i="82"/>
  <c r="I273" i="82"/>
  <c r="J225" i="83"/>
  <c r="J239" i="83"/>
  <c r="J237" i="82"/>
  <c r="J180" i="82"/>
  <c r="J223" i="82"/>
  <c r="J181" i="82"/>
  <c r="J179" i="83"/>
  <c r="J187" i="83"/>
  <c r="J224" i="83" s="1"/>
  <c r="I273" i="83"/>
  <c r="I305" i="83"/>
  <c r="K128" i="82"/>
  <c r="K176" i="82" s="1"/>
  <c r="K179" i="82" s="1"/>
  <c r="I257" i="83"/>
  <c r="I289" i="83"/>
  <c r="J303" i="83"/>
  <c r="J271" i="83"/>
  <c r="I304" i="83"/>
  <c r="I272" i="83"/>
  <c r="L119" i="82"/>
  <c r="L115" i="82"/>
  <c r="L175" i="82" s="1"/>
  <c r="M112" i="82"/>
  <c r="L120" i="82"/>
  <c r="L121" i="82"/>
  <c r="I303" i="83"/>
  <c r="I271" i="83"/>
  <c r="J181" i="83"/>
  <c r="K128" i="83"/>
  <c r="K176" i="83" s="1"/>
  <c r="I271" i="82"/>
  <c r="I303" i="82"/>
  <c r="J289" i="83"/>
  <c r="J257" i="83"/>
  <c r="H201" i="13"/>
  <c r="H239" i="13"/>
  <c r="I200" i="25"/>
  <c r="L186" i="13"/>
  <c r="H225" i="13"/>
  <c r="H291" i="13" s="1"/>
  <c r="H303" i="13"/>
  <c r="H258" i="4"/>
  <c r="H238" i="4"/>
  <c r="H272" i="4" s="1"/>
  <c r="K129" i="11"/>
  <c r="T292" i="10"/>
  <c r="H238" i="29"/>
  <c r="H272" i="29" s="1"/>
  <c r="H307" i="10"/>
  <c r="T260" i="16"/>
  <c r="H239" i="4"/>
  <c r="H305" i="4" s="1"/>
  <c r="T292" i="14"/>
  <c r="I180" i="13"/>
  <c r="H303" i="25"/>
  <c r="I237" i="13"/>
  <c r="I303" i="13" s="1"/>
  <c r="I223" i="25"/>
  <c r="I257" i="25" s="1"/>
  <c r="V45" i="11"/>
  <c r="W50" i="11" s="1"/>
  <c r="W226" i="11" s="1"/>
  <c r="W260" i="11" s="1"/>
  <c r="V42" i="11"/>
  <c r="V222" i="11" s="1"/>
  <c r="V42" i="14"/>
  <c r="V222" i="14" s="1"/>
  <c r="V45" i="14"/>
  <c r="W50" i="14" s="1"/>
  <c r="W226" i="14" s="1"/>
  <c r="U50" i="11"/>
  <c r="U226" i="11" s="1"/>
  <c r="U260" i="11" s="1"/>
  <c r="T260" i="11"/>
  <c r="U50" i="14"/>
  <c r="U226" i="14" s="1"/>
  <c r="U292" i="14" s="1"/>
  <c r="U288" i="14"/>
  <c r="U256" i="14"/>
  <c r="U288" i="11"/>
  <c r="U256" i="11"/>
  <c r="S292" i="14"/>
  <c r="S260" i="11"/>
  <c r="I180" i="25"/>
  <c r="T260" i="25"/>
  <c r="H291" i="29"/>
  <c r="H290" i="29"/>
  <c r="J180" i="29"/>
  <c r="I307" i="4"/>
  <c r="H225" i="11"/>
  <c r="H259" i="11" s="1"/>
  <c r="I271" i="29"/>
  <c r="S292" i="25"/>
  <c r="S260" i="25"/>
  <c r="S260" i="21"/>
  <c r="S292" i="21"/>
  <c r="V42" i="25"/>
  <c r="V222" i="25" s="1"/>
  <c r="V45" i="25"/>
  <c r="Z50" i="25" s="1"/>
  <c r="Z226" i="25" s="1"/>
  <c r="U260" i="21"/>
  <c r="U292" i="21"/>
  <c r="T260" i="21"/>
  <c r="T292" i="21"/>
  <c r="U256" i="25"/>
  <c r="U288" i="25"/>
  <c r="U288" i="21"/>
  <c r="U256" i="21"/>
  <c r="V42" i="21"/>
  <c r="V222" i="21" s="1"/>
  <c r="V45" i="21"/>
  <c r="V50" i="21" s="1"/>
  <c r="V226" i="21" s="1"/>
  <c r="U50" i="25"/>
  <c r="U226" i="25" s="1"/>
  <c r="U260" i="13"/>
  <c r="U292" i="13"/>
  <c r="U256" i="10"/>
  <c r="U288" i="10"/>
  <c r="S292" i="16"/>
  <c r="S260" i="16"/>
  <c r="U50" i="10"/>
  <c r="U226" i="10" s="1"/>
  <c r="U288" i="16"/>
  <c r="U256" i="16"/>
  <c r="V45" i="16"/>
  <c r="AA50" i="16" s="1"/>
  <c r="AA226" i="16" s="1"/>
  <c r="V42" i="16"/>
  <c r="V222" i="16" s="1"/>
  <c r="V45" i="13"/>
  <c r="X50" i="13" s="1"/>
  <c r="X226" i="13" s="1"/>
  <c r="V42" i="13"/>
  <c r="V222" i="13" s="1"/>
  <c r="U260" i="16"/>
  <c r="U292" i="16"/>
  <c r="U256" i="13"/>
  <c r="U288" i="13"/>
  <c r="V42" i="10"/>
  <c r="V222" i="10" s="1"/>
  <c r="V45" i="10"/>
  <c r="Z50" i="10" s="1"/>
  <c r="Z226" i="10" s="1"/>
  <c r="T260" i="13"/>
  <c r="T292" i="13"/>
  <c r="S260" i="13"/>
  <c r="S292" i="13"/>
  <c r="J223" i="29"/>
  <c r="J289" i="29" s="1"/>
  <c r="K108" i="11"/>
  <c r="J177" i="11"/>
  <c r="J180" i="11" s="1"/>
  <c r="I257" i="29"/>
  <c r="J176" i="25"/>
  <c r="K108" i="25"/>
  <c r="K108" i="29"/>
  <c r="K177" i="29" s="1"/>
  <c r="K180" i="29" s="1"/>
  <c r="J177" i="13"/>
  <c r="K107" i="13"/>
  <c r="K210" i="13" s="1"/>
  <c r="K214" i="13" s="1"/>
  <c r="K241" i="13" s="1"/>
  <c r="J108" i="10"/>
  <c r="J177" i="10" s="1"/>
  <c r="J237" i="10" s="1"/>
  <c r="J237" i="4"/>
  <c r="J271" i="4" s="1"/>
  <c r="K175" i="13"/>
  <c r="K129" i="13"/>
  <c r="K129" i="16"/>
  <c r="K129" i="25"/>
  <c r="H239" i="25"/>
  <c r="H305" i="25" s="1"/>
  <c r="I237" i="11"/>
  <c r="I180" i="11"/>
  <c r="I223" i="11"/>
  <c r="K175" i="25"/>
  <c r="K175" i="11"/>
  <c r="I225" i="13"/>
  <c r="I239" i="13"/>
  <c r="H289" i="10"/>
  <c r="H257" i="10"/>
  <c r="K99" i="10"/>
  <c r="K94" i="10"/>
  <c r="K175" i="10" s="1"/>
  <c r="L91" i="10"/>
  <c r="K98" i="10"/>
  <c r="K100" i="10"/>
  <c r="I214" i="10"/>
  <c r="I241" i="10" s="1"/>
  <c r="I176" i="10"/>
  <c r="I181" i="10" s="1"/>
  <c r="L100" i="13"/>
  <c r="L94" i="13"/>
  <c r="L98" i="13"/>
  <c r="L99" i="13"/>
  <c r="M91" i="13"/>
  <c r="H290" i="10"/>
  <c r="H258" i="10"/>
  <c r="H238" i="10"/>
  <c r="H259" i="10"/>
  <c r="H291" i="10"/>
  <c r="K128" i="16"/>
  <c r="M91" i="16"/>
  <c r="L99" i="16"/>
  <c r="L100" i="16"/>
  <c r="L94" i="16"/>
  <c r="H303" i="10"/>
  <c r="H271" i="10"/>
  <c r="I223" i="10"/>
  <c r="I237" i="10"/>
  <c r="I180" i="10"/>
  <c r="H305" i="10"/>
  <c r="H273" i="10"/>
  <c r="M112" i="13"/>
  <c r="L120" i="13"/>
  <c r="L115" i="13"/>
  <c r="L121" i="13"/>
  <c r="L119" i="13"/>
  <c r="H273" i="13"/>
  <c r="H305" i="13"/>
  <c r="I181" i="13"/>
  <c r="I179" i="13"/>
  <c r="K175" i="16"/>
  <c r="K108" i="13"/>
  <c r="J107" i="10"/>
  <c r="K128" i="13"/>
  <c r="J210" i="13"/>
  <c r="J214" i="13" s="1"/>
  <c r="J241" i="13" s="1"/>
  <c r="J176" i="13"/>
  <c r="J200" i="13" s="1"/>
  <c r="L120" i="16"/>
  <c r="L115" i="16"/>
  <c r="M112" i="16"/>
  <c r="L121" i="16"/>
  <c r="L119" i="16"/>
  <c r="I275" i="13"/>
  <c r="I307" i="13"/>
  <c r="I257" i="13"/>
  <c r="I289" i="13"/>
  <c r="J307" i="25"/>
  <c r="J275" i="25"/>
  <c r="L120" i="25"/>
  <c r="L121" i="25"/>
  <c r="L115" i="25"/>
  <c r="M112" i="25"/>
  <c r="L119" i="25"/>
  <c r="I179" i="25"/>
  <c r="H291" i="25"/>
  <c r="H259" i="25"/>
  <c r="I181" i="25"/>
  <c r="L99" i="25"/>
  <c r="L94" i="25"/>
  <c r="M91" i="25"/>
  <c r="L100" i="25"/>
  <c r="L98" i="25"/>
  <c r="I271" i="25"/>
  <c r="I303" i="25"/>
  <c r="L121" i="21"/>
  <c r="L120" i="21"/>
  <c r="M112" i="21"/>
  <c r="L115" i="21"/>
  <c r="L100" i="21"/>
  <c r="L94" i="21"/>
  <c r="M91" i="21"/>
  <c r="L99" i="21"/>
  <c r="K175" i="21"/>
  <c r="J177" i="25"/>
  <c r="K128" i="25"/>
  <c r="I307" i="25"/>
  <c r="I275" i="25"/>
  <c r="K107" i="25"/>
  <c r="J180" i="4"/>
  <c r="K175" i="14"/>
  <c r="I179" i="11"/>
  <c r="I181" i="11"/>
  <c r="J210" i="11"/>
  <c r="J214" i="11" s="1"/>
  <c r="J241" i="11" s="1"/>
  <c r="J176" i="11"/>
  <c r="J200" i="11" s="1"/>
  <c r="I307" i="11"/>
  <c r="I275" i="11"/>
  <c r="L99" i="11"/>
  <c r="M91" i="11"/>
  <c r="L98" i="11"/>
  <c r="L94" i="11"/>
  <c r="L100" i="11"/>
  <c r="K128" i="11"/>
  <c r="L120" i="14"/>
  <c r="L121" i="14"/>
  <c r="M112" i="14"/>
  <c r="L115" i="14"/>
  <c r="H257" i="11"/>
  <c r="H289" i="11"/>
  <c r="M91" i="14"/>
  <c r="L100" i="14"/>
  <c r="L99" i="14"/>
  <c r="L94" i="14"/>
  <c r="H305" i="11"/>
  <c r="H273" i="11"/>
  <c r="L115" i="11"/>
  <c r="L119" i="11"/>
  <c r="L120" i="11"/>
  <c r="L121" i="11"/>
  <c r="M112" i="11"/>
  <c r="K108" i="4"/>
  <c r="K177" i="4" s="1"/>
  <c r="K237" i="4" s="1"/>
  <c r="K107" i="11"/>
  <c r="H303" i="11"/>
  <c r="H271" i="11"/>
  <c r="H264" i="29"/>
  <c r="H265" i="29" s="1"/>
  <c r="H276" i="29" s="1"/>
  <c r="H277" i="29" s="1"/>
  <c r="U256" i="29"/>
  <c r="U288" i="29"/>
  <c r="J214" i="29"/>
  <c r="J241" i="29" s="1"/>
  <c r="J176" i="29"/>
  <c r="I179" i="29"/>
  <c r="I187" i="29"/>
  <c r="I224" i="29" s="1"/>
  <c r="I181" i="29"/>
  <c r="K107" i="29"/>
  <c r="T292" i="29"/>
  <c r="T260" i="29"/>
  <c r="S292" i="29"/>
  <c r="S260" i="29"/>
  <c r="V42" i="29"/>
  <c r="V222" i="29" s="1"/>
  <c r="V45" i="29"/>
  <c r="Z50" i="29" s="1"/>
  <c r="Z226" i="29" s="1"/>
  <c r="M91" i="29"/>
  <c r="L94" i="29"/>
  <c r="L175" i="29" s="1"/>
  <c r="L100" i="29"/>
  <c r="L99" i="29"/>
  <c r="L98" i="29"/>
  <c r="I275" i="29"/>
  <c r="I307" i="29"/>
  <c r="U50" i="29"/>
  <c r="U226" i="29" s="1"/>
  <c r="J271" i="29"/>
  <c r="J303" i="29"/>
  <c r="I258" i="4"/>
  <c r="I290" i="4"/>
  <c r="I238" i="4"/>
  <c r="I271" i="4"/>
  <c r="I303" i="4"/>
  <c r="I225" i="4"/>
  <c r="I239" i="4"/>
  <c r="U260" i="4"/>
  <c r="U292" i="4"/>
  <c r="J257" i="4"/>
  <c r="J289" i="4"/>
  <c r="V45" i="4"/>
  <c r="X50" i="4" s="1"/>
  <c r="X226" i="4" s="1"/>
  <c r="V42" i="4"/>
  <c r="V222" i="4" s="1"/>
  <c r="K107" i="4"/>
  <c r="I257" i="4"/>
  <c r="I289" i="4"/>
  <c r="U256" i="4"/>
  <c r="U288" i="4"/>
  <c r="H291" i="4"/>
  <c r="H259" i="4"/>
  <c r="M91" i="4"/>
  <c r="L98" i="4"/>
  <c r="L94" i="4"/>
  <c r="L175" i="4" s="1"/>
  <c r="L99" i="4"/>
  <c r="L100" i="4"/>
  <c r="T292" i="4"/>
  <c r="T260" i="4"/>
  <c r="J176" i="4"/>
  <c r="J214" i="4"/>
  <c r="J241" i="4" s="1"/>
  <c r="K200" i="82" l="1"/>
  <c r="L128" i="82"/>
  <c r="L176" i="82" s="1"/>
  <c r="L200" i="82" s="1"/>
  <c r="K179" i="83"/>
  <c r="K187" i="83"/>
  <c r="K224" i="83" s="1"/>
  <c r="M121" i="82"/>
  <c r="M119" i="82"/>
  <c r="M115" i="82"/>
  <c r="M175" i="82" s="1"/>
  <c r="M120" i="82"/>
  <c r="N112" i="82"/>
  <c r="J257" i="82"/>
  <c r="J289" i="82"/>
  <c r="K271" i="83"/>
  <c r="K303" i="83"/>
  <c r="L223" i="83"/>
  <c r="L237" i="83"/>
  <c r="L180" i="83"/>
  <c r="K239" i="82"/>
  <c r="K225" i="82"/>
  <c r="K200" i="83"/>
  <c r="L179" i="82"/>
  <c r="J303" i="82"/>
  <c r="J271" i="82"/>
  <c r="K181" i="83"/>
  <c r="J305" i="83"/>
  <c r="J273" i="83"/>
  <c r="L128" i="83"/>
  <c r="L176" i="83" s="1"/>
  <c r="L181" i="83" s="1"/>
  <c r="J291" i="83"/>
  <c r="J259" i="83"/>
  <c r="I264" i="83"/>
  <c r="I265" i="83" s="1"/>
  <c r="I276" i="83" s="1"/>
  <c r="I277" i="83" s="1"/>
  <c r="N112" i="83"/>
  <c r="M121" i="83"/>
  <c r="M119" i="83"/>
  <c r="M120" i="83"/>
  <c r="M115" i="83"/>
  <c r="M175" i="83" s="1"/>
  <c r="K271" i="82"/>
  <c r="K303" i="82"/>
  <c r="L129" i="82"/>
  <c r="L177" i="82" s="1"/>
  <c r="J238" i="83"/>
  <c r="J290" i="83"/>
  <c r="J258" i="83"/>
  <c r="H278" i="83"/>
  <c r="J259" i="82"/>
  <c r="J291" i="82"/>
  <c r="K181" i="82"/>
  <c r="K289" i="83"/>
  <c r="K257" i="83"/>
  <c r="J273" i="82"/>
  <c r="J305" i="82"/>
  <c r="K289" i="82"/>
  <c r="K257" i="82"/>
  <c r="H259" i="13"/>
  <c r="J179" i="25"/>
  <c r="J200" i="25"/>
  <c r="J225" i="25" s="1"/>
  <c r="M186" i="13"/>
  <c r="J179" i="13"/>
  <c r="J223" i="13"/>
  <c r="J289" i="13" s="1"/>
  <c r="J237" i="13"/>
  <c r="J271" i="13" s="1"/>
  <c r="K176" i="13"/>
  <c r="K200" i="13" s="1"/>
  <c r="H264" i="4"/>
  <c r="H265" i="4" s="1"/>
  <c r="H276" i="4" s="1"/>
  <c r="H277" i="4" s="1"/>
  <c r="H304" i="4"/>
  <c r="K177" i="11"/>
  <c r="K237" i="11" s="1"/>
  <c r="H304" i="29"/>
  <c r="H273" i="4"/>
  <c r="K177" i="13"/>
  <c r="K223" i="13" s="1"/>
  <c r="I289" i="25"/>
  <c r="H98" i="16"/>
  <c r="H107" i="16" s="1"/>
  <c r="H210" i="16" s="1"/>
  <c r="H214" i="16" s="1"/>
  <c r="H241" i="16" s="1"/>
  <c r="Y50" i="13"/>
  <c r="Y226" i="13" s="1"/>
  <c r="Y260" i="13" s="1"/>
  <c r="X50" i="11"/>
  <c r="X226" i="11" s="1"/>
  <c r="X292" i="11" s="1"/>
  <c r="Y50" i="14"/>
  <c r="Y226" i="14" s="1"/>
  <c r="Y292" i="14" s="1"/>
  <c r="V50" i="14"/>
  <c r="V226" i="14" s="1"/>
  <c r="V260" i="14" s="1"/>
  <c r="V50" i="11"/>
  <c r="V226" i="11" s="1"/>
  <c r="V292" i="11" s="1"/>
  <c r="X50" i="14"/>
  <c r="X226" i="14" s="1"/>
  <c r="X292" i="14" s="1"/>
  <c r="AA50" i="11"/>
  <c r="AA226" i="11" s="1"/>
  <c r="AA292" i="11" s="1"/>
  <c r="Y50" i="11"/>
  <c r="Y226" i="11" s="1"/>
  <c r="Y292" i="11" s="1"/>
  <c r="J98" i="16"/>
  <c r="J107" i="16" s="1"/>
  <c r="L98" i="16"/>
  <c r="L108" i="16" s="1"/>
  <c r="I98" i="16"/>
  <c r="K98" i="16"/>
  <c r="I271" i="13"/>
  <c r="M98" i="16"/>
  <c r="K177" i="25"/>
  <c r="K237" i="25" s="1"/>
  <c r="K303" i="25" s="1"/>
  <c r="U292" i="11"/>
  <c r="AA50" i="14"/>
  <c r="AA226" i="14" s="1"/>
  <c r="AA260" i="14" s="1"/>
  <c r="Z50" i="11"/>
  <c r="Z226" i="11" s="1"/>
  <c r="Z292" i="11" s="1"/>
  <c r="W260" i="14"/>
  <c r="W292" i="14"/>
  <c r="V288" i="14"/>
  <c r="V256" i="14"/>
  <c r="Z50" i="14"/>
  <c r="Z226" i="14" s="1"/>
  <c r="Z292" i="14" s="1"/>
  <c r="V256" i="11"/>
  <c r="V288" i="11"/>
  <c r="W292" i="11"/>
  <c r="U260" i="14"/>
  <c r="K237" i="29"/>
  <c r="K271" i="29" s="1"/>
  <c r="H291" i="11"/>
  <c r="J303" i="4"/>
  <c r="J257" i="29"/>
  <c r="Y50" i="21"/>
  <c r="Y226" i="21" s="1"/>
  <c r="Y292" i="21" s="1"/>
  <c r="X50" i="25"/>
  <c r="X226" i="25" s="1"/>
  <c r="X260" i="25" s="1"/>
  <c r="Z50" i="21"/>
  <c r="Z226" i="21" s="1"/>
  <c r="Z292" i="21" s="1"/>
  <c r="W50" i="21"/>
  <c r="W226" i="21" s="1"/>
  <c r="W292" i="21" s="1"/>
  <c r="V260" i="21"/>
  <c r="V292" i="21"/>
  <c r="Z260" i="25"/>
  <c r="Z292" i="25"/>
  <c r="V288" i="21"/>
  <c r="V256" i="21"/>
  <c r="V256" i="25"/>
  <c r="V288" i="25"/>
  <c r="AA50" i="21"/>
  <c r="AA226" i="21" s="1"/>
  <c r="X50" i="21"/>
  <c r="X226" i="21" s="1"/>
  <c r="U260" i="25"/>
  <c r="U292" i="25"/>
  <c r="Y50" i="25"/>
  <c r="Y226" i="25" s="1"/>
  <c r="AA50" i="25"/>
  <c r="AA226" i="25" s="1"/>
  <c r="V50" i="25"/>
  <c r="V226" i="25" s="1"/>
  <c r="W50" i="25"/>
  <c r="W226" i="25" s="1"/>
  <c r="Z260" i="10"/>
  <c r="Z292" i="10"/>
  <c r="AA292" i="16"/>
  <c r="AA260" i="16"/>
  <c r="X50" i="16"/>
  <c r="X226" i="16" s="1"/>
  <c r="V50" i="16"/>
  <c r="V226" i="16" s="1"/>
  <c r="W50" i="10"/>
  <c r="W226" i="10" s="1"/>
  <c r="AA50" i="10"/>
  <c r="AA226" i="10" s="1"/>
  <c r="Y50" i="16"/>
  <c r="Y226" i="16" s="1"/>
  <c r="X292" i="13"/>
  <c r="X260" i="13"/>
  <c r="V256" i="10"/>
  <c r="V288" i="10"/>
  <c r="Z50" i="16"/>
  <c r="Z226" i="16" s="1"/>
  <c r="Y50" i="10"/>
  <c r="Y226" i="10" s="1"/>
  <c r="W50" i="16"/>
  <c r="W226" i="16" s="1"/>
  <c r="V288" i="13"/>
  <c r="V256" i="13"/>
  <c r="X50" i="10"/>
  <c r="X226" i="10" s="1"/>
  <c r="V50" i="10"/>
  <c r="V226" i="10" s="1"/>
  <c r="J180" i="13"/>
  <c r="W50" i="13"/>
  <c r="W226" i="13" s="1"/>
  <c r="Z50" i="13"/>
  <c r="Z226" i="13" s="1"/>
  <c r="AA50" i="13"/>
  <c r="AA226" i="13" s="1"/>
  <c r="V50" i="13"/>
  <c r="V226" i="13" s="1"/>
  <c r="V256" i="16"/>
  <c r="V288" i="16"/>
  <c r="U260" i="10"/>
  <c r="U292" i="10"/>
  <c r="K223" i="4"/>
  <c r="K289" i="4" s="1"/>
  <c r="L107" i="11"/>
  <c r="L210" i="11" s="1"/>
  <c r="L214" i="11" s="1"/>
  <c r="L241" i="11" s="1"/>
  <c r="J223" i="11"/>
  <c r="J257" i="11" s="1"/>
  <c r="K180" i="4"/>
  <c r="J237" i="11"/>
  <c r="L108" i="29"/>
  <c r="L177" i="29" s="1"/>
  <c r="L180" i="29" s="1"/>
  <c r="K223" i="29"/>
  <c r="K257" i="29" s="1"/>
  <c r="L108" i="25"/>
  <c r="K108" i="10"/>
  <c r="K177" i="10" s="1"/>
  <c r="K180" i="10" s="1"/>
  <c r="J180" i="10"/>
  <c r="L108" i="13"/>
  <c r="J223" i="10"/>
  <c r="J257" i="10" s="1"/>
  <c r="K107" i="10"/>
  <c r="K214" i="10" s="1"/>
  <c r="K241" i="10" s="1"/>
  <c r="H278" i="29"/>
  <c r="L175" i="25"/>
  <c r="H273" i="25"/>
  <c r="L129" i="16"/>
  <c r="L128" i="13"/>
  <c r="I257" i="11"/>
  <c r="I289" i="11"/>
  <c r="L129" i="11"/>
  <c r="I271" i="11"/>
  <c r="I303" i="11"/>
  <c r="L175" i="21"/>
  <c r="L128" i="25"/>
  <c r="M119" i="13"/>
  <c r="M121" i="13"/>
  <c r="N112" i="13"/>
  <c r="M115" i="13"/>
  <c r="M120" i="13"/>
  <c r="H264" i="10"/>
  <c r="H265" i="10" s="1"/>
  <c r="H276" i="10" s="1"/>
  <c r="H277" i="10" s="1"/>
  <c r="L175" i="13"/>
  <c r="I200" i="10"/>
  <c r="I179" i="10"/>
  <c r="I187" i="10"/>
  <c r="I224" i="10" s="1"/>
  <c r="L128" i="16"/>
  <c r="I271" i="10"/>
  <c r="I303" i="10"/>
  <c r="M99" i="16"/>
  <c r="M100" i="16"/>
  <c r="N91" i="16"/>
  <c r="M94" i="16"/>
  <c r="H304" i="10"/>
  <c r="H272" i="10"/>
  <c r="M98" i="13"/>
  <c r="M100" i="13"/>
  <c r="N91" i="13"/>
  <c r="M99" i="13"/>
  <c r="M94" i="13"/>
  <c r="J181" i="13"/>
  <c r="I307" i="10"/>
  <c r="I275" i="10"/>
  <c r="L94" i="10"/>
  <c r="L175" i="10" s="1"/>
  <c r="L100" i="10"/>
  <c r="L98" i="10"/>
  <c r="M91" i="10"/>
  <c r="L99" i="10"/>
  <c r="I257" i="10"/>
  <c r="I289" i="10"/>
  <c r="L175" i="16"/>
  <c r="I305" i="13"/>
  <c r="I273" i="13"/>
  <c r="J271" i="10"/>
  <c r="J303" i="10"/>
  <c r="M120" i="16"/>
  <c r="M115" i="16"/>
  <c r="N112" i="16"/>
  <c r="M121" i="16"/>
  <c r="M119" i="16"/>
  <c r="J275" i="13"/>
  <c r="J307" i="13"/>
  <c r="J176" i="10"/>
  <c r="J214" i="10"/>
  <c r="J241" i="10" s="1"/>
  <c r="L129" i="13"/>
  <c r="K307" i="13"/>
  <c r="K275" i="13"/>
  <c r="L107" i="13"/>
  <c r="I291" i="13"/>
  <c r="I259" i="13"/>
  <c r="K176" i="25"/>
  <c r="K210" i="25"/>
  <c r="K214" i="25" s="1"/>
  <c r="K241" i="25" s="1"/>
  <c r="M119" i="21"/>
  <c r="H119" i="21"/>
  <c r="J119" i="21"/>
  <c r="L119" i="21"/>
  <c r="I119" i="21"/>
  <c r="K119" i="21"/>
  <c r="M120" i="21"/>
  <c r="M115" i="21"/>
  <c r="M121" i="21"/>
  <c r="N112" i="21"/>
  <c r="M100" i="25"/>
  <c r="M94" i="25"/>
  <c r="M99" i="25"/>
  <c r="M98" i="25"/>
  <c r="N91" i="25"/>
  <c r="M115" i="25"/>
  <c r="M121" i="25"/>
  <c r="N112" i="25"/>
  <c r="M120" i="25"/>
  <c r="M119" i="25"/>
  <c r="N91" i="21"/>
  <c r="M99" i="21"/>
  <c r="M100" i="21"/>
  <c r="M94" i="21"/>
  <c r="L107" i="25"/>
  <c r="L129" i="25"/>
  <c r="Y50" i="29"/>
  <c r="Y226" i="29" s="1"/>
  <c r="Y292" i="29" s="1"/>
  <c r="J237" i="25"/>
  <c r="J180" i="25"/>
  <c r="J223" i="25"/>
  <c r="J181" i="25"/>
  <c r="I225" i="25"/>
  <c r="I239" i="25"/>
  <c r="L175" i="14"/>
  <c r="L175" i="11"/>
  <c r="L128" i="11"/>
  <c r="I225" i="11"/>
  <c r="I239" i="11"/>
  <c r="K210" i="11"/>
  <c r="K214" i="11" s="1"/>
  <c r="K241" i="11" s="1"/>
  <c r="K176" i="11"/>
  <c r="K200" i="11" s="1"/>
  <c r="J179" i="11"/>
  <c r="J181" i="11"/>
  <c r="M94" i="14"/>
  <c r="M99" i="14"/>
  <c r="N91" i="14"/>
  <c r="M100" i="14"/>
  <c r="J275" i="11"/>
  <c r="J307" i="11"/>
  <c r="N112" i="11"/>
  <c r="M120" i="11"/>
  <c r="M121" i="11"/>
  <c r="M115" i="11"/>
  <c r="M119" i="11"/>
  <c r="H119" i="14"/>
  <c r="I119" i="14"/>
  <c r="L119" i="14"/>
  <c r="M119" i="14"/>
  <c r="J119" i="14"/>
  <c r="K119" i="14"/>
  <c r="M121" i="14"/>
  <c r="N112" i="14"/>
  <c r="M120" i="14"/>
  <c r="M115" i="14"/>
  <c r="L108" i="11"/>
  <c r="M99" i="11"/>
  <c r="M98" i="11"/>
  <c r="M100" i="11"/>
  <c r="M94" i="11"/>
  <c r="N91" i="11"/>
  <c r="Z260" i="29"/>
  <c r="Z292" i="29"/>
  <c r="K176" i="29"/>
  <c r="K214" i="29"/>
  <c r="K241" i="29" s="1"/>
  <c r="U292" i="29"/>
  <c r="U260" i="29"/>
  <c r="J275" i="29"/>
  <c r="J307" i="29"/>
  <c r="L107" i="29"/>
  <c r="M100" i="29"/>
  <c r="M99" i="29"/>
  <c r="N91" i="29"/>
  <c r="M94" i="29"/>
  <c r="M175" i="29" s="1"/>
  <c r="M98" i="29"/>
  <c r="V50" i="29"/>
  <c r="V226" i="29" s="1"/>
  <c r="W50" i="29"/>
  <c r="W226" i="29" s="1"/>
  <c r="AA50" i="29"/>
  <c r="AA226" i="29" s="1"/>
  <c r="X50" i="29"/>
  <c r="X226" i="29" s="1"/>
  <c r="J187" i="29"/>
  <c r="J224" i="29" s="1"/>
  <c r="J179" i="29"/>
  <c r="J181" i="29"/>
  <c r="J200" i="29"/>
  <c r="I98" i="21"/>
  <c r="H98" i="21"/>
  <c r="H108" i="21" s="1"/>
  <c r="J98" i="21"/>
  <c r="L98" i="21"/>
  <c r="M98" i="21"/>
  <c r="K98" i="21"/>
  <c r="V256" i="29"/>
  <c r="V288" i="29"/>
  <c r="I225" i="29"/>
  <c r="I239" i="29"/>
  <c r="I238" i="29"/>
  <c r="I290" i="29"/>
  <c r="I258" i="29"/>
  <c r="X260" i="4"/>
  <c r="X292" i="4"/>
  <c r="I291" i="4"/>
  <c r="I259" i="4"/>
  <c r="I264" i="4" s="1"/>
  <c r="I265" i="4" s="1"/>
  <c r="I276" i="4" s="1"/>
  <c r="I277" i="4" s="1"/>
  <c r="M98" i="4"/>
  <c r="M99" i="4"/>
  <c r="M100" i="4"/>
  <c r="M94" i="4"/>
  <c r="M175" i="4" s="1"/>
  <c r="N91" i="4"/>
  <c r="J307" i="4"/>
  <c r="J275" i="4"/>
  <c r="L108" i="4"/>
  <c r="L177" i="4" s="1"/>
  <c r="AA50" i="4"/>
  <c r="AA226" i="4" s="1"/>
  <c r="Y50" i="4"/>
  <c r="Y226" i="4" s="1"/>
  <c r="Z50" i="4"/>
  <c r="Z226" i="4" s="1"/>
  <c r="V50" i="4"/>
  <c r="V226" i="4" s="1"/>
  <c r="W50" i="4"/>
  <c r="W226" i="4" s="1"/>
  <c r="K176" i="4"/>
  <c r="K214" i="4"/>
  <c r="K241" i="4" s="1"/>
  <c r="L107" i="4"/>
  <c r="I273" i="4"/>
  <c r="I305" i="4"/>
  <c r="I272" i="4"/>
  <c r="I304" i="4"/>
  <c r="J187" i="4"/>
  <c r="J224" i="4" s="1"/>
  <c r="J179" i="4"/>
  <c r="J181" i="4"/>
  <c r="J200" i="4"/>
  <c r="I98" i="14"/>
  <c r="L98" i="14"/>
  <c r="K98" i="14"/>
  <c r="M98" i="14"/>
  <c r="J98" i="14"/>
  <c r="H98" i="14"/>
  <c r="V288" i="4"/>
  <c r="V256" i="4"/>
  <c r="K271" i="4"/>
  <c r="K303" i="4"/>
  <c r="M129" i="82" l="1"/>
  <c r="M177" i="82" s="1"/>
  <c r="M180" i="82" s="1"/>
  <c r="M129" i="83"/>
  <c r="M177" i="83" s="1"/>
  <c r="M237" i="83" s="1"/>
  <c r="L225" i="82"/>
  <c r="L239" i="82"/>
  <c r="L305" i="82" s="1"/>
  <c r="M223" i="83"/>
  <c r="M180" i="83"/>
  <c r="J264" i="83"/>
  <c r="J265" i="83" s="1"/>
  <c r="J276" i="83" s="1"/>
  <c r="J277" i="83" s="1"/>
  <c r="M237" i="82"/>
  <c r="M223" i="82"/>
  <c r="N120" i="82"/>
  <c r="O112" i="82"/>
  <c r="N115" i="82"/>
  <c r="N175" i="82" s="1"/>
  <c r="N119" i="82"/>
  <c r="N121" i="82"/>
  <c r="L200" i="83"/>
  <c r="L179" i="83"/>
  <c r="L187" i="83"/>
  <c r="L224" i="83" s="1"/>
  <c r="K239" i="83"/>
  <c r="K225" i="83"/>
  <c r="L271" i="83"/>
  <c r="L303" i="83"/>
  <c r="L273" i="82"/>
  <c r="L257" i="83"/>
  <c r="L289" i="83"/>
  <c r="J304" i="83"/>
  <c r="J272" i="83"/>
  <c r="M128" i="83"/>
  <c r="M176" i="83" s="1"/>
  <c r="M200" i="83" s="1"/>
  <c r="L259" i="82"/>
  <c r="L291" i="82"/>
  <c r="M128" i="82"/>
  <c r="M176" i="82" s="1"/>
  <c r="M179" i="82" s="1"/>
  <c r="I278" i="83"/>
  <c r="K291" i="82"/>
  <c r="K259" i="82"/>
  <c r="L237" i="82"/>
  <c r="L223" i="82"/>
  <c r="L180" i="82"/>
  <c r="L181" i="82"/>
  <c r="N121" i="83"/>
  <c r="N119" i="83"/>
  <c r="N115" i="83"/>
  <c r="N175" i="83" s="1"/>
  <c r="O112" i="83"/>
  <c r="N120" i="83"/>
  <c r="K305" i="82"/>
  <c r="K273" i="82"/>
  <c r="K258" i="83"/>
  <c r="K238" i="83"/>
  <c r="K290" i="83"/>
  <c r="N186" i="83"/>
  <c r="O186" i="83" s="1"/>
  <c r="J257" i="13"/>
  <c r="N186" i="13"/>
  <c r="K200" i="25"/>
  <c r="K179" i="13"/>
  <c r="J289" i="11"/>
  <c r="J239" i="25"/>
  <c r="J305" i="25" s="1"/>
  <c r="K223" i="25"/>
  <c r="K257" i="25" s="1"/>
  <c r="H278" i="4"/>
  <c r="K180" i="11"/>
  <c r="K223" i="11"/>
  <c r="K257" i="11" s="1"/>
  <c r="K181" i="11"/>
  <c r="K181" i="13"/>
  <c r="K180" i="13"/>
  <c r="K237" i="13"/>
  <c r="K303" i="13" s="1"/>
  <c r="M129" i="16"/>
  <c r="L177" i="13"/>
  <c r="L180" i="13" s="1"/>
  <c r="K271" i="25"/>
  <c r="L177" i="11"/>
  <c r="L223" i="11" s="1"/>
  <c r="K180" i="25"/>
  <c r="H176" i="16"/>
  <c r="H179" i="16" s="1"/>
  <c r="J303" i="13"/>
  <c r="J108" i="16"/>
  <c r="J177" i="16" s="1"/>
  <c r="J180" i="16" s="1"/>
  <c r="H108" i="16"/>
  <c r="H177" i="16" s="1"/>
  <c r="Y292" i="13"/>
  <c r="X260" i="11"/>
  <c r="Y260" i="14"/>
  <c r="V292" i="14"/>
  <c r="V260" i="11"/>
  <c r="X260" i="14"/>
  <c r="AA260" i="11"/>
  <c r="Y260" i="11"/>
  <c r="I107" i="16"/>
  <c r="I108" i="16"/>
  <c r="I177" i="16" s="1"/>
  <c r="L107" i="16"/>
  <c r="L176" i="16" s="1"/>
  <c r="K107" i="16"/>
  <c r="K108" i="16"/>
  <c r="K177" i="16" s="1"/>
  <c r="K223" i="16" s="1"/>
  <c r="K289" i="16" s="1"/>
  <c r="L108" i="10"/>
  <c r="L177" i="10" s="1"/>
  <c r="L237" i="10" s="1"/>
  <c r="I187" i="13"/>
  <c r="L177" i="16"/>
  <c r="L180" i="16" s="1"/>
  <c r="AA292" i="14"/>
  <c r="Z260" i="11"/>
  <c r="Z260" i="14"/>
  <c r="K303" i="29"/>
  <c r="W260" i="21"/>
  <c r="Y260" i="21"/>
  <c r="K237" i="10"/>
  <c r="K271" i="10" s="1"/>
  <c r="J176" i="16"/>
  <c r="J210" i="16"/>
  <c r="J214" i="16" s="1"/>
  <c r="J241" i="16" s="1"/>
  <c r="K257" i="4"/>
  <c r="L177" i="25"/>
  <c r="L237" i="25" s="1"/>
  <c r="X292" i="25"/>
  <c r="Z260" i="21"/>
  <c r="L223" i="29"/>
  <c r="L289" i="29" s="1"/>
  <c r="Y260" i="29"/>
  <c r="V260" i="25"/>
  <c r="V292" i="25"/>
  <c r="AA260" i="21"/>
  <c r="AA292" i="21"/>
  <c r="AA260" i="25"/>
  <c r="AA292" i="25"/>
  <c r="Y292" i="25"/>
  <c r="Y260" i="25"/>
  <c r="K289" i="29"/>
  <c r="W292" i="25"/>
  <c r="W260" i="25"/>
  <c r="X292" i="21"/>
  <c r="X260" i="21"/>
  <c r="W260" i="13"/>
  <c r="W292" i="13"/>
  <c r="AA292" i="10"/>
  <c r="AA260" i="10"/>
  <c r="V260" i="13"/>
  <c r="V292" i="13"/>
  <c r="H275" i="16"/>
  <c r="H307" i="16"/>
  <c r="Y260" i="16"/>
  <c r="Y292" i="16"/>
  <c r="W292" i="10"/>
  <c r="W260" i="10"/>
  <c r="AA260" i="13"/>
  <c r="AA292" i="13"/>
  <c r="V260" i="10"/>
  <c r="V292" i="10"/>
  <c r="W292" i="16"/>
  <c r="W260" i="16"/>
  <c r="Y260" i="10"/>
  <c r="Y292" i="10"/>
  <c r="V260" i="16"/>
  <c r="V292" i="16"/>
  <c r="Z292" i="13"/>
  <c r="Z260" i="13"/>
  <c r="X292" i="10"/>
  <c r="X260" i="10"/>
  <c r="Z292" i="16"/>
  <c r="Z260" i="16"/>
  <c r="X292" i="16"/>
  <c r="X260" i="16"/>
  <c r="L176" i="11"/>
  <c r="L200" i="11" s="1"/>
  <c r="K223" i="10"/>
  <c r="K257" i="10" s="1"/>
  <c r="K176" i="10"/>
  <c r="K187" i="10" s="1"/>
  <c r="K224" i="10" s="1"/>
  <c r="L237" i="29"/>
  <c r="L303" i="29" s="1"/>
  <c r="J271" i="11"/>
  <c r="J303" i="11"/>
  <c r="N98" i="21"/>
  <c r="M107" i="29"/>
  <c r="M214" i="29" s="1"/>
  <c r="M241" i="29" s="1"/>
  <c r="M108" i="25"/>
  <c r="N98" i="14"/>
  <c r="J289" i="10"/>
  <c r="H278" i="10"/>
  <c r="M107" i="16"/>
  <c r="M210" i="16" s="1"/>
  <c r="M214" i="16" s="1"/>
  <c r="M241" i="16" s="1"/>
  <c r="M107" i="13"/>
  <c r="M210" i="13" s="1"/>
  <c r="M214" i="13" s="1"/>
  <c r="M241" i="13" s="1"/>
  <c r="M129" i="13"/>
  <c r="H186" i="25"/>
  <c r="M175" i="25"/>
  <c r="M175" i="13"/>
  <c r="M175" i="21"/>
  <c r="M129" i="11"/>
  <c r="L210" i="13"/>
  <c r="L214" i="13" s="1"/>
  <c r="L241" i="13" s="1"/>
  <c r="L176" i="13"/>
  <c r="L200" i="13" s="1"/>
  <c r="N100" i="13"/>
  <c r="O91" i="13"/>
  <c r="N98" i="13"/>
  <c r="N94" i="13"/>
  <c r="N99" i="13"/>
  <c r="N99" i="16"/>
  <c r="N94" i="16"/>
  <c r="O91" i="16"/>
  <c r="N100" i="16"/>
  <c r="N98" i="16"/>
  <c r="K239" i="13"/>
  <c r="K225" i="13"/>
  <c r="N121" i="16"/>
  <c r="N120" i="16"/>
  <c r="O112" i="16"/>
  <c r="N115" i="16"/>
  <c r="N119" i="16"/>
  <c r="M108" i="13"/>
  <c r="M108" i="16"/>
  <c r="K307" i="10"/>
  <c r="K275" i="10"/>
  <c r="I239" i="10"/>
  <c r="I225" i="10"/>
  <c r="O112" i="13"/>
  <c r="N115" i="13"/>
  <c r="N119" i="13"/>
  <c r="N121" i="13"/>
  <c r="N120" i="13"/>
  <c r="J307" i="10"/>
  <c r="J275" i="10"/>
  <c r="M100" i="10"/>
  <c r="M98" i="10"/>
  <c r="M94" i="10"/>
  <c r="M175" i="10" s="1"/>
  <c r="M99" i="10"/>
  <c r="N91" i="10"/>
  <c r="K289" i="13"/>
  <c r="K257" i="13"/>
  <c r="J239" i="13"/>
  <c r="J225" i="13"/>
  <c r="J179" i="10"/>
  <c r="J187" i="10"/>
  <c r="J224" i="10" s="1"/>
  <c r="J181" i="10"/>
  <c r="J200" i="10"/>
  <c r="M128" i="16"/>
  <c r="L107" i="10"/>
  <c r="M175" i="16"/>
  <c r="I290" i="10"/>
  <c r="I238" i="10"/>
  <c r="I258" i="10"/>
  <c r="M128" i="13"/>
  <c r="I259" i="25"/>
  <c r="I291" i="25"/>
  <c r="L210" i="25"/>
  <c r="L214" i="25" s="1"/>
  <c r="L241" i="25" s="1"/>
  <c r="L176" i="25"/>
  <c r="N120" i="21"/>
  <c r="O112" i="21"/>
  <c r="N121" i="21"/>
  <c r="N115" i="21"/>
  <c r="N119" i="21"/>
  <c r="J271" i="25"/>
  <c r="J303" i="25"/>
  <c r="N121" i="25"/>
  <c r="N119" i="25"/>
  <c r="N120" i="25"/>
  <c r="N115" i="25"/>
  <c r="O112" i="25"/>
  <c r="N94" i="25"/>
  <c r="N98" i="25"/>
  <c r="O91" i="25"/>
  <c r="N100" i="25"/>
  <c r="N99" i="25"/>
  <c r="L128" i="21"/>
  <c r="L129" i="21"/>
  <c r="I273" i="25"/>
  <c r="I305" i="25"/>
  <c r="J257" i="25"/>
  <c r="J289" i="25"/>
  <c r="J259" i="25"/>
  <c r="J291" i="25"/>
  <c r="M128" i="25"/>
  <c r="M128" i="21"/>
  <c r="I128" i="21"/>
  <c r="I129" i="21"/>
  <c r="H128" i="21"/>
  <c r="H129" i="21"/>
  <c r="K179" i="25"/>
  <c r="K181" i="25"/>
  <c r="N99" i="21"/>
  <c r="N100" i="21"/>
  <c r="O91" i="21"/>
  <c r="N94" i="21"/>
  <c r="K128" i="21"/>
  <c r="K129" i="21"/>
  <c r="M129" i="25"/>
  <c r="M107" i="25"/>
  <c r="M129" i="21"/>
  <c r="J128" i="21"/>
  <c r="J129" i="21"/>
  <c r="K275" i="25"/>
  <c r="K307" i="25"/>
  <c r="I278" i="4"/>
  <c r="M108" i="11"/>
  <c r="M175" i="11"/>
  <c r="M128" i="14"/>
  <c r="M129" i="14"/>
  <c r="K128" i="14"/>
  <c r="K129" i="14"/>
  <c r="H128" i="14"/>
  <c r="H129" i="14"/>
  <c r="I291" i="11"/>
  <c r="I259" i="11"/>
  <c r="N100" i="11"/>
  <c r="N94" i="11"/>
  <c r="N99" i="11"/>
  <c r="O91" i="11"/>
  <c r="N98" i="11"/>
  <c r="J128" i="14"/>
  <c r="J129" i="14"/>
  <c r="L275" i="11"/>
  <c r="L307" i="11"/>
  <c r="N99" i="14"/>
  <c r="O91" i="14"/>
  <c r="O98" i="14" s="1"/>
  <c r="N100" i="14"/>
  <c r="N94" i="14"/>
  <c r="J225" i="11"/>
  <c r="J239" i="11"/>
  <c r="K307" i="11"/>
  <c r="K275" i="11"/>
  <c r="I273" i="11"/>
  <c r="I305" i="11"/>
  <c r="K271" i="11"/>
  <c r="K303" i="11"/>
  <c r="M175" i="14"/>
  <c r="M107" i="4"/>
  <c r="M214" i="4" s="1"/>
  <c r="M241" i="4" s="1"/>
  <c r="M107" i="11"/>
  <c r="O112" i="14"/>
  <c r="N121" i="14"/>
  <c r="N120" i="14"/>
  <c r="N115" i="14"/>
  <c r="N119" i="14"/>
  <c r="L128" i="14"/>
  <c r="L129" i="14"/>
  <c r="I128" i="14"/>
  <c r="I129" i="14"/>
  <c r="M128" i="11"/>
  <c r="N115" i="11"/>
  <c r="N121" i="11"/>
  <c r="O112" i="11"/>
  <c r="N119" i="11"/>
  <c r="N120" i="11"/>
  <c r="K179" i="11"/>
  <c r="I259" i="29"/>
  <c r="I264" i="29" s="1"/>
  <c r="I265" i="29" s="1"/>
  <c r="I276" i="29" s="1"/>
  <c r="I277" i="29" s="1"/>
  <c r="I291" i="29"/>
  <c r="J108" i="21"/>
  <c r="J107" i="21"/>
  <c r="AA292" i="29"/>
  <c r="AA260" i="29"/>
  <c r="K108" i="21"/>
  <c r="K107" i="21"/>
  <c r="H107" i="21"/>
  <c r="W292" i="29"/>
  <c r="W260" i="29"/>
  <c r="L214" i="29"/>
  <c r="L241" i="29" s="1"/>
  <c r="L176" i="29"/>
  <c r="M107" i="21"/>
  <c r="M108" i="21"/>
  <c r="I108" i="21"/>
  <c r="I107" i="21"/>
  <c r="J238" i="29"/>
  <c r="J258" i="29"/>
  <c r="J290" i="29"/>
  <c r="V260" i="29"/>
  <c r="V292" i="29"/>
  <c r="N99" i="29"/>
  <c r="N100" i="29"/>
  <c r="N94" i="29"/>
  <c r="N175" i="29" s="1"/>
  <c r="O91" i="29"/>
  <c r="N98" i="29"/>
  <c r="K307" i="29"/>
  <c r="K275" i="29"/>
  <c r="I304" i="29"/>
  <c r="I272" i="29"/>
  <c r="I273" i="29"/>
  <c r="I305" i="29"/>
  <c r="L107" i="21"/>
  <c r="L108" i="21"/>
  <c r="J225" i="29"/>
  <c r="J239" i="29"/>
  <c r="X292" i="29"/>
  <c r="X260" i="29"/>
  <c r="M108" i="29"/>
  <c r="M177" i="29" s="1"/>
  <c r="K200" i="29"/>
  <c r="K179" i="29"/>
  <c r="K187" i="29"/>
  <c r="K224" i="29" s="1"/>
  <c r="K181" i="29"/>
  <c r="K107" i="14"/>
  <c r="K108" i="14"/>
  <c r="L214" i="4"/>
  <c r="L241" i="4" s="1"/>
  <c r="L176" i="4"/>
  <c r="L181" i="4" s="1"/>
  <c r="W260" i="4"/>
  <c r="W292" i="4"/>
  <c r="AA260" i="4"/>
  <c r="AA292" i="4"/>
  <c r="N94" i="4"/>
  <c r="N175" i="4" s="1"/>
  <c r="N100" i="4"/>
  <c r="N99" i="4"/>
  <c r="N98" i="4"/>
  <c r="O91" i="4"/>
  <c r="M107" i="14"/>
  <c r="M108" i="14"/>
  <c r="L108" i="14"/>
  <c r="L107" i="14"/>
  <c r="J238" i="4"/>
  <c r="J258" i="4"/>
  <c r="J290" i="4"/>
  <c r="V292" i="4"/>
  <c r="V260" i="4"/>
  <c r="L237" i="4"/>
  <c r="L180" i="4"/>
  <c r="L223" i="4"/>
  <c r="H107" i="14"/>
  <c r="H108" i="14"/>
  <c r="J108" i="14"/>
  <c r="J107" i="14"/>
  <c r="J239" i="4"/>
  <c r="J225" i="4"/>
  <c r="K307" i="4"/>
  <c r="K275" i="4"/>
  <c r="Z292" i="4"/>
  <c r="Z260" i="4"/>
  <c r="I107" i="14"/>
  <c r="I108" i="14"/>
  <c r="K179" i="4"/>
  <c r="K187" i="4"/>
  <c r="K224" i="4" s="1"/>
  <c r="K200" i="4"/>
  <c r="K181" i="4"/>
  <c r="Y292" i="4"/>
  <c r="Y260" i="4"/>
  <c r="H186" i="11"/>
  <c r="H187" i="11" s="1"/>
  <c r="H185" i="11"/>
  <c r="M108" i="4"/>
  <c r="M177" i="4" s="1"/>
  <c r="N129" i="83" l="1"/>
  <c r="N177" i="83" s="1"/>
  <c r="M200" i="82"/>
  <c r="M181" i="82"/>
  <c r="N129" i="82"/>
  <c r="N177" i="82" s="1"/>
  <c r="N128" i="82"/>
  <c r="N176" i="82" s="1"/>
  <c r="N179" i="82" s="1"/>
  <c r="J278" i="83"/>
  <c r="M239" i="83"/>
  <c r="M225" i="83"/>
  <c r="N180" i="83"/>
  <c r="N223" i="83"/>
  <c r="N237" i="83"/>
  <c r="L257" i="82"/>
  <c r="L289" i="82"/>
  <c r="O120" i="83"/>
  <c r="O129" i="83" s="1"/>
  <c r="O177" i="83" s="1"/>
  <c r="O121" i="83"/>
  <c r="O115" i="83"/>
  <c r="O175" i="83" s="1"/>
  <c r="P112" i="83"/>
  <c r="O119" i="83"/>
  <c r="M303" i="82"/>
  <c r="M271" i="82"/>
  <c r="M179" i="83"/>
  <c r="M187" i="83"/>
  <c r="M224" i="83" s="1"/>
  <c r="K291" i="83"/>
  <c r="K259" i="83"/>
  <c r="K264" i="83" s="1"/>
  <c r="K265" i="83" s="1"/>
  <c r="K276" i="83" s="1"/>
  <c r="K277" i="83" s="1"/>
  <c r="K272" i="83"/>
  <c r="K304" i="83"/>
  <c r="N128" i="83"/>
  <c r="N176" i="83" s="1"/>
  <c r="N181" i="83" s="1"/>
  <c r="M225" i="82"/>
  <c r="M239" i="82"/>
  <c r="K305" i="83"/>
  <c r="K273" i="83"/>
  <c r="N180" i="82"/>
  <c r="N237" i="82"/>
  <c r="N223" i="82"/>
  <c r="N181" i="82"/>
  <c r="L258" i="83"/>
  <c r="L238" i="83"/>
  <c r="L290" i="83"/>
  <c r="O119" i="82"/>
  <c r="P112" i="82"/>
  <c r="O115" i="82"/>
  <c r="O175" i="82" s="1"/>
  <c r="O120" i="82"/>
  <c r="O121" i="82"/>
  <c r="M257" i="83"/>
  <c r="M289" i="83"/>
  <c r="L271" i="82"/>
  <c r="L303" i="82"/>
  <c r="M181" i="83"/>
  <c r="L225" i="83"/>
  <c r="L239" i="83"/>
  <c r="M257" i="82"/>
  <c r="M289" i="82"/>
  <c r="M303" i="83"/>
  <c r="M271" i="83"/>
  <c r="J273" i="25"/>
  <c r="L200" i="25"/>
  <c r="O186" i="13"/>
  <c r="I186" i="25"/>
  <c r="I186" i="11"/>
  <c r="K289" i="25"/>
  <c r="K289" i="11"/>
  <c r="L176" i="21"/>
  <c r="K271" i="13"/>
  <c r="J223" i="16"/>
  <c r="J289" i="16" s="1"/>
  <c r="M177" i="13"/>
  <c r="M237" i="13" s="1"/>
  <c r="M177" i="16"/>
  <c r="M223" i="16" s="1"/>
  <c r="L237" i="13"/>
  <c r="L303" i="13" s="1"/>
  <c r="L237" i="11"/>
  <c r="L303" i="11" s="1"/>
  <c r="L223" i="13"/>
  <c r="L257" i="13" s="1"/>
  <c r="H200" i="16"/>
  <c r="H225" i="16" s="1"/>
  <c r="H181" i="16"/>
  <c r="N129" i="13"/>
  <c r="L180" i="11"/>
  <c r="L181" i="11"/>
  <c r="K180" i="16"/>
  <c r="J237" i="16"/>
  <c r="J303" i="16" s="1"/>
  <c r="H237" i="16"/>
  <c r="H180" i="16"/>
  <c r="H223" i="16"/>
  <c r="H289" i="16" s="1"/>
  <c r="K257" i="16"/>
  <c r="M176" i="13"/>
  <c r="M200" i="13" s="1"/>
  <c r="L180" i="10"/>
  <c r="H224" i="13"/>
  <c r="H238" i="13" s="1"/>
  <c r="L210" i="16"/>
  <c r="L214" i="16" s="1"/>
  <c r="L241" i="16" s="1"/>
  <c r="L275" i="16" s="1"/>
  <c r="L237" i="16"/>
  <c r="L303" i="16" s="1"/>
  <c r="L223" i="10"/>
  <c r="L289" i="10" s="1"/>
  <c r="K237" i="16"/>
  <c r="K303" i="16" s="1"/>
  <c r="K303" i="10"/>
  <c r="K210" i="16"/>
  <c r="K214" i="16" s="1"/>
  <c r="K241" i="16" s="1"/>
  <c r="K176" i="16"/>
  <c r="I180" i="16"/>
  <c r="I223" i="16"/>
  <c r="I237" i="16"/>
  <c r="I210" i="16"/>
  <c r="I214" i="16" s="1"/>
  <c r="I241" i="16" s="1"/>
  <c r="I176" i="16"/>
  <c r="L223" i="16"/>
  <c r="L289" i="16" s="1"/>
  <c r="L179" i="11"/>
  <c r="L181" i="25"/>
  <c r="L180" i="25"/>
  <c r="L257" i="29"/>
  <c r="L223" i="25"/>
  <c r="L289" i="25" s="1"/>
  <c r="J179" i="16"/>
  <c r="J200" i="16"/>
  <c r="J181" i="16"/>
  <c r="J307" i="16"/>
  <c r="J275" i="16"/>
  <c r="L239" i="11"/>
  <c r="L271" i="29"/>
  <c r="K289" i="10"/>
  <c r="J187" i="13"/>
  <c r="K181" i="10"/>
  <c r="K200" i="10"/>
  <c r="K179" i="10"/>
  <c r="M176" i="29"/>
  <c r="M181" i="29" s="1"/>
  <c r="M177" i="25"/>
  <c r="M180" i="25" s="1"/>
  <c r="N107" i="21"/>
  <c r="N210" i="21" s="1"/>
  <c r="N214" i="21" s="1"/>
  <c r="N241" i="21" s="1"/>
  <c r="N108" i="21"/>
  <c r="N108" i="25"/>
  <c r="N108" i="29"/>
  <c r="N177" i="29" s="1"/>
  <c r="N180" i="29" s="1"/>
  <c r="N107" i="25"/>
  <c r="N210" i="25" s="1"/>
  <c r="N214" i="25" s="1"/>
  <c r="N241" i="25" s="1"/>
  <c r="M108" i="10"/>
  <c r="M177" i="10" s="1"/>
  <c r="M223" i="10" s="1"/>
  <c r="M176" i="16"/>
  <c r="N108" i="16"/>
  <c r="H185" i="25"/>
  <c r="M177" i="11"/>
  <c r="M180" i="11" s="1"/>
  <c r="H177" i="14"/>
  <c r="H223" i="14" s="1"/>
  <c r="N175" i="16"/>
  <c r="N128" i="16"/>
  <c r="L177" i="21"/>
  <c r="L223" i="21" s="1"/>
  <c r="H177" i="21"/>
  <c r="H180" i="21" s="1"/>
  <c r="N128" i="21"/>
  <c r="M177" i="21"/>
  <c r="M223" i="21" s="1"/>
  <c r="K177" i="21"/>
  <c r="K237" i="21" s="1"/>
  <c r="N129" i="25"/>
  <c r="N128" i="14"/>
  <c r="J305" i="13"/>
  <c r="J273" i="13"/>
  <c r="K238" i="10"/>
  <c r="K290" i="10"/>
  <c r="K258" i="10"/>
  <c r="I305" i="10"/>
  <c r="I273" i="10"/>
  <c r="P112" i="16"/>
  <c r="O121" i="16"/>
  <c r="O120" i="16"/>
  <c r="O115" i="16"/>
  <c r="O119" i="16"/>
  <c r="N107" i="13"/>
  <c r="L303" i="10"/>
  <c r="L271" i="10"/>
  <c r="J258" i="10"/>
  <c r="J238" i="10"/>
  <c r="J290" i="10"/>
  <c r="M275" i="16"/>
  <c r="M307" i="16"/>
  <c r="M107" i="10"/>
  <c r="N128" i="13"/>
  <c r="N129" i="16"/>
  <c r="K291" i="13"/>
  <c r="K259" i="13"/>
  <c r="P91" i="16"/>
  <c r="O99" i="16"/>
  <c r="O100" i="16"/>
  <c r="O94" i="16"/>
  <c r="O98" i="16"/>
  <c r="N108" i="13"/>
  <c r="O98" i="13"/>
  <c r="O94" i="13"/>
  <c r="O99" i="13"/>
  <c r="O100" i="13"/>
  <c r="P91" i="13"/>
  <c r="L179" i="13"/>
  <c r="L181" i="13"/>
  <c r="L176" i="10"/>
  <c r="L214" i="10"/>
  <c r="L241" i="10" s="1"/>
  <c r="M275" i="13"/>
  <c r="M307" i="13"/>
  <c r="N99" i="10"/>
  <c r="N98" i="10"/>
  <c r="N100" i="10"/>
  <c r="N94" i="10"/>
  <c r="N175" i="10" s="1"/>
  <c r="O91" i="10"/>
  <c r="K305" i="13"/>
  <c r="K273" i="13"/>
  <c r="L225" i="13"/>
  <c r="L239" i="13"/>
  <c r="L307" i="13"/>
  <c r="L275" i="13"/>
  <c r="I304" i="10"/>
  <c r="I272" i="10"/>
  <c r="L179" i="16"/>
  <c r="L200" i="16"/>
  <c r="J225" i="10"/>
  <c r="J239" i="10"/>
  <c r="J259" i="13"/>
  <c r="J291" i="13"/>
  <c r="L181" i="16"/>
  <c r="O115" i="13"/>
  <c r="O119" i="13"/>
  <c r="P112" i="13"/>
  <c r="O120" i="13"/>
  <c r="O121" i="13"/>
  <c r="I291" i="10"/>
  <c r="I259" i="10"/>
  <c r="I264" i="10" s="1"/>
  <c r="I265" i="10" s="1"/>
  <c r="I276" i="10" s="1"/>
  <c r="I277" i="10" s="1"/>
  <c r="N107" i="16"/>
  <c r="N175" i="13"/>
  <c r="J177" i="21"/>
  <c r="J180" i="21" s="1"/>
  <c r="N175" i="25"/>
  <c r="N175" i="21"/>
  <c r="I177" i="21"/>
  <c r="I237" i="21" s="1"/>
  <c r="M210" i="25"/>
  <c r="M214" i="25" s="1"/>
  <c r="M241" i="25" s="1"/>
  <c r="M176" i="25"/>
  <c r="O100" i="25"/>
  <c r="O99" i="25"/>
  <c r="P91" i="25"/>
  <c r="O98" i="25"/>
  <c r="O94" i="25"/>
  <c r="O115" i="25"/>
  <c r="O121" i="25"/>
  <c r="P112" i="25"/>
  <c r="O120" i="25"/>
  <c r="O119" i="25"/>
  <c r="N129" i="21"/>
  <c r="O115" i="21"/>
  <c r="O120" i="21"/>
  <c r="O121" i="21"/>
  <c r="P112" i="21"/>
  <c r="O119" i="21"/>
  <c r="L275" i="25"/>
  <c r="L307" i="25"/>
  <c r="O100" i="21"/>
  <c r="O99" i="21"/>
  <c r="O94" i="21"/>
  <c r="P91" i="21"/>
  <c r="K225" i="25"/>
  <c r="K239" i="25"/>
  <c r="O98" i="21"/>
  <c r="N128" i="25"/>
  <c r="L179" i="25"/>
  <c r="L303" i="25"/>
  <c r="L271" i="25"/>
  <c r="I177" i="14"/>
  <c r="I180" i="14" s="1"/>
  <c r="M176" i="4"/>
  <c r="K177" i="14"/>
  <c r="K223" i="14" s="1"/>
  <c r="N108" i="14"/>
  <c r="N108" i="11"/>
  <c r="N129" i="11"/>
  <c r="K239" i="11"/>
  <c r="K225" i="11"/>
  <c r="M176" i="11"/>
  <c r="M200" i="11" s="1"/>
  <c r="M210" i="11"/>
  <c r="M214" i="11" s="1"/>
  <c r="M241" i="11" s="1"/>
  <c r="N175" i="14"/>
  <c r="N107" i="14"/>
  <c r="N210" i="14" s="1"/>
  <c r="N214" i="14" s="1"/>
  <c r="N241" i="14" s="1"/>
  <c r="J177" i="14"/>
  <c r="J223" i="14" s="1"/>
  <c r="M177" i="14"/>
  <c r="M180" i="14" s="1"/>
  <c r="N129" i="14"/>
  <c r="J273" i="11"/>
  <c r="J305" i="11"/>
  <c r="O94" i="14"/>
  <c r="P91" i="14"/>
  <c r="O99" i="14"/>
  <c r="O100" i="14"/>
  <c r="N107" i="11"/>
  <c r="L289" i="11"/>
  <c r="L257" i="11"/>
  <c r="O120" i="14"/>
  <c r="P112" i="14"/>
  <c r="O121" i="14"/>
  <c r="O115" i="14"/>
  <c r="O119" i="14"/>
  <c r="J259" i="11"/>
  <c r="J291" i="11"/>
  <c r="O100" i="11"/>
  <c r="O94" i="11"/>
  <c r="P91" i="11"/>
  <c r="O99" i="11"/>
  <c r="O98" i="11"/>
  <c r="N128" i="11"/>
  <c r="L177" i="14"/>
  <c r="L223" i="14" s="1"/>
  <c r="O119" i="11"/>
  <c r="O121" i="11"/>
  <c r="P112" i="11"/>
  <c r="O115" i="11"/>
  <c r="O120" i="11"/>
  <c r="N175" i="11"/>
  <c r="O100" i="29"/>
  <c r="O94" i="29"/>
  <c r="O175" i="29" s="1"/>
  <c r="O99" i="29"/>
  <c r="O98" i="29"/>
  <c r="P91" i="29"/>
  <c r="M223" i="29"/>
  <c r="M237" i="29"/>
  <c r="M180" i="29"/>
  <c r="J291" i="29"/>
  <c r="J259" i="29"/>
  <c r="J264" i="29" s="1"/>
  <c r="J265" i="29" s="1"/>
  <c r="J276" i="29" s="1"/>
  <c r="J277" i="29" s="1"/>
  <c r="L210" i="21"/>
  <c r="L214" i="21" s="1"/>
  <c r="L241" i="21" s="1"/>
  <c r="I210" i="21"/>
  <c r="I214" i="21" s="1"/>
  <c r="I241" i="21" s="1"/>
  <c r="I176" i="21"/>
  <c r="L307" i="29"/>
  <c r="L275" i="29"/>
  <c r="K210" i="21"/>
  <c r="K214" i="21" s="1"/>
  <c r="K241" i="21" s="1"/>
  <c r="K176" i="21"/>
  <c r="J176" i="21"/>
  <c r="J210" i="21"/>
  <c r="J214" i="21" s="1"/>
  <c r="J241" i="21" s="1"/>
  <c r="K258" i="29"/>
  <c r="K290" i="29"/>
  <c r="K238" i="29"/>
  <c r="I278" i="29"/>
  <c r="N107" i="29"/>
  <c r="M176" i="21"/>
  <c r="M210" i="21"/>
  <c r="M214" i="21" s="1"/>
  <c r="M241" i="21" s="1"/>
  <c r="H176" i="21"/>
  <c r="H210" i="21"/>
  <c r="H214" i="21" s="1"/>
  <c r="H241" i="21" s="1"/>
  <c r="M307" i="29"/>
  <c r="M275" i="29"/>
  <c r="K239" i="29"/>
  <c r="K225" i="29"/>
  <c r="J305" i="29"/>
  <c r="J273" i="29"/>
  <c r="J272" i="29"/>
  <c r="J304" i="29"/>
  <c r="L187" i="29"/>
  <c r="L224" i="29" s="1"/>
  <c r="L179" i="29"/>
  <c r="L200" i="29"/>
  <c r="L181" i="29"/>
  <c r="K239" i="4"/>
  <c r="K225" i="4"/>
  <c r="J291" i="4"/>
  <c r="J259" i="4"/>
  <c r="J264" i="4" s="1"/>
  <c r="J265" i="4" s="1"/>
  <c r="J276" i="4" s="1"/>
  <c r="J277" i="4" s="1"/>
  <c r="J210" i="14"/>
  <c r="J214" i="14" s="1"/>
  <c r="J241" i="14" s="1"/>
  <c r="J176" i="14"/>
  <c r="L210" i="14"/>
  <c r="L214" i="14" s="1"/>
  <c r="L241" i="14" s="1"/>
  <c r="L176" i="14"/>
  <c r="O98" i="4"/>
  <c r="O99" i="4"/>
  <c r="P91" i="4"/>
  <c r="O94" i="4"/>
  <c r="O175" i="4" s="1"/>
  <c r="O100" i="4"/>
  <c r="K258" i="4"/>
  <c r="K290" i="4"/>
  <c r="K238" i="4"/>
  <c r="I210" i="14"/>
  <c r="I214" i="14" s="1"/>
  <c r="I241" i="14" s="1"/>
  <c r="I176" i="14"/>
  <c r="J305" i="4"/>
  <c r="J273" i="4"/>
  <c r="L257" i="4"/>
  <c r="L289" i="4"/>
  <c r="J304" i="4"/>
  <c r="J272" i="4"/>
  <c r="N107" i="4"/>
  <c r="L187" i="4"/>
  <c r="L224" i="4" s="1"/>
  <c r="L179" i="4"/>
  <c r="L200" i="4"/>
  <c r="M237" i="4"/>
  <c r="M223" i="4"/>
  <c r="M180" i="4"/>
  <c r="M307" i="4"/>
  <c r="M275" i="4"/>
  <c r="L307" i="4"/>
  <c r="L275" i="4"/>
  <c r="I185" i="11"/>
  <c r="H224" i="11"/>
  <c r="H176" i="14"/>
  <c r="H210" i="14"/>
  <c r="H214" i="14" s="1"/>
  <c r="H241" i="14" s="1"/>
  <c r="L271" i="4"/>
  <c r="L303" i="4"/>
  <c r="M210" i="14"/>
  <c r="M214" i="14" s="1"/>
  <c r="M241" i="14" s="1"/>
  <c r="M176" i="14"/>
  <c r="N108" i="4"/>
  <c r="N177" i="4" s="1"/>
  <c r="K210" i="14"/>
  <c r="K214" i="14" s="1"/>
  <c r="K241" i="14" s="1"/>
  <c r="K176" i="14"/>
  <c r="O200" i="82" l="1"/>
  <c r="O239" i="82" s="1"/>
  <c r="O128" i="83"/>
  <c r="O176" i="83" s="1"/>
  <c r="O187" i="83" s="1"/>
  <c r="O224" i="83" s="1"/>
  <c r="O128" i="82"/>
  <c r="O176" i="82" s="1"/>
  <c r="N200" i="82"/>
  <c r="Q112" i="82"/>
  <c r="P121" i="82"/>
  <c r="P115" i="82"/>
  <c r="P175" i="82" s="1"/>
  <c r="P119" i="82"/>
  <c r="P120" i="82"/>
  <c r="K278" i="83"/>
  <c r="O223" i="83"/>
  <c r="O237" i="83"/>
  <c r="O180" i="83"/>
  <c r="O179" i="82"/>
  <c r="N239" i="82"/>
  <c r="N225" i="82"/>
  <c r="O200" i="83"/>
  <c r="O225" i="82"/>
  <c r="P119" i="83"/>
  <c r="Q112" i="83"/>
  <c r="P121" i="83"/>
  <c r="P115" i="83"/>
  <c r="P175" i="83" s="1"/>
  <c r="P120" i="83"/>
  <c r="N271" i="83"/>
  <c r="N303" i="83"/>
  <c r="N303" i="82"/>
  <c r="N271" i="82"/>
  <c r="L304" i="83"/>
  <c r="L272" i="83"/>
  <c r="M258" i="83"/>
  <c r="M238" i="83"/>
  <c r="M290" i="83"/>
  <c r="N257" i="83"/>
  <c r="N289" i="83"/>
  <c r="L305" i="83"/>
  <c r="L273" i="83"/>
  <c r="O129" i="82"/>
  <c r="O177" i="82" s="1"/>
  <c r="M273" i="82"/>
  <c r="M305" i="82"/>
  <c r="L291" i="83"/>
  <c r="L259" i="83"/>
  <c r="L264" i="83" s="1"/>
  <c r="L265" i="83" s="1"/>
  <c r="L276" i="83" s="1"/>
  <c r="L277" i="83" s="1"/>
  <c r="M259" i="82"/>
  <c r="M291" i="82"/>
  <c r="M291" i="83"/>
  <c r="M259" i="83"/>
  <c r="N289" i="82"/>
  <c r="N257" i="82"/>
  <c r="N200" i="83"/>
  <c r="N179" i="83"/>
  <c r="N187" i="83"/>
  <c r="N224" i="83" s="1"/>
  <c r="P186" i="83"/>
  <c r="M305" i="83"/>
  <c r="M273" i="83"/>
  <c r="H187" i="25"/>
  <c r="J186" i="25"/>
  <c r="M200" i="25"/>
  <c r="P186" i="13"/>
  <c r="M179" i="13"/>
  <c r="M239" i="13"/>
  <c r="J186" i="11"/>
  <c r="I187" i="11"/>
  <c r="I224" i="13"/>
  <c r="I238" i="13" s="1"/>
  <c r="H200" i="14"/>
  <c r="M179" i="4"/>
  <c r="J257" i="16"/>
  <c r="M223" i="13"/>
  <c r="M289" i="13" s="1"/>
  <c r="M180" i="13"/>
  <c r="M237" i="16"/>
  <c r="M303" i="16" s="1"/>
  <c r="L271" i="13"/>
  <c r="H239" i="16"/>
  <c r="H273" i="16" s="1"/>
  <c r="M180" i="16"/>
  <c r="L271" i="11"/>
  <c r="N177" i="13"/>
  <c r="L289" i="13"/>
  <c r="O175" i="25"/>
  <c r="L307" i="16"/>
  <c r="L257" i="16"/>
  <c r="J271" i="16"/>
  <c r="M181" i="13"/>
  <c r="H258" i="13"/>
  <c r="H264" i="13" s="1"/>
  <c r="H265" i="13" s="1"/>
  <c r="H276" i="13" s="1"/>
  <c r="H277" i="13" s="1"/>
  <c r="H257" i="16"/>
  <c r="H303" i="16"/>
  <c r="H271" i="16"/>
  <c r="L271" i="16"/>
  <c r="H290" i="13"/>
  <c r="L257" i="10"/>
  <c r="K271" i="16"/>
  <c r="I257" i="16"/>
  <c r="I289" i="16"/>
  <c r="I200" i="16"/>
  <c r="I181" i="16"/>
  <c r="I179" i="16"/>
  <c r="I275" i="16"/>
  <c r="I307" i="16"/>
  <c r="K200" i="16"/>
  <c r="K179" i="16"/>
  <c r="K181" i="16"/>
  <c r="I271" i="16"/>
  <c r="I303" i="16"/>
  <c r="K307" i="16"/>
  <c r="K275" i="16"/>
  <c r="L257" i="25"/>
  <c r="L225" i="11"/>
  <c r="L291" i="11" s="1"/>
  <c r="J225" i="16"/>
  <c r="J239" i="16"/>
  <c r="N177" i="16"/>
  <c r="N180" i="16" s="1"/>
  <c r="M181" i="16"/>
  <c r="M200" i="4"/>
  <c r="M225" i="4" s="1"/>
  <c r="I185" i="25"/>
  <c r="J185" i="25" s="1"/>
  <c r="H259" i="16"/>
  <c r="H291" i="16"/>
  <c r="H304" i="13"/>
  <c r="H272" i="13"/>
  <c r="K187" i="13"/>
  <c r="O108" i="11"/>
  <c r="O108" i="4"/>
  <c r="O177" i="4" s="1"/>
  <c r="O223" i="4" s="1"/>
  <c r="H180" i="14"/>
  <c r="I237" i="14"/>
  <c r="I303" i="14" s="1"/>
  <c r="K239" i="10"/>
  <c r="K225" i="10"/>
  <c r="M179" i="16"/>
  <c r="M200" i="16"/>
  <c r="M225" i="16" s="1"/>
  <c r="M179" i="29"/>
  <c r="M200" i="29"/>
  <c r="M225" i="29" s="1"/>
  <c r="N176" i="25"/>
  <c r="N200" i="25" s="1"/>
  <c r="M187" i="29"/>
  <c r="M224" i="29" s="1"/>
  <c r="M258" i="29" s="1"/>
  <c r="N176" i="21"/>
  <c r="N179" i="21" s="1"/>
  <c r="M223" i="25"/>
  <c r="M289" i="25" s="1"/>
  <c r="M237" i="25"/>
  <c r="M271" i="25" s="1"/>
  <c r="N223" i="29"/>
  <c r="N289" i="29" s="1"/>
  <c r="N237" i="29"/>
  <c r="N303" i="29" s="1"/>
  <c r="J223" i="21"/>
  <c r="J257" i="21" s="1"/>
  <c r="N177" i="21"/>
  <c r="N180" i="21" s="1"/>
  <c r="N177" i="25"/>
  <c r="N237" i="25" s="1"/>
  <c r="K181" i="21"/>
  <c r="O108" i="25"/>
  <c r="H223" i="21"/>
  <c r="H289" i="21" s="1"/>
  <c r="K180" i="21"/>
  <c r="H237" i="21"/>
  <c r="H271" i="21" s="1"/>
  <c r="O107" i="21"/>
  <c r="O210" i="21" s="1"/>
  <c r="O214" i="21" s="1"/>
  <c r="O241" i="21" s="1"/>
  <c r="O275" i="21" s="1"/>
  <c r="O107" i="11"/>
  <c r="O210" i="11" s="1"/>
  <c r="O214" i="11" s="1"/>
  <c r="O241" i="11" s="1"/>
  <c r="N177" i="14"/>
  <c r="N237" i="14" s="1"/>
  <c r="N303" i="14" s="1"/>
  <c r="M180" i="10"/>
  <c r="M237" i="10"/>
  <c r="M271" i="10" s="1"/>
  <c r="O108" i="16"/>
  <c r="O108" i="13"/>
  <c r="N108" i="10"/>
  <c r="N177" i="10" s="1"/>
  <c r="N223" i="10" s="1"/>
  <c r="M181" i="14"/>
  <c r="M237" i="14"/>
  <c r="M271" i="14" s="1"/>
  <c r="H237" i="14"/>
  <c r="H271" i="14" s="1"/>
  <c r="I223" i="14"/>
  <c r="I289" i="14" s="1"/>
  <c r="M223" i="14"/>
  <c r="M289" i="14" s="1"/>
  <c r="O128" i="13"/>
  <c r="O129" i="25"/>
  <c r="M237" i="11"/>
  <c r="M223" i="11"/>
  <c r="I181" i="14"/>
  <c r="M237" i="21"/>
  <c r="M303" i="21" s="1"/>
  <c r="N177" i="11"/>
  <c r="N180" i="11" s="1"/>
  <c r="O175" i="16"/>
  <c r="O129" i="16"/>
  <c r="L180" i="21"/>
  <c r="M180" i="21"/>
  <c r="L237" i="21"/>
  <c r="L271" i="21" s="1"/>
  <c r="O128" i="14"/>
  <c r="J237" i="14"/>
  <c r="J271" i="14" s="1"/>
  <c r="O129" i="11"/>
  <c r="H181" i="21"/>
  <c r="I223" i="21"/>
  <c r="I257" i="21" s="1"/>
  <c r="K223" i="21"/>
  <c r="K289" i="21" s="1"/>
  <c r="J237" i="21"/>
  <c r="J271" i="21" s="1"/>
  <c r="O175" i="21"/>
  <c r="J180" i="14"/>
  <c r="O175" i="11"/>
  <c r="O129" i="13"/>
  <c r="J305" i="10"/>
  <c r="J273" i="10"/>
  <c r="L273" i="13"/>
  <c r="L305" i="13"/>
  <c r="L275" i="10"/>
  <c r="L307" i="10"/>
  <c r="L259" i="13"/>
  <c r="L291" i="13"/>
  <c r="L179" i="10"/>
  <c r="L187" i="10"/>
  <c r="L224" i="10" s="1"/>
  <c r="L181" i="10"/>
  <c r="L200" i="10"/>
  <c r="O175" i="13"/>
  <c r="P99" i="16"/>
  <c r="P94" i="16"/>
  <c r="Q91" i="16"/>
  <c r="P100" i="16"/>
  <c r="P98" i="16"/>
  <c r="Q112" i="13"/>
  <c r="P120" i="13"/>
  <c r="P119" i="13"/>
  <c r="P121" i="13"/>
  <c r="P115" i="13"/>
  <c r="O99" i="10"/>
  <c r="O100" i="10"/>
  <c r="O94" i="10"/>
  <c r="O175" i="10" s="1"/>
  <c r="P91" i="10"/>
  <c r="O98" i="10"/>
  <c r="M271" i="13"/>
  <c r="M303" i="13"/>
  <c r="K304" i="10"/>
  <c r="K272" i="10"/>
  <c r="N176" i="13"/>
  <c r="N200" i="13" s="1"/>
  <c r="N210" i="13"/>
  <c r="N214" i="13" s="1"/>
  <c r="N241" i="13" s="1"/>
  <c r="M289" i="16"/>
  <c r="M257" i="16"/>
  <c r="N176" i="16"/>
  <c r="N210" i="16"/>
  <c r="N214" i="16" s="1"/>
  <c r="N241" i="16" s="1"/>
  <c r="J291" i="10"/>
  <c r="J259" i="10"/>
  <c r="J264" i="10" s="1"/>
  <c r="J265" i="10" s="1"/>
  <c r="J276" i="10" s="1"/>
  <c r="J277" i="10" s="1"/>
  <c r="I278" i="10"/>
  <c r="O107" i="16"/>
  <c r="M257" i="10"/>
  <c r="M289" i="10"/>
  <c r="L239" i="16"/>
  <c r="L225" i="16"/>
  <c r="N107" i="10"/>
  <c r="P100" i="13"/>
  <c r="P94" i="13"/>
  <c r="P98" i="13"/>
  <c r="Q91" i="13"/>
  <c r="P99" i="13"/>
  <c r="O107" i="13"/>
  <c r="M214" i="10"/>
  <c r="M241" i="10" s="1"/>
  <c r="M176" i="10"/>
  <c r="J272" i="10"/>
  <c r="J304" i="10"/>
  <c r="O128" i="16"/>
  <c r="P120" i="16"/>
  <c r="Q112" i="16"/>
  <c r="P115" i="16"/>
  <c r="P121" i="16"/>
  <c r="P119" i="16"/>
  <c r="P115" i="25"/>
  <c r="P119" i="25"/>
  <c r="P120" i="25"/>
  <c r="Q112" i="25"/>
  <c r="P121" i="25"/>
  <c r="I180" i="21"/>
  <c r="O108" i="29"/>
  <c r="O177" i="29" s="1"/>
  <c r="O180" i="29" s="1"/>
  <c r="L225" i="25"/>
  <c r="L239" i="25"/>
  <c r="O128" i="21"/>
  <c r="N275" i="25"/>
  <c r="N307" i="25"/>
  <c r="K305" i="25"/>
  <c r="K273" i="25"/>
  <c r="P121" i="21"/>
  <c r="P115" i="21"/>
  <c r="P120" i="21"/>
  <c r="Q112" i="21"/>
  <c r="P119" i="21"/>
  <c r="K259" i="25"/>
  <c r="K291" i="25"/>
  <c r="O107" i="25"/>
  <c r="M181" i="25"/>
  <c r="M179" i="25"/>
  <c r="O108" i="21"/>
  <c r="P100" i="21"/>
  <c r="P94" i="21"/>
  <c r="P99" i="21"/>
  <c r="Q91" i="21"/>
  <c r="P98" i="21"/>
  <c r="O129" i="21"/>
  <c r="O128" i="25"/>
  <c r="Q91" i="25"/>
  <c r="P100" i="25"/>
  <c r="P98" i="25"/>
  <c r="P94" i="25"/>
  <c r="P99" i="25"/>
  <c r="M307" i="25"/>
  <c r="M275" i="25"/>
  <c r="K180" i="14"/>
  <c r="K181" i="14"/>
  <c r="K237" i="14"/>
  <c r="K303" i="14" s="1"/>
  <c r="M187" i="4"/>
  <c r="M224" i="4" s="1"/>
  <c r="M258" i="4" s="1"/>
  <c r="O129" i="14"/>
  <c r="L237" i="14"/>
  <c r="L271" i="14" s="1"/>
  <c r="M181" i="4"/>
  <c r="Q112" i="14"/>
  <c r="P120" i="14"/>
  <c r="P115" i="14"/>
  <c r="P121" i="14"/>
  <c r="P119" i="14"/>
  <c r="N176" i="14"/>
  <c r="O128" i="11"/>
  <c r="Q91" i="14"/>
  <c r="P100" i="14"/>
  <c r="P99" i="14"/>
  <c r="P94" i="14"/>
  <c r="P98" i="14"/>
  <c r="M275" i="11"/>
  <c r="M307" i="11"/>
  <c r="L180" i="14"/>
  <c r="Q112" i="11"/>
  <c r="P120" i="11"/>
  <c r="P121" i="11"/>
  <c r="P119" i="11"/>
  <c r="P115" i="11"/>
  <c r="P94" i="11"/>
  <c r="Q91" i="11"/>
  <c r="P98" i="11"/>
  <c r="P100" i="11"/>
  <c r="P99" i="11"/>
  <c r="K291" i="11"/>
  <c r="K259" i="11"/>
  <c r="O107" i="14"/>
  <c r="O108" i="14"/>
  <c r="K273" i="11"/>
  <c r="K305" i="11"/>
  <c r="L273" i="11"/>
  <c r="L305" i="11"/>
  <c r="N176" i="11"/>
  <c r="N179" i="11" s="1"/>
  <c r="N210" i="11"/>
  <c r="N214" i="11" s="1"/>
  <c r="N241" i="11" s="1"/>
  <c r="O175" i="14"/>
  <c r="M179" i="11"/>
  <c r="M181" i="11"/>
  <c r="M275" i="21"/>
  <c r="M307" i="21"/>
  <c r="J307" i="21"/>
  <c r="J275" i="21"/>
  <c r="M289" i="21"/>
  <c r="M257" i="21"/>
  <c r="I307" i="21"/>
  <c r="I275" i="21"/>
  <c r="L179" i="21"/>
  <c r="L200" i="21"/>
  <c r="L225" i="29"/>
  <c r="L239" i="29"/>
  <c r="J278" i="29"/>
  <c r="K291" i="29"/>
  <c r="K259" i="29"/>
  <c r="K264" i="29" s="1"/>
  <c r="K265" i="29" s="1"/>
  <c r="K276" i="29" s="1"/>
  <c r="K277" i="29" s="1"/>
  <c r="M181" i="21"/>
  <c r="M179" i="21"/>
  <c r="M200" i="21"/>
  <c r="N214" i="29"/>
  <c r="N241" i="29" s="1"/>
  <c r="N176" i="29"/>
  <c r="J181" i="21"/>
  <c r="J200" i="21"/>
  <c r="J179" i="21"/>
  <c r="M303" i="29"/>
  <c r="M271" i="29"/>
  <c r="L257" i="21"/>
  <c r="L289" i="21"/>
  <c r="K273" i="29"/>
  <c r="K305" i="29"/>
  <c r="H307" i="21"/>
  <c r="H275" i="21"/>
  <c r="I271" i="21"/>
  <c r="I303" i="21"/>
  <c r="N275" i="21"/>
  <c r="N307" i="21"/>
  <c r="K179" i="21"/>
  <c r="K200" i="21"/>
  <c r="M257" i="29"/>
  <c r="M289" i="29"/>
  <c r="Q91" i="29"/>
  <c r="P94" i="29"/>
  <c r="P175" i="29" s="1"/>
  <c r="P99" i="29"/>
  <c r="P100" i="29"/>
  <c r="P98" i="29"/>
  <c r="L258" i="29"/>
  <c r="L238" i="29"/>
  <c r="L290" i="29"/>
  <c r="L181" i="21"/>
  <c r="K303" i="21"/>
  <c r="K271" i="21"/>
  <c r="H179" i="21"/>
  <c r="H200" i="21"/>
  <c r="K304" i="29"/>
  <c r="K272" i="29"/>
  <c r="K275" i="21"/>
  <c r="K307" i="21"/>
  <c r="I181" i="21"/>
  <c r="I179" i="21"/>
  <c r="I200" i="21"/>
  <c r="L307" i="21"/>
  <c r="L275" i="21"/>
  <c r="O107" i="29"/>
  <c r="H289" i="14"/>
  <c r="H257" i="14"/>
  <c r="M289" i="4"/>
  <c r="M257" i="4"/>
  <c r="L225" i="4"/>
  <c r="L239" i="4"/>
  <c r="L307" i="14"/>
  <c r="L275" i="14"/>
  <c r="K259" i="4"/>
  <c r="K264" i="4" s="1"/>
  <c r="K265" i="4" s="1"/>
  <c r="K276" i="4" s="1"/>
  <c r="K277" i="4" s="1"/>
  <c r="K291" i="4"/>
  <c r="H179" i="14"/>
  <c r="M271" i="4"/>
  <c r="M303" i="4"/>
  <c r="J278" i="4"/>
  <c r="J289" i="14"/>
  <c r="J257" i="14"/>
  <c r="K272" i="4"/>
  <c r="K304" i="4"/>
  <c r="N237" i="4"/>
  <c r="N223" i="4"/>
  <c r="N180" i="4"/>
  <c r="M307" i="14"/>
  <c r="M275" i="14"/>
  <c r="J185" i="11"/>
  <c r="I224" i="11"/>
  <c r="N176" i="4"/>
  <c r="N214" i="4"/>
  <c r="N241" i="4" s="1"/>
  <c r="I275" i="14"/>
  <c r="I307" i="14"/>
  <c r="L181" i="14"/>
  <c r="L179" i="14"/>
  <c r="L200" i="14"/>
  <c r="H307" i="14"/>
  <c r="H275" i="14"/>
  <c r="P99" i="4"/>
  <c r="P100" i="4"/>
  <c r="Q91" i="4"/>
  <c r="P98" i="4"/>
  <c r="P94" i="4"/>
  <c r="P175" i="4" s="1"/>
  <c r="K200" i="14"/>
  <c r="K179" i="14"/>
  <c r="N307" i="14"/>
  <c r="N275" i="14"/>
  <c r="L257" i="14"/>
  <c r="L289" i="14"/>
  <c r="J200" i="14"/>
  <c r="J179" i="14"/>
  <c r="K305" i="4"/>
  <c r="K273" i="4"/>
  <c r="K307" i="14"/>
  <c r="K275" i="14"/>
  <c r="M179" i="14"/>
  <c r="M200" i="14"/>
  <c r="H258" i="11"/>
  <c r="H264" i="11" s="1"/>
  <c r="H265" i="11" s="1"/>
  <c r="H276" i="11" s="1"/>
  <c r="H277" i="11" s="1"/>
  <c r="H290" i="11"/>
  <c r="H238" i="11"/>
  <c r="K289" i="14"/>
  <c r="K257" i="14"/>
  <c r="H181" i="14"/>
  <c r="L290" i="4"/>
  <c r="L238" i="4"/>
  <c r="L258" i="4"/>
  <c r="J181" i="14"/>
  <c r="I179" i="14"/>
  <c r="I200" i="14"/>
  <c r="O107" i="4"/>
  <c r="J275" i="14"/>
  <c r="J307" i="14"/>
  <c r="Q186" i="83" l="1"/>
  <c r="O181" i="83"/>
  <c r="O179" i="83"/>
  <c r="L278" i="83"/>
  <c r="M264" i="83"/>
  <c r="M265" i="83" s="1"/>
  <c r="M276" i="83" s="1"/>
  <c r="M277" i="83" s="1"/>
  <c r="O237" i="82"/>
  <c r="O223" i="82"/>
  <c r="O181" i="82"/>
  <c r="O180" i="82"/>
  <c r="O239" i="83"/>
  <c r="O225" i="83"/>
  <c r="O289" i="83"/>
  <c r="O257" i="83"/>
  <c r="N291" i="82"/>
  <c r="N259" i="82"/>
  <c r="Q115" i="83"/>
  <c r="Q175" i="83" s="1"/>
  <c r="R112" i="83"/>
  <c r="Q120" i="83"/>
  <c r="Q121" i="83"/>
  <c r="Q119" i="83"/>
  <c r="N273" i="82"/>
  <c r="N305" i="82"/>
  <c r="P128" i="82"/>
  <c r="P176" i="82" s="1"/>
  <c r="N238" i="83"/>
  <c r="N258" i="83"/>
  <c r="N290" i="83"/>
  <c r="P128" i="83"/>
  <c r="P176" i="83" s="1"/>
  <c r="P200" i="83" s="1"/>
  <c r="O273" i="82"/>
  <c r="O305" i="82"/>
  <c r="P129" i="82"/>
  <c r="P177" i="82" s="1"/>
  <c r="O238" i="83"/>
  <c r="O290" i="83"/>
  <c r="O258" i="83"/>
  <c r="N239" i="83"/>
  <c r="N225" i="83"/>
  <c r="O291" i="82"/>
  <c r="O259" i="82"/>
  <c r="Q115" i="82"/>
  <c r="Q175" i="82" s="1"/>
  <c r="R112" i="82"/>
  <c r="Q120" i="82"/>
  <c r="Q119" i="82"/>
  <c r="Q121" i="82"/>
  <c r="M304" i="83"/>
  <c r="M272" i="83"/>
  <c r="P129" i="83"/>
  <c r="P177" i="83" s="1"/>
  <c r="O303" i="83"/>
  <c r="O271" i="83"/>
  <c r="H224" i="25"/>
  <c r="H290" i="25" s="1"/>
  <c r="Q186" i="13"/>
  <c r="I187" i="25"/>
  <c r="K186" i="25"/>
  <c r="J187" i="25"/>
  <c r="J224" i="25" s="1"/>
  <c r="N200" i="11"/>
  <c r="N179" i="25"/>
  <c r="I290" i="13"/>
  <c r="I258" i="13"/>
  <c r="I264" i="13" s="1"/>
  <c r="I265" i="13" s="1"/>
  <c r="I276" i="13" s="1"/>
  <c r="I277" i="13" s="1"/>
  <c r="K186" i="11"/>
  <c r="J187" i="11"/>
  <c r="J224" i="11" s="1"/>
  <c r="J224" i="13"/>
  <c r="J258" i="13" s="1"/>
  <c r="J264" i="13" s="1"/>
  <c r="J265" i="13" s="1"/>
  <c r="J276" i="13" s="1"/>
  <c r="J277" i="13" s="1"/>
  <c r="N223" i="13"/>
  <c r="N289" i="13" s="1"/>
  <c r="N237" i="13"/>
  <c r="N271" i="13" s="1"/>
  <c r="H305" i="16"/>
  <c r="M257" i="13"/>
  <c r="M271" i="16"/>
  <c r="P175" i="13"/>
  <c r="N181" i="13"/>
  <c r="N180" i="13"/>
  <c r="P128" i="16"/>
  <c r="P175" i="25"/>
  <c r="P129" i="21"/>
  <c r="H278" i="13"/>
  <c r="L259" i="11"/>
  <c r="M225" i="13"/>
  <c r="M291" i="13" s="1"/>
  <c r="I225" i="16"/>
  <c r="I239" i="16"/>
  <c r="K225" i="16"/>
  <c r="K239" i="16"/>
  <c r="O177" i="16"/>
  <c r="O180" i="16" s="1"/>
  <c r="N223" i="16"/>
  <c r="N257" i="16" s="1"/>
  <c r="N237" i="16"/>
  <c r="N303" i="16" s="1"/>
  <c r="M239" i="16"/>
  <c r="M273" i="16" s="1"/>
  <c r="M239" i="4"/>
  <c r="M305" i="4" s="1"/>
  <c r="N200" i="21"/>
  <c r="N225" i="21" s="1"/>
  <c r="M257" i="14"/>
  <c r="M303" i="10"/>
  <c r="O177" i="13"/>
  <c r="O237" i="13" s="1"/>
  <c r="J273" i="16"/>
  <c r="J305" i="16"/>
  <c r="J291" i="16"/>
  <c r="J259" i="16"/>
  <c r="O177" i="11"/>
  <c r="O180" i="11" s="1"/>
  <c r="O237" i="4"/>
  <c r="O303" i="4" s="1"/>
  <c r="I257" i="14"/>
  <c r="M290" i="29"/>
  <c r="M303" i="25"/>
  <c r="M239" i="29"/>
  <c r="M305" i="29" s="1"/>
  <c r="N225" i="25"/>
  <c r="N181" i="25"/>
  <c r="N237" i="21"/>
  <c r="N303" i="21" s="1"/>
  <c r="I272" i="13"/>
  <c r="I304" i="13"/>
  <c r="L187" i="13"/>
  <c r="M290" i="4"/>
  <c r="M303" i="14"/>
  <c r="N181" i="14"/>
  <c r="N237" i="11"/>
  <c r="N271" i="11" s="1"/>
  <c r="N223" i="14"/>
  <c r="N257" i="14" s="1"/>
  <c r="N223" i="11"/>
  <c r="N289" i="11" s="1"/>
  <c r="N180" i="14"/>
  <c r="K271" i="14"/>
  <c r="O180" i="4"/>
  <c r="I271" i="14"/>
  <c r="K291" i="10"/>
  <c r="K259" i="10"/>
  <c r="K264" i="10" s="1"/>
  <c r="K265" i="10" s="1"/>
  <c r="K276" i="10" s="1"/>
  <c r="K277" i="10" s="1"/>
  <c r="K305" i="10"/>
  <c r="K273" i="10"/>
  <c r="M238" i="29"/>
  <c r="M272" i="29" s="1"/>
  <c r="M257" i="25"/>
  <c r="N180" i="25"/>
  <c r="N257" i="29"/>
  <c r="H257" i="21"/>
  <c r="N223" i="25"/>
  <c r="N257" i="25" s="1"/>
  <c r="O307" i="21"/>
  <c r="O176" i="21"/>
  <c r="N271" i="29"/>
  <c r="H303" i="21"/>
  <c r="J289" i="21"/>
  <c r="N181" i="21"/>
  <c r="N223" i="21"/>
  <c r="O177" i="25"/>
  <c r="O180" i="25" s="1"/>
  <c r="P108" i="21"/>
  <c r="P107" i="25"/>
  <c r="P210" i="25" s="1"/>
  <c r="P214" i="25" s="1"/>
  <c r="P241" i="25" s="1"/>
  <c r="J303" i="21"/>
  <c r="O237" i="29"/>
  <c r="O303" i="29" s="1"/>
  <c r="O176" i="11"/>
  <c r="O200" i="11" s="1"/>
  <c r="P108" i="4"/>
  <c r="P177" i="4" s="1"/>
  <c r="P180" i="4" s="1"/>
  <c r="J278" i="10"/>
  <c r="O108" i="10"/>
  <c r="O177" i="10" s="1"/>
  <c r="O223" i="10" s="1"/>
  <c r="N237" i="10"/>
  <c r="N303" i="10" s="1"/>
  <c r="P107" i="13"/>
  <c r="P210" i="13" s="1"/>
  <c r="P214" i="13" s="1"/>
  <c r="P241" i="13" s="1"/>
  <c r="P107" i="16"/>
  <c r="N180" i="10"/>
  <c r="P108" i="13"/>
  <c r="M271" i="21"/>
  <c r="O223" i="29"/>
  <c r="O289" i="29" s="1"/>
  <c r="H303" i="14"/>
  <c r="M238" i="4"/>
  <c r="M272" i="4" s="1"/>
  <c r="M257" i="11"/>
  <c r="M289" i="11"/>
  <c r="J303" i="14"/>
  <c r="M303" i="11"/>
  <c r="M271" i="11"/>
  <c r="P129" i="13"/>
  <c r="L303" i="21"/>
  <c r="K257" i="21"/>
  <c r="I289" i="21"/>
  <c r="P128" i="21"/>
  <c r="L303" i="14"/>
  <c r="N200" i="14"/>
  <c r="N225" i="14" s="1"/>
  <c r="N179" i="14"/>
  <c r="P129" i="25"/>
  <c r="P175" i="14"/>
  <c r="M275" i="10"/>
  <c r="M307" i="10"/>
  <c r="L259" i="16"/>
  <c r="L291" i="16"/>
  <c r="N179" i="16"/>
  <c r="N200" i="16"/>
  <c r="M291" i="16"/>
  <c r="M259" i="16"/>
  <c r="R91" i="16"/>
  <c r="Q99" i="16"/>
  <c r="Q94" i="16"/>
  <c r="Q100" i="16"/>
  <c r="Q98" i="16"/>
  <c r="L239" i="10"/>
  <c r="L225" i="10"/>
  <c r="P129" i="16"/>
  <c r="Q120" i="16"/>
  <c r="Q121" i="16"/>
  <c r="Q115" i="16"/>
  <c r="R112" i="16"/>
  <c r="Q119" i="16"/>
  <c r="L305" i="16"/>
  <c r="L273" i="16"/>
  <c r="M305" i="13"/>
  <c r="M273" i="13"/>
  <c r="N307" i="13"/>
  <c r="N275" i="13"/>
  <c r="O107" i="10"/>
  <c r="Q121" i="13"/>
  <c r="R112" i="13"/>
  <c r="Q120" i="13"/>
  <c r="Q115" i="13"/>
  <c r="Q119" i="13"/>
  <c r="P108" i="16"/>
  <c r="P175" i="16"/>
  <c r="Q100" i="13"/>
  <c r="Q99" i="13"/>
  <c r="R91" i="13"/>
  <c r="R186" i="13" s="1"/>
  <c r="Q94" i="13"/>
  <c r="Q98" i="13"/>
  <c r="O176" i="16"/>
  <c r="O210" i="16"/>
  <c r="O214" i="16" s="1"/>
  <c r="O241" i="16" s="1"/>
  <c r="N179" i="13"/>
  <c r="Q91" i="10"/>
  <c r="P100" i="10"/>
  <c r="P98" i="10"/>
  <c r="P94" i="10"/>
  <c r="P175" i="10" s="1"/>
  <c r="P99" i="10"/>
  <c r="N181" i="16"/>
  <c r="L238" i="10"/>
  <c r="L258" i="10"/>
  <c r="L290" i="10"/>
  <c r="M179" i="10"/>
  <c r="M187" i="10"/>
  <c r="M224" i="10" s="1"/>
  <c r="M200" i="10"/>
  <c r="M181" i="10"/>
  <c r="O210" i="13"/>
  <c r="O214" i="13" s="1"/>
  <c r="O241" i="13" s="1"/>
  <c r="O176" i="13"/>
  <c r="O200" i="13" s="1"/>
  <c r="N176" i="10"/>
  <c r="N214" i="10"/>
  <c r="N241" i="10" s="1"/>
  <c r="N307" i="16"/>
  <c r="N275" i="16"/>
  <c r="P128" i="13"/>
  <c r="N257" i="10"/>
  <c r="N289" i="10"/>
  <c r="R91" i="21"/>
  <c r="Q99" i="21"/>
  <c r="Q94" i="21"/>
  <c r="Q100" i="21"/>
  <c r="Q98" i="21"/>
  <c r="P108" i="25"/>
  <c r="P108" i="29"/>
  <c r="P177" i="29" s="1"/>
  <c r="P180" i="29" s="1"/>
  <c r="M225" i="25"/>
  <c r="M239" i="25"/>
  <c r="L273" i="25"/>
  <c r="L305" i="25"/>
  <c r="Q121" i="25"/>
  <c r="Q115" i="25"/>
  <c r="Q119" i="25"/>
  <c r="Q120" i="25"/>
  <c r="R112" i="25"/>
  <c r="O177" i="21"/>
  <c r="L291" i="25"/>
  <c r="L259" i="25"/>
  <c r="P128" i="25"/>
  <c r="K278" i="29"/>
  <c r="Q100" i="25"/>
  <c r="R91" i="25"/>
  <c r="Q99" i="25"/>
  <c r="Q94" i="25"/>
  <c r="Q98" i="25"/>
  <c r="P107" i="21"/>
  <c r="P175" i="21"/>
  <c r="O210" i="25"/>
  <c r="O214" i="25" s="1"/>
  <c r="O241" i="25" s="1"/>
  <c r="O176" i="25"/>
  <c r="Q121" i="21"/>
  <c r="Q115" i="21"/>
  <c r="Q120" i="21"/>
  <c r="R112" i="21"/>
  <c r="Q119" i="21"/>
  <c r="N271" i="25"/>
  <c r="N303" i="25"/>
  <c r="P107" i="14"/>
  <c r="P210" i="14" s="1"/>
  <c r="P214" i="14" s="1"/>
  <c r="P241" i="14" s="1"/>
  <c r="N271" i="14"/>
  <c r="P175" i="11"/>
  <c r="O177" i="14"/>
  <c r="O237" i="14" s="1"/>
  <c r="P129" i="14"/>
  <c r="O307" i="11"/>
  <c r="O275" i="11"/>
  <c r="O176" i="14"/>
  <c r="O210" i="14"/>
  <c r="O214" i="14" s="1"/>
  <c r="O241" i="14" s="1"/>
  <c r="P107" i="11"/>
  <c r="R112" i="11"/>
  <c r="Q119" i="11"/>
  <c r="Q115" i="11"/>
  <c r="Q121" i="11"/>
  <c r="Q120" i="11"/>
  <c r="M225" i="11"/>
  <c r="M239" i="11"/>
  <c r="P108" i="11"/>
  <c r="Q100" i="11"/>
  <c r="Q94" i="11"/>
  <c r="Q98" i="11"/>
  <c r="R91" i="11"/>
  <c r="Q99" i="11"/>
  <c r="P128" i="11"/>
  <c r="P128" i="14"/>
  <c r="Q120" i="14"/>
  <c r="Q121" i="14"/>
  <c r="Q115" i="14"/>
  <c r="R112" i="14"/>
  <c r="Q119" i="14"/>
  <c r="N181" i="11"/>
  <c r="N307" i="11"/>
  <c r="N275" i="11"/>
  <c r="P129" i="11"/>
  <c r="P108" i="14"/>
  <c r="R91" i="14"/>
  <c r="Q99" i="14"/>
  <c r="Q100" i="14"/>
  <c r="Q94" i="14"/>
  <c r="Q98" i="14"/>
  <c r="K185" i="25"/>
  <c r="M239" i="21"/>
  <c r="M225" i="21"/>
  <c r="M291" i="29"/>
  <c r="M259" i="29"/>
  <c r="M264" i="29" s="1"/>
  <c r="M265" i="29" s="1"/>
  <c r="M276" i="29" s="1"/>
  <c r="M277" i="29" s="1"/>
  <c r="I225" i="21"/>
  <c r="I239" i="21"/>
  <c r="H225" i="21"/>
  <c r="H239" i="21"/>
  <c r="L272" i="29"/>
  <c r="L304" i="29"/>
  <c r="P107" i="29"/>
  <c r="Q99" i="29"/>
  <c r="Q100" i="29"/>
  <c r="Q94" i="29"/>
  <c r="Q175" i="29" s="1"/>
  <c r="R91" i="29"/>
  <c r="Q98" i="29"/>
  <c r="J225" i="21"/>
  <c r="J239" i="21"/>
  <c r="N179" i="29"/>
  <c r="N187" i="29"/>
  <c r="N224" i="29" s="1"/>
  <c r="N200" i="29"/>
  <c r="N181" i="29"/>
  <c r="L273" i="29"/>
  <c r="L305" i="29"/>
  <c r="L239" i="21"/>
  <c r="L225" i="21"/>
  <c r="O176" i="29"/>
  <c r="O214" i="29"/>
  <c r="O241" i="29" s="1"/>
  <c r="K225" i="21"/>
  <c r="K239" i="21"/>
  <c r="N307" i="29"/>
  <c r="N275" i="29"/>
  <c r="L259" i="29"/>
  <c r="L264" i="29" s="1"/>
  <c r="L265" i="29" s="1"/>
  <c r="L276" i="29" s="1"/>
  <c r="L277" i="29" s="1"/>
  <c r="L291" i="29"/>
  <c r="I225" i="14"/>
  <c r="I239" i="14"/>
  <c r="N181" i="4"/>
  <c r="N179" i="4"/>
  <c r="N187" i="4"/>
  <c r="N224" i="4" s="1"/>
  <c r="N200" i="4"/>
  <c r="N289" i="4"/>
  <c r="N257" i="4"/>
  <c r="N271" i="4"/>
  <c r="N303" i="4"/>
  <c r="O214" i="4"/>
  <c r="O241" i="4" s="1"/>
  <c r="O176" i="4"/>
  <c r="M291" i="4"/>
  <c r="M259" i="4"/>
  <c r="M264" i="4" s="1"/>
  <c r="M265" i="4" s="1"/>
  <c r="M276" i="4" s="1"/>
  <c r="M277" i="4" s="1"/>
  <c r="P107" i="4"/>
  <c r="L225" i="14"/>
  <c r="L239" i="14"/>
  <c r="N307" i="4"/>
  <c r="N275" i="4"/>
  <c r="K185" i="11"/>
  <c r="L259" i="4"/>
  <c r="L264" i="4" s="1"/>
  <c r="L265" i="4" s="1"/>
  <c r="L276" i="4" s="1"/>
  <c r="L277" i="4" s="1"/>
  <c r="L291" i="4"/>
  <c r="H304" i="11"/>
  <c r="H272" i="11"/>
  <c r="H278" i="11" s="1"/>
  <c r="O289" i="4"/>
  <c r="O257" i="4"/>
  <c r="K225" i="14"/>
  <c r="K239" i="14"/>
  <c r="Q100" i="4"/>
  <c r="R91" i="4"/>
  <c r="Q98" i="4"/>
  <c r="Q99" i="4"/>
  <c r="Q94" i="4"/>
  <c r="Q175" i="4" s="1"/>
  <c r="L272" i="4"/>
  <c r="L304" i="4"/>
  <c r="M239" i="14"/>
  <c r="M225" i="14"/>
  <c r="J239" i="14"/>
  <c r="J225" i="14"/>
  <c r="I258" i="11"/>
  <c r="I264" i="11" s="1"/>
  <c r="I265" i="11" s="1"/>
  <c r="I276" i="11" s="1"/>
  <c r="I277" i="11" s="1"/>
  <c r="I238" i="11"/>
  <c r="I290" i="11"/>
  <c r="K278" i="4"/>
  <c r="H225" i="14"/>
  <c r="H239" i="14"/>
  <c r="L273" i="4"/>
  <c r="L305" i="4"/>
  <c r="H238" i="25" l="1"/>
  <c r="H272" i="25" s="1"/>
  <c r="Q129" i="82"/>
  <c r="Q177" i="82" s="1"/>
  <c r="Q129" i="83"/>
  <c r="Q177" i="83" s="1"/>
  <c r="Q180" i="83" s="1"/>
  <c r="M278" i="83"/>
  <c r="P239" i="83"/>
  <c r="P225" i="83"/>
  <c r="R120" i="82"/>
  <c r="R119" i="82"/>
  <c r="S112" i="82"/>
  <c r="R115" i="82"/>
  <c r="R175" i="82" s="1"/>
  <c r="R121" i="82"/>
  <c r="Q223" i="83"/>
  <c r="Q237" i="83"/>
  <c r="O259" i="83"/>
  <c r="O291" i="83"/>
  <c r="S112" i="83"/>
  <c r="R120" i="83"/>
  <c r="R121" i="83"/>
  <c r="R119" i="83"/>
  <c r="R115" i="83"/>
  <c r="R175" i="83" s="1"/>
  <c r="P223" i="82"/>
  <c r="P180" i="82"/>
  <c r="P237" i="82"/>
  <c r="N272" i="83"/>
  <c r="N304" i="83"/>
  <c r="O273" i="83"/>
  <c r="O305" i="83"/>
  <c r="P181" i="82"/>
  <c r="P179" i="82"/>
  <c r="R186" i="83"/>
  <c r="O272" i="83"/>
  <c r="O304" i="83"/>
  <c r="Q223" i="82"/>
  <c r="Q180" i="82"/>
  <c r="Q237" i="82"/>
  <c r="N259" i="83"/>
  <c r="N264" i="83" s="1"/>
  <c r="N265" i="83" s="1"/>
  <c r="N276" i="83" s="1"/>
  <c r="N277" i="83" s="1"/>
  <c r="N291" i="83"/>
  <c r="O289" i="82"/>
  <c r="O257" i="82"/>
  <c r="Q128" i="82"/>
  <c r="Q176" i="82" s="1"/>
  <c r="Q181" i="82" s="1"/>
  <c r="N273" i="83"/>
  <c r="N305" i="83"/>
  <c r="P200" i="82"/>
  <c r="Q128" i="83"/>
  <c r="Q176" i="83" s="1"/>
  <c r="O264" i="83"/>
  <c r="O265" i="83" s="1"/>
  <c r="O276" i="83" s="1"/>
  <c r="O277" i="83" s="1"/>
  <c r="O303" i="82"/>
  <c r="O271" i="82"/>
  <c r="P237" i="83"/>
  <c r="P223" i="83"/>
  <c r="P180" i="83"/>
  <c r="P181" i="83"/>
  <c r="P179" i="83"/>
  <c r="P187" i="83"/>
  <c r="P224" i="83" s="1"/>
  <c r="H258" i="25"/>
  <c r="H264" i="25" s="1"/>
  <c r="H265" i="25" s="1"/>
  <c r="H276" i="25" s="1"/>
  <c r="H277" i="25" s="1"/>
  <c r="H278" i="25" s="1"/>
  <c r="H304" i="25"/>
  <c r="L186" i="25"/>
  <c r="K187" i="25"/>
  <c r="K224" i="25" s="1"/>
  <c r="O200" i="25"/>
  <c r="I278" i="13"/>
  <c r="J238" i="13"/>
  <c r="J272" i="13" s="1"/>
  <c r="J278" i="13" s="1"/>
  <c r="N257" i="13"/>
  <c r="L186" i="11"/>
  <c r="K187" i="11"/>
  <c r="J290" i="13"/>
  <c r="K224" i="13"/>
  <c r="K290" i="13" s="1"/>
  <c r="I224" i="25"/>
  <c r="I258" i="25" s="1"/>
  <c r="I264" i="25" s="1"/>
  <c r="I265" i="25" s="1"/>
  <c r="I276" i="25" s="1"/>
  <c r="I277" i="25" s="1"/>
  <c r="N303" i="13"/>
  <c r="P177" i="21"/>
  <c r="P237" i="21" s="1"/>
  <c r="P303" i="21" s="1"/>
  <c r="M259" i="13"/>
  <c r="P176" i="16"/>
  <c r="P200" i="16" s="1"/>
  <c r="P239" i="16" s="1"/>
  <c r="P177" i="16"/>
  <c r="O223" i="16"/>
  <c r="O257" i="16" s="1"/>
  <c r="N271" i="16"/>
  <c r="O180" i="10"/>
  <c r="I259" i="16"/>
  <c r="I291" i="16"/>
  <c r="O237" i="16"/>
  <c r="O271" i="16" s="1"/>
  <c r="N289" i="16"/>
  <c r="K305" i="16"/>
  <c r="K273" i="16"/>
  <c r="O181" i="16"/>
  <c r="O180" i="13"/>
  <c r="K259" i="16"/>
  <c r="K291" i="16"/>
  <c r="I305" i="16"/>
  <c r="I273" i="16"/>
  <c r="P210" i="16"/>
  <c r="P214" i="16" s="1"/>
  <c r="P241" i="16" s="1"/>
  <c r="P275" i="16" s="1"/>
  <c r="P177" i="13"/>
  <c r="P237" i="13" s="1"/>
  <c r="P271" i="13" s="1"/>
  <c r="M305" i="16"/>
  <c r="M273" i="4"/>
  <c r="M278" i="4" s="1"/>
  <c r="M273" i="29"/>
  <c r="M278" i="29" s="1"/>
  <c r="N239" i="21"/>
  <c r="N305" i="21" s="1"/>
  <c r="O237" i="11"/>
  <c r="O303" i="11" s="1"/>
  <c r="O223" i="11"/>
  <c r="O257" i="11" s="1"/>
  <c r="O223" i="13"/>
  <c r="O257" i="13" s="1"/>
  <c r="O181" i="13"/>
  <c r="N271" i="10"/>
  <c r="K278" i="10"/>
  <c r="O181" i="11"/>
  <c r="O271" i="4"/>
  <c r="N303" i="11"/>
  <c r="M304" i="29"/>
  <c r="N239" i="25"/>
  <c r="N305" i="25" s="1"/>
  <c r="N271" i="21"/>
  <c r="O179" i="21"/>
  <c r="M185" i="13"/>
  <c r="M187" i="13" s="1"/>
  <c r="O179" i="11"/>
  <c r="N257" i="11"/>
  <c r="O225" i="11"/>
  <c r="N289" i="14"/>
  <c r="P237" i="4"/>
  <c r="P303" i="4" s="1"/>
  <c r="N239" i="14"/>
  <c r="N305" i="14" s="1"/>
  <c r="P176" i="14"/>
  <c r="P176" i="13"/>
  <c r="P200" i="13" s="1"/>
  <c r="O271" i="29"/>
  <c r="N289" i="25"/>
  <c r="O200" i="21"/>
  <c r="O225" i="21" s="1"/>
  <c r="O291" i="21" s="1"/>
  <c r="P223" i="4"/>
  <c r="P257" i="4" s="1"/>
  <c r="O223" i="14"/>
  <c r="O257" i="14" s="1"/>
  <c r="O223" i="25"/>
  <c r="O289" i="25" s="1"/>
  <c r="O237" i="25"/>
  <c r="P176" i="25"/>
  <c r="N289" i="21"/>
  <c r="N257" i="21"/>
  <c r="Q107" i="21"/>
  <c r="Q210" i="21" s="1"/>
  <c r="Q214" i="21" s="1"/>
  <c r="Q241" i="21" s="1"/>
  <c r="Q107" i="25"/>
  <c r="Q210" i="25" s="1"/>
  <c r="Q214" i="25" s="1"/>
  <c r="Q241" i="25" s="1"/>
  <c r="O237" i="10"/>
  <c r="O303" i="10" s="1"/>
  <c r="Q108" i="13"/>
  <c r="Q107" i="16"/>
  <c r="Q210" i="16" s="1"/>
  <c r="Q214" i="16" s="1"/>
  <c r="Q241" i="16" s="1"/>
  <c r="P107" i="10"/>
  <c r="P214" i="10" s="1"/>
  <c r="P241" i="10" s="1"/>
  <c r="O257" i="29"/>
  <c r="P237" i="29"/>
  <c r="P271" i="29" s="1"/>
  <c r="M304" i="4"/>
  <c r="O180" i="14"/>
  <c r="Q175" i="21"/>
  <c r="Q129" i="13"/>
  <c r="Q175" i="16"/>
  <c r="Q175" i="13"/>
  <c r="O225" i="13"/>
  <c r="P177" i="25"/>
  <c r="P180" i="25" s="1"/>
  <c r="Q128" i="16"/>
  <c r="Q128" i="13"/>
  <c r="Q129" i="21"/>
  <c r="Q175" i="25"/>
  <c r="Q128" i="25"/>
  <c r="P177" i="14"/>
  <c r="P237" i="14" s="1"/>
  <c r="Q175" i="11"/>
  <c r="P275" i="13"/>
  <c r="P307" i="13"/>
  <c r="M225" i="10"/>
  <c r="M239" i="10"/>
  <c r="Q94" i="10"/>
  <c r="Q175" i="10" s="1"/>
  <c r="Q100" i="10"/>
  <c r="Q99" i="10"/>
  <c r="R91" i="10"/>
  <c r="Q98" i="10"/>
  <c r="R119" i="13"/>
  <c r="R115" i="13"/>
  <c r="R120" i="13"/>
  <c r="R121" i="13"/>
  <c r="S112" i="13"/>
  <c r="R100" i="16"/>
  <c r="R94" i="16"/>
  <c r="S91" i="16"/>
  <c r="R99" i="16"/>
  <c r="R98" i="16"/>
  <c r="O289" i="10"/>
  <c r="O257" i="10"/>
  <c r="N275" i="10"/>
  <c r="N307" i="10"/>
  <c r="O179" i="13"/>
  <c r="M258" i="10"/>
  <c r="M238" i="10"/>
  <c r="M290" i="10"/>
  <c r="Q107" i="13"/>
  <c r="Q129" i="16"/>
  <c r="L259" i="10"/>
  <c r="L264" i="10" s="1"/>
  <c r="L265" i="10" s="1"/>
  <c r="L276" i="10" s="1"/>
  <c r="L277" i="10" s="1"/>
  <c r="L291" i="10"/>
  <c r="N239" i="16"/>
  <c r="N225" i="16"/>
  <c r="N200" i="10"/>
  <c r="N179" i="10"/>
  <c r="N187" i="10"/>
  <c r="N224" i="10" s="1"/>
  <c r="N181" i="10"/>
  <c r="O307" i="13"/>
  <c r="O275" i="13"/>
  <c r="L304" i="10"/>
  <c r="L272" i="10"/>
  <c r="O307" i="16"/>
  <c r="O275" i="16"/>
  <c r="O176" i="10"/>
  <c r="O214" i="10"/>
  <c r="O241" i="10" s="1"/>
  <c r="L305" i="10"/>
  <c r="L273" i="10"/>
  <c r="N239" i="13"/>
  <c r="N225" i="13"/>
  <c r="P108" i="10"/>
  <c r="P177" i="10" s="1"/>
  <c r="O179" i="16"/>
  <c r="O200" i="16"/>
  <c r="R98" i="13"/>
  <c r="S91" i="13"/>
  <c r="R100" i="13"/>
  <c r="R94" i="13"/>
  <c r="R99" i="13"/>
  <c r="S112" i="16"/>
  <c r="R121" i="16"/>
  <c r="R120" i="16"/>
  <c r="R115" i="16"/>
  <c r="R119" i="16"/>
  <c r="Q108" i="16"/>
  <c r="O303" i="13"/>
  <c r="O271" i="13"/>
  <c r="O275" i="25"/>
  <c r="O307" i="25"/>
  <c r="Q107" i="29"/>
  <c r="Q176" i="29" s="1"/>
  <c r="Q200" i="29" s="1"/>
  <c r="R120" i="21"/>
  <c r="R121" i="21"/>
  <c r="R115" i="21"/>
  <c r="S112" i="21"/>
  <c r="R119" i="21"/>
  <c r="N291" i="25"/>
  <c r="N259" i="25"/>
  <c r="Q129" i="25"/>
  <c r="M305" i="25"/>
  <c r="M273" i="25"/>
  <c r="P223" i="29"/>
  <c r="P289" i="29" s="1"/>
  <c r="O179" i="25"/>
  <c r="O181" i="25"/>
  <c r="Q108" i="25"/>
  <c r="R98" i="25"/>
  <c r="R99" i="25"/>
  <c r="R100" i="25"/>
  <c r="R94" i="25"/>
  <c r="S91" i="25"/>
  <c r="O237" i="21"/>
  <c r="O180" i="21"/>
  <c r="O223" i="21"/>
  <c r="O181" i="21"/>
  <c r="L278" i="29"/>
  <c r="Q128" i="21"/>
  <c r="P210" i="21"/>
  <c r="P214" i="21" s="1"/>
  <c r="P241" i="21" s="1"/>
  <c r="P176" i="21"/>
  <c r="P200" i="21" s="1"/>
  <c r="P307" i="25"/>
  <c r="P275" i="25"/>
  <c r="R120" i="25"/>
  <c r="S112" i="25"/>
  <c r="R115" i="25"/>
  <c r="R119" i="25"/>
  <c r="R121" i="25"/>
  <c r="M259" i="25"/>
  <c r="M291" i="25"/>
  <c r="Q108" i="21"/>
  <c r="R100" i="21"/>
  <c r="R99" i="21"/>
  <c r="S91" i="21"/>
  <c r="R94" i="21"/>
  <c r="R98" i="21"/>
  <c r="Q128" i="11"/>
  <c r="Q107" i="14"/>
  <c r="Q210" i="14" s="1"/>
  <c r="Q214" i="14" s="1"/>
  <c r="Q241" i="14" s="1"/>
  <c r="R100" i="14"/>
  <c r="S91" i="14"/>
  <c r="R94" i="14"/>
  <c r="R99" i="14"/>
  <c r="R98" i="14"/>
  <c r="O271" i="14"/>
  <c r="O303" i="14"/>
  <c r="M291" i="11"/>
  <c r="M259" i="11"/>
  <c r="O275" i="14"/>
  <c r="O307" i="14"/>
  <c r="Q175" i="14"/>
  <c r="Q128" i="14"/>
  <c r="S91" i="11"/>
  <c r="R100" i="11"/>
  <c r="R98" i="11"/>
  <c r="R99" i="11"/>
  <c r="R94" i="11"/>
  <c r="P177" i="11"/>
  <c r="R115" i="11"/>
  <c r="R119" i="11"/>
  <c r="R120" i="11"/>
  <c r="R121" i="11"/>
  <c r="S112" i="11"/>
  <c r="O181" i="14"/>
  <c r="O179" i="14"/>
  <c r="Q107" i="11"/>
  <c r="P210" i="11"/>
  <c r="P214" i="11" s="1"/>
  <c r="P241" i="11" s="1"/>
  <c r="P176" i="11"/>
  <c r="P200" i="11" s="1"/>
  <c r="Q108" i="4"/>
  <c r="Q177" i="4" s="1"/>
  <c r="Q223" i="4" s="1"/>
  <c r="Q108" i="14"/>
  <c r="P307" i="14"/>
  <c r="P275" i="14"/>
  <c r="Q129" i="14"/>
  <c r="R120" i="14"/>
  <c r="R115" i="14"/>
  <c r="S112" i="14"/>
  <c r="R121" i="14"/>
  <c r="R119" i="14"/>
  <c r="Q108" i="11"/>
  <c r="M273" i="11"/>
  <c r="M305" i="11"/>
  <c r="N225" i="11"/>
  <c r="N239" i="11"/>
  <c r="Q129" i="11"/>
  <c r="O200" i="14"/>
  <c r="L291" i="21"/>
  <c r="L259" i="21"/>
  <c r="N239" i="29"/>
  <c r="N225" i="29"/>
  <c r="J259" i="21"/>
  <c r="J291" i="21"/>
  <c r="H305" i="21"/>
  <c r="H273" i="21"/>
  <c r="I291" i="21"/>
  <c r="I259" i="21"/>
  <c r="L305" i="21"/>
  <c r="L273" i="21"/>
  <c r="N290" i="29"/>
  <c r="N238" i="29"/>
  <c r="N258" i="29"/>
  <c r="R98" i="29"/>
  <c r="R94" i="29"/>
  <c r="R175" i="29" s="1"/>
  <c r="R99" i="29"/>
  <c r="R100" i="29"/>
  <c r="S91" i="29"/>
  <c r="P214" i="29"/>
  <c r="P241" i="29" s="1"/>
  <c r="P176" i="29"/>
  <c r="H259" i="21"/>
  <c r="H291" i="21"/>
  <c r="N291" i="21"/>
  <c r="N259" i="21"/>
  <c r="J290" i="25"/>
  <c r="J258" i="25"/>
  <c r="J264" i="25" s="1"/>
  <c r="J265" i="25" s="1"/>
  <c r="J276" i="25" s="1"/>
  <c r="J277" i="25" s="1"/>
  <c r="J238" i="25"/>
  <c r="K305" i="21"/>
  <c r="K273" i="21"/>
  <c r="O275" i="29"/>
  <c r="O307" i="29"/>
  <c r="M259" i="21"/>
  <c r="M291" i="21"/>
  <c r="L185" i="25"/>
  <c r="K259" i="21"/>
  <c r="K291" i="21"/>
  <c r="O179" i="29"/>
  <c r="O187" i="29"/>
  <c r="O224" i="29" s="1"/>
  <c r="O200" i="29"/>
  <c r="O181" i="29"/>
  <c r="J273" i="21"/>
  <c r="J305" i="21"/>
  <c r="Q108" i="29"/>
  <c r="Q177" i="29" s="1"/>
  <c r="I273" i="21"/>
  <c r="I305" i="21"/>
  <c r="M305" i="21"/>
  <c r="M273" i="21"/>
  <c r="J290" i="11"/>
  <c r="J258" i="11"/>
  <c r="J264" i="11" s="1"/>
  <c r="J265" i="11" s="1"/>
  <c r="J276" i="11" s="1"/>
  <c r="J277" i="11" s="1"/>
  <c r="J238" i="11"/>
  <c r="N291" i="14"/>
  <c r="N259" i="14"/>
  <c r="H305" i="14"/>
  <c r="H273" i="14"/>
  <c r="J291" i="14"/>
  <c r="J259" i="14"/>
  <c r="H259" i="14"/>
  <c r="H291" i="14"/>
  <c r="J305" i="14"/>
  <c r="J273" i="14"/>
  <c r="M259" i="14"/>
  <c r="M291" i="14"/>
  <c r="L278" i="4"/>
  <c r="S91" i="4"/>
  <c r="R99" i="4"/>
  <c r="R98" i="4"/>
  <c r="R94" i="4"/>
  <c r="R175" i="4" s="1"/>
  <c r="R100" i="4"/>
  <c r="P214" i="4"/>
  <c r="P241" i="4" s="1"/>
  <c r="P176" i="4"/>
  <c r="O307" i="4"/>
  <c r="O275" i="4"/>
  <c r="I291" i="14"/>
  <c r="I259" i="14"/>
  <c r="M273" i="14"/>
  <c r="M305" i="14"/>
  <c r="N225" i="4"/>
  <c r="N239" i="4"/>
  <c r="I304" i="11"/>
  <c r="I272" i="11"/>
  <c r="I278" i="11" s="1"/>
  <c r="K305" i="14"/>
  <c r="K273" i="14"/>
  <c r="L185" i="11"/>
  <c r="L273" i="14"/>
  <c r="L305" i="14"/>
  <c r="N238" i="4"/>
  <c r="N258" i="4"/>
  <c r="N290" i="4"/>
  <c r="Q107" i="4"/>
  <c r="K259" i="14"/>
  <c r="K291" i="14"/>
  <c r="L291" i="14"/>
  <c r="L259" i="14"/>
  <c r="O179" i="4"/>
  <c r="O187" i="4"/>
  <c r="O224" i="4" s="1"/>
  <c r="O200" i="4"/>
  <c r="O181" i="4"/>
  <c r="I273" i="14"/>
  <c r="I305" i="14"/>
  <c r="R129" i="83" l="1"/>
  <c r="R177" i="83" s="1"/>
  <c r="S186" i="83"/>
  <c r="O278" i="83"/>
  <c r="Q179" i="83"/>
  <c r="Q187" i="83"/>
  <c r="Q224" i="83" s="1"/>
  <c r="P271" i="82"/>
  <c r="P303" i="82"/>
  <c r="S119" i="83"/>
  <c r="S128" i="83" s="1"/>
  <c r="S176" i="83" s="1"/>
  <c r="S115" i="83"/>
  <c r="S175" i="83" s="1"/>
  <c r="T112" i="83"/>
  <c r="S121" i="83"/>
  <c r="S120" i="83"/>
  <c r="P225" i="82"/>
  <c r="P239" i="82"/>
  <c r="Q271" i="82"/>
  <c r="Q303" i="82"/>
  <c r="P257" i="82"/>
  <c r="P289" i="82"/>
  <c r="S121" i="82"/>
  <c r="S119" i="82"/>
  <c r="S115" i="82"/>
  <c r="S175" i="82" s="1"/>
  <c r="T112" i="82"/>
  <c r="S120" i="82"/>
  <c r="S129" i="82" s="1"/>
  <c r="S177" i="82" s="1"/>
  <c r="R223" i="83"/>
  <c r="R180" i="83"/>
  <c r="R237" i="83"/>
  <c r="Q181" i="83"/>
  <c r="R128" i="82"/>
  <c r="R176" i="82" s="1"/>
  <c r="P257" i="83"/>
  <c r="P289" i="83"/>
  <c r="Q271" i="83"/>
  <c r="Q303" i="83"/>
  <c r="P303" i="83"/>
  <c r="P271" i="83"/>
  <c r="Q200" i="82"/>
  <c r="Q179" i="82"/>
  <c r="Q257" i="82"/>
  <c r="Q289" i="82"/>
  <c r="Q200" i="83"/>
  <c r="R128" i="83"/>
  <c r="R176" i="83" s="1"/>
  <c r="R181" i="83" s="1"/>
  <c r="Q257" i="83"/>
  <c r="Q289" i="83"/>
  <c r="P259" i="83"/>
  <c r="P291" i="83"/>
  <c r="P273" i="83"/>
  <c r="P305" i="83"/>
  <c r="P290" i="83"/>
  <c r="P258" i="83"/>
  <c r="P238" i="83"/>
  <c r="N278" i="83"/>
  <c r="R129" i="82"/>
  <c r="R177" i="82" s="1"/>
  <c r="S186" i="13"/>
  <c r="J304" i="13"/>
  <c r="K258" i="13"/>
  <c r="K264" i="13" s="1"/>
  <c r="K265" i="13" s="1"/>
  <c r="K276" i="13" s="1"/>
  <c r="K277" i="13" s="1"/>
  <c r="K238" i="13"/>
  <c r="K304" i="13" s="1"/>
  <c r="P179" i="25"/>
  <c r="M186" i="25"/>
  <c r="L187" i="25"/>
  <c r="P200" i="25"/>
  <c r="P239" i="25" s="1"/>
  <c r="K224" i="11"/>
  <c r="K258" i="11" s="1"/>
  <c r="K264" i="11" s="1"/>
  <c r="K265" i="11" s="1"/>
  <c r="K276" i="11" s="1"/>
  <c r="K277" i="11" s="1"/>
  <c r="I238" i="25"/>
  <c r="I272" i="25" s="1"/>
  <c r="I278" i="25" s="1"/>
  <c r="P179" i="13"/>
  <c r="P239" i="13"/>
  <c r="M186" i="11"/>
  <c r="L187" i="11"/>
  <c r="L224" i="11" s="1"/>
  <c r="I290" i="25"/>
  <c r="P271" i="21"/>
  <c r="L224" i="13"/>
  <c r="L238" i="13" s="1"/>
  <c r="P223" i="21"/>
  <c r="P257" i="21" s="1"/>
  <c r="P179" i="14"/>
  <c r="P180" i="21"/>
  <c r="P179" i="16"/>
  <c r="P181" i="16"/>
  <c r="R129" i="21"/>
  <c r="P223" i="16"/>
  <c r="P257" i="16" s="1"/>
  <c r="P180" i="16"/>
  <c r="P237" i="16"/>
  <c r="P271" i="16" s="1"/>
  <c r="Q177" i="13"/>
  <c r="Q237" i="13" s="1"/>
  <c r="Q271" i="13" s="1"/>
  <c r="O289" i="16"/>
  <c r="O271" i="11"/>
  <c r="P307" i="16"/>
  <c r="O303" i="16"/>
  <c r="P176" i="10"/>
  <c r="P200" i="10" s="1"/>
  <c r="P239" i="10" s="1"/>
  <c r="P223" i="13"/>
  <c r="P257" i="13" s="1"/>
  <c r="P303" i="13"/>
  <c r="O289" i="13"/>
  <c r="Q177" i="16"/>
  <c r="Q237" i="16" s="1"/>
  <c r="P180" i="13"/>
  <c r="N273" i="21"/>
  <c r="Q214" i="29"/>
  <c r="Q241" i="29" s="1"/>
  <c r="Q307" i="29" s="1"/>
  <c r="O289" i="11"/>
  <c r="O271" i="10"/>
  <c r="P271" i="4"/>
  <c r="P289" i="4"/>
  <c r="P200" i="14"/>
  <c r="P225" i="14" s="1"/>
  <c r="O239" i="11"/>
  <c r="O305" i="11" s="1"/>
  <c r="P223" i="25"/>
  <c r="P289" i="25" s="1"/>
  <c r="Q176" i="21"/>
  <c r="Q200" i="21" s="1"/>
  <c r="N273" i="25"/>
  <c r="P181" i="13"/>
  <c r="K272" i="13"/>
  <c r="N185" i="13"/>
  <c r="N187" i="13" s="1"/>
  <c r="Q176" i="16"/>
  <c r="Q200" i="16" s="1"/>
  <c r="Q239" i="16" s="1"/>
  <c r="N273" i="14"/>
  <c r="O289" i="14"/>
  <c r="O259" i="21"/>
  <c r="P237" i="25"/>
  <c r="P271" i="25" s="1"/>
  <c r="O239" i="21"/>
  <c r="O273" i="21" s="1"/>
  <c r="P181" i="25"/>
  <c r="O257" i="25"/>
  <c r="Q176" i="25"/>
  <c r="O303" i="25"/>
  <c r="O271" i="25"/>
  <c r="R108" i="29"/>
  <c r="R177" i="29" s="1"/>
  <c r="R180" i="29" s="1"/>
  <c r="R107" i="21"/>
  <c r="R210" i="21" s="1"/>
  <c r="R214" i="21" s="1"/>
  <c r="R241" i="21" s="1"/>
  <c r="P180" i="14"/>
  <c r="R108" i="11"/>
  <c r="R107" i="14"/>
  <c r="R210" i="14" s="1"/>
  <c r="R214" i="14" s="1"/>
  <c r="R241" i="14" s="1"/>
  <c r="R108" i="13"/>
  <c r="O239" i="13"/>
  <c r="O273" i="13" s="1"/>
  <c r="Q107" i="10"/>
  <c r="Q176" i="10" s="1"/>
  <c r="Q200" i="10" s="1"/>
  <c r="R107" i="16"/>
  <c r="R210" i="16" s="1"/>
  <c r="R214" i="16" s="1"/>
  <c r="R241" i="16" s="1"/>
  <c r="P303" i="29"/>
  <c r="Q177" i="21"/>
  <c r="Q180" i="21" s="1"/>
  <c r="P181" i="14"/>
  <c r="P223" i="14"/>
  <c r="R129" i="25"/>
  <c r="Q177" i="25"/>
  <c r="Q180" i="25" s="1"/>
  <c r="P225" i="16"/>
  <c r="P259" i="16" s="1"/>
  <c r="R175" i="13"/>
  <c r="R128" i="16"/>
  <c r="R175" i="21"/>
  <c r="R175" i="25"/>
  <c r="R129" i="11"/>
  <c r="S115" i="16"/>
  <c r="T112" i="16"/>
  <c r="S121" i="16"/>
  <c r="S120" i="16"/>
  <c r="S119" i="16"/>
  <c r="O239" i="16"/>
  <c r="O225" i="16"/>
  <c r="N259" i="13"/>
  <c r="N291" i="13"/>
  <c r="O259" i="13"/>
  <c r="O291" i="13"/>
  <c r="O275" i="10"/>
  <c r="O307" i="10"/>
  <c r="N225" i="10"/>
  <c r="N239" i="10"/>
  <c r="N259" i="16"/>
  <c r="N291" i="16"/>
  <c r="M304" i="10"/>
  <c r="M272" i="10"/>
  <c r="S100" i="16"/>
  <c r="S99" i="16"/>
  <c r="T91" i="16"/>
  <c r="S94" i="16"/>
  <c r="S98" i="16"/>
  <c r="Q307" i="16"/>
  <c r="Q275" i="16"/>
  <c r="P273" i="16"/>
  <c r="P305" i="16"/>
  <c r="M291" i="10"/>
  <c r="M259" i="10"/>
  <c r="M264" i="10" s="1"/>
  <c r="M265" i="10" s="1"/>
  <c r="M276" i="10" s="1"/>
  <c r="M277" i="10" s="1"/>
  <c r="N273" i="13"/>
  <c r="N305" i="13"/>
  <c r="O179" i="10"/>
  <c r="O187" i="10"/>
  <c r="O224" i="10" s="1"/>
  <c r="O181" i="10"/>
  <c r="O200" i="10"/>
  <c r="N305" i="16"/>
  <c r="N273" i="16"/>
  <c r="Q210" i="13"/>
  <c r="Q214" i="13" s="1"/>
  <c r="Q241" i="13" s="1"/>
  <c r="Q176" i="13"/>
  <c r="Q200" i="13" s="1"/>
  <c r="R108" i="16"/>
  <c r="R175" i="16"/>
  <c r="R100" i="10"/>
  <c r="S91" i="10"/>
  <c r="R99" i="10"/>
  <c r="R94" i="10"/>
  <c r="R175" i="10" s="1"/>
  <c r="R98" i="10"/>
  <c r="S94" i="13"/>
  <c r="S100" i="13"/>
  <c r="S98" i="13"/>
  <c r="T91" i="13"/>
  <c r="S99" i="13"/>
  <c r="P307" i="10"/>
  <c r="P275" i="10"/>
  <c r="N258" i="10"/>
  <c r="N238" i="10"/>
  <c r="N290" i="10"/>
  <c r="S120" i="13"/>
  <c r="S115" i="13"/>
  <c r="T112" i="13"/>
  <c r="S121" i="13"/>
  <c r="S119" i="13"/>
  <c r="R129" i="13"/>
  <c r="R128" i="13"/>
  <c r="R129" i="16"/>
  <c r="R107" i="13"/>
  <c r="P237" i="10"/>
  <c r="P223" i="10"/>
  <c r="P180" i="10"/>
  <c r="L278" i="10"/>
  <c r="Q108" i="10"/>
  <c r="Q177" i="10" s="1"/>
  <c r="M273" i="10"/>
  <c r="M305" i="10"/>
  <c r="P225" i="21"/>
  <c r="P239" i="21"/>
  <c r="S121" i="25"/>
  <c r="S115" i="25"/>
  <c r="S119" i="25"/>
  <c r="S120" i="25"/>
  <c r="T112" i="25"/>
  <c r="P275" i="21"/>
  <c r="P307" i="21"/>
  <c r="O271" i="21"/>
  <c r="O303" i="21"/>
  <c r="O225" i="25"/>
  <c r="O239" i="25"/>
  <c r="R128" i="21"/>
  <c r="R108" i="21"/>
  <c r="O257" i="21"/>
  <c r="O289" i="21"/>
  <c r="Q275" i="25"/>
  <c r="Q307" i="25"/>
  <c r="S98" i="25"/>
  <c r="S94" i="25"/>
  <c r="T91" i="25"/>
  <c r="S99" i="25"/>
  <c r="S100" i="25"/>
  <c r="R107" i="25"/>
  <c r="P179" i="21"/>
  <c r="P181" i="21"/>
  <c r="P257" i="29"/>
  <c r="Q307" i="21"/>
  <c r="Q275" i="21"/>
  <c r="S100" i="21"/>
  <c r="T91" i="21"/>
  <c r="S99" i="21"/>
  <c r="S94" i="21"/>
  <c r="S98" i="21"/>
  <c r="R128" i="25"/>
  <c r="R108" i="25"/>
  <c r="S115" i="21"/>
  <c r="S120" i="21"/>
  <c r="T112" i="21"/>
  <c r="S121" i="21"/>
  <c r="S119" i="21"/>
  <c r="Q237" i="4"/>
  <c r="Q271" i="4" s="1"/>
  <c r="Q180" i="4"/>
  <c r="Q176" i="14"/>
  <c r="R129" i="14"/>
  <c r="R108" i="4"/>
  <c r="R177" i="4" s="1"/>
  <c r="R223" i="4" s="1"/>
  <c r="R175" i="11"/>
  <c r="O239" i="14"/>
  <c r="O225" i="14"/>
  <c r="N273" i="11"/>
  <c r="N305" i="11"/>
  <c r="Q177" i="14"/>
  <c r="P179" i="11"/>
  <c r="R128" i="11"/>
  <c r="P271" i="14"/>
  <c r="P303" i="14"/>
  <c r="N291" i="11"/>
  <c r="N259" i="11"/>
  <c r="Q177" i="11"/>
  <c r="S120" i="14"/>
  <c r="T112" i="14"/>
  <c r="S121" i="14"/>
  <c r="S115" i="14"/>
  <c r="S119" i="14"/>
  <c r="P275" i="11"/>
  <c r="P307" i="11"/>
  <c r="S115" i="11"/>
  <c r="S119" i="11"/>
  <c r="T112" i="11"/>
  <c r="S120" i="11"/>
  <c r="S121" i="11"/>
  <c r="P223" i="11"/>
  <c r="P180" i="11"/>
  <c r="P237" i="11"/>
  <c r="P181" i="11"/>
  <c r="R107" i="11"/>
  <c r="O291" i="11"/>
  <c r="O259" i="11"/>
  <c r="R175" i="14"/>
  <c r="Q275" i="14"/>
  <c r="Q307" i="14"/>
  <c r="R128" i="14"/>
  <c r="Q210" i="11"/>
  <c r="Q214" i="11" s="1"/>
  <c r="Q241" i="11" s="1"/>
  <c r="Q176" i="11"/>
  <c r="Q200" i="11" s="1"/>
  <c r="S100" i="11"/>
  <c r="S94" i="11"/>
  <c r="T91" i="11"/>
  <c r="S98" i="11"/>
  <c r="S99" i="11"/>
  <c r="R108" i="14"/>
  <c r="T91" i="14"/>
  <c r="S94" i="14"/>
  <c r="S100" i="14"/>
  <c r="S99" i="14"/>
  <c r="S98" i="14"/>
  <c r="O239" i="29"/>
  <c r="O225" i="29"/>
  <c r="S94" i="29"/>
  <c r="S175" i="29" s="1"/>
  <c r="T91" i="29"/>
  <c r="S100" i="29"/>
  <c r="S99" i="29"/>
  <c r="S98" i="29"/>
  <c r="R107" i="29"/>
  <c r="N291" i="29"/>
  <c r="N259" i="29"/>
  <c r="N264" i="29" s="1"/>
  <c r="N265" i="29" s="1"/>
  <c r="N276" i="29" s="1"/>
  <c r="N277" i="29" s="1"/>
  <c r="Q237" i="29"/>
  <c r="Q180" i="29"/>
  <c r="Q223" i="29"/>
  <c r="Q181" i="29"/>
  <c r="O290" i="29"/>
  <c r="O238" i="29"/>
  <c r="O258" i="29"/>
  <c r="K290" i="25"/>
  <c r="K238" i="25"/>
  <c r="K258" i="25"/>
  <c r="K264" i="25" s="1"/>
  <c r="K265" i="25" s="1"/>
  <c r="K276" i="25" s="1"/>
  <c r="K277" i="25" s="1"/>
  <c r="Q239" i="29"/>
  <c r="Q225" i="29"/>
  <c r="P187" i="29"/>
  <c r="P224" i="29" s="1"/>
  <c r="P179" i="29"/>
  <c r="P181" i="29"/>
  <c r="P200" i="29"/>
  <c r="N273" i="29"/>
  <c r="N305" i="29"/>
  <c r="M185" i="25"/>
  <c r="L224" i="25"/>
  <c r="J272" i="25"/>
  <c r="J278" i="25" s="1"/>
  <c r="J304" i="25"/>
  <c r="P307" i="29"/>
  <c r="P275" i="29"/>
  <c r="N304" i="29"/>
  <c r="N272" i="29"/>
  <c r="Q179" i="29"/>
  <c r="Q187" i="29"/>
  <c r="Q224" i="29" s="1"/>
  <c r="N259" i="4"/>
  <c r="N264" i="4" s="1"/>
  <c r="N265" i="4" s="1"/>
  <c r="N276" i="4" s="1"/>
  <c r="N277" i="4" s="1"/>
  <c r="N291" i="4"/>
  <c r="P179" i="4"/>
  <c r="P187" i="4"/>
  <c r="P224" i="4" s="1"/>
  <c r="P181" i="4"/>
  <c r="P200" i="4"/>
  <c r="J304" i="11"/>
  <c r="J272" i="11"/>
  <c r="J278" i="11" s="1"/>
  <c r="Q289" i="4"/>
  <c r="Q257" i="4"/>
  <c r="O239" i="4"/>
  <c r="O225" i="4"/>
  <c r="Q176" i="4"/>
  <c r="Q214" i="4"/>
  <c r="Q241" i="4" s="1"/>
  <c r="N304" i="4"/>
  <c r="N272" i="4"/>
  <c r="P307" i="4"/>
  <c r="P275" i="4"/>
  <c r="S99" i="4"/>
  <c r="T91" i="4"/>
  <c r="S94" i="4"/>
  <c r="S175" i="4" s="1"/>
  <c r="S98" i="4"/>
  <c r="S100" i="4"/>
  <c r="O258" i="4"/>
  <c r="O290" i="4"/>
  <c r="O238" i="4"/>
  <c r="M185" i="11"/>
  <c r="N305" i="4"/>
  <c r="N273" i="4"/>
  <c r="R107" i="4"/>
  <c r="S200" i="83" l="1"/>
  <c r="S239" i="83" s="1"/>
  <c r="S223" i="82"/>
  <c r="S180" i="82"/>
  <c r="S237" i="82"/>
  <c r="T121" i="83"/>
  <c r="T115" i="83"/>
  <c r="T175" i="83" s="1"/>
  <c r="U112" i="83"/>
  <c r="T120" i="83"/>
  <c r="T119" i="83"/>
  <c r="R181" i="82"/>
  <c r="R179" i="82"/>
  <c r="U112" i="82"/>
  <c r="T120" i="82"/>
  <c r="T129" i="82" s="1"/>
  <c r="T177" i="82" s="1"/>
  <c r="T121" i="82"/>
  <c r="T119" i="82"/>
  <c r="T115" i="82"/>
  <c r="T175" i="82" s="1"/>
  <c r="P305" i="82"/>
  <c r="P273" i="82"/>
  <c r="S179" i="83"/>
  <c r="S187" i="83"/>
  <c r="S224" i="83" s="1"/>
  <c r="R237" i="82"/>
  <c r="R180" i="82"/>
  <c r="R223" i="82"/>
  <c r="P264" i="83"/>
  <c r="P265" i="83" s="1"/>
  <c r="P276" i="83" s="1"/>
  <c r="P277" i="83" s="1"/>
  <c r="Q239" i="82"/>
  <c r="Q225" i="82"/>
  <c r="P291" i="82"/>
  <c r="P259" i="82"/>
  <c r="R303" i="83"/>
  <c r="R271" i="83"/>
  <c r="S128" i="82"/>
  <c r="S176" i="82" s="1"/>
  <c r="S200" i="82" s="1"/>
  <c r="R200" i="82"/>
  <c r="P304" i="83"/>
  <c r="P272" i="83"/>
  <c r="S129" i="83"/>
  <c r="S177" i="83" s="1"/>
  <c r="T186" i="83"/>
  <c r="R200" i="83"/>
  <c r="R179" i="83"/>
  <c r="R187" i="83"/>
  <c r="R224" i="83" s="1"/>
  <c r="Q258" i="83"/>
  <c r="Q290" i="83"/>
  <c r="Q238" i="83"/>
  <c r="Q225" i="83"/>
  <c r="Q239" i="83"/>
  <c r="R289" i="83"/>
  <c r="R257" i="83"/>
  <c r="P289" i="14"/>
  <c r="K278" i="13"/>
  <c r="I304" i="25"/>
  <c r="K290" i="11"/>
  <c r="K238" i="11"/>
  <c r="K304" i="11" s="1"/>
  <c r="T186" i="13"/>
  <c r="N186" i="25"/>
  <c r="M187" i="25"/>
  <c r="M224" i="25" s="1"/>
  <c r="Q179" i="25"/>
  <c r="Q200" i="25"/>
  <c r="Q225" i="25" s="1"/>
  <c r="N186" i="11"/>
  <c r="M187" i="11"/>
  <c r="M224" i="11" s="1"/>
  <c r="L290" i="13"/>
  <c r="L258" i="13"/>
  <c r="L264" i="13" s="1"/>
  <c r="L265" i="13" s="1"/>
  <c r="L276" i="13" s="1"/>
  <c r="L277" i="13" s="1"/>
  <c r="P289" i="21"/>
  <c r="M224" i="13"/>
  <c r="M238" i="13" s="1"/>
  <c r="Q179" i="14"/>
  <c r="Q223" i="13"/>
  <c r="Q257" i="13" s="1"/>
  <c r="Q180" i="13"/>
  <c r="P225" i="10"/>
  <c r="P291" i="10" s="1"/>
  <c r="P289" i="16"/>
  <c r="R177" i="25"/>
  <c r="R223" i="25" s="1"/>
  <c r="R177" i="21"/>
  <c r="R237" i="21" s="1"/>
  <c r="S175" i="14"/>
  <c r="S129" i="13"/>
  <c r="Q303" i="13"/>
  <c r="P303" i="16"/>
  <c r="R177" i="11"/>
  <c r="R223" i="11" s="1"/>
  <c r="P289" i="13"/>
  <c r="P181" i="10"/>
  <c r="P187" i="10"/>
  <c r="P224" i="10" s="1"/>
  <c r="P238" i="10" s="1"/>
  <c r="P225" i="13"/>
  <c r="P291" i="13" s="1"/>
  <c r="P179" i="10"/>
  <c r="Q223" i="16"/>
  <c r="Q289" i="16" s="1"/>
  <c r="Q180" i="16"/>
  <c r="S129" i="21"/>
  <c r="Q225" i="16"/>
  <c r="Q259" i="16" s="1"/>
  <c r="Q275" i="29"/>
  <c r="P257" i="25"/>
  <c r="O305" i="21"/>
  <c r="Q179" i="21"/>
  <c r="O305" i="13"/>
  <c r="R176" i="16"/>
  <c r="P239" i="14"/>
  <c r="P305" i="14" s="1"/>
  <c r="O273" i="11"/>
  <c r="P303" i="25"/>
  <c r="L272" i="13"/>
  <c r="L304" i="13"/>
  <c r="O185" i="13"/>
  <c r="O187" i="13" s="1"/>
  <c r="Q179" i="16"/>
  <c r="Q181" i="16"/>
  <c r="Q214" i="10"/>
  <c r="Q241" i="10" s="1"/>
  <c r="Q275" i="10" s="1"/>
  <c r="R177" i="13"/>
  <c r="R180" i="13" s="1"/>
  <c r="R176" i="14"/>
  <c r="Q303" i="4"/>
  <c r="R108" i="10"/>
  <c r="R177" i="10" s="1"/>
  <c r="R223" i="10" s="1"/>
  <c r="R237" i="29"/>
  <c r="R271" i="29" s="1"/>
  <c r="Q223" i="25"/>
  <c r="Q289" i="25" s="1"/>
  <c r="S108" i="21"/>
  <c r="P225" i="25"/>
  <c r="P259" i="25" s="1"/>
  <c r="Q181" i="25"/>
  <c r="R176" i="21"/>
  <c r="R200" i="21" s="1"/>
  <c r="R223" i="29"/>
  <c r="R289" i="29" s="1"/>
  <c r="Q237" i="21"/>
  <c r="Q303" i="21" s="1"/>
  <c r="Q223" i="21"/>
  <c r="Q257" i="21" s="1"/>
  <c r="S107" i="29"/>
  <c r="S176" i="29" s="1"/>
  <c r="S200" i="29" s="1"/>
  <c r="Q181" i="21"/>
  <c r="Q237" i="25"/>
  <c r="Q303" i="25" s="1"/>
  <c r="S107" i="14"/>
  <c r="S210" i="14" s="1"/>
  <c r="S214" i="14" s="1"/>
  <c r="S241" i="14" s="1"/>
  <c r="S108" i="13"/>
  <c r="S107" i="16"/>
  <c r="S210" i="16" s="1"/>
  <c r="S214" i="16" s="1"/>
  <c r="S241" i="16" s="1"/>
  <c r="P291" i="16"/>
  <c r="R180" i="4"/>
  <c r="P257" i="14"/>
  <c r="S128" i="11"/>
  <c r="S129" i="16"/>
  <c r="S175" i="16"/>
  <c r="S129" i="11"/>
  <c r="R177" i="14"/>
  <c r="R180" i="14" s="1"/>
  <c r="S128" i="25"/>
  <c r="Q239" i="10"/>
  <c r="Q225" i="10"/>
  <c r="R210" i="13"/>
  <c r="R214" i="13" s="1"/>
  <c r="R241" i="13" s="1"/>
  <c r="R176" i="13"/>
  <c r="R200" i="13" s="1"/>
  <c r="Q271" i="16"/>
  <c r="Q303" i="16"/>
  <c r="Q179" i="13"/>
  <c r="Q181" i="13"/>
  <c r="O258" i="10"/>
  <c r="O290" i="10"/>
  <c r="O238" i="10"/>
  <c r="N305" i="10"/>
  <c r="N273" i="10"/>
  <c r="T115" i="16"/>
  <c r="T121" i="16"/>
  <c r="T120" i="16"/>
  <c r="U112" i="16"/>
  <c r="T119" i="16"/>
  <c r="P273" i="13"/>
  <c r="P305" i="13"/>
  <c r="Q223" i="10"/>
  <c r="Q180" i="10"/>
  <c r="Q237" i="10"/>
  <c r="Q181" i="10"/>
  <c r="T115" i="13"/>
  <c r="T119" i="13"/>
  <c r="T121" i="13"/>
  <c r="U112" i="13"/>
  <c r="T120" i="13"/>
  <c r="R307" i="16"/>
  <c r="R275" i="16"/>
  <c r="S175" i="13"/>
  <c r="Q275" i="13"/>
  <c r="Q307" i="13"/>
  <c r="N259" i="10"/>
  <c r="N264" i="10" s="1"/>
  <c r="N265" i="10" s="1"/>
  <c r="N276" i="10" s="1"/>
  <c r="N277" i="10" s="1"/>
  <c r="N291" i="10"/>
  <c r="O291" i="16"/>
  <c r="O259" i="16"/>
  <c r="S128" i="16"/>
  <c r="P289" i="10"/>
  <c r="P257" i="10"/>
  <c r="P305" i="10"/>
  <c r="P273" i="10"/>
  <c r="N272" i="10"/>
  <c r="N304" i="10"/>
  <c r="T99" i="13"/>
  <c r="T100" i="13"/>
  <c r="T94" i="13"/>
  <c r="U91" i="13"/>
  <c r="T98" i="13"/>
  <c r="S100" i="10"/>
  <c r="S94" i="10"/>
  <c r="S175" i="10" s="1"/>
  <c r="T91" i="10"/>
  <c r="S99" i="10"/>
  <c r="S98" i="10"/>
  <c r="O239" i="10"/>
  <c r="O225" i="10"/>
  <c r="Q187" i="10"/>
  <c r="Q224" i="10" s="1"/>
  <c r="Q179" i="10"/>
  <c r="U91" i="16"/>
  <c r="T100" i="16"/>
  <c r="T94" i="16"/>
  <c r="T99" i="16"/>
  <c r="T98" i="16"/>
  <c r="M278" i="10"/>
  <c r="O273" i="16"/>
  <c r="O305" i="16"/>
  <c r="P303" i="10"/>
  <c r="P271" i="10"/>
  <c r="S128" i="13"/>
  <c r="S107" i="13"/>
  <c r="R107" i="10"/>
  <c r="R177" i="16"/>
  <c r="Q305" i="16"/>
  <c r="Q273" i="16"/>
  <c r="S108" i="16"/>
  <c r="U112" i="21"/>
  <c r="T115" i="21"/>
  <c r="T120" i="21"/>
  <c r="T121" i="21"/>
  <c r="T119" i="21"/>
  <c r="T100" i="21"/>
  <c r="T99" i="21"/>
  <c r="T94" i="21"/>
  <c r="U91" i="21"/>
  <c r="T98" i="21"/>
  <c r="P273" i="25"/>
  <c r="P305" i="25"/>
  <c r="S107" i="25"/>
  <c r="S210" i="25" s="1"/>
  <c r="S214" i="25" s="1"/>
  <c r="S241" i="25" s="1"/>
  <c r="O273" i="25"/>
  <c r="O305" i="25"/>
  <c r="P305" i="21"/>
  <c r="P273" i="21"/>
  <c r="Q239" i="21"/>
  <c r="Q225" i="21"/>
  <c r="S108" i="25"/>
  <c r="S175" i="25"/>
  <c r="R275" i="21"/>
  <c r="R307" i="21"/>
  <c r="S107" i="21"/>
  <c r="R210" i="25"/>
  <c r="R214" i="25" s="1"/>
  <c r="R241" i="25" s="1"/>
  <c r="R176" i="25"/>
  <c r="O291" i="25"/>
  <c r="O259" i="25"/>
  <c r="S129" i="25"/>
  <c r="P259" i="21"/>
  <c r="P291" i="21"/>
  <c r="S128" i="21"/>
  <c r="S175" i="21"/>
  <c r="T99" i="25"/>
  <c r="U91" i="25"/>
  <c r="T100" i="25"/>
  <c r="T98" i="25"/>
  <c r="T94" i="25"/>
  <c r="U112" i="25"/>
  <c r="T119" i="25"/>
  <c r="T120" i="25"/>
  <c r="T115" i="25"/>
  <c r="T121" i="25"/>
  <c r="S107" i="4"/>
  <c r="S176" i="4" s="1"/>
  <c r="R237" i="4"/>
  <c r="R303" i="4" s="1"/>
  <c r="S108" i="14"/>
  <c r="S129" i="14"/>
  <c r="Q200" i="14"/>
  <c r="Q239" i="14" s="1"/>
  <c r="S107" i="11"/>
  <c r="S210" i="11" s="1"/>
  <c r="S214" i="11" s="1"/>
  <c r="S241" i="11" s="1"/>
  <c r="T99" i="14"/>
  <c r="T100" i="14"/>
  <c r="U91" i="14"/>
  <c r="T94" i="14"/>
  <c r="T98" i="14"/>
  <c r="P303" i="11"/>
  <c r="P271" i="11"/>
  <c r="T120" i="14"/>
  <c r="U112" i="14"/>
  <c r="T121" i="14"/>
  <c r="T115" i="14"/>
  <c r="T119" i="14"/>
  <c r="O291" i="14"/>
  <c r="O259" i="14"/>
  <c r="Q275" i="11"/>
  <c r="Q307" i="11"/>
  <c r="R210" i="11"/>
  <c r="R214" i="11" s="1"/>
  <c r="R241" i="11" s="1"/>
  <c r="R176" i="11"/>
  <c r="R200" i="11" s="1"/>
  <c r="P257" i="11"/>
  <c r="P289" i="11"/>
  <c r="U112" i="11"/>
  <c r="T120" i="11"/>
  <c r="T119" i="11"/>
  <c r="T121" i="11"/>
  <c r="T115" i="11"/>
  <c r="Q223" i="11"/>
  <c r="Q180" i="11"/>
  <c r="Q181" i="11"/>
  <c r="Q237" i="11"/>
  <c r="R307" i="14"/>
  <c r="R275" i="14"/>
  <c r="P239" i="11"/>
  <c r="P225" i="11"/>
  <c r="Q180" i="14"/>
  <c r="Q237" i="14"/>
  <c r="Q223" i="14"/>
  <c r="Q181" i="14"/>
  <c r="T100" i="11"/>
  <c r="T98" i="11"/>
  <c r="U91" i="11"/>
  <c r="T94" i="11"/>
  <c r="T99" i="11"/>
  <c r="S108" i="11"/>
  <c r="S175" i="11"/>
  <c r="Q179" i="11"/>
  <c r="S128" i="14"/>
  <c r="P291" i="14"/>
  <c r="P259" i="14"/>
  <c r="O273" i="14"/>
  <c r="O305" i="14"/>
  <c r="L238" i="25"/>
  <c r="L258" i="25"/>
  <c r="L264" i="25" s="1"/>
  <c r="L265" i="25" s="1"/>
  <c r="L276" i="25" s="1"/>
  <c r="L277" i="25" s="1"/>
  <c r="L290" i="25"/>
  <c r="P258" i="29"/>
  <c r="P290" i="29"/>
  <c r="P238" i="29"/>
  <c r="Q257" i="29"/>
  <c r="Q289" i="29"/>
  <c r="N278" i="29"/>
  <c r="N185" i="25"/>
  <c r="P225" i="29"/>
  <c r="P239" i="29"/>
  <c r="O272" i="29"/>
  <c r="O304" i="29"/>
  <c r="S108" i="29"/>
  <c r="S177" i="29" s="1"/>
  <c r="T99" i="29"/>
  <c r="T100" i="29"/>
  <c r="T98" i="29"/>
  <c r="U91" i="29"/>
  <c r="T94" i="29"/>
  <c r="T175" i="29" s="1"/>
  <c r="Q291" i="29"/>
  <c r="Q259" i="29"/>
  <c r="K304" i="25"/>
  <c r="K272" i="25"/>
  <c r="K278" i="25" s="1"/>
  <c r="Q303" i="29"/>
  <c r="Q271" i="29"/>
  <c r="O291" i="29"/>
  <c r="O259" i="29"/>
  <c r="O264" i="29" s="1"/>
  <c r="O265" i="29" s="1"/>
  <c r="O276" i="29" s="1"/>
  <c r="O277" i="29" s="1"/>
  <c r="Q290" i="29"/>
  <c r="Q258" i="29"/>
  <c r="Q238" i="29"/>
  <c r="Q273" i="29"/>
  <c r="Q305" i="29"/>
  <c r="R214" i="29"/>
  <c r="R241" i="29" s="1"/>
  <c r="R176" i="29"/>
  <c r="O305" i="29"/>
  <c r="O273" i="29"/>
  <c r="S108" i="4"/>
  <c r="S177" i="4" s="1"/>
  <c r="T99" i="4"/>
  <c r="T98" i="4"/>
  <c r="T100" i="4"/>
  <c r="U91" i="4"/>
  <c r="T94" i="4"/>
  <c r="T175" i="4" s="1"/>
  <c r="O273" i="4"/>
  <c r="O305" i="4"/>
  <c r="P290" i="4"/>
  <c r="P258" i="4"/>
  <c r="P238" i="4"/>
  <c r="Q275" i="4"/>
  <c r="Q307" i="4"/>
  <c r="R214" i="4"/>
  <c r="R241" i="4" s="1"/>
  <c r="R176" i="4"/>
  <c r="L290" i="11"/>
  <c r="L238" i="11"/>
  <c r="L258" i="11"/>
  <c r="L264" i="11" s="1"/>
  <c r="L265" i="11" s="1"/>
  <c r="L276" i="11" s="1"/>
  <c r="L277" i="11" s="1"/>
  <c r="K272" i="11"/>
  <c r="K278" i="11" s="1"/>
  <c r="N278" i="4"/>
  <c r="Q179" i="4"/>
  <c r="Q187" i="4"/>
  <c r="Q224" i="4" s="1"/>
  <c r="Q181" i="4"/>
  <c r="Q200" i="4"/>
  <c r="P225" i="4"/>
  <c r="P239" i="4"/>
  <c r="N185" i="11"/>
  <c r="O304" i="4"/>
  <c r="O272" i="4"/>
  <c r="O259" i="4"/>
  <c r="O264" i="4" s="1"/>
  <c r="O265" i="4" s="1"/>
  <c r="O276" i="4" s="1"/>
  <c r="O277" i="4" s="1"/>
  <c r="O291" i="4"/>
  <c r="R257" i="4"/>
  <c r="R289" i="4"/>
  <c r="S225" i="83" l="1"/>
  <c r="P278" i="83"/>
  <c r="S239" i="82"/>
  <c r="S225" i="82"/>
  <c r="T237" i="82"/>
  <c r="T180" i="82"/>
  <c r="T223" i="82"/>
  <c r="Q291" i="83"/>
  <c r="Q259" i="83"/>
  <c r="Q264" i="83" s="1"/>
  <c r="Q265" i="83" s="1"/>
  <c r="Q276" i="83" s="1"/>
  <c r="Q277" i="83" s="1"/>
  <c r="S237" i="83"/>
  <c r="S181" i="83"/>
  <c r="S180" i="83"/>
  <c r="S223" i="83"/>
  <c r="R271" i="82"/>
  <c r="R303" i="82"/>
  <c r="T128" i="83"/>
  <c r="T176" i="83" s="1"/>
  <c r="Q304" i="83"/>
  <c r="Q272" i="83"/>
  <c r="S258" i="83"/>
  <c r="S290" i="83"/>
  <c r="S238" i="83"/>
  <c r="U121" i="82"/>
  <c r="U119" i="82"/>
  <c r="V112" i="82"/>
  <c r="U120" i="82"/>
  <c r="U115" i="82"/>
  <c r="U175" i="82" s="1"/>
  <c r="V112" i="83"/>
  <c r="U121" i="83"/>
  <c r="U119" i="83"/>
  <c r="U120" i="83"/>
  <c r="U115" i="83"/>
  <c r="U175" i="83" s="1"/>
  <c r="U129" i="83"/>
  <c r="U177" i="83" s="1"/>
  <c r="R225" i="82"/>
  <c r="R239" i="82"/>
  <c r="Q291" i="82"/>
  <c r="Q259" i="82"/>
  <c r="R258" i="83"/>
  <c r="R238" i="83"/>
  <c r="R290" i="83"/>
  <c r="S181" i="82"/>
  <c r="S179" i="82"/>
  <c r="Q305" i="82"/>
  <c r="Q273" i="82"/>
  <c r="S291" i="83"/>
  <c r="S259" i="83"/>
  <c r="S303" i="82"/>
  <c r="S271" i="82"/>
  <c r="R239" i="83"/>
  <c r="R225" i="83"/>
  <c r="R289" i="82"/>
  <c r="R257" i="82"/>
  <c r="S305" i="83"/>
  <c r="S273" i="83"/>
  <c r="Q305" i="83"/>
  <c r="Q273" i="83"/>
  <c r="U186" i="83"/>
  <c r="V186" i="83" s="1"/>
  <c r="T128" i="82"/>
  <c r="T176" i="82" s="1"/>
  <c r="T181" i="82" s="1"/>
  <c r="T129" i="83"/>
  <c r="T177" i="83" s="1"/>
  <c r="S289" i="82"/>
  <c r="S257" i="82"/>
  <c r="O186" i="25"/>
  <c r="N187" i="25"/>
  <c r="N224" i="25" s="1"/>
  <c r="U186" i="13"/>
  <c r="R200" i="25"/>
  <c r="P259" i="10"/>
  <c r="Q289" i="13"/>
  <c r="N187" i="11"/>
  <c r="N224" i="11" s="1"/>
  <c r="O186" i="11"/>
  <c r="L278" i="13"/>
  <c r="M290" i="13"/>
  <c r="M258" i="13"/>
  <c r="M264" i="13" s="1"/>
  <c r="M265" i="13" s="1"/>
  <c r="M276" i="13" s="1"/>
  <c r="M277" i="13" s="1"/>
  <c r="N224" i="13"/>
  <c r="N258" i="13" s="1"/>
  <c r="N264" i="13" s="1"/>
  <c r="N265" i="13" s="1"/>
  <c r="N276" i="13" s="1"/>
  <c r="N277" i="13" s="1"/>
  <c r="P259" i="13"/>
  <c r="S200" i="4"/>
  <c r="S239" i="4" s="1"/>
  <c r="R180" i="25"/>
  <c r="R237" i="25"/>
  <c r="R271" i="25" s="1"/>
  <c r="R181" i="25"/>
  <c r="Q239" i="25"/>
  <c r="Q305" i="25" s="1"/>
  <c r="R223" i="21"/>
  <c r="R257" i="21" s="1"/>
  <c r="R180" i="21"/>
  <c r="S177" i="13"/>
  <c r="S180" i="13" s="1"/>
  <c r="T175" i="13"/>
  <c r="R237" i="11"/>
  <c r="R271" i="11" s="1"/>
  <c r="R180" i="11"/>
  <c r="Q257" i="16"/>
  <c r="P290" i="10"/>
  <c r="Q291" i="16"/>
  <c r="P258" i="10"/>
  <c r="P264" i="10" s="1"/>
  <c r="P265" i="10" s="1"/>
  <c r="P276" i="10" s="1"/>
  <c r="P277" i="10" s="1"/>
  <c r="Q307" i="10"/>
  <c r="R179" i="16"/>
  <c r="R200" i="16"/>
  <c r="R239" i="16" s="1"/>
  <c r="R180" i="10"/>
  <c r="S177" i="21"/>
  <c r="S237" i="21" s="1"/>
  <c r="S271" i="21" s="1"/>
  <c r="R223" i="13"/>
  <c r="R289" i="13" s="1"/>
  <c r="Q257" i="25"/>
  <c r="S177" i="16"/>
  <c r="S237" i="16" s="1"/>
  <c r="R303" i="29"/>
  <c r="R237" i="13"/>
  <c r="R271" i="13" s="1"/>
  <c r="P273" i="14"/>
  <c r="R179" i="21"/>
  <c r="Q271" i="25"/>
  <c r="Q289" i="21"/>
  <c r="M304" i="13"/>
  <c r="M272" i="13"/>
  <c r="P185" i="13"/>
  <c r="P187" i="13" s="1"/>
  <c r="S176" i="16"/>
  <c r="S200" i="16" s="1"/>
  <c r="S108" i="10"/>
  <c r="S177" i="10" s="1"/>
  <c r="S223" i="10" s="1"/>
  <c r="R237" i="10"/>
  <c r="R303" i="10" s="1"/>
  <c r="S214" i="4"/>
  <c r="S241" i="4" s="1"/>
  <c r="S307" i="4" s="1"/>
  <c r="R179" i="14"/>
  <c r="R200" i="14"/>
  <c r="R225" i="14" s="1"/>
  <c r="T108" i="11"/>
  <c r="S176" i="11"/>
  <c r="S179" i="11" s="1"/>
  <c r="R257" i="29"/>
  <c r="T108" i="29"/>
  <c r="T177" i="29" s="1"/>
  <c r="T237" i="29" s="1"/>
  <c r="T107" i="14"/>
  <c r="T210" i="14" s="1"/>
  <c r="T214" i="14" s="1"/>
  <c r="T241" i="14" s="1"/>
  <c r="S176" i="14"/>
  <c r="R181" i="21"/>
  <c r="S214" i="29"/>
  <c r="S241" i="29" s="1"/>
  <c r="S307" i="29" s="1"/>
  <c r="P291" i="25"/>
  <c r="Q271" i="21"/>
  <c r="T107" i="21"/>
  <c r="T210" i="21" s="1"/>
  <c r="T214" i="21" s="1"/>
  <c r="T241" i="21" s="1"/>
  <c r="T107" i="25"/>
  <c r="T210" i="25" s="1"/>
  <c r="T214" i="25" s="1"/>
  <c r="T241" i="25" s="1"/>
  <c r="T108" i="21"/>
  <c r="T107" i="11"/>
  <c r="T210" i="11" s="1"/>
  <c r="T214" i="11" s="1"/>
  <c r="T241" i="11" s="1"/>
  <c r="R237" i="14"/>
  <c r="R303" i="14" s="1"/>
  <c r="R181" i="14"/>
  <c r="T108" i="16"/>
  <c r="S107" i="10"/>
  <c r="S214" i="10" s="1"/>
  <c r="S241" i="10" s="1"/>
  <c r="T107" i="13"/>
  <c r="T210" i="13" s="1"/>
  <c r="T214" i="13" s="1"/>
  <c r="T241" i="13" s="1"/>
  <c r="O278" i="29"/>
  <c r="R271" i="4"/>
  <c r="T129" i="25"/>
  <c r="S177" i="11"/>
  <c r="S223" i="11" s="1"/>
  <c r="T129" i="21"/>
  <c r="T129" i="13"/>
  <c r="T175" i="16"/>
  <c r="T129" i="16"/>
  <c r="R223" i="14"/>
  <c r="R289" i="14" s="1"/>
  <c r="Q225" i="14"/>
  <c r="T128" i="21"/>
  <c r="S177" i="14"/>
  <c r="S180" i="14" s="1"/>
  <c r="O291" i="10"/>
  <c r="O259" i="10"/>
  <c r="O264" i="10" s="1"/>
  <c r="O265" i="10" s="1"/>
  <c r="O276" i="10" s="1"/>
  <c r="O277" i="10" s="1"/>
  <c r="U121" i="13"/>
  <c r="V112" i="13"/>
  <c r="U120" i="13"/>
  <c r="U115" i="13"/>
  <c r="U119" i="13"/>
  <c r="P304" i="10"/>
  <c r="P272" i="10"/>
  <c r="R289" i="10"/>
  <c r="R257" i="10"/>
  <c r="U94" i="13"/>
  <c r="U98" i="13"/>
  <c r="U100" i="13"/>
  <c r="V91" i="13"/>
  <c r="U99" i="13"/>
  <c r="Q291" i="10"/>
  <c r="Q259" i="10"/>
  <c r="R176" i="10"/>
  <c r="R214" i="10"/>
  <c r="R241" i="10" s="1"/>
  <c r="U91" i="10"/>
  <c r="T98" i="10"/>
  <c r="T100" i="10"/>
  <c r="T99" i="10"/>
  <c r="T94" i="10"/>
  <c r="T175" i="10" s="1"/>
  <c r="T108" i="13"/>
  <c r="Q257" i="10"/>
  <c r="Q289" i="10"/>
  <c r="T128" i="16"/>
  <c r="O272" i="10"/>
  <c r="O304" i="10"/>
  <c r="U115" i="16"/>
  <c r="V112" i="16"/>
  <c r="U121" i="16"/>
  <c r="U120" i="16"/>
  <c r="U119" i="16"/>
  <c r="R179" i="13"/>
  <c r="Q290" i="10"/>
  <c r="Q258" i="10"/>
  <c r="Q238" i="10"/>
  <c r="O305" i="10"/>
  <c r="O273" i="10"/>
  <c r="Q271" i="10"/>
  <c r="Q303" i="10"/>
  <c r="R307" i="13"/>
  <c r="R275" i="13"/>
  <c r="R180" i="16"/>
  <c r="R237" i="16"/>
  <c r="R223" i="16"/>
  <c r="R181" i="16"/>
  <c r="S176" i="13"/>
  <c r="S200" i="13" s="1"/>
  <c r="S210" i="13"/>
  <c r="S214" i="13" s="1"/>
  <c r="S241" i="13" s="1"/>
  <c r="T107" i="16"/>
  <c r="U100" i="16"/>
  <c r="U99" i="16"/>
  <c r="V91" i="16"/>
  <c r="U94" i="16"/>
  <c r="U98" i="16"/>
  <c r="R181" i="13"/>
  <c r="N278" i="10"/>
  <c r="T128" i="13"/>
  <c r="S275" i="16"/>
  <c r="S307" i="16"/>
  <c r="Q239" i="13"/>
  <c r="Q225" i="13"/>
  <c r="Q305" i="10"/>
  <c r="Q273" i="10"/>
  <c r="T175" i="21"/>
  <c r="T128" i="25"/>
  <c r="T175" i="25"/>
  <c r="R271" i="21"/>
  <c r="R303" i="21"/>
  <c r="R275" i="25"/>
  <c r="R307" i="25"/>
  <c r="Q305" i="21"/>
  <c r="Q273" i="21"/>
  <c r="S176" i="25"/>
  <c r="V112" i="25"/>
  <c r="U121" i="25"/>
  <c r="U119" i="25"/>
  <c r="U115" i="25"/>
  <c r="U120" i="25"/>
  <c r="Q291" i="25"/>
  <c r="Q259" i="25"/>
  <c r="U94" i="21"/>
  <c r="V91" i="21"/>
  <c r="U99" i="21"/>
  <c r="U100" i="21"/>
  <c r="U98" i="21"/>
  <c r="R225" i="21"/>
  <c r="R239" i="21"/>
  <c r="U120" i="21"/>
  <c r="U121" i="21"/>
  <c r="V112" i="21"/>
  <c r="U115" i="21"/>
  <c r="U119" i="21"/>
  <c r="T108" i="25"/>
  <c r="U98" i="25"/>
  <c r="U94" i="25"/>
  <c r="U99" i="25"/>
  <c r="U100" i="25"/>
  <c r="V91" i="25"/>
  <c r="R179" i="25"/>
  <c r="S210" i="21"/>
  <c r="S214" i="21" s="1"/>
  <c r="S241" i="21" s="1"/>
  <c r="S176" i="21"/>
  <c r="S200" i="21" s="1"/>
  <c r="S177" i="25"/>
  <c r="R289" i="25"/>
  <c r="R257" i="25"/>
  <c r="Q291" i="21"/>
  <c r="Q259" i="21"/>
  <c r="S275" i="25"/>
  <c r="S307" i="25"/>
  <c r="T129" i="11"/>
  <c r="R275" i="11"/>
  <c r="R307" i="11"/>
  <c r="V91" i="14"/>
  <c r="U94" i="14"/>
  <c r="U99" i="14"/>
  <c r="U100" i="14"/>
  <c r="U98" i="14"/>
  <c r="Q239" i="11"/>
  <c r="Q225" i="11"/>
  <c r="T175" i="11"/>
  <c r="Q289" i="14"/>
  <c r="Q257" i="14"/>
  <c r="P305" i="11"/>
  <c r="P273" i="11"/>
  <c r="Q271" i="11"/>
  <c r="Q303" i="11"/>
  <c r="R181" i="11"/>
  <c r="R179" i="11"/>
  <c r="T128" i="14"/>
  <c r="T175" i="14"/>
  <c r="S307" i="14"/>
  <c r="S275" i="14"/>
  <c r="U94" i="11"/>
  <c r="U99" i="11"/>
  <c r="U98" i="11"/>
  <c r="U100" i="11"/>
  <c r="V91" i="11"/>
  <c r="Q271" i="14"/>
  <c r="Q303" i="14"/>
  <c r="U119" i="11"/>
  <c r="U121" i="11"/>
  <c r="U115" i="11"/>
  <c r="V112" i="11"/>
  <c r="U120" i="11"/>
  <c r="R289" i="11"/>
  <c r="R257" i="11"/>
  <c r="T108" i="4"/>
  <c r="T177" i="4" s="1"/>
  <c r="T180" i="4" s="1"/>
  <c r="P291" i="11"/>
  <c r="P259" i="11"/>
  <c r="Q289" i="11"/>
  <c r="Q257" i="11"/>
  <c r="T128" i="11"/>
  <c r="Q273" i="14"/>
  <c r="Q305" i="14"/>
  <c r="T129" i="14"/>
  <c r="U121" i="14"/>
  <c r="U115" i="14"/>
  <c r="V112" i="14"/>
  <c r="U120" i="14"/>
  <c r="U119" i="14"/>
  <c r="T108" i="14"/>
  <c r="S275" i="11"/>
  <c r="S307" i="11"/>
  <c r="S225" i="29"/>
  <c r="S239" i="29"/>
  <c r="R275" i="29"/>
  <c r="R307" i="29"/>
  <c r="Q264" i="29"/>
  <c r="Q265" i="29" s="1"/>
  <c r="Q276" i="29" s="1"/>
  <c r="Q277" i="29" s="1"/>
  <c r="U98" i="29"/>
  <c r="U94" i="29"/>
  <c r="U175" i="29" s="1"/>
  <c r="V91" i="29"/>
  <c r="U100" i="29"/>
  <c r="U99" i="29"/>
  <c r="S237" i="29"/>
  <c r="S223" i="29"/>
  <c r="S180" i="29"/>
  <c r="P259" i="29"/>
  <c r="P264" i="29" s="1"/>
  <c r="P265" i="29" s="1"/>
  <c r="P276" i="29" s="1"/>
  <c r="P277" i="29" s="1"/>
  <c r="P291" i="29"/>
  <c r="R179" i="29"/>
  <c r="R187" i="29"/>
  <c r="R224" i="29" s="1"/>
  <c r="R181" i="29"/>
  <c r="R200" i="29"/>
  <c r="Q272" i="29"/>
  <c r="Q304" i="29"/>
  <c r="T107" i="29"/>
  <c r="M238" i="25"/>
  <c r="M258" i="25"/>
  <c r="M264" i="25" s="1"/>
  <c r="M265" i="25" s="1"/>
  <c r="M276" i="25" s="1"/>
  <c r="M277" i="25" s="1"/>
  <c r="M290" i="25"/>
  <c r="S181" i="29"/>
  <c r="S187" i="29"/>
  <c r="S224" i="29" s="1"/>
  <c r="S179" i="29"/>
  <c r="O185" i="25"/>
  <c r="P304" i="29"/>
  <c r="P272" i="29"/>
  <c r="P273" i="29"/>
  <c r="P305" i="29"/>
  <c r="L304" i="25"/>
  <c r="L272" i="25"/>
  <c r="L278" i="25" s="1"/>
  <c r="M238" i="11"/>
  <c r="M290" i="11"/>
  <c r="M258" i="11"/>
  <c r="M264" i="11" s="1"/>
  <c r="M265" i="11" s="1"/>
  <c r="M276" i="11" s="1"/>
  <c r="M277" i="11" s="1"/>
  <c r="P291" i="4"/>
  <c r="P259" i="4"/>
  <c r="P264" i="4" s="1"/>
  <c r="P265" i="4" s="1"/>
  <c r="P276" i="4" s="1"/>
  <c r="P277" i="4" s="1"/>
  <c r="S187" i="4"/>
  <c r="S224" i="4" s="1"/>
  <c r="S179" i="4"/>
  <c r="P304" i="4"/>
  <c r="P272" i="4"/>
  <c r="R200" i="4"/>
  <c r="R179" i="4"/>
  <c r="R187" i="4"/>
  <c r="R224" i="4" s="1"/>
  <c r="R181" i="4"/>
  <c r="P305" i="4"/>
  <c r="P273" i="4"/>
  <c r="L304" i="11"/>
  <c r="L272" i="11"/>
  <c r="L278" i="11" s="1"/>
  <c r="U98" i="4"/>
  <c r="U100" i="4"/>
  <c r="U94" i="4"/>
  <c r="U175" i="4" s="1"/>
  <c r="U99" i="4"/>
  <c r="V91" i="4"/>
  <c r="S223" i="4"/>
  <c r="S180" i="4"/>
  <c r="S237" i="4"/>
  <c r="S181" i="4"/>
  <c r="Q290" i="4"/>
  <c r="Q238" i="4"/>
  <c r="Q258" i="4"/>
  <c r="O185" i="11"/>
  <c r="T107" i="4"/>
  <c r="O278" i="4"/>
  <c r="Q239" i="4"/>
  <c r="Q225" i="4"/>
  <c r="R307" i="4"/>
  <c r="R275" i="4"/>
  <c r="U223" i="83" l="1"/>
  <c r="U180" i="83"/>
  <c r="U237" i="83"/>
  <c r="R304" i="83"/>
  <c r="R272" i="83"/>
  <c r="V119" i="82"/>
  <c r="V128" i="82" s="1"/>
  <c r="V176" i="82" s="1"/>
  <c r="V115" i="82"/>
  <c r="V175" i="82" s="1"/>
  <c r="W112" i="82"/>
  <c r="V120" i="82"/>
  <c r="V121" i="82"/>
  <c r="T181" i="83"/>
  <c r="T187" i="83"/>
  <c r="T224" i="83" s="1"/>
  <c r="T179" i="83"/>
  <c r="U128" i="82"/>
  <c r="U176" i="82" s="1"/>
  <c r="T200" i="83"/>
  <c r="U128" i="83"/>
  <c r="U176" i="83" s="1"/>
  <c r="U200" i="83" s="1"/>
  <c r="T289" i="82"/>
  <c r="T257" i="82"/>
  <c r="S272" i="83"/>
  <c r="S304" i="83"/>
  <c r="S289" i="83"/>
  <c r="S257" i="83"/>
  <c r="S264" i="83" s="1"/>
  <c r="S265" i="83" s="1"/>
  <c r="S276" i="83" s="1"/>
  <c r="S277" i="83" s="1"/>
  <c r="T223" i="83"/>
  <c r="T237" i="83"/>
  <c r="T180" i="83"/>
  <c r="V115" i="83"/>
  <c r="V175" i="83" s="1"/>
  <c r="V120" i="83"/>
  <c r="V121" i="83"/>
  <c r="W112" i="83"/>
  <c r="V119" i="83"/>
  <c r="T303" i="82"/>
  <c r="T271" i="82"/>
  <c r="T200" i="82"/>
  <c r="T179" i="82"/>
  <c r="R291" i="83"/>
  <c r="R259" i="83"/>
  <c r="R264" i="83" s="1"/>
  <c r="R265" i="83" s="1"/>
  <c r="R276" i="83" s="1"/>
  <c r="R277" i="83" s="1"/>
  <c r="R305" i="82"/>
  <c r="R273" i="82"/>
  <c r="U129" i="82"/>
  <c r="U177" i="82" s="1"/>
  <c r="S291" i="82"/>
  <c r="S259" i="82"/>
  <c r="R305" i="83"/>
  <c r="R273" i="83"/>
  <c r="R291" i="82"/>
  <c r="R259" i="82"/>
  <c r="Q278" i="83"/>
  <c r="S303" i="83"/>
  <c r="S271" i="83"/>
  <c r="S305" i="82"/>
  <c r="S273" i="82"/>
  <c r="Q259" i="14"/>
  <c r="R289" i="21"/>
  <c r="P186" i="25"/>
  <c r="O187" i="25"/>
  <c r="O224" i="25" s="1"/>
  <c r="S200" i="11"/>
  <c r="S225" i="11" s="1"/>
  <c r="S179" i="25"/>
  <c r="S200" i="25"/>
  <c r="S239" i="25" s="1"/>
  <c r="V186" i="13"/>
  <c r="N238" i="13"/>
  <c r="N304" i="13" s="1"/>
  <c r="N290" i="13"/>
  <c r="O187" i="11"/>
  <c r="P186" i="11"/>
  <c r="M278" i="13"/>
  <c r="S223" i="21"/>
  <c r="S257" i="21" s="1"/>
  <c r="O224" i="13"/>
  <c r="O258" i="13" s="1"/>
  <c r="O264" i="13" s="1"/>
  <c r="O265" i="13" s="1"/>
  <c r="O276" i="13" s="1"/>
  <c r="O277" i="13" s="1"/>
  <c r="Q273" i="25"/>
  <c r="S225" i="4"/>
  <c r="S259" i="4" s="1"/>
  <c r="R303" i="25"/>
  <c r="S223" i="13"/>
  <c r="S289" i="13" s="1"/>
  <c r="S237" i="13"/>
  <c r="S271" i="13" s="1"/>
  <c r="S181" i="13"/>
  <c r="R303" i="11"/>
  <c r="U175" i="25"/>
  <c r="U175" i="13"/>
  <c r="Q278" i="29"/>
  <c r="S303" i="21"/>
  <c r="S180" i="21"/>
  <c r="S223" i="16"/>
  <c r="S257" i="16" s="1"/>
  <c r="S181" i="16"/>
  <c r="S180" i="16"/>
  <c r="R303" i="13"/>
  <c r="R225" i="16"/>
  <c r="R259" i="16" s="1"/>
  <c r="R257" i="13"/>
  <c r="S237" i="10"/>
  <c r="S303" i="10" s="1"/>
  <c r="S275" i="29"/>
  <c r="R271" i="10"/>
  <c r="S179" i="16"/>
  <c r="S176" i="10"/>
  <c r="S200" i="10" s="1"/>
  <c r="S225" i="10" s="1"/>
  <c r="R239" i="14"/>
  <c r="R305" i="14" s="1"/>
  <c r="S275" i="4"/>
  <c r="T223" i="29"/>
  <c r="T257" i="29" s="1"/>
  <c r="T180" i="29"/>
  <c r="S180" i="10"/>
  <c r="Q185" i="13"/>
  <c r="Q187" i="13" s="1"/>
  <c r="T176" i="13"/>
  <c r="T200" i="13" s="1"/>
  <c r="U108" i="16"/>
  <c r="T177" i="16"/>
  <c r="T237" i="16" s="1"/>
  <c r="T176" i="14"/>
  <c r="S237" i="11"/>
  <c r="S271" i="11" s="1"/>
  <c r="R271" i="14"/>
  <c r="T177" i="11"/>
  <c r="T237" i="11" s="1"/>
  <c r="S179" i="14"/>
  <c r="S200" i="14"/>
  <c r="S225" i="14" s="1"/>
  <c r="T176" i="11"/>
  <c r="T179" i="11" s="1"/>
  <c r="T176" i="25"/>
  <c r="T200" i="25" s="1"/>
  <c r="T176" i="21"/>
  <c r="P278" i="29"/>
  <c r="U108" i="25"/>
  <c r="U107" i="21"/>
  <c r="U210" i="21" s="1"/>
  <c r="U214" i="21" s="1"/>
  <c r="U241" i="21" s="1"/>
  <c r="T177" i="21"/>
  <c r="T223" i="21" s="1"/>
  <c r="U108" i="29"/>
  <c r="U177" i="29" s="1"/>
  <c r="U223" i="29" s="1"/>
  <c r="U108" i="11"/>
  <c r="U108" i="13"/>
  <c r="T108" i="10"/>
  <c r="T177" i="10" s="1"/>
  <c r="T223" i="10" s="1"/>
  <c r="U107" i="13"/>
  <c r="U210" i="13" s="1"/>
  <c r="U214" i="13" s="1"/>
  <c r="U241" i="13" s="1"/>
  <c r="S239" i="13"/>
  <c r="Q264" i="10"/>
  <c r="Q265" i="10" s="1"/>
  <c r="Q276" i="10" s="1"/>
  <c r="Q277" i="10" s="1"/>
  <c r="T223" i="4"/>
  <c r="T257" i="4" s="1"/>
  <c r="Q291" i="14"/>
  <c r="S181" i="14"/>
  <c r="R257" i="14"/>
  <c r="S223" i="14"/>
  <c r="S257" i="14" s="1"/>
  <c r="S181" i="11"/>
  <c r="T177" i="13"/>
  <c r="T237" i="13" s="1"/>
  <c r="S180" i="11"/>
  <c r="T177" i="25"/>
  <c r="T223" i="25" s="1"/>
  <c r="U128" i="21"/>
  <c r="U128" i="25"/>
  <c r="U129" i="14"/>
  <c r="S237" i="14"/>
  <c r="S303" i="14" s="1"/>
  <c r="U175" i="16"/>
  <c r="U129" i="16"/>
  <c r="U129" i="13"/>
  <c r="U175" i="21"/>
  <c r="T210" i="16"/>
  <c r="T214" i="16" s="1"/>
  <c r="T241" i="16" s="1"/>
  <c r="T176" i="16"/>
  <c r="R257" i="16"/>
  <c r="R289" i="16"/>
  <c r="U100" i="10"/>
  <c r="U98" i="10"/>
  <c r="U94" i="10"/>
  <c r="U175" i="10" s="1"/>
  <c r="U99" i="10"/>
  <c r="V91" i="10"/>
  <c r="S239" i="16"/>
  <c r="S225" i="16"/>
  <c r="S307" i="13"/>
  <c r="S275" i="13"/>
  <c r="V121" i="16"/>
  <c r="W112" i="16"/>
  <c r="V115" i="16"/>
  <c r="V120" i="16"/>
  <c r="V119" i="16"/>
  <c r="S271" i="16"/>
  <c r="S303" i="16"/>
  <c r="V115" i="13"/>
  <c r="V120" i="13"/>
  <c r="V121" i="13"/>
  <c r="W112" i="13"/>
  <c r="V119" i="13"/>
  <c r="Q273" i="13"/>
  <c r="Q305" i="13"/>
  <c r="R305" i="16"/>
  <c r="R273" i="16"/>
  <c r="T275" i="13"/>
  <c r="T307" i="13"/>
  <c r="O278" i="10"/>
  <c r="T107" i="10"/>
  <c r="R187" i="10"/>
  <c r="R224" i="10" s="1"/>
  <c r="R179" i="10"/>
  <c r="R181" i="10"/>
  <c r="R200" i="10"/>
  <c r="V99" i="16"/>
  <c r="V100" i="16"/>
  <c r="V94" i="16"/>
  <c r="W91" i="16"/>
  <c r="V98" i="16"/>
  <c r="S275" i="10"/>
  <c r="S307" i="10"/>
  <c r="R303" i="16"/>
  <c r="R271" i="16"/>
  <c r="Q291" i="13"/>
  <c r="Q259" i="13"/>
  <c r="U107" i="16"/>
  <c r="S179" i="13"/>
  <c r="Q272" i="10"/>
  <c r="Q304" i="10"/>
  <c r="R239" i="13"/>
  <c r="R225" i="13"/>
  <c r="U128" i="16"/>
  <c r="S257" i="10"/>
  <c r="S289" i="10"/>
  <c r="R307" i="10"/>
  <c r="R275" i="10"/>
  <c r="V94" i="13"/>
  <c r="V99" i="13"/>
  <c r="V100" i="13"/>
  <c r="W91" i="13"/>
  <c r="V98" i="13"/>
  <c r="P278" i="10"/>
  <c r="U128" i="13"/>
  <c r="S239" i="21"/>
  <c r="S225" i="21"/>
  <c r="S181" i="25"/>
  <c r="S223" i="25"/>
  <c r="S237" i="25"/>
  <c r="S180" i="25"/>
  <c r="S307" i="21"/>
  <c r="S275" i="21"/>
  <c r="U129" i="21"/>
  <c r="U108" i="21"/>
  <c r="W91" i="21"/>
  <c r="V94" i="21"/>
  <c r="V100" i="21"/>
  <c r="V99" i="21"/>
  <c r="V98" i="21"/>
  <c r="T307" i="21"/>
  <c r="T275" i="21"/>
  <c r="T307" i="25"/>
  <c r="T275" i="25"/>
  <c r="R225" i="25"/>
  <c r="R239" i="25"/>
  <c r="R273" i="21"/>
  <c r="R305" i="21"/>
  <c r="R291" i="21"/>
  <c r="R259" i="21"/>
  <c r="U129" i="25"/>
  <c r="S181" i="21"/>
  <c r="S179" i="21"/>
  <c r="V100" i="25"/>
  <c r="V94" i="25"/>
  <c r="V99" i="25"/>
  <c r="W91" i="25"/>
  <c r="V98" i="25"/>
  <c r="U107" i="25"/>
  <c r="V121" i="21"/>
  <c r="V120" i="21"/>
  <c r="W112" i="21"/>
  <c r="V115" i="21"/>
  <c r="V119" i="21"/>
  <c r="V120" i="25"/>
  <c r="V115" i="25"/>
  <c r="W112" i="25"/>
  <c r="V121" i="25"/>
  <c r="V119" i="25"/>
  <c r="U107" i="4"/>
  <c r="U214" i="4" s="1"/>
  <c r="U241" i="4" s="1"/>
  <c r="T237" i="4"/>
  <c r="T303" i="4" s="1"/>
  <c r="U129" i="11"/>
  <c r="U107" i="14"/>
  <c r="U210" i="14" s="1"/>
  <c r="U214" i="14" s="1"/>
  <c r="U241" i="14" s="1"/>
  <c r="T275" i="11"/>
  <c r="T307" i="11"/>
  <c r="Q273" i="11"/>
  <c r="Q305" i="11"/>
  <c r="V120" i="14"/>
  <c r="W112" i="14"/>
  <c r="V121" i="14"/>
  <c r="V115" i="14"/>
  <c r="V119" i="14"/>
  <c r="V94" i="11"/>
  <c r="V99" i="11"/>
  <c r="V100" i="11"/>
  <c r="W91" i="11"/>
  <c r="V98" i="11"/>
  <c r="U175" i="11"/>
  <c r="R239" i="11"/>
  <c r="R225" i="11"/>
  <c r="U108" i="14"/>
  <c r="U175" i="14"/>
  <c r="R259" i="14"/>
  <c r="R291" i="14"/>
  <c r="U128" i="11"/>
  <c r="T275" i="14"/>
  <c r="T307" i="14"/>
  <c r="V100" i="14"/>
  <c r="W91" i="14"/>
  <c r="V99" i="14"/>
  <c r="V94" i="14"/>
  <c r="V98" i="14"/>
  <c r="T177" i="14"/>
  <c r="U128" i="14"/>
  <c r="V121" i="11"/>
  <c r="V119" i="11"/>
  <c r="V120" i="11"/>
  <c r="W112" i="11"/>
  <c r="V115" i="11"/>
  <c r="U107" i="11"/>
  <c r="S289" i="11"/>
  <c r="S257" i="11"/>
  <c r="Q291" i="11"/>
  <c r="Q259" i="11"/>
  <c r="R258" i="29"/>
  <c r="R290" i="29"/>
  <c r="R238" i="29"/>
  <c r="T303" i="29"/>
  <c r="T271" i="29"/>
  <c r="S290" i="29"/>
  <c r="S238" i="29"/>
  <c r="S258" i="29"/>
  <c r="M304" i="25"/>
  <c r="M272" i="25"/>
  <c r="M278" i="25" s="1"/>
  <c r="S289" i="29"/>
  <c r="S257" i="29"/>
  <c r="U107" i="29"/>
  <c r="N238" i="25"/>
  <c r="N258" i="25"/>
  <c r="N264" i="25" s="1"/>
  <c r="N265" i="25" s="1"/>
  <c r="N276" i="25" s="1"/>
  <c r="N277" i="25" s="1"/>
  <c r="N290" i="25"/>
  <c r="T176" i="29"/>
  <c r="T214" i="29"/>
  <c r="T241" i="29" s="1"/>
  <c r="R225" i="29"/>
  <c r="R239" i="29"/>
  <c r="S303" i="29"/>
  <c r="S271" i="29"/>
  <c r="S273" i="29"/>
  <c r="S305" i="29"/>
  <c r="P185" i="25"/>
  <c r="V98" i="29"/>
  <c r="V94" i="29"/>
  <c r="V175" i="29" s="1"/>
  <c r="V100" i="29"/>
  <c r="W91" i="29"/>
  <c r="V99" i="29"/>
  <c r="S259" i="29"/>
  <c r="S291" i="29"/>
  <c r="Q305" i="4"/>
  <c r="Q273" i="4"/>
  <c r="S258" i="4"/>
  <c r="S290" i="4"/>
  <c r="S238" i="4"/>
  <c r="P185" i="11"/>
  <c r="S303" i="4"/>
  <c r="S271" i="4"/>
  <c r="U108" i="4"/>
  <c r="U177" i="4" s="1"/>
  <c r="R225" i="4"/>
  <c r="R239" i="4"/>
  <c r="N290" i="11"/>
  <c r="N258" i="11"/>
  <c r="N264" i="11" s="1"/>
  <c r="N265" i="11" s="1"/>
  <c r="N276" i="11" s="1"/>
  <c r="N277" i="11" s="1"/>
  <c r="N238" i="11"/>
  <c r="Q304" i="4"/>
  <c r="Q272" i="4"/>
  <c r="T214" i="4"/>
  <c r="T241" i="4" s="1"/>
  <c r="T176" i="4"/>
  <c r="S305" i="4"/>
  <c r="S273" i="4"/>
  <c r="V100" i="4"/>
  <c r="W91" i="4"/>
  <c r="V99" i="4"/>
  <c r="V94" i="4"/>
  <c r="V175" i="4" s="1"/>
  <c r="V98" i="4"/>
  <c r="M304" i="11"/>
  <c r="M272" i="11"/>
  <c r="M278" i="11" s="1"/>
  <c r="Q291" i="4"/>
  <c r="Q259" i="4"/>
  <c r="Q264" i="4" s="1"/>
  <c r="Q265" i="4" s="1"/>
  <c r="Q276" i="4" s="1"/>
  <c r="Q277" i="4" s="1"/>
  <c r="S257" i="4"/>
  <c r="S289" i="4"/>
  <c r="R238" i="4"/>
  <c r="R258" i="4"/>
  <c r="R290" i="4"/>
  <c r="P278" i="4"/>
  <c r="V129" i="83" l="1"/>
  <c r="V177" i="83" s="1"/>
  <c r="S278" i="83"/>
  <c r="V180" i="83"/>
  <c r="V223" i="83"/>
  <c r="V237" i="83"/>
  <c r="U239" i="83"/>
  <c r="U225" i="83"/>
  <c r="W120" i="83"/>
  <c r="W119" i="83"/>
  <c r="W115" i="83"/>
  <c r="W175" i="83" s="1"/>
  <c r="X112" i="83"/>
  <c r="W121" i="83"/>
  <c r="V200" i="82"/>
  <c r="V179" i="82"/>
  <c r="W186" i="83"/>
  <c r="X186" i="83" s="1"/>
  <c r="T258" i="83"/>
  <c r="T290" i="83"/>
  <c r="T238" i="83"/>
  <c r="T225" i="82"/>
  <c r="T239" i="82"/>
  <c r="R278" i="83"/>
  <c r="V129" i="82"/>
  <c r="V177" i="82" s="1"/>
  <c r="U180" i="82"/>
  <c r="U223" i="82"/>
  <c r="U237" i="82"/>
  <c r="U181" i="82"/>
  <c r="T303" i="83"/>
  <c r="T271" i="83"/>
  <c r="U181" i="83"/>
  <c r="U187" i="83"/>
  <c r="U224" i="83" s="1"/>
  <c r="U179" i="83"/>
  <c r="U303" i="83"/>
  <c r="U271" i="83"/>
  <c r="T257" i="83"/>
  <c r="T289" i="83"/>
  <c r="T239" i="83"/>
  <c r="T225" i="83"/>
  <c r="V128" i="83"/>
  <c r="V176" i="83" s="1"/>
  <c r="U200" i="82"/>
  <c r="U179" i="82"/>
  <c r="W120" i="82"/>
  <c r="W115" i="82"/>
  <c r="W175" i="82" s="1"/>
  <c r="W121" i="82"/>
  <c r="W119" i="82"/>
  <c r="W128" i="82" s="1"/>
  <c r="W176" i="82" s="1"/>
  <c r="X112" i="82"/>
  <c r="W129" i="82"/>
  <c r="W177" i="82" s="1"/>
  <c r="U289" i="83"/>
  <c r="U257" i="83"/>
  <c r="W186" i="13"/>
  <c r="N272" i="13"/>
  <c r="N278" i="13" s="1"/>
  <c r="T239" i="25"/>
  <c r="Q186" i="25"/>
  <c r="P187" i="25"/>
  <c r="P224" i="25" s="1"/>
  <c r="T200" i="11"/>
  <c r="T239" i="11" s="1"/>
  <c r="O224" i="11"/>
  <c r="O258" i="11" s="1"/>
  <c r="O264" i="11" s="1"/>
  <c r="O265" i="11" s="1"/>
  <c r="O276" i="11" s="1"/>
  <c r="O277" i="11" s="1"/>
  <c r="S289" i="21"/>
  <c r="O238" i="13"/>
  <c r="O304" i="13" s="1"/>
  <c r="O290" i="13"/>
  <c r="P187" i="11"/>
  <c r="Q186" i="11"/>
  <c r="S291" i="4"/>
  <c r="P224" i="13"/>
  <c r="P238" i="13" s="1"/>
  <c r="T179" i="14"/>
  <c r="V175" i="14"/>
  <c r="S257" i="13"/>
  <c r="S303" i="13"/>
  <c r="V129" i="21"/>
  <c r="S289" i="16"/>
  <c r="S271" i="10"/>
  <c r="S187" i="10"/>
  <c r="S224" i="10" s="1"/>
  <c r="S258" i="10" s="1"/>
  <c r="R291" i="16"/>
  <c r="T289" i="29"/>
  <c r="T180" i="21"/>
  <c r="R273" i="14"/>
  <c r="T179" i="13"/>
  <c r="T180" i="16"/>
  <c r="S239" i="10"/>
  <c r="S273" i="10" s="1"/>
  <c r="S179" i="10"/>
  <c r="T223" i="16"/>
  <c r="T257" i="16" s="1"/>
  <c r="S181" i="10"/>
  <c r="U176" i="4"/>
  <c r="T180" i="11"/>
  <c r="T200" i="14"/>
  <c r="T239" i="14" s="1"/>
  <c r="T289" i="4"/>
  <c r="S239" i="14"/>
  <c r="S273" i="14" s="1"/>
  <c r="R185" i="13"/>
  <c r="R187" i="13" s="1"/>
  <c r="U177" i="13"/>
  <c r="U237" i="13" s="1"/>
  <c r="U177" i="16"/>
  <c r="U237" i="16" s="1"/>
  <c r="S225" i="13"/>
  <c r="S291" i="13" s="1"/>
  <c r="S303" i="11"/>
  <c r="S239" i="11"/>
  <c r="S273" i="11" s="1"/>
  <c r="U176" i="14"/>
  <c r="T223" i="11"/>
  <c r="T289" i="11" s="1"/>
  <c r="T181" i="11"/>
  <c r="T223" i="13"/>
  <c r="T257" i="13" s="1"/>
  <c r="T237" i="10"/>
  <c r="T303" i="10" s="1"/>
  <c r="T180" i="13"/>
  <c r="T237" i="21"/>
  <c r="T271" i="21" s="1"/>
  <c r="S289" i="14"/>
  <c r="S271" i="14"/>
  <c r="U177" i="11"/>
  <c r="U237" i="11" s="1"/>
  <c r="U271" i="11" s="1"/>
  <c r="T179" i="25"/>
  <c r="T181" i="25"/>
  <c r="U237" i="29"/>
  <c r="U271" i="29" s="1"/>
  <c r="V108" i="25"/>
  <c r="T181" i="21"/>
  <c r="T180" i="25"/>
  <c r="T179" i="21"/>
  <c r="T200" i="21"/>
  <c r="T225" i="21" s="1"/>
  <c r="U180" i="29"/>
  <c r="U177" i="25"/>
  <c r="U223" i="25" s="1"/>
  <c r="U176" i="21"/>
  <c r="U200" i="21" s="1"/>
  <c r="S225" i="25"/>
  <c r="S291" i="25" s="1"/>
  <c r="V108" i="21"/>
  <c r="V108" i="4"/>
  <c r="V177" i="4" s="1"/>
  <c r="V180" i="4" s="1"/>
  <c r="V108" i="11"/>
  <c r="T180" i="10"/>
  <c r="V107" i="16"/>
  <c r="V210" i="16" s="1"/>
  <c r="V214" i="16" s="1"/>
  <c r="V241" i="16" s="1"/>
  <c r="V108" i="13"/>
  <c r="T181" i="13"/>
  <c r="U108" i="10"/>
  <c r="U177" i="10" s="1"/>
  <c r="U223" i="10" s="1"/>
  <c r="U176" i="13"/>
  <c r="U200" i="13" s="1"/>
  <c r="Q278" i="10"/>
  <c r="S264" i="29"/>
  <c r="S265" i="29" s="1"/>
  <c r="S276" i="29" s="1"/>
  <c r="S277" i="29" s="1"/>
  <c r="V129" i="14"/>
  <c r="T237" i="25"/>
  <c r="T303" i="25" s="1"/>
  <c r="T225" i="25"/>
  <c r="T259" i="25" s="1"/>
  <c r="V175" i="13"/>
  <c r="U177" i="14"/>
  <c r="U237" i="14" s="1"/>
  <c r="V129" i="13"/>
  <c r="V129" i="16"/>
  <c r="V128" i="25"/>
  <c r="V175" i="25"/>
  <c r="U177" i="21"/>
  <c r="U237" i="21" s="1"/>
  <c r="V129" i="11"/>
  <c r="R291" i="13"/>
  <c r="R259" i="13"/>
  <c r="T214" i="10"/>
  <c r="T241" i="10" s="1"/>
  <c r="T176" i="10"/>
  <c r="W115" i="13"/>
  <c r="W119" i="13"/>
  <c r="W121" i="13"/>
  <c r="W120" i="13"/>
  <c r="X112" i="13"/>
  <c r="W94" i="16"/>
  <c r="X91" i="16"/>
  <c r="W100" i="16"/>
  <c r="W99" i="16"/>
  <c r="W98" i="16"/>
  <c r="S305" i="13"/>
  <c r="S273" i="13"/>
  <c r="S291" i="10"/>
  <c r="S259" i="10"/>
  <c r="W100" i="13"/>
  <c r="W99" i="13"/>
  <c r="W98" i="13"/>
  <c r="X91" i="13"/>
  <c r="W94" i="13"/>
  <c r="T271" i="13"/>
  <c r="T303" i="13"/>
  <c r="V108" i="16"/>
  <c r="R238" i="10"/>
  <c r="R290" i="10"/>
  <c r="R258" i="10"/>
  <c r="V128" i="13"/>
  <c r="V128" i="16"/>
  <c r="U107" i="10"/>
  <c r="R239" i="10"/>
  <c r="R225" i="10"/>
  <c r="U275" i="13"/>
  <c r="U307" i="13"/>
  <c r="V94" i="10"/>
  <c r="V175" i="10" s="1"/>
  <c r="V100" i="10"/>
  <c r="W91" i="10"/>
  <c r="V99" i="10"/>
  <c r="V98" i="10"/>
  <c r="T289" i="10"/>
  <c r="T257" i="10"/>
  <c r="R273" i="13"/>
  <c r="R305" i="13"/>
  <c r="T303" i="16"/>
  <c r="T271" i="16"/>
  <c r="S259" i="16"/>
  <c r="S291" i="16"/>
  <c r="T181" i="16"/>
  <c r="T179" i="16"/>
  <c r="T200" i="16"/>
  <c r="V107" i="13"/>
  <c r="U210" i="16"/>
  <c r="U214" i="16" s="1"/>
  <c r="U241" i="16" s="1"/>
  <c r="U176" i="16"/>
  <c r="V175" i="16"/>
  <c r="W120" i="16"/>
  <c r="W121" i="16"/>
  <c r="W115" i="16"/>
  <c r="X112" i="16"/>
  <c r="W119" i="16"/>
  <c r="S273" i="16"/>
  <c r="S305" i="16"/>
  <c r="T307" i="16"/>
  <c r="T275" i="16"/>
  <c r="W115" i="21"/>
  <c r="W121" i="21"/>
  <c r="X112" i="21"/>
  <c r="W120" i="21"/>
  <c r="W119" i="21"/>
  <c r="R291" i="25"/>
  <c r="R259" i="25"/>
  <c r="S259" i="21"/>
  <c r="S291" i="21"/>
  <c r="V129" i="25"/>
  <c r="U210" i="25"/>
  <c r="U214" i="25" s="1"/>
  <c r="U241" i="25" s="1"/>
  <c r="U176" i="25"/>
  <c r="W94" i="25"/>
  <c r="W100" i="25"/>
  <c r="W98" i="25"/>
  <c r="X91" i="25"/>
  <c r="W99" i="25"/>
  <c r="U275" i="21"/>
  <c r="U307" i="21"/>
  <c r="R273" i="25"/>
  <c r="R305" i="25"/>
  <c r="V107" i="21"/>
  <c r="X91" i="21"/>
  <c r="W100" i="21"/>
  <c r="W99" i="21"/>
  <c r="W94" i="21"/>
  <c r="W98" i="21"/>
  <c r="S257" i="25"/>
  <c r="S289" i="25"/>
  <c r="T257" i="21"/>
  <c r="T289" i="21"/>
  <c r="V108" i="29"/>
  <c r="V177" i="29" s="1"/>
  <c r="V180" i="29" s="1"/>
  <c r="W121" i="25"/>
  <c r="W120" i="25"/>
  <c r="W115" i="25"/>
  <c r="W119" i="25"/>
  <c r="X112" i="25"/>
  <c r="V128" i="21"/>
  <c r="V107" i="25"/>
  <c r="T305" i="25"/>
  <c r="T273" i="25"/>
  <c r="V175" i="21"/>
  <c r="T289" i="25"/>
  <c r="T257" i="25"/>
  <c r="S303" i="25"/>
  <c r="S271" i="25"/>
  <c r="S273" i="25"/>
  <c r="S305" i="25"/>
  <c r="S305" i="21"/>
  <c r="S273" i="21"/>
  <c r="T271" i="4"/>
  <c r="V128" i="11"/>
  <c r="V107" i="14"/>
  <c r="V128" i="14"/>
  <c r="W100" i="14"/>
  <c r="W94" i="14"/>
  <c r="X91" i="14"/>
  <c r="W99" i="14"/>
  <c r="W98" i="14"/>
  <c r="W120" i="14"/>
  <c r="W121" i="14"/>
  <c r="X112" i="14"/>
  <c r="W115" i="14"/>
  <c r="W119" i="14"/>
  <c r="R305" i="11"/>
  <c r="R273" i="11"/>
  <c r="U275" i="14"/>
  <c r="U307" i="14"/>
  <c r="W98" i="11"/>
  <c r="W99" i="11"/>
  <c r="X91" i="11"/>
  <c r="W100" i="11"/>
  <c r="W94" i="11"/>
  <c r="S291" i="11"/>
  <c r="S259" i="11"/>
  <c r="R259" i="11"/>
  <c r="R291" i="11"/>
  <c r="V108" i="14"/>
  <c r="V107" i="4"/>
  <c r="V214" i="4" s="1"/>
  <c r="V241" i="4" s="1"/>
  <c r="U210" i="11"/>
  <c r="U214" i="11" s="1"/>
  <c r="U241" i="11" s="1"/>
  <c r="U176" i="11"/>
  <c r="U200" i="11" s="1"/>
  <c r="W120" i="11"/>
  <c r="W115" i="11"/>
  <c r="W121" i="11"/>
  <c r="X112" i="11"/>
  <c r="W119" i="11"/>
  <c r="T303" i="11"/>
  <c r="T271" i="11"/>
  <c r="T237" i="14"/>
  <c r="T181" i="14"/>
  <c r="T223" i="14"/>
  <c r="T180" i="14"/>
  <c r="V107" i="11"/>
  <c r="V175" i="11"/>
  <c r="S291" i="14"/>
  <c r="S259" i="14"/>
  <c r="Q185" i="25"/>
  <c r="T200" i="29"/>
  <c r="T179" i="29"/>
  <c r="T187" i="29"/>
  <c r="T224" i="29" s="1"/>
  <c r="T181" i="29"/>
  <c r="S304" i="29"/>
  <c r="S272" i="29"/>
  <c r="R305" i="29"/>
  <c r="R273" i="29"/>
  <c r="N272" i="25"/>
  <c r="N278" i="25" s="1"/>
  <c r="N304" i="25"/>
  <c r="R304" i="29"/>
  <c r="R272" i="29"/>
  <c r="V107" i="29"/>
  <c r="R259" i="29"/>
  <c r="R264" i="29" s="1"/>
  <c r="R265" i="29" s="1"/>
  <c r="R276" i="29" s="1"/>
  <c r="R277" i="29" s="1"/>
  <c r="R291" i="29"/>
  <c r="U176" i="29"/>
  <c r="U214" i="29"/>
  <c r="U241" i="29" s="1"/>
  <c r="U257" i="29"/>
  <c r="U289" i="29"/>
  <c r="W99" i="29"/>
  <c r="W94" i="29"/>
  <c r="W175" i="29" s="1"/>
  <c r="X91" i="29"/>
  <c r="W98" i="29"/>
  <c r="W100" i="29"/>
  <c r="O290" i="25"/>
  <c r="O258" i="25"/>
  <c r="O264" i="25" s="1"/>
  <c r="O265" i="25" s="1"/>
  <c r="O276" i="25" s="1"/>
  <c r="O277" i="25" s="1"/>
  <c r="O238" i="25"/>
  <c r="T307" i="29"/>
  <c r="T275" i="29"/>
  <c r="R272" i="4"/>
  <c r="R304" i="4"/>
  <c r="U275" i="4"/>
  <c r="U307" i="4"/>
  <c r="R273" i="4"/>
  <c r="R305" i="4"/>
  <c r="S264" i="4"/>
  <c r="S265" i="4" s="1"/>
  <c r="S276" i="4" s="1"/>
  <c r="S277" i="4" s="1"/>
  <c r="N304" i="11"/>
  <c r="N272" i="11"/>
  <c r="N278" i="11" s="1"/>
  <c r="R291" i="4"/>
  <c r="R259" i="4"/>
  <c r="R264" i="4" s="1"/>
  <c r="R265" i="4" s="1"/>
  <c r="R276" i="4" s="1"/>
  <c r="R277" i="4" s="1"/>
  <c r="Q185" i="11"/>
  <c r="P224" i="11"/>
  <c r="W99" i="4"/>
  <c r="W100" i="4"/>
  <c r="X91" i="4"/>
  <c r="W98" i="4"/>
  <c r="W94" i="4"/>
  <c r="W175" i="4" s="1"/>
  <c r="T179" i="4"/>
  <c r="T187" i="4"/>
  <c r="T224" i="4" s="1"/>
  <c r="T200" i="4"/>
  <c r="T181" i="4"/>
  <c r="Q278" i="4"/>
  <c r="S304" i="4"/>
  <c r="S272" i="4"/>
  <c r="T275" i="4"/>
  <c r="T307" i="4"/>
  <c r="U223" i="4"/>
  <c r="U180" i="4"/>
  <c r="U237" i="4"/>
  <c r="W179" i="82" l="1"/>
  <c r="W128" i="83"/>
  <c r="W176" i="83" s="1"/>
  <c r="W223" i="82"/>
  <c r="W180" i="82"/>
  <c r="W237" i="82"/>
  <c r="W181" i="82"/>
  <c r="V179" i="83"/>
  <c r="V187" i="83"/>
  <c r="V224" i="83" s="1"/>
  <c r="U290" i="83"/>
  <c r="U238" i="83"/>
  <c r="U258" i="83"/>
  <c r="V223" i="82"/>
  <c r="V237" i="82"/>
  <c r="V180" i="82"/>
  <c r="W187" i="83"/>
  <c r="W224" i="83" s="1"/>
  <c r="W179" i="83"/>
  <c r="X121" i="82"/>
  <c r="X120" i="82"/>
  <c r="Y112" i="82"/>
  <c r="X115" i="82"/>
  <c r="X175" i="82" s="1"/>
  <c r="X119" i="82"/>
  <c r="T259" i="83"/>
  <c r="T291" i="83"/>
  <c r="T305" i="83"/>
  <c r="T273" i="83"/>
  <c r="V200" i="83"/>
  <c r="V181" i="82"/>
  <c r="U291" i="83"/>
  <c r="U259" i="83"/>
  <c r="U264" i="83" s="1"/>
  <c r="U265" i="83" s="1"/>
  <c r="U276" i="83" s="1"/>
  <c r="U277" i="83" s="1"/>
  <c r="T273" i="82"/>
  <c r="T305" i="82"/>
  <c r="V239" i="82"/>
  <c r="V225" i="82"/>
  <c r="U273" i="83"/>
  <c r="U305" i="83"/>
  <c r="W200" i="82"/>
  <c r="T264" i="83"/>
  <c r="T265" i="83" s="1"/>
  <c r="T276" i="83" s="1"/>
  <c r="T277" i="83" s="1"/>
  <c r="T259" i="82"/>
  <c r="T291" i="82"/>
  <c r="W129" i="83"/>
  <c r="W177" i="83" s="1"/>
  <c r="V271" i="83"/>
  <c r="V303" i="83"/>
  <c r="U303" i="82"/>
  <c r="U271" i="82"/>
  <c r="T272" i="83"/>
  <c r="T278" i="83" s="1"/>
  <c r="T304" i="83"/>
  <c r="V257" i="83"/>
  <c r="V289" i="83"/>
  <c r="U289" i="82"/>
  <c r="U257" i="82"/>
  <c r="X120" i="83"/>
  <c r="X115" i="83"/>
  <c r="X175" i="83" s="1"/>
  <c r="X119" i="83"/>
  <c r="X121" i="83"/>
  <c r="Y112" i="83"/>
  <c r="Y186" i="83" s="1"/>
  <c r="V181" i="83"/>
  <c r="U239" i="82"/>
  <c r="U225" i="82"/>
  <c r="W200" i="83"/>
  <c r="O272" i="13"/>
  <c r="O278" i="13" s="1"/>
  <c r="R186" i="25"/>
  <c r="Q187" i="25"/>
  <c r="U200" i="25"/>
  <c r="O290" i="11"/>
  <c r="O238" i="11"/>
  <c r="X186" i="13"/>
  <c r="T225" i="13"/>
  <c r="T291" i="13" s="1"/>
  <c r="T239" i="13"/>
  <c r="T305" i="13" s="1"/>
  <c r="Q187" i="11"/>
  <c r="Q224" i="11" s="1"/>
  <c r="R186" i="11"/>
  <c r="P290" i="13"/>
  <c r="P258" i="13"/>
  <c r="P264" i="13" s="1"/>
  <c r="P265" i="13" s="1"/>
  <c r="P276" i="13" s="1"/>
  <c r="P277" i="13" s="1"/>
  <c r="Q224" i="13"/>
  <c r="Q258" i="13" s="1"/>
  <c r="Q264" i="13" s="1"/>
  <c r="Q265" i="13" s="1"/>
  <c r="Q276" i="13" s="1"/>
  <c r="Q277" i="13" s="1"/>
  <c r="U200" i="4"/>
  <c r="U239" i="4" s="1"/>
  <c r="U305" i="4" s="1"/>
  <c r="V177" i="21"/>
  <c r="V223" i="21" s="1"/>
  <c r="V257" i="21" s="1"/>
  <c r="S238" i="10"/>
  <c r="S272" i="10" s="1"/>
  <c r="S290" i="10"/>
  <c r="W129" i="25"/>
  <c r="W129" i="16"/>
  <c r="V176" i="14"/>
  <c r="V177" i="14"/>
  <c r="U180" i="13"/>
  <c r="T303" i="21"/>
  <c r="V177" i="11"/>
  <c r="V223" i="11" s="1"/>
  <c r="V289" i="11" s="1"/>
  <c r="T289" i="13"/>
  <c r="U180" i="16"/>
  <c r="S259" i="13"/>
  <c r="T289" i="16"/>
  <c r="U223" i="16"/>
  <c r="U257" i="16" s="1"/>
  <c r="T271" i="10"/>
  <c r="S305" i="10"/>
  <c r="U179" i="14"/>
  <c r="U179" i="4"/>
  <c r="U181" i="4"/>
  <c r="U187" i="4"/>
  <c r="U224" i="4" s="1"/>
  <c r="U290" i="4" s="1"/>
  <c r="U200" i="14"/>
  <c r="U239" i="14" s="1"/>
  <c r="S305" i="14"/>
  <c r="T225" i="14"/>
  <c r="T291" i="14" s="1"/>
  <c r="S305" i="11"/>
  <c r="T257" i="11"/>
  <c r="U237" i="25"/>
  <c r="U303" i="25" s="1"/>
  <c r="T239" i="21"/>
  <c r="T305" i="21" s="1"/>
  <c r="U223" i="13"/>
  <c r="U289" i="13" s="1"/>
  <c r="P304" i="13"/>
  <c r="P272" i="13"/>
  <c r="S185" i="13"/>
  <c r="S187" i="13" s="1"/>
  <c r="V237" i="4"/>
  <c r="V303" i="4" s="1"/>
  <c r="T225" i="11"/>
  <c r="T291" i="11" s="1"/>
  <c r="U303" i="11"/>
  <c r="V223" i="4"/>
  <c r="V257" i="4" s="1"/>
  <c r="V176" i="4"/>
  <c r="U181" i="14"/>
  <c r="U237" i="10"/>
  <c r="U271" i="10" s="1"/>
  <c r="V176" i="16"/>
  <c r="V200" i="16" s="1"/>
  <c r="U303" i="29"/>
  <c r="U223" i="11"/>
  <c r="U180" i="11"/>
  <c r="T291" i="25"/>
  <c r="S278" i="29"/>
  <c r="S259" i="25"/>
  <c r="U180" i="25"/>
  <c r="V177" i="25"/>
  <c r="V237" i="25" s="1"/>
  <c r="T271" i="25"/>
  <c r="W108" i="25"/>
  <c r="U179" i="21"/>
  <c r="V223" i="29"/>
  <c r="V257" i="29" s="1"/>
  <c r="V237" i="29"/>
  <c r="V271" i="29" s="1"/>
  <c r="W107" i="21"/>
  <c r="W210" i="21" s="1"/>
  <c r="W214" i="21" s="1"/>
  <c r="W241" i="21" s="1"/>
  <c r="W108" i="4"/>
  <c r="W177" i="4" s="1"/>
  <c r="W180" i="4" s="1"/>
  <c r="U180" i="10"/>
  <c r="V108" i="10"/>
  <c r="V177" i="10" s="1"/>
  <c r="V223" i="10" s="1"/>
  <c r="V177" i="13"/>
  <c r="V223" i="13" s="1"/>
  <c r="U181" i="13"/>
  <c r="U179" i="13"/>
  <c r="W107" i="16"/>
  <c r="W210" i="16" s="1"/>
  <c r="W214" i="16" s="1"/>
  <c r="W241" i="16" s="1"/>
  <c r="U181" i="21"/>
  <c r="U223" i="21"/>
  <c r="U257" i="21" s="1"/>
  <c r="U180" i="14"/>
  <c r="S278" i="4"/>
  <c r="U223" i="14"/>
  <c r="U289" i="14" s="1"/>
  <c r="U180" i="21"/>
  <c r="W175" i="13"/>
  <c r="W129" i="13"/>
  <c r="W129" i="21"/>
  <c r="W175" i="21"/>
  <c r="W128" i="13"/>
  <c r="V177" i="16"/>
  <c r="V237" i="16" s="1"/>
  <c r="W175" i="16"/>
  <c r="W175" i="25"/>
  <c r="W129" i="11"/>
  <c r="W128" i="14"/>
  <c r="X121" i="16"/>
  <c r="X115" i="16"/>
  <c r="X120" i="16"/>
  <c r="Y112" i="16"/>
  <c r="X119" i="16"/>
  <c r="T239" i="16"/>
  <c r="T225" i="16"/>
  <c r="R273" i="10"/>
  <c r="R305" i="10"/>
  <c r="U214" i="10"/>
  <c r="U241" i="10" s="1"/>
  <c r="U176" i="10"/>
  <c r="U271" i="16"/>
  <c r="U303" i="16"/>
  <c r="V275" i="16"/>
  <c r="AB275" i="16" s="1"/>
  <c r="AB241" i="16"/>
  <c r="V307" i="16"/>
  <c r="AB307" i="16" s="1"/>
  <c r="V176" i="13"/>
  <c r="V200" i="13" s="1"/>
  <c r="V210" i="13"/>
  <c r="V214" i="13" s="1"/>
  <c r="V241" i="13" s="1"/>
  <c r="W99" i="10"/>
  <c r="W100" i="10"/>
  <c r="X91" i="10"/>
  <c r="W94" i="10"/>
  <c r="W175" i="10" s="1"/>
  <c r="W98" i="10"/>
  <c r="Y91" i="13"/>
  <c r="X100" i="13"/>
  <c r="X94" i="13"/>
  <c r="X99" i="13"/>
  <c r="X98" i="13"/>
  <c r="S264" i="10"/>
  <c r="S265" i="10" s="1"/>
  <c r="S276" i="10" s="1"/>
  <c r="S277" i="10" s="1"/>
  <c r="X115" i="13"/>
  <c r="X121" i="13"/>
  <c r="X119" i="13"/>
  <c r="X120" i="13"/>
  <c r="Y112" i="13"/>
  <c r="U179" i="16"/>
  <c r="U200" i="16"/>
  <c r="W107" i="13"/>
  <c r="U181" i="16"/>
  <c r="T187" i="10"/>
  <c r="T224" i="10" s="1"/>
  <c r="T179" i="10"/>
  <c r="T181" i="10"/>
  <c r="T200" i="10"/>
  <c r="W128" i="16"/>
  <c r="U307" i="16"/>
  <c r="U275" i="16"/>
  <c r="U271" i="13"/>
  <c r="U303" i="13"/>
  <c r="V107" i="10"/>
  <c r="R259" i="10"/>
  <c r="R264" i="10" s="1"/>
  <c r="R265" i="10" s="1"/>
  <c r="R276" i="10" s="1"/>
  <c r="R277" i="10" s="1"/>
  <c r="R291" i="10"/>
  <c r="R272" i="10"/>
  <c r="R304" i="10"/>
  <c r="W108" i="13"/>
  <c r="W108" i="16"/>
  <c r="X99" i="16"/>
  <c r="X100" i="16"/>
  <c r="Y91" i="16"/>
  <c r="X94" i="16"/>
  <c r="X98" i="16"/>
  <c r="T307" i="10"/>
  <c r="T275" i="10"/>
  <c r="U257" i="10"/>
  <c r="U289" i="10"/>
  <c r="U239" i="13"/>
  <c r="U225" i="13"/>
  <c r="W108" i="29"/>
  <c r="W177" i="29" s="1"/>
  <c r="W180" i="29" s="1"/>
  <c r="Y91" i="21"/>
  <c r="X99" i="21"/>
  <c r="X100" i="21"/>
  <c r="X94" i="21"/>
  <c r="X98" i="21"/>
  <c r="X94" i="25"/>
  <c r="Y91" i="25"/>
  <c r="X100" i="25"/>
  <c r="X98" i="25"/>
  <c r="X99" i="25"/>
  <c r="U239" i="21"/>
  <c r="U225" i="21"/>
  <c r="W108" i="21"/>
  <c r="X115" i="21"/>
  <c r="X121" i="21"/>
  <c r="X120" i="21"/>
  <c r="Y112" i="21"/>
  <c r="X119" i="21"/>
  <c r="T259" i="21"/>
  <c r="T291" i="21"/>
  <c r="X115" i="25"/>
  <c r="X121" i="25"/>
  <c r="X119" i="25"/>
  <c r="X120" i="25"/>
  <c r="Y112" i="25"/>
  <c r="U289" i="25"/>
  <c r="U257" i="25"/>
  <c r="U271" i="21"/>
  <c r="U303" i="21"/>
  <c r="V210" i="21"/>
  <c r="V214" i="21" s="1"/>
  <c r="V241" i="21" s="1"/>
  <c r="V176" i="21"/>
  <c r="U179" i="25"/>
  <c r="W128" i="21"/>
  <c r="V210" i="25"/>
  <c r="V214" i="25" s="1"/>
  <c r="V241" i="25" s="1"/>
  <c r="V176" i="25"/>
  <c r="V200" i="25" s="1"/>
  <c r="W128" i="25"/>
  <c r="U181" i="25"/>
  <c r="W107" i="25"/>
  <c r="U307" i="25"/>
  <c r="U275" i="25"/>
  <c r="W175" i="14"/>
  <c r="V210" i="14"/>
  <c r="V214" i="14" s="1"/>
  <c r="V241" i="14" s="1"/>
  <c r="AB241" i="14" s="1"/>
  <c r="W107" i="11"/>
  <c r="W210" i="11" s="1"/>
  <c r="W214" i="11" s="1"/>
  <c r="W241" i="11" s="1"/>
  <c r="T257" i="14"/>
  <c r="T289" i="14"/>
  <c r="X115" i="11"/>
  <c r="X120" i="11"/>
  <c r="X121" i="11"/>
  <c r="Y112" i="11"/>
  <c r="X119" i="11"/>
  <c r="U179" i="11"/>
  <c r="U181" i="11"/>
  <c r="U303" i="14"/>
  <c r="U271" i="14"/>
  <c r="X94" i="11"/>
  <c r="X98" i="11"/>
  <c r="Y91" i="11"/>
  <c r="X100" i="11"/>
  <c r="X99" i="11"/>
  <c r="R278" i="4"/>
  <c r="T273" i="14"/>
  <c r="T305" i="14"/>
  <c r="U275" i="11"/>
  <c r="U307" i="11"/>
  <c r="W108" i="11"/>
  <c r="T273" i="11"/>
  <c r="T305" i="11"/>
  <c r="X100" i="14"/>
  <c r="X99" i="14"/>
  <c r="Y91" i="14"/>
  <c r="X94" i="14"/>
  <c r="X98" i="14"/>
  <c r="T303" i="14"/>
  <c r="T271" i="14"/>
  <c r="W175" i="11"/>
  <c r="X120" i="14"/>
  <c r="Y112" i="14"/>
  <c r="X115" i="14"/>
  <c r="X121" i="14"/>
  <c r="X119" i="14"/>
  <c r="W107" i="14"/>
  <c r="V176" i="11"/>
  <c r="V200" i="11" s="1"/>
  <c r="V210" i="11"/>
  <c r="V214" i="11" s="1"/>
  <c r="V241" i="11" s="1"/>
  <c r="W128" i="11"/>
  <c r="W129" i="14"/>
  <c r="W108" i="14"/>
  <c r="U275" i="29"/>
  <c r="U307" i="29"/>
  <c r="V214" i="29"/>
  <c r="V241" i="29" s="1"/>
  <c r="V176" i="29"/>
  <c r="W107" i="29"/>
  <c r="U179" i="29"/>
  <c r="U187" i="29"/>
  <c r="U224" i="29" s="1"/>
  <c r="U181" i="29"/>
  <c r="U200" i="29"/>
  <c r="R278" i="29"/>
  <c r="T225" i="29"/>
  <c r="T239" i="29"/>
  <c r="X94" i="29"/>
  <c r="X175" i="29" s="1"/>
  <c r="Y91" i="29"/>
  <c r="X98" i="29"/>
  <c r="X100" i="29"/>
  <c r="X99" i="29"/>
  <c r="P258" i="25"/>
  <c r="P264" i="25" s="1"/>
  <c r="P265" i="25" s="1"/>
  <c r="P276" i="25" s="1"/>
  <c r="P277" i="25" s="1"/>
  <c r="P238" i="25"/>
  <c r="P290" i="25"/>
  <c r="O272" i="25"/>
  <c r="O278" i="25" s="1"/>
  <c r="O304" i="25"/>
  <c r="T238" i="29"/>
  <c r="T290" i="29"/>
  <c r="T258" i="29"/>
  <c r="R185" i="25"/>
  <c r="Q224" i="25"/>
  <c r="U257" i="4"/>
  <c r="U289" i="4"/>
  <c r="T239" i="4"/>
  <c r="T225" i="4"/>
  <c r="R185" i="11"/>
  <c r="O272" i="11"/>
  <c r="O278" i="11" s="1"/>
  <c r="O304" i="11"/>
  <c r="V275" i="4"/>
  <c r="V307" i="4"/>
  <c r="T290" i="4"/>
  <c r="T258" i="4"/>
  <c r="T238" i="4"/>
  <c r="U303" i="4"/>
  <c r="U271" i="4"/>
  <c r="W107" i="4"/>
  <c r="X100" i="4"/>
  <c r="X94" i="4"/>
  <c r="X175" i="4" s="1"/>
  <c r="Y91" i="4"/>
  <c r="X98" i="4"/>
  <c r="X99" i="4"/>
  <c r="P258" i="11"/>
  <c r="P264" i="11" s="1"/>
  <c r="P265" i="11" s="1"/>
  <c r="P276" i="11" s="1"/>
  <c r="P277" i="11" s="1"/>
  <c r="P290" i="11"/>
  <c r="P238" i="11"/>
  <c r="X129" i="83" l="1"/>
  <c r="X177" i="83" s="1"/>
  <c r="Q238" i="13"/>
  <c r="X129" i="82"/>
  <c r="X177" i="82" s="1"/>
  <c r="X180" i="82" s="1"/>
  <c r="X223" i="82"/>
  <c r="X237" i="82"/>
  <c r="X180" i="83"/>
  <c r="X223" i="83"/>
  <c r="X237" i="83"/>
  <c r="W239" i="83"/>
  <c r="W225" i="83"/>
  <c r="U304" i="83"/>
  <c r="U272" i="83"/>
  <c r="U278" i="83" s="1"/>
  <c r="U291" i="82"/>
  <c r="U259" i="82"/>
  <c r="U305" i="82"/>
  <c r="U273" i="82"/>
  <c r="W290" i="83"/>
  <c r="W238" i="83"/>
  <c r="W258" i="83"/>
  <c r="V238" i="83"/>
  <c r="V290" i="83"/>
  <c r="V258" i="83"/>
  <c r="W225" i="82"/>
  <c r="W239" i="82"/>
  <c r="X128" i="82"/>
  <c r="X176" i="82" s="1"/>
  <c r="Z112" i="83"/>
  <c r="Y120" i="83"/>
  <c r="Y121" i="83"/>
  <c r="Y119" i="83"/>
  <c r="Y115" i="83"/>
  <c r="Y175" i="83" s="1"/>
  <c r="V239" i="83"/>
  <c r="V225" i="83"/>
  <c r="V303" i="82"/>
  <c r="V271" i="82"/>
  <c r="W271" i="82"/>
  <c r="W303" i="82"/>
  <c r="V291" i="82"/>
  <c r="V259" i="82"/>
  <c r="Y119" i="82"/>
  <c r="Y115" i="82"/>
  <c r="Y175" i="82" s="1"/>
  <c r="Z112" i="82"/>
  <c r="Y120" i="82"/>
  <c r="Y121" i="82"/>
  <c r="V289" i="82"/>
  <c r="V257" i="82"/>
  <c r="X128" i="83"/>
  <c r="X176" i="83" s="1"/>
  <c r="X181" i="83" s="1"/>
  <c r="W180" i="83"/>
  <c r="W223" i="83"/>
  <c r="W237" i="83"/>
  <c r="W181" i="83"/>
  <c r="V273" i="82"/>
  <c r="V305" i="82"/>
  <c r="W289" i="82"/>
  <c r="W257" i="82"/>
  <c r="Y186" i="13"/>
  <c r="S186" i="25"/>
  <c r="R187" i="25"/>
  <c r="Q290" i="13"/>
  <c r="T259" i="13"/>
  <c r="T273" i="13"/>
  <c r="P278" i="13"/>
  <c r="R187" i="11"/>
  <c r="S186" i="11"/>
  <c r="R224" i="13"/>
  <c r="R238" i="13" s="1"/>
  <c r="U273" i="4"/>
  <c r="V200" i="14"/>
  <c r="V239" i="14" s="1"/>
  <c r="V305" i="14" s="1"/>
  <c r="V289" i="21"/>
  <c r="V237" i="21"/>
  <c r="V303" i="21" s="1"/>
  <c r="V187" i="4"/>
  <c r="V224" i="4" s="1"/>
  <c r="V290" i="4" s="1"/>
  <c r="V180" i="21"/>
  <c r="U225" i="4"/>
  <c r="U259" i="4" s="1"/>
  <c r="S304" i="10"/>
  <c r="V179" i="14"/>
  <c r="T273" i="21"/>
  <c r="W177" i="16"/>
  <c r="W223" i="16" s="1"/>
  <c r="X128" i="16"/>
  <c r="V181" i="14"/>
  <c r="W177" i="25"/>
  <c r="W180" i="25" s="1"/>
  <c r="V180" i="14"/>
  <c r="V223" i="14"/>
  <c r="V289" i="14" s="1"/>
  <c r="V237" i="14"/>
  <c r="V257" i="11"/>
  <c r="V180" i="11"/>
  <c r="V237" i="11"/>
  <c r="V271" i="11" s="1"/>
  <c r="U271" i="25"/>
  <c r="U289" i="16"/>
  <c r="U257" i="13"/>
  <c r="U303" i="10"/>
  <c r="U238" i="4"/>
  <c r="U272" i="4" s="1"/>
  <c r="U258" i="4"/>
  <c r="U225" i="14"/>
  <c r="U291" i="14" s="1"/>
  <c r="V180" i="13"/>
  <c r="T259" i="14"/>
  <c r="V200" i="4"/>
  <c r="V225" i="4" s="1"/>
  <c r="V271" i="4"/>
  <c r="V179" i="4"/>
  <c r="V181" i="4"/>
  <c r="V181" i="25"/>
  <c r="W176" i="21"/>
  <c r="W179" i="21" s="1"/>
  <c r="V223" i="25"/>
  <c r="V289" i="25" s="1"/>
  <c r="V180" i="25"/>
  <c r="V289" i="29"/>
  <c r="T185" i="13"/>
  <c r="T187" i="13" s="1"/>
  <c r="Q304" i="13"/>
  <c r="Q272" i="13"/>
  <c r="Q278" i="13" s="1"/>
  <c r="V237" i="13"/>
  <c r="V303" i="13" s="1"/>
  <c r="V289" i="4"/>
  <c r="W237" i="4"/>
  <c r="W303" i="4" s="1"/>
  <c r="T259" i="11"/>
  <c r="V307" i="14"/>
  <c r="AB307" i="14" s="1"/>
  <c r="X108" i="11"/>
  <c r="V237" i="10"/>
  <c r="V303" i="10" s="1"/>
  <c r="V179" i="16"/>
  <c r="V257" i="13"/>
  <c r="V289" i="13"/>
  <c r="U257" i="11"/>
  <c r="U289" i="11"/>
  <c r="X108" i="29"/>
  <c r="X177" i="29" s="1"/>
  <c r="X180" i="29" s="1"/>
  <c r="W237" i="29"/>
  <c r="W271" i="29" s="1"/>
  <c r="V303" i="29"/>
  <c r="U289" i="21"/>
  <c r="W223" i="29"/>
  <c r="W289" i="29" s="1"/>
  <c r="X107" i="21"/>
  <c r="X210" i="21" s="1"/>
  <c r="X214" i="21" s="1"/>
  <c r="X241" i="21" s="1"/>
  <c r="X108" i="25"/>
  <c r="W223" i="4"/>
  <c r="W257" i="4" s="1"/>
  <c r="U257" i="14"/>
  <c r="X108" i="14"/>
  <c r="W176" i="11"/>
  <c r="W179" i="11" s="1"/>
  <c r="W176" i="16"/>
  <c r="V180" i="10"/>
  <c r="V180" i="16"/>
  <c r="W108" i="10"/>
  <c r="W177" i="10" s="1"/>
  <c r="W180" i="10" s="1"/>
  <c r="X108" i="16"/>
  <c r="X107" i="13"/>
  <c r="X210" i="13" s="1"/>
  <c r="X214" i="13" s="1"/>
  <c r="X241" i="13" s="1"/>
  <c r="V223" i="16"/>
  <c r="V289" i="16" s="1"/>
  <c r="V181" i="16"/>
  <c r="W177" i="21"/>
  <c r="W223" i="21" s="1"/>
  <c r="X129" i="21"/>
  <c r="X175" i="11"/>
  <c r="W177" i="13"/>
  <c r="W237" i="13" s="1"/>
  <c r="X128" i="13"/>
  <c r="X129" i="16"/>
  <c r="X128" i="25"/>
  <c r="W177" i="14"/>
  <c r="W223" i="14" s="1"/>
  <c r="X175" i="16"/>
  <c r="W177" i="11"/>
  <c r="X128" i="14"/>
  <c r="W210" i="13"/>
  <c r="W214" i="13" s="1"/>
  <c r="W241" i="13" s="1"/>
  <c r="W176" i="13"/>
  <c r="W200" i="13" s="1"/>
  <c r="X175" i="13"/>
  <c r="V179" i="13"/>
  <c r="V181" i="13"/>
  <c r="T305" i="16"/>
  <c r="T273" i="16"/>
  <c r="U291" i="13"/>
  <c r="U259" i="13"/>
  <c r="Y100" i="16"/>
  <c r="Y99" i="16"/>
  <c r="Y94" i="16"/>
  <c r="Z91" i="16"/>
  <c r="Y98" i="16"/>
  <c r="R278" i="10"/>
  <c r="V214" i="10"/>
  <c r="V241" i="10" s="1"/>
  <c r="V176" i="10"/>
  <c r="V257" i="10"/>
  <c r="V289" i="10"/>
  <c r="X129" i="13"/>
  <c r="X108" i="13"/>
  <c r="Y91" i="10"/>
  <c r="X94" i="10"/>
  <c r="X175" i="10" s="1"/>
  <c r="X100" i="10"/>
  <c r="X98" i="10"/>
  <c r="X99" i="10"/>
  <c r="U187" i="10"/>
  <c r="U224" i="10" s="1"/>
  <c r="U179" i="10"/>
  <c r="U200" i="10"/>
  <c r="U181" i="10"/>
  <c r="S278" i="10"/>
  <c r="U273" i="13"/>
  <c r="U305" i="13"/>
  <c r="T238" i="10"/>
  <c r="T258" i="10"/>
  <c r="T290" i="10"/>
  <c r="Y115" i="13"/>
  <c r="Y120" i="13"/>
  <c r="Z112" i="13"/>
  <c r="Y119" i="13"/>
  <c r="Y121" i="13"/>
  <c r="Y98" i="13"/>
  <c r="Y99" i="13"/>
  <c r="Y100" i="13"/>
  <c r="Y94" i="13"/>
  <c r="Z91" i="13"/>
  <c r="U275" i="10"/>
  <c r="U307" i="10"/>
  <c r="Y120" i="16"/>
  <c r="Z112" i="16"/>
  <c r="Y121" i="16"/>
  <c r="Y115" i="16"/>
  <c r="Y119" i="16"/>
  <c r="X107" i="16"/>
  <c r="T239" i="10"/>
  <c r="T225" i="10"/>
  <c r="V303" i="16"/>
  <c r="V271" i="16"/>
  <c r="U239" i="16"/>
  <c r="U225" i="16"/>
  <c r="W107" i="10"/>
  <c r="V307" i="13"/>
  <c r="AB307" i="13" s="1"/>
  <c r="AB241" i="13"/>
  <c r="V275" i="13"/>
  <c r="AB275" i="13" s="1"/>
  <c r="W307" i="16"/>
  <c r="W275" i="16"/>
  <c r="T259" i="16"/>
  <c r="T291" i="16"/>
  <c r="V225" i="16"/>
  <c r="V239" i="16"/>
  <c r="W210" i="25"/>
  <c r="W214" i="25" s="1"/>
  <c r="W241" i="25" s="1"/>
  <c r="W176" i="25"/>
  <c r="V179" i="21"/>
  <c r="V181" i="21"/>
  <c r="Z112" i="21"/>
  <c r="Y120" i="21"/>
  <c r="Y115" i="21"/>
  <c r="Y121" i="21"/>
  <c r="Y119" i="21"/>
  <c r="U291" i="21"/>
  <c r="U259" i="21"/>
  <c r="V200" i="21"/>
  <c r="X175" i="25"/>
  <c r="Y99" i="21"/>
  <c r="Z91" i="21"/>
  <c r="Y94" i="21"/>
  <c r="Y100" i="21"/>
  <c r="Y98" i="21"/>
  <c r="AB241" i="21"/>
  <c r="V307" i="21"/>
  <c r="AB307" i="21" s="1"/>
  <c r="V275" i="21"/>
  <c r="AB275" i="21" s="1"/>
  <c r="X129" i="25"/>
  <c r="U305" i="21"/>
  <c r="U273" i="21"/>
  <c r="X107" i="25"/>
  <c r="X175" i="21"/>
  <c r="W307" i="21"/>
  <c r="W275" i="21"/>
  <c r="V179" i="25"/>
  <c r="U225" i="25"/>
  <c r="U239" i="25"/>
  <c r="Y121" i="25"/>
  <c r="Y115" i="25"/>
  <c r="Y120" i="25"/>
  <c r="Y119" i="25"/>
  <c r="Z112" i="25"/>
  <c r="V303" i="25"/>
  <c r="V271" i="25"/>
  <c r="V307" i="25"/>
  <c r="AB307" i="25" s="1"/>
  <c r="AB241" i="25"/>
  <c r="V275" i="25"/>
  <c r="AB275" i="25" s="1"/>
  <c r="X128" i="21"/>
  <c r="Z91" i="25"/>
  <c r="Y94" i="25"/>
  <c r="Y98" i="25"/>
  <c r="Y100" i="25"/>
  <c r="Y99" i="25"/>
  <c r="X108" i="21"/>
  <c r="V275" i="14"/>
  <c r="AB275" i="14" s="1"/>
  <c r="X107" i="4"/>
  <c r="X214" i="4" s="1"/>
  <c r="X241" i="4" s="1"/>
  <c r="W307" i="11"/>
  <c r="W275" i="11"/>
  <c r="X128" i="11"/>
  <c r="X107" i="14"/>
  <c r="Y119" i="11"/>
  <c r="Y115" i="11"/>
  <c r="Y121" i="11"/>
  <c r="Z112" i="11"/>
  <c r="Y120" i="11"/>
  <c r="AB241" i="11"/>
  <c r="V275" i="11"/>
  <c r="V307" i="11"/>
  <c r="W210" i="14"/>
  <c r="W214" i="14" s="1"/>
  <c r="W241" i="14" s="1"/>
  <c r="W176" i="14"/>
  <c r="X175" i="14"/>
  <c r="U273" i="14"/>
  <c r="U305" i="14"/>
  <c r="Y100" i="11"/>
  <c r="Z91" i="11"/>
  <c r="Y99" i="11"/>
  <c r="Y94" i="11"/>
  <c r="Y98" i="11"/>
  <c r="U239" i="11"/>
  <c r="U225" i="11"/>
  <c r="V179" i="11"/>
  <c r="V181" i="11"/>
  <c r="X129" i="14"/>
  <c r="Z112" i="14"/>
  <c r="Y120" i="14"/>
  <c r="Y115" i="14"/>
  <c r="Y121" i="14"/>
  <c r="Y119" i="14"/>
  <c r="Y94" i="14"/>
  <c r="Z91" i="14"/>
  <c r="Y99" i="14"/>
  <c r="Y100" i="14"/>
  <c r="Y98" i="14"/>
  <c r="X107" i="11"/>
  <c r="X129" i="11"/>
  <c r="Q290" i="25"/>
  <c r="Q258" i="25"/>
  <c r="Q264" i="25" s="1"/>
  <c r="Q265" i="25" s="1"/>
  <c r="Q276" i="25" s="1"/>
  <c r="Q277" i="25" s="1"/>
  <c r="Q238" i="25"/>
  <c r="Y100" i="29"/>
  <c r="Z91" i="29"/>
  <c r="Y99" i="29"/>
  <c r="Y94" i="29"/>
  <c r="Y175" i="29" s="1"/>
  <c r="Y98" i="29"/>
  <c r="V200" i="29"/>
  <c r="V187" i="29"/>
  <c r="V224" i="29" s="1"/>
  <c r="V179" i="29"/>
  <c r="V181" i="29"/>
  <c r="S185" i="25"/>
  <c r="R224" i="25"/>
  <c r="P272" i="25"/>
  <c r="P278" i="25" s="1"/>
  <c r="P304" i="25"/>
  <c r="U239" i="29"/>
  <c r="U225" i="29"/>
  <c r="W176" i="29"/>
  <c r="W214" i="29"/>
  <c r="W241" i="29" s="1"/>
  <c r="V275" i="29"/>
  <c r="V307" i="29"/>
  <c r="T272" i="29"/>
  <c r="T304" i="29"/>
  <c r="T305" i="29"/>
  <c r="T273" i="29"/>
  <c r="X107" i="29"/>
  <c r="T259" i="29"/>
  <c r="T264" i="29" s="1"/>
  <c r="T265" i="29" s="1"/>
  <c r="T276" i="29" s="1"/>
  <c r="T277" i="29" s="1"/>
  <c r="T291" i="29"/>
  <c r="U290" i="29"/>
  <c r="U238" i="29"/>
  <c r="U258" i="29"/>
  <c r="X108" i="4"/>
  <c r="X177" i="4" s="1"/>
  <c r="W176" i="4"/>
  <c r="W214" i="4"/>
  <c r="W241" i="4" s="1"/>
  <c r="Q290" i="11"/>
  <c r="Q238" i="11"/>
  <c r="Q258" i="11"/>
  <c r="Q264" i="11" s="1"/>
  <c r="Q265" i="11" s="1"/>
  <c r="Q276" i="11" s="1"/>
  <c r="Q277" i="11" s="1"/>
  <c r="P304" i="11"/>
  <c r="P272" i="11"/>
  <c r="P278" i="11" s="1"/>
  <c r="T272" i="4"/>
  <c r="T304" i="4"/>
  <c r="S185" i="11"/>
  <c r="R224" i="11"/>
  <c r="T291" i="4"/>
  <c r="T259" i="4"/>
  <c r="T264" i="4" s="1"/>
  <c r="T265" i="4" s="1"/>
  <c r="T276" i="4" s="1"/>
  <c r="T277" i="4" s="1"/>
  <c r="Y94" i="4"/>
  <c r="Y175" i="4" s="1"/>
  <c r="Y100" i="4"/>
  <c r="Y99" i="4"/>
  <c r="Y98" i="4"/>
  <c r="Z91" i="4"/>
  <c r="T305" i="4"/>
  <c r="T273" i="4"/>
  <c r="Y128" i="83" l="1"/>
  <c r="Y176" i="83" s="1"/>
  <c r="W271" i="83"/>
  <c r="W303" i="83"/>
  <c r="Y200" i="83"/>
  <c r="W289" i="83"/>
  <c r="W257" i="83"/>
  <c r="AA112" i="82"/>
  <c r="Z120" i="82"/>
  <c r="Z129" i="82" s="1"/>
  <c r="Z177" i="82" s="1"/>
  <c r="Z121" i="82"/>
  <c r="Z115" i="82"/>
  <c r="Z175" i="82" s="1"/>
  <c r="Z119" i="82"/>
  <c r="V272" i="83"/>
  <c r="V304" i="83"/>
  <c r="Y200" i="82"/>
  <c r="X271" i="82"/>
  <c r="X303" i="82"/>
  <c r="X187" i="83"/>
  <c r="X224" i="83" s="1"/>
  <c r="X179" i="83"/>
  <c r="Y128" i="82"/>
  <c r="Y176" i="82" s="1"/>
  <c r="Y179" i="82" s="1"/>
  <c r="Z115" i="83"/>
  <c r="Z175" i="83" s="1"/>
  <c r="AA112" i="83"/>
  <c r="Z120" i="83"/>
  <c r="Z121" i="83"/>
  <c r="Z119" i="83"/>
  <c r="Z129" i="83" s="1"/>
  <c r="Z177" i="83" s="1"/>
  <c r="W272" i="83"/>
  <c r="W304" i="83"/>
  <c r="X200" i="83"/>
  <c r="X289" i="82"/>
  <c r="X257" i="82"/>
  <c r="X257" i="83"/>
  <c r="X289" i="83"/>
  <c r="V291" i="83"/>
  <c r="V259" i="83"/>
  <c r="V264" i="83" s="1"/>
  <c r="V265" i="83" s="1"/>
  <c r="V276" i="83" s="1"/>
  <c r="X200" i="82"/>
  <c r="X179" i="82"/>
  <c r="W291" i="83"/>
  <c r="W259" i="83"/>
  <c r="W264" i="83" s="1"/>
  <c r="W265" i="83" s="1"/>
  <c r="W276" i="83" s="1"/>
  <c r="W277" i="83" s="1"/>
  <c r="X181" i="82"/>
  <c r="V305" i="83"/>
  <c r="V273" i="83"/>
  <c r="W305" i="82"/>
  <c r="W273" i="82"/>
  <c r="W305" i="83"/>
  <c r="W273" i="83"/>
  <c r="Y179" i="83"/>
  <c r="Y187" i="83"/>
  <c r="Y224" i="83" s="1"/>
  <c r="Y129" i="82"/>
  <c r="Y177" i="82" s="1"/>
  <c r="Y129" i="83"/>
  <c r="Y177" i="83" s="1"/>
  <c r="W291" i="82"/>
  <c r="W259" i="82"/>
  <c r="X271" i="83"/>
  <c r="X303" i="83"/>
  <c r="Z186" i="83"/>
  <c r="T186" i="25"/>
  <c r="S187" i="25"/>
  <c r="W200" i="25"/>
  <c r="W200" i="11"/>
  <c r="V303" i="14"/>
  <c r="Z186" i="13"/>
  <c r="R290" i="13"/>
  <c r="R258" i="13"/>
  <c r="R264" i="13" s="1"/>
  <c r="R265" i="13" s="1"/>
  <c r="R276" i="13" s="1"/>
  <c r="R277" i="13" s="1"/>
  <c r="S187" i="11"/>
  <c r="S224" i="11" s="1"/>
  <c r="T186" i="11"/>
  <c r="S224" i="13"/>
  <c r="S238" i="13" s="1"/>
  <c r="V225" i="14"/>
  <c r="V259" i="14" s="1"/>
  <c r="V273" i="14"/>
  <c r="U264" i="4"/>
  <c r="U265" i="4" s="1"/>
  <c r="U276" i="4" s="1"/>
  <c r="U277" i="4" s="1"/>
  <c r="U291" i="4"/>
  <c r="V271" i="21"/>
  <c r="V238" i="4"/>
  <c r="AB238" i="4" s="1"/>
  <c r="V258" i="4"/>
  <c r="W237" i="16"/>
  <c r="W303" i="16" s="1"/>
  <c r="W180" i="16"/>
  <c r="W181" i="16"/>
  <c r="W200" i="16"/>
  <c r="W239" i="16" s="1"/>
  <c r="W273" i="16" s="1"/>
  <c r="W200" i="21"/>
  <c r="W225" i="21" s="1"/>
  <c r="V271" i="14"/>
  <c r="W223" i="25"/>
  <c r="W257" i="25" s="1"/>
  <c r="W237" i="25"/>
  <c r="W303" i="25" s="1"/>
  <c r="Y175" i="14"/>
  <c r="V257" i="14"/>
  <c r="V257" i="25"/>
  <c r="V303" i="11"/>
  <c r="W223" i="13"/>
  <c r="W289" i="13" s="1"/>
  <c r="X177" i="21"/>
  <c r="X237" i="21" s="1"/>
  <c r="X177" i="13"/>
  <c r="X237" i="13" s="1"/>
  <c r="X177" i="16"/>
  <c r="X180" i="16" s="1"/>
  <c r="U304" i="4"/>
  <c r="U259" i="14"/>
  <c r="W237" i="10"/>
  <c r="W271" i="10" s="1"/>
  <c r="V271" i="10"/>
  <c r="V239" i="4"/>
  <c r="V305" i="4" s="1"/>
  <c r="W180" i="14"/>
  <c r="W271" i="4"/>
  <c r="W237" i="14"/>
  <c r="W303" i="14" s="1"/>
  <c r="X237" i="29"/>
  <c r="X303" i="29" s="1"/>
  <c r="W180" i="21"/>
  <c r="Y108" i="21"/>
  <c r="W223" i="10"/>
  <c r="W257" i="10" s="1"/>
  <c r="V271" i="13"/>
  <c r="W180" i="13"/>
  <c r="R304" i="13"/>
  <c r="R272" i="13"/>
  <c r="U185" i="13"/>
  <c r="U187" i="13" s="1"/>
  <c r="W239" i="11"/>
  <c r="W181" i="11"/>
  <c r="W289" i="4"/>
  <c r="X177" i="11"/>
  <c r="X223" i="11" s="1"/>
  <c r="W180" i="11"/>
  <c r="W179" i="16"/>
  <c r="X176" i="13"/>
  <c r="X200" i="13" s="1"/>
  <c r="X108" i="10"/>
  <c r="X177" i="10" s="1"/>
  <c r="X223" i="10" s="1"/>
  <c r="W223" i="11"/>
  <c r="W289" i="11" s="1"/>
  <c r="X223" i="29"/>
  <c r="X289" i="29" s="1"/>
  <c r="W257" i="29"/>
  <c r="W303" i="29"/>
  <c r="X177" i="25"/>
  <c r="X180" i="25" s="1"/>
  <c r="X176" i="21"/>
  <c r="X179" i="21" s="1"/>
  <c r="Y108" i="25"/>
  <c r="W237" i="21"/>
  <c r="W303" i="21" s="1"/>
  <c r="Y107" i="21"/>
  <c r="Y210" i="21" s="1"/>
  <c r="Y214" i="21" s="1"/>
  <c r="Y241" i="21" s="1"/>
  <c r="Y107" i="14"/>
  <c r="Y210" i="14" s="1"/>
  <c r="Y214" i="14" s="1"/>
  <c r="Y241" i="14" s="1"/>
  <c r="X177" i="14"/>
  <c r="X237" i="14" s="1"/>
  <c r="V257" i="16"/>
  <c r="W181" i="13"/>
  <c r="Y107" i="16"/>
  <c r="Y210" i="16" s="1"/>
  <c r="Y214" i="16" s="1"/>
  <c r="Y241" i="16" s="1"/>
  <c r="X107" i="10"/>
  <c r="X176" i="10" s="1"/>
  <c r="X200" i="10" s="1"/>
  <c r="W181" i="21"/>
  <c r="W237" i="11"/>
  <c r="W303" i="11" s="1"/>
  <c r="Y129" i="16"/>
  <c r="Y175" i="25"/>
  <c r="Y129" i="13"/>
  <c r="Y128" i="16"/>
  <c r="Y128" i="25"/>
  <c r="V273" i="16"/>
  <c r="V305" i="16"/>
  <c r="X210" i="16"/>
  <c r="X214" i="16" s="1"/>
  <c r="X241" i="16" s="1"/>
  <c r="X176" i="16"/>
  <c r="Z100" i="13"/>
  <c r="Z94" i="13"/>
  <c r="AA91" i="13"/>
  <c r="Z98" i="13"/>
  <c r="Z99" i="13"/>
  <c r="Y107" i="13"/>
  <c r="Y175" i="16"/>
  <c r="V259" i="16"/>
  <c r="V291" i="16"/>
  <c r="U259" i="16"/>
  <c r="U291" i="16"/>
  <c r="Y175" i="13"/>
  <c r="Y128" i="13"/>
  <c r="T304" i="10"/>
  <c r="T272" i="10"/>
  <c r="U238" i="10"/>
  <c r="U290" i="10"/>
  <c r="U258" i="10"/>
  <c r="Z91" i="10"/>
  <c r="Y100" i="10"/>
  <c r="Y94" i="10"/>
  <c r="Y175" i="10" s="1"/>
  <c r="Y99" i="10"/>
  <c r="Y98" i="10"/>
  <c r="V187" i="10"/>
  <c r="V224" i="10" s="1"/>
  <c r="V179" i="10"/>
  <c r="V181" i="10"/>
  <c r="V200" i="10"/>
  <c r="Y108" i="16"/>
  <c r="W179" i="13"/>
  <c r="W214" i="10"/>
  <c r="W241" i="10" s="1"/>
  <c r="W176" i="10"/>
  <c r="U305" i="16"/>
  <c r="U273" i="16"/>
  <c r="T291" i="10"/>
  <c r="T259" i="10"/>
  <c r="T264" i="10" s="1"/>
  <c r="T265" i="10" s="1"/>
  <c r="T276" i="10" s="1"/>
  <c r="T277" i="10" s="1"/>
  <c r="W303" i="13"/>
  <c r="W271" i="13"/>
  <c r="Z121" i="16"/>
  <c r="AA112" i="16"/>
  <c r="Z115" i="16"/>
  <c r="Z120" i="16"/>
  <c r="Z119" i="16"/>
  <c r="X307" i="13"/>
  <c r="X275" i="13"/>
  <c r="Z120" i="13"/>
  <c r="Z115" i="13"/>
  <c r="Z119" i="13"/>
  <c r="Z121" i="13"/>
  <c r="AA112" i="13"/>
  <c r="V307" i="10"/>
  <c r="V275" i="10"/>
  <c r="V225" i="13"/>
  <c r="V239" i="13"/>
  <c r="W275" i="13"/>
  <c r="W307" i="13"/>
  <c r="T305" i="10"/>
  <c r="T273" i="10"/>
  <c r="Y108" i="13"/>
  <c r="U225" i="10"/>
  <c r="U239" i="10"/>
  <c r="W289" i="16"/>
  <c r="W257" i="16"/>
  <c r="Z99" i="16"/>
  <c r="AA91" i="16"/>
  <c r="Z100" i="16"/>
  <c r="Z94" i="16"/>
  <c r="Z98" i="16"/>
  <c r="W257" i="21"/>
  <c r="W289" i="21"/>
  <c r="U305" i="25"/>
  <c r="U273" i="25"/>
  <c r="W275" i="25"/>
  <c r="W307" i="25"/>
  <c r="Y107" i="25"/>
  <c r="Z119" i="25"/>
  <c r="Z115" i="25"/>
  <c r="Z120" i="25"/>
  <c r="AA112" i="25"/>
  <c r="Z121" i="25"/>
  <c r="V225" i="25"/>
  <c r="V239" i="25"/>
  <c r="X210" i="25"/>
  <c r="X214" i="25" s="1"/>
  <c r="X241" i="25" s="1"/>
  <c r="X176" i="25"/>
  <c r="X200" i="25" s="1"/>
  <c r="Y175" i="21"/>
  <c r="X275" i="21"/>
  <c r="X307" i="21"/>
  <c r="V239" i="21"/>
  <c r="V225" i="21"/>
  <c r="Y128" i="21"/>
  <c r="Z121" i="21"/>
  <c r="Z120" i="21"/>
  <c r="Z115" i="21"/>
  <c r="AA112" i="21"/>
  <c r="Z119" i="21"/>
  <c r="AA91" i="21"/>
  <c r="Z99" i="21"/>
  <c r="Z94" i="21"/>
  <c r="Z100" i="21"/>
  <c r="Z98" i="21"/>
  <c r="W179" i="25"/>
  <c r="W181" i="25"/>
  <c r="Z98" i="25"/>
  <c r="Z94" i="25"/>
  <c r="Z99" i="25"/>
  <c r="Z100" i="25"/>
  <c r="AA91" i="25"/>
  <c r="U291" i="25"/>
  <c r="U259" i="25"/>
  <c r="Y107" i="29"/>
  <c r="Y176" i="29" s="1"/>
  <c r="Y200" i="29" s="1"/>
  <c r="Y129" i="25"/>
  <c r="Y129" i="21"/>
  <c r="X176" i="4"/>
  <c r="Y175" i="11"/>
  <c r="Y128" i="11"/>
  <c r="X210" i="11"/>
  <c r="X214" i="11" s="1"/>
  <c r="X241" i="11" s="1"/>
  <c r="X176" i="11"/>
  <c r="X200" i="11" s="1"/>
  <c r="Z121" i="11"/>
  <c r="Z115" i="11"/>
  <c r="Z119" i="11"/>
  <c r="AA112" i="11"/>
  <c r="Z120" i="11"/>
  <c r="Y107" i="4"/>
  <c r="Y176" i="4" s="1"/>
  <c r="Y108" i="14"/>
  <c r="Z99" i="14"/>
  <c r="Z94" i="14"/>
  <c r="AA91" i="14"/>
  <c r="Z100" i="14"/>
  <c r="Z98" i="14"/>
  <c r="Y128" i="14"/>
  <c r="Z120" i="14"/>
  <c r="AA112" i="14"/>
  <c r="Z115" i="14"/>
  <c r="Z121" i="14"/>
  <c r="Z119" i="14"/>
  <c r="U305" i="11"/>
  <c r="U273" i="11"/>
  <c r="Y107" i="11"/>
  <c r="Y129" i="11"/>
  <c r="W179" i="14"/>
  <c r="W200" i="14"/>
  <c r="W257" i="14"/>
  <c r="W289" i="14"/>
  <c r="V225" i="11"/>
  <c r="V239" i="11"/>
  <c r="W275" i="14"/>
  <c r="W307" i="14"/>
  <c r="W181" i="14"/>
  <c r="X210" i="14"/>
  <c r="X214" i="14" s="1"/>
  <c r="X241" i="14" s="1"/>
  <c r="X176" i="14"/>
  <c r="T278" i="4"/>
  <c r="Y129" i="14"/>
  <c r="U291" i="11"/>
  <c r="U259" i="11"/>
  <c r="Y108" i="11"/>
  <c r="Z94" i="11"/>
  <c r="Z100" i="11"/>
  <c r="AA91" i="11"/>
  <c r="Z99" i="11"/>
  <c r="Z98" i="11"/>
  <c r="U273" i="29"/>
  <c r="U305" i="29"/>
  <c r="R238" i="25"/>
  <c r="R258" i="25"/>
  <c r="R264" i="25" s="1"/>
  <c r="R265" i="25" s="1"/>
  <c r="R276" i="25" s="1"/>
  <c r="R277" i="25" s="1"/>
  <c r="R290" i="25"/>
  <c r="V258" i="29"/>
  <c r="V290" i="29"/>
  <c r="V238" i="29"/>
  <c r="W307" i="29"/>
  <c r="W275" i="29"/>
  <c r="T185" i="25"/>
  <c r="S224" i="25"/>
  <c r="V239" i="29"/>
  <c r="V225" i="29"/>
  <c r="Q304" i="25"/>
  <c r="Q272" i="25"/>
  <c r="Q278" i="25" s="1"/>
  <c r="W187" i="29"/>
  <c r="W224" i="29" s="1"/>
  <c r="W179" i="29"/>
  <c r="W200" i="29"/>
  <c r="W181" i="29"/>
  <c r="U304" i="29"/>
  <c r="U272" i="29"/>
  <c r="X176" i="29"/>
  <c r="X214" i="29"/>
  <c r="X241" i="29" s="1"/>
  <c r="T278" i="29"/>
  <c r="U291" i="29"/>
  <c r="U259" i="29"/>
  <c r="U264" i="29" s="1"/>
  <c r="U265" i="29" s="1"/>
  <c r="U276" i="29" s="1"/>
  <c r="U277" i="29" s="1"/>
  <c r="Y108" i="29"/>
  <c r="Y177" i="29" s="1"/>
  <c r="Z94" i="29"/>
  <c r="Z175" i="29" s="1"/>
  <c r="AA91" i="29"/>
  <c r="Z99" i="29"/>
  <c r="Z98" i="29"/>
  <c r="Z100" i="29"/>
  <c r="W179" i="4"/>
  <c r="W187" i="4"/>
  <c r="W224" i="4" s="1"/>
  <c r="W200" i="4"/>
  <c r="W181" i="4"/>
  <c r="V259" i="4"/>
  <c r="V291" i="4"/>
  <c r="Y108" i="4"/>
  <c r="Y177" i="4" s="1"/>
  <c r="X307" i="4"/>
  <c r="X275" i="4"/>
  <c r="R258" i="11"/>
  <c r="R264" i="11" s="1"/>
  <c r="R265" i="11" s="1"/>
  <c r="R276" i="11" s="1"/>
  <c r="R277" i="11" s="1"/>
  <c r="R290" i="11"/>
  <c r="R238" i="11"/>
  <c r="X180" i="4"/>
  <c r="X237" i="4"/>
  <c r="X223" i="4"/>
  <c r="Z98" i="4"/>
  <c r="Z100" i="4"/>
  <c r="AA91" i="4"/>
  <c r="Z99" i="4"/>
  <c r="Z94" i="4"/>
  <c r="Z175" i="4" s="1"/>
  <c r="T185" i="11"/>
  <c r="Q304" i="11"/>
  <c r="Q272" i="11"/>
  <c r="Q278" i="11" s="1"/>
  <c r="W275" i="4"/>
  <c r="W307" i="4"/>
  <c r="Z223" i="83" l="1"/>
  <c r="Z237" i="83"/>
  <c r="Z180" i="83"/>
  <c r="Z180" i="82"/>
  <c r="Z237" i="82"/>
  <c r="Z223" i="82"/>
  <c r="Y225" i="82"/>
  <c r="Y239" i="82"/>
  <c r="AA186" i="83"/>
  <c r="AA121" i="83"/>
  <c r="AA119" i="83"/>
  <c r="AA115" i="83"/>
  <c r="AA175" i="83" s="1"/>
  <c r="AA120" i="83"/>
  <c r="AA121" i="82"/>
  <c r="AA119" i="82"/>
  <c r="AA129" i="82" s="1"/>
  <c r="AA177" i="82" s="1"/>
  <c r="AA115" i="82"/>
  <c r="AA175" i="82" s="1"/>
  <c r="AA120" i="82"/>
  <c r="X225" i="83"/>
  <c r="X239" i="83"/>
  <c r="X239" i="82"/>
  <c r="X225" i="82"/>
  <c r="Y223" i="83"/>
  <c r="Y237" i="83"/>
  <c r="Y181" i="83"/>
  <c r="Y180" i="83"/>
  <c r="V277" i="83"/>
  <c r="V278" i="83" s="1"/>
  <c r="Y239" i="83"/>
  <c r="Y225" i="83"/>
  <c r="Y223" i="82"/>
  <c r="Y180" i="82"/>
  <c r="Y181" i="82"/>
  <c r="Y237" i="82"/>
  <c r="X290" i="83"/>
  <c r="X258" i="83"/>
  <c r="X238" i="83"/>
  <c r="Z128" i="82"/>
  <c r="Z176" i="82" s="1"/>
  <c r="Z181" i="82" s="1"/>
  <c r="Y258" i="83"/>
  <c r="Y290" i="83"/>
  <c r="Y238" i="83"/>
  <c r="Z128" i="83"/>
  <c r="Z176" i="83" s="1"/>
  <c r="W278" i="83"/>
  <c r="U186" i="25"/>
  <c r="T187" i="25"/>
  <c r="R278" i="13"/>
  <c r="AA186" i="13"/>
  <c r="X179" i="13"/>
  <c r="T187" i="11"/>
  <c r="U186" i="11"/>
  <c r="S258" i="13"/>
  <c r="S264" i="13" s="1"/>
  <c r="S265" i="13" s="1"/>
  <c r="S276" i="13" s="1"/>
  <c r="S277" i="13" s="1"/>
  <c r="S290" i="13"/>
  <c r="T224" i="13"/>
  <c r="T258" i="13" s="1"/>
  <c r="T264" i="13" s="1"/>
  <c r="T265" i="13" s="1"/>
  <c r="T276" i="13" s="1"/>
  <c r="T277" i="13" s="1"/>
  <c r="V291" i="14"/>
  <c r="U278" i="4"/>
  <c r="W225" i="16"/>
  <c r="W291" i="16" s="1"/>
  <c r="V264" i="4"/>
  <c r="V265" i="4" s="1"/>
  <c r="V276" i="4" s="1"/>
  <c r="V277" i="4" s="1"/>
  <c r="W271" i="16"/>
  <c r="V272" i="4"/>
  <c r="AB272" i="4" s="1"/>
  <c r="V304" i="4"/>
  <c r="X179" i="4"/>
  <c r="W305" i="16"/>
  <c r="W239" i="21"/>
  <c r="W305" i="21" s="1"/>
  <c r="X237" i="16"/>
  <c r="X271" i="16" s="1"/>
  <c r="W289" i="25"/>
  <c r="W271" i="25"/>
  <c r="Z129" i="11"/>
  <c r="Z175" i="21"/>
  <c r="Z175" i="25"/>
  <c r="W257" i="13"/>
  <c r="X223" i="21"/>
  <c r="X289" i="21" s="1"/>
  <c r="X180" i="21"/>
  <c r="W303" i="10"/>
  <c r="W289" i="10"/>
  <c r="Y177" i="16"/>
  <c r="Y223" i="16" s="1"/>
  <c r="X223" i="16"/>
  <c r="X289" i="16" s="1"/>
  <c r="X214" i="10"/>
  <c r="X241" i="10" s="1"/>
  <c r="X307" i="10" s="1"/>
  <c r="V273" i="4"/>
  <c r="X225" i="13"/>
  <c r="X180" i="13"/>
  <c r="X181" i="13"/>
  <c r="X223" i="13"/>
  <c r="X289" i="13" s="1"/>
  <c r="X237" i="25"/>
  <c r="X271" i="25" s="1"/>
  <c r="X237" i="10"/>
  <c r="X303" i="10" s="1"/>
  <c r="W225" i="11"/>
  <c r="W259" i="11" s="1"/>
  <c r="W257" i="11"/>
  <c r="Y176" i="14"/>
  <c r="W271" i="14"/>
  <c r="X180" i="14"/>
  <c r="X237" i="11"/>
  <c r="X271" i="11" s="1"/>
  <c r="X271" i="29"/>
  <c r="Y177" i="21"/>
  <c r="Y223" i="21" s="1"/>
  <c r="X200" i="21"/>
  <c r="X225" i="21" s="1"/>
  <c r="S304" i="13"/>
  <c r="S272" i="13"/>
  <c r="X180" i="10"/>
  <c r="V185" i="13"/>
  <c r="V187" i="13" s="1"/>
  <c r="X223" i="14"/>
  <c r="X289" i="14" s="1"/>
  <c r="X180" i="11"/>
  <c r="Y214" i="4"/>
  <c r="Y241" i="4" s="1"/>
  <c r="Y275" i="4" s="1"/>
  <c r="Z108" i="14"/>
  <c r="X257" i="29"/>
  <c r="W271" i="11"/>
  <c r="X181" i="21"/>
  <c r="X181" i="25"/>
  <c r="Y176" i="21"/>
  <c r="Y179" i="21" s="1"/>
  <c r="Y177" i="25"/>
  <c r="Y180" i="25" s="1"/>
  <c r="X223" i="25"/>
  <c r="X289" i="25" s="1"/>
  <c r="Z107" i="21"/>
  <c r="Z210" i="21" s="1"/>
  <c r="Z214" i="21" s="1"/>
  <c r="Z241" i="21" s="1"/>
  <c r="W271" i="21"/>
  <c r="Y214" i="29"/>
  <c r="Y241" i="29" s="1"/>
  <c r="Y275" i="29" s="1"/>
  <c r="Z108" i="25"/>
  <c r="Y108" i="10"/>
  <c r="Y177" i="10" s="1"/>
  <c r="Y180" i="10" s="1"/>
  <c r="Z108" i="16"/>
  <c r="Y176" i="16"/>
  <c r="Y200" i="16" s="1"/>
  <c r="U278" i="29"/>
  <c r="X200" i="4"/>
  <c r="X225" i="4" s="1"/>
  <c r="X187" i="4"/>
  <c r="X224" i="4" s="1"/>
  <c r="X290" i="4" s="1"/>
  <c r="X181" i="4"/>
  <c r="Z175" i="16"/>
  <c r="Y177" i="13"/>
  <c r="Y180" i="13" s="1"/>
  <c r="Z129" i="16"/>
  <c r="Z129" i="13"/>
  <c r="Z128" i="25"/>
  <c r="Z128" i="21"/>
  <c r="AA99" i="16"/>
  <c r="AA100" i="16"/>
  <c r="AA94" i="16"/>
  <c r="AA98" i="16"/>
  <c r="U305" i="10"/>
  <c r="U273" i="10"/>
  <c r="X303" i="13"/>
  <c r="X271" i="13"/>
  <c r="AA121" i="16"/>
  <c r="AA120" i="16"/>
  <c r="AA115" i="16"/>
  <c r="AA119" i="16"/>
  <c r="W179" i="10"/>
  <c r="W187" i="10"/>
  <c r="W224" i="10" s="1"/>
  <c r="W200" i="10"/>
  <c r="W181" i="10"/>
  <c r="V238" i="10"/>
  <c r="V258" i="10"/>
  <c r="V290" i="10"/>
  <c r="Z107" i="16"/>
  <c r="U291" i="10"/>
  <c r="U259" i="10"/>
  <c r="U264" i="10" s="1"/>
  <c r="U265" i="10" s="1"/>
  <c r="U276" i="10" s="1"/>
  <c r="U277" i="10" s="1"/>
  <c r="V305" i="13"/>
  <c r="V273" i="13"/>
  <c r="AA120" i="13"/>
  <c r="AA119" i="13"/>
  <c r="AA115" i="13"/>
  <c r="AA121" i="13"/>
  <c r="Z128" i="16"/>
  <c r="W275" i="10"/>
  <c r="W307" i="10"/>
  <c r="V239" i="10"/>
  <c r="V225" i="10"/>
  <c r="Y210" i="13"/>
  <c r="Y214" i="13" s="1"/>
  <c r="Y241" i="13" s="1"/>
  <c r="Y176" i="13"/>
  <c r="Y200" i="13" s="1"/>
  <c r="Z107" i="13"/>
  <c r="X179" i="16"/>
  <c r="X200" i="16"/>
  <c r="X181" i="16"/>
  <c r="V291" i="13"/>
  <c r="V259" i="13"/>
  <c r="U304" i="10"/>
  <c r="U272" i="10"/>
  <c r="X239" i="10"/>
  <c r="X225" i="10"/>
  <c r="X257" i="10"/>
  <c r="X289" i="10"/>
  <c r="AA94" i="13"/>
  <c r="AA99" i="13"/>
  <c r="AA100" i="13"/>
  <c r="AA98" i="13"/>
  <c r="X307" i="16"/>
  <c r="X275" i="16"/>
  <c r="Y275" i="16"/>
  <c r="Y307" i="16"/>
  <c r="X179" i="10"/>
  <c r="X187" i="10"/>
  <c r="X224" i="10" s="1"/>
  <c r="Z128" i="13"/>
  <c r="W239" i="13"/>
  <c r="W225" i="13"/>
  <c r="Y107" i="10"/>
  <c r="AA91" i="10"/>
  <c r="Z94" i="10"/>
  <c r="Z175" i="10" s="1"/>
  <c r="Z99" i="10"/>
  <c r="Z98" i="10"/>
  <c r="Z100" i="10"/>
  <c r="T278" i="10"/>
  <c r="X181" i="10"/>
  <c r="Z108" i="13"/>
  <c r="Z175" i="13"/>
  <c r="X275" i="25"/>
  <c r="X307" i="25"/>
  <c r="AA115" i="25"/>
  <c r="AA121" i="25"/>
  <c r="AA120" i="25"/>
  <c r="AA119" i="25"/>
  <c r="Z129" i="21"/>
  <c r="V273" i="21"/>
  <c r="V305" i="21"/>
  <c r="X179" i="25"/>
  <c r="Z129" i="25"/>
  <c r="Y210" i="25"/>
  <c r="Y214" i="25" s="1"/>
  <c r="Y241" i="25" s="1"/>
  <c r="Y176" i="25"/>
  <c r="Y275" i="21"/>
  <c r="Y307" i="21"/>
  <c r="X271" i="21"/>
  <c r="X303" i="21"/>
  <c r="AA115" i="21"/>
  <c r="AA120" i="21"/>
  <c r="AA121" i="21"/>
  <c r="AA119" i="21"/>
  <c r="V273" i="25"/>
  <c r="V305" i="25"/>
  <c r="Z107" i="29"/>
  <c r="Z176" i="29" s="1"/>
  <c r="AA99" i="25"/>
  <c r="AA100" i="25"/>
  <c r="AA94" i="25"/>
  <c r="AA98" i="25"/>
  <c r="Z107" i="25"/>
  <c r="W225" i="25"/>
  <c r="W239" i="25"/>
  <c r="Z108" i="21"/>
  <c r="AA99" i="21"/>
  <c r="AA100" i="21"/>
  <c r="AA94" i="21"/>
  <c r="AA98" i="21"/>
  <c r="V291" i="21"/>
  <c r="V259" i="21"/>
  <c r="V259" i="25"/>
  <c r="V291" i="25"/>
  <c r="W291" i="21"/>
  <c r="W259" i="21"/>
  <c r="Z128" i="14"/>
  <c r="Z128" i="11"/>
  <c r="Z107" i="4"/>
  <c r="Z176" i="4" s="1"/>
  <c r="Z107" i="11"/>
  <c r="Z175" i="11"/>
  <c r="W273" i="11"/>
  <c r="W305" i="11"/>
  <c r="X179" i="14"/>
  <c r="Y177" i="14"/>
  <c r="AA119" i="11"/>
  <c r="AA121" i="11"/>
  <c r="AA120" i="11"/>
  <c r="AA115" i="11"/>
  <c r="X181" i="14"/>
  <c r="Y177" i="11"/>
  <c r="X275" i="14"/>
  <c r="X307" i="14"/>
  <c r="V305" i="11"/>
  <c r="V273" i="11"/>
  <c r="Z129" i="14"/>
  <c r="AA115" i="14"/>
  <c r="AA119" i="14"/>
  <c r="AA120" i="14"/>
  <c r="AA121" i="14"/>
  <c r="AA94" i="14"/>
  <c r="AA100" i="14"/>
  <c r="AA99" i="14"/>
  <c r="AA98" i="14"/>
  <c r="AA99" i="11"/>
  <c r="AA94" i="11"/>
  <c r="AA100" i="11"/>
  <c r="AA98" i="11"/>
  <c r="V291" i="11"/>
  <c r="V259" i="11"/>
  <c r="W225" i="14"/>
  <c r="W239" i="14"/>
  <c r="X200" i="14"/>
  <c r="Y210" i="11"/>
  <c r="Y214" i="11" s="1"/>
  <c r="Y241" i="11" s="1"/>
  <c r="Y176" i="11"/>
  <c r="Y200" i="11" s="1"/>
  <c r="Z175" i="14"/>
  <c r="X179" i="11"/>
  <c r="X271" i="14"/>
  <c r="X303" i="14"/>
  <c r="X181" i="11"/>
  <c r="Z108" i="11"/>
  <c r="Y307" i="14"/>
  <c r="Y275" i="14"/>
  <c r="Z107" i="14"/>
  <c r="X307" i="11"/>
  <c r="X275" i="11"/>
  <c r="X289" i="11"/>
  <c r="X257" i="11"/>
  <c r="Z108" i="29"/>
  <c r="Z177" i="29" s="1"/>
  <c r="AA98" i="29"/>
  <c r="AA94" i="29"/>
  <c r="AA175" i="29" s="1"/>
  <c r="AA100" i="29"/>
  <c r="AA99" i="29"/>
  <c r="V273" i="29"/>
  <c r="V305" i="29"/>
  <c r="R272" i="25"/>
  <c r="R278" i="25" s="1"/>
  <c r="R304" i="25"/>
  <c r="W225" i="29"/>
  <c r="W239" i="29"/>
  <c r="S290" i="25"/>
  <c r="S238" i="25"/>
  <c r="S258" i="25"/>
  <c r="S264" i="25" s="1"/>
  <c r="S265" i="25" s="1"/>
  <c r="S276" i="25" s="1"/>
  <c r="S277" i="25" s="1"/>
  <c r="Y180" i="29"/>
  <c r="Y223" i="29"/>
  <c r="Y237" i="29"/>
  <c r="Y181" i="29"/>
  <c r="X275" i="29"/>
  <c r="X307" i="29"/>
  <c r="Y225" i="29"/>
  <c r="Y239" i="29"/>
  <c r="U185" i="25"/>
  <c r="T224" i="25"/>
  <c r="Y187" i="29"/>
  <c r="Y224" i="29" s="1"/>
  <c r="Y179" i="29"/>
  <c r="X187" i="29"/>
  <c r="X224" i="29" s="1"/>
  <c r="X179" i="29"/>
  <c r="X181" i="29"/>
  <c r="X200" i="29"/>
  <c r="W290" i="29"/>
  <c r="W258" i="29"/>
  <c r="W238" i="29"/>
  <c r="V291" i="29"/>
  <c r="V259" i="29"/>
  <c r="V264" i="29" s="1"/>
  <c r="V265" i="29" s="1"/>
  <c r="V276" i="29" s="1"/>
  <c r="AB238" i="29"/>
  <c r="V304" i="29"/>
  <c r="AB304" i="29" s="1"/>
  <c r="V272" i="29"/>
  <c r="S258" i="11"/>
  <c r="S264" i="11" s="1"/>
  <c r="S265" i="11" s="1"/>
  <c r="S276" i="11" s="1"/>
  <c r="S277" i="11" s="1"/>
  <c r="S290" i="11"/>
  <c r="S238" i="11"/>
  <c r="AA99" i="4"/>
  <c r="AA100" i="4"/>
  <c r="AA94" i="4"/>
  <c r="AA175" i="4" s="1"/>
  <c r="AA98" i="4"/>
  <c r="X289" i="4"/>
  <c r="X257" i="4"/>
  <c r="R304" i="11"/>
  <c r="R272" i="11"/>
  <c r="R278" i="11" s="1"/>
  <c r="Z108" i="4"/>
  <c r="Z177" i="4" s="1"/>
  <c r="X271" i="4"/>
  <c r="X303" i="4"/>
  <c r="Y223" i="4"/>
  <c r="Y237" i="4"/>
  <c r="Y180" i="4"/>
  <c r="Y181" i="4"/>
  <c r="W225" i="4"/>
  <c r="W239" i="4"/>
  <c r="Y200" i="4"/>
  <c r="Y187" i="4"/>
  <c r="Y224" i="4" s="1"/>
  <c r="Y179" i="4"/>
  <c r="W290" i="4"/>
  <c r="W258" i="4"/>
  <c r="W238" i="4"/>
  <c r="U185" i="11"/>
  <c r="T224" i="11"/>
  <c r="X273" i="83" l="1"/>
  <c r="X305" i="83"/>
  <c r="Z289" i="82"/>
  <c r="Z257" i="82"/>
  <c r="Z179" i="83"/>
  <c r="Z187" i="83"/>
  <c r="Z224" i="83" s="1"/>
  <c r="Y271" i="82"/>
  <c r="Y303" i="82"/>
  <c r="X291" i="83"/>
  <c r="X259" i="83"/>
  <c r="X264" i="83" s="1"/>
  <c r="X265" i="83" s="1"/>
  <c r="X276" i="83" s="1"/>
  <c r="X277" i="83" s="1"/>
  <c r="Z271" i="82"/>
  <c r="Z303" i="82"/>
  <c r="Y272" i="83"/>
  <c r="Y304" i="83"/>
  <c r="AA223" i="82"/>
  <c r="AA180" i="82"/>
  <c r="AA237" i="82"/>
  <c r="AA128" i="83"/>
  <c r="AA176" i="83" s="1"/>
  <c r="Y271" i="83"/>
  <c r="Y303" i="83"/>
  <c r="Y257" i="82"/>
  <c r="Y289" i="82"/>
  <c r="Y289" i="83"/>
  <c r="Y257" i="83"/>
  <c r="Z200" i="82"/>
  <c r="Z179" i="82"/>
  <c r="Y291" i="83"/>
  <c r="Y259" i="83"/>
  <c r="X291" i="82"/>
  <c r="X259" i="82"/>
  <c r="AA128" i="82"/>
  <c r="AA176" i="82" s="1"/>
  <c r="AA179" i="82" s="1"/>
  <c r="Y305" i="82"/>
  <c r="Y273" i="82"/>
  <c r="Z271" i="83"/>
  <c r="Z303" i="83"/>
  <c r="X304" i="83"/>
  <c r="X272" i="83"/>
  <c r="Y305" i="83"/>
  <c r="Y273" i="83"/>
  <c r="X273" i="82"/>
  <c r="X305" i="82"/>
  <c r="Y259" i="82"/>
  <c r="Y291" i="82"/>
  <c r="Z181" i="83"/>
  <c r="Z200" i="83"/>
  <c r="AA129" i="83"/>
  <c r="AA177" i="83" s="1"/>
  <c r="Z289" i="83"/>
  <c r="Z257" i="83"/>
  <c r="V186" i="25"/>
  <c r="U187" i="25"/>
  <c r="Y200" i="25"/>
  <c r="W273" i="21"/>
  <c r="S278" i="13"/>
  <c r="U187" i="11"/>
  <c r="U224" i="11" s="1"/>
  <c r="V186" i="11"/>
  <c r="T290" i="13"/>
  <c r="T238" i="13"/>
  <c r="T304" i="13" s="1"/>
  <c r="U224" i="13"/>
  <c r="U238" i="13" s="1"/>
  <c r="Y179" i="14"/>
  <c r="W259" i="16"/>
  <c r="Z176" i="11"/>
  <c r="Z200" i="11" s="1"/>
  <c r="X303" i="16"/>
  <c r="Z176" i="21"/>
  <c r="Z200" i="21" s="1"/>
  <c r="Z177" i="11"/>
  <c r="Z180" i="11" s="1"/>
  <c r="AA175" i="11"/>
  <c r="X257" i="21"/>
  <c r="Y180" i="16"/>
  <c r="X257" i="16"/>
  <c r="Z177" i="21"/>
  <c r="Z223" i="21" s="1"/>
  <c r="Y237" i="16"/>
  <c r="Y303" i="16" s="1"/>
  <c r="Z177" i="16"/>
  <c r="Z223" i="16" s="1"/>
  <c r="V278" i="4"/>
  <c r="X275" i="10"/>
  <c r="X257" i="13"/>
  <c r="X239" i="13"/>
  <c r="X273" i="13" s="1"/>
  <c r="X271" i="10"/>
  <c r="W291" i="11"/>
  <c r="Y180" i="21"/>
  <c r="X303" i="25"/>
  <c r="Y200" i="21"/>
  <c r="Y239" i="21" s="1"/>
  <c r="X239" i="21"/>
  <c r="X305" i="21" s="1"/>
  <c r="Z210" i="11"/>
  <c r="Z214" i="11" s="1"/>
  <c r="Z241" i="11" s="1"/>
  <c r="Z275" i="11" s="1"/>
  <c r="X303" i="11"/>
  <c r="X257" i="14"/>
  <c r="Y200" i="14"/>
  <c r="Y225" i="14" s="1"/>
  <c r="Y307" i="4"/>
  <c r="Z214" i="4"/>
  <c r="Z241" i="4" s="1"/>
  <c r="Z275" i="4" s="1"/>
  <c r="Y237" i="21"/>
  <c r="Y303" i="21" s="1"/>
  <c r="X257" i="25"/>
  <c r="W185" i="13"/>
  <c r="W187" i="13" s="1"/>
  <c r="Z177" i="14"/>
  <c r="Z223" i="14" s="1"/>
  <c r="X258" i="4"/>
  <c r="X239" i="4"/>
  <c r="X273" i="4" s="1"/>
  <c r="AA108" i="16"/>
  <c r="Y237" i="10"/>
  <c r="Y303" i="10" s="1"/>
  <c r="Y237" i="25"/>
  <c r="Y271" i="25" s="1"/>
  <c r="Y223" i="25"/>
  <c r="Y257" i="25" s="1"/>
  <c r="Y307" i="29"/>
  <c r="Y181" i="21"/>
  <c r="Z214" i="29"/>
  <c r="Z241" i="29" s="1"/>
  <c r="Z275" i="29" s="1"/>
  <c r="Z177" i="25"/>
  <c r="Z180" i="25" s="1"/>
  <c r="AA107" i="25"/>
  <c r="AA210" i="25" s="1"/>
  <c r="AA214" i="25" s="1"/>
  <c r="AA241" i="25" s="1"/>
  <c r="AA107" i="21"/>
  <c r="AA210" i="21" s="1"/>
  <c r="AA214" i="21" s="1"/>
  <c r="AA241" i="21" s="1"/>
  <c r="AA108" i="14"/>
  <c r="Y181" i="16"/>
  <c r="Y179" i="16"/>
  <c r="AA108" i="13"/>
  <c r="Y223" i="10"/>
  <c r="Y257" i="10" s="1"/>
  <c r="Z107" i="10"/>
  <c r="Z176" i="10" s="1"/>
  <c r="U278" i="10"/>
  <c r="X238" i="4"/>
  <c r="X304" i="4" s="1"/>
  <c r="Z177" i="13"/>
  <c r="Z237" i="13" s="1"/>
  <c r="AA129" i="13"/>
  <c r="Y237" i="13"/>
  <c r="Y303" i="13" s="1"/>
  <c r="Y181" i="13"/>
  <c r="Y223" i="13"/>
  <c r="Y257" i="13" s="1"/>
  <c r="AA129" i="14"/>
  <c r="AA129" i="11"/>
  <c r="AA175" i="13"/>
  <c r="AA175" i="21"/>
  <c r="AA128" i="25"/>
  <c r="Y239" i="16"/>
  <c r="Y225" i="16"/>
  <c r="W238" i="10"/>
  <c r="W290" i="10"/>
  <c r="W258" i="10"/>
  <c r="X291" i="10"/>
  <c r="X259" i="10"/>
  <c r="X239" i="16"/>
  <c r="X225" i="16"/>
  <c r="AA100" i="10"/>
  <c r="AA98" i="10"/>
  <c r="AA94" i="10"/>
  <c r="AA175" i="10" s="1"/>
  <c r="AA99" i="10"/>
  <c r="W273" i="13"/>
  <c r="W305" i="13"/>
  <c r="X238" i="10"/>
  <c r="X290" i="10"/>
  <c r="X258" i="10"/>
  <c r="AA107" i="13"/>
  <c r="Y257" i="16"/>
  <c r="Y289" i="16"/>
  <c r="V291" i="10"/>
  <c r="V259" i="10"/>
  <c r="V264" i="10" s="1"/>
  <c r="V265" i="10" s="1"/>
  <c r="V276" i="10" s="1"/>
  <c r="AA128" i="13"/>
  <c r="X259" i="13"/>
  <c r="X291" i="13"/>
  <c r="W239" i="10"/>
  <c r="W225" i="10"/>
  <c r="AA128" i="16"/>
  <c r="Y214" i="10"/>
  <c r="Y241" i="10" s="1"/>
  <c r="Y176" i="10"/>
  <c r="Z210" i="13"/>
  <c r="Z214" i="13" s="1"/>
  <c r="Z241" i="13" s="1"/>
  <c r="Z176" i="13"/>
  <c r="Z200" i="13" s="1"/>
  <c r="V305" i="10"/>
  <c r="V273" i="10"/>
  <c r="Y179" i="13"/>
  <c r="AB238" i="10"/>
  <c r="V272" i="10"/>
  <c r="AB272" i="10" s="1"/>
  <c r="V304" i="10"/>
  <c r="AB304" i="10" s="1"/>
  <c r="AA107" i="16"/>
  <c r="Z108" i="10"/>
  <c r="Z177" i="10" s="1"/>
  <c r="W291" i="13"/>
  <c r="W259" i="13"/>
  <c r="X273" i="10"/>
  <c r="X305" i="10"/>
  <c r="Y307" i="13"/>
  <c r="Y275" i="13"/>
  <c r="Z210" i="16"/>
  <c r="Z214" i="16" s="1"/>
  <c r="Z241" i="16" s="1"/>
  <c r="Z176" i="16"/>
  <c r="AA129" i="16"/>
  <c r="AA175" i="16"/>
  <c r="Z210" i="25"/>
  <c r="Z214" i="25" s="1"/>
  <c r="Z241" i="25" s="1"/>
  <c r="Z176" i="25"/>
  <c r="Z200" i="25" s="1"/>
  <c r="Y257" i="21"/>
  <c r="Y289" i="21"/>
  <c r="AA108" i="21"/>
  <c r="AA108" i="25"/>
  <c r="AA128" i="21"/>
  <c r="Z307" i="21"/>
  <c r="Z275" i="21"/>
  <c r="Y179" i="25"/>
  <c r="X225" i="25"/>
  <c r="X239" i="25"/>
  <c r="AA129" i="25"/>
  <c r="AA175" i="25"/>
  <c r="Y275" i="25"/>
  <c r="Y307" i="25"/>
  <c r="X259" i="21"/>
  <c r="X291" i="21"/>
  <c r="W305" i="25"/>
  <c r="W273" i="25"/>
  <c r="AA108" i="29"/>
  <c r="AA177" i="29" s="1"/>
  <c r="AA237" i="29" s="1"/>
  <c r="W259" i="25"/>
  <c r="W291" i="25"/>
  <c r="AA129" i="21"/>
  <c r="Y181" i="25"/>
  <c r="AA108" i="4"/>
  <c r="AA177" i="4" s="1"/>
  <c r="AA180" i="4" s="1"/>
  <c r="AA108" i="11"/>
  <c r="AA128" i="11"/>
  <c r="Y275" i="11"/>
  <c r="Y307" i="11"/>
  <c r="W273" i="14"/>
  <c r="W305" i="14"/>
  <c r="AA175" i="14"/>
  <c r="Y180" i="11"/>
  <c r="Y223" i="11"/>
  <c r="Y181" i="11"/>
  <c r="Y237" i="11"/>
  <c r="W291" i="14"/>
  <c r="W259" i="14"/>
  <c r="AA107" i="11"/>
  <c r="AA107" i="14"/>
  <c r="AA128" i="14"/>
  <c r="Z210" i="14"/>
  <c r="Z214" i="14" s="1"/>
  <c r="Z241" i="14" s="1"/>
  <c r="Z176" i="14"/>
  <c r="X239" i="11"/>
  <c r="X225" i="11"/>
  <c r="Y179" i="11"/>
  <c r="X239" i="14"/>
  <c r="X225" i="14"/>
  <c r="Y223" i="14"/>
  <c r="Y180" i="14"/>
  <c r="Y237" i="14"/>
  <c r="Y181" i="14"/>
  <c r="AB272" i="29"/>
  <c r="X239" i="29"/>
  <c r="X225" i="29"/>
  <c r="Y273" i="29"/>
  <c r="Y305" i="29"/>
  <c r="Z179" i="29"/>
  <c r="Z187" i="29"/>
  <c r="Z224" i="29" s="1"/>
  <c r="W273" i="29"/>
  <c r="W305" i="29"/>
  <c r="W272" i="29"/>
  <c r="W304" i="29"/>
  <c r="Y290" i="29"/>
  <c r="Y258" i="29"/>
  <c r="Y238" i="29"/>
  <c r="Y291" i="29"/>
  <c r="Y259" i="29"/>
  <c r="Y271" i="29"/>
  <c r="Y303" i="29"/>
  <c r="W259" i="29"/>
  <c r="W264" i="29" s="1"/>
  <c r="W265" i="29" s="1"/>
  <c r="W276" i="29" s="1"/>
  <c r="W277" i="29" s="1"/>
  <c r="W291" i="29"/>
  <c r="AA107" i="29"/>
  <c r="T238" i="25"/>
  <c r="T290" i="25"/>
  <c r="T258" i="25"/>
  <c r="T264" i="25" s="1"/>
  <c r="T265" i="25" s="1"/>
  <c r="T276" i="25" s="1"/>
  <c r="T277" i="25" s="1"/>
  <c r="Y289" i="29"/>
  <c r="Y257" i="29"/>
  <c r="V277" i="29"/>
  <c r="V278" i="29" s="1"/>
  <c r="S304" i="25"/>
  <c r="S272" i="25"/>
  <c r="S278" i="25" s="1"/>
  <c r="Z200" i="29"/>
  <c r="Z237" i="29"/>
  <c r="Z180" i="29"/>
  <c r="Z223" i="29"/>
  <c r="Z181" i="29"/>
  <c r="X258" i="29"/>
  <c r="X238" i="29"/>
  <c r="X290" i="29"/>
  <c r="V185" i="25"/>
  <c r="U224" i="25"/>
  <c r="W304" i="4"/>
  <c r="W272" i="4"/>
  <c r="Y225" i="4"/>
  <c r="Y239" i="4"/>
  <c r="Y303" i="4"/>
  <c r="Y271" i="4"/>
  <c r="V185" i="11"/>
  <c r="W273" i="4"/>
  <c r="W305" i="4"/>
  <c r="Z237" i="4"/>
  <c r="Z223" i="4"/>
  <c r="Z180" i="4"/>
  <c r="Z181" i="4"/>
  <c r="Y238" i="4"/>
  <c r="Y290" i="4"/>
  <c r="Y258" i="4"/>
  <c r="W259" i="4"/>
  <c r="W264" i="4" s="1"/>
  <c r="W265" i="4" s="1"/>
  <c r="W276" i="4" s="1"/>
  <c r="W277" i="4" s="1"/>
  <c r="W291" i="4"/>
  <c r="AA107" i="4"/>
  <c r="S272" i="11"/>
  <c r="S278" i="11" s="1"/>
  <c r="S304" i="11"/>
  <c r="Z187" i="4"/>
  <c r="Z224" i="4" s="1"/>
  <c r="Z179" i="4"/>
  <c r="T258" i="11"/>
  <c r="T264" i="11" s="1"/>
  <c r="T265" i="11" s="1"/>
  <c r="T276" i="11" s="1"/>
  <c r="T277" i="11" s="1"/>
  <c r="T290" i="11"/>
  <c r="T238" i="11"/>
  <c r="Z200" i="4"/>
  <c r="Y289" i="4"/>
  <c r="Y257" i="4"/>
  <c r="X291" i="4"/>
  <c r="X259" i="4"/>
  <c r="X278" i="83" l="1"/>
  <c r="AA200" i="82"/>
  <c r="Z290" i="83"/>
  <c r="Z258" i="83"/>
  <c r="Z238" i="83"/>
  <c r="Z225" i="82"/>
  <c r="Z239" i="82"/>
  <c r="AA181" i="83"/>
  <c r="AA187" i="83"/>
  <c r="AA224" i="83" s="1"/>
  <c r="AA179" i="83"/>
  <c r="AA225" i="82"/>
  <c r="AA239" i="82"/>
  <c r="AA303" i="82"/>
  <c r="AB303" i="82" s="1"/>
  <c r="AA271" i="82"/>
  <c r="AB271" i="82" s="1"/>
  <c r="AB237" i="82"/>
  <c r="AA200" i="83"/>
  <c r="Y264" i="83"/>
  <c r="Y265" i="83" s="1"/>
  <c r="Y276" i="83" s="1"/>
  <c r="Y277" i="83" s="1"/>
  <c r="AA223" i="83"/>
  <c r="AA237" i="83"/>
  <c r="AA180" i="83"/>
  <c r="AA181" i="82"/>
  <c r="Z239" i="83"/>
  <c r="Z225" i="83"/>
  <c r="AA257" i="82"/>
  <c r="AA289" i="82"/>
  <c r="W186" i="25"/>
  <c r="V187" i="25"/>
  <c r="T272" i="13"/>
  <c r="T278" i="13" s="1"/>
  <c r="V187" i="11"/>
  <c r="W186" i="11"/>
  <c r="U290" i="13"/>
  <c r="U258" i="13"/>
  <c r="U264" i="13" s="1"/>
  <c r="U265" i="13" s="1"/>
  <c r="U276" i="13" s="1"/>
  <c r="U277" i="13" s="1"/>
  <c r="V224" i="13"/>
  <c r="V258" i="13" s="1"/>
  <c r="V264" i="13" s="1"/>
  <c r="V265" i="13" s="1"/>
  <c r="V276" i="13" s="1"/>
  <c r="V277" i="13" s="1"/>
  <c r="Z179" i="11"/>
  <c r="Z181" i="11"/>
  <c r="Z179" i="21"/>
  <c r="Y225" i="21"/>
  <c r="Y291" i="21" s="1"/>
  <c r="Z223" i="11"/>
  <c r="Z289" i="11" s="1"/>
  <c r="Z237" i="11"/>
  <c r="Z303" i="11" s="1"/>
  <c r="Z181" i="21"/>
  <c r="Z237" i="21"/>
  <c r="Z303" i="21" s="1"/>
  <c r="AA177" i="13"/>
  <c r="AA223" i="13" s="1"/>
  <c r="AA257" i="13" s="1"/>
  <c r="Z180" i="21"/>
  <c r="Y271" i="16"/>
  <c r="Z180" i="16"/>
  <c r="Z237" i="16"/>
  <c r="Z271" i="16" s="1"/>
  <c r="X305" i="13"/>
  <c r="Y239" i="14"/>
  <c r="Y305" i="14" s="1"/>
  <c r="AA177" i="14"/>
  <c r="AA237" i="14" s="1"/>
  <c r="AB237" i="14" s="1"/>
  <c r="Y271" i="10"/>
  <c r="X273" i="21"/>
  <c r="Y271" i="21"/>
  <c r="Y289" i="25"/>
  <c r="Y303" i="25"/>
  <c r="Z181" i="14"/>
  <c r="Z307" i="11"/>
  <c r="Z237" i="14"/>
  <c r="Z271" i="14" s="1"/>
  <c r="Z307" i="4"/>
  <c r="Z180" i="14"/>
  <c r="Z237" i="25"/>
  <c r="Z271" i="25" s="1"/>
  <c r="AA177" i="16"/>
  <c r="AA223" i="16" s="1"/>
  <c r="U304" i="13"/>
  <c r="U272" i="13"/>
  <c r="X185" i="13"/>
  <c r="X187" i="13" s="1"/>
  <c r="Z223" i="13"/>
  <c r="Z257" i="13" s="1"/>
  <c r="AA237" i="4"/>
  <c r="AA271" i="4" s="1"/>
  <c r="X305" i="4"/>
  <c r="X272" i="4"/>
  <c r="X264" i="4"/>
  <c r="X265" i="4" s="1"/>
  <c r="X276" i="4" s="1"/>
  <c r="X277" i="4" s="1"/>
  <c r="Z180" i="13"/>
  <c r="AA108" i="10"/>
  <c r="AA177" i="10" s="1"/>
  <c r="AA180" i="10" s="1"/>
  <c r="Y289" i="10"/>
  <c r="Y271" i="13"/>
  <c r="Z214" i="10"/>
  <c r="Z241" i="10" s="1"/>
  <c r="Z307" i="10" s="1"/>
  <c r="Z307" i="29"/>
  <c r="AA176" i="21"/>
  <c r="Z223" i="25"/>
  <c r="Z289" i="25" s="1"/>
  <c r="AA176" i="25"/>
  <c r="AA223" i="29"/>
  <c r="AA257" i="29" s="1"/>
  <c r="X264" i="10"/>
  <c r="X265" i="10" s="1"/>
  <c r="X276" i="10" s="1"/>
  <c r="X277" i="10" s="1"/>
  <c r="AA180" i="29"/>
  <c r="W278" i="29"/>
  <c r="Y289" i="13"/>
  <c r="Z200" i="14"/>
  <c r="Z225" i="14" s="1"/>
  <c r="AA177" i="11"/>
  <c r="AA237" i="11" s="1"/>
  <c r="Z181" i="13"/>
  <c r="Z179" i="16"/>
  <c r="Z200" i="16"/>
  <c r="Z181" i="16"/>
  <c r="X291" i="16"/>
  <c r="X259" i="16"/>
  <c r="W304" i="10"/>
  <c r="W272" i="10"/>
  <c r="Z179" i="10"/>
  <c r="Z187" i="10"/>
  <c r="Z224" i="10" s="1"/>
  <c r="Z275" i="16"/>
  <c r="Z307" i="16"/>
  <c r="Z200" i="10"/>
  <c r="AA210" i="16"/>
  <c r="AA214" i="16" s="1"/>
  <c r="AA241" i="16" s="1"/>
  <c r="AA176" i="16"/>
  <c r="AA200" i="16" s="1"/>
  <c r="Y187" i="10"/>
  <c r="Y224" i="10" s="1"/>
  <c r="Y179" i="10"/>
  <c r="Y200" i="10"/>
  <c r="Y181" i="10"/>
  <c r="AA210" i="13"/>
  <c r="AA214" i="13" s="1"/>
  <c r="AA241" i="13" s="1"/>
  <c r="AA176" i="13"/>
  <c r="AA200" i="13" s="1"/>
  <c r="Y225" i="13"/>
  <c r="Y239" i="13"/>
  <c r="Z179" i="13"/>
  <c r="W259" i="10"/>
  <c r="W264" i="10" s="1"/>
  <c r="W265" i="10" s="1"/>
  <c r="W276" i="10" s="1"/>
  <c r="W277" i="10" s="1"/>
  <c r="W291" i="10"/>
  <c r="AA107" i="10"/>
  <c r="Z257" i="16"/>
  <c r="Z289" i="16"/>
  <c r="Y273" i="16"/>
  <c r="Y305" i="16"/>
  <c r="Z275" i="13"/>
  <c r="Z307" i="13"/>
  <c r="W305" i="10"/>
  <c r="W273" i="10"/>
  <c r="X304" i="10"/>
  <c r="X272" i="10"/>
  <c r="Z225" i="13"/>
  <c r="Z239" i="13"/>
  <c r="X305" i="16"/>
  <c r="X273" i="16"/>
  <c r="Z180" i="10"/>
  <c r="Z237" i="10"/>
  <c r="Z223" i="10"/>
  <c r="Z181" i="10"/>
  <c r="Z303" i="13"/>
  <c r="Z271" i="13"/>
  <c r="Y275" i="10"/>
  <c r="Y307" i="10"/>
  <c r="V277" i="10"/>
  <c r="V278" i="10" s="1"/>
  <c r="Y259" i="16"/>
  <c r="Y291" i="16"/>
  <c r="AA177" i="25"/>
  <c r="Y305" i="21"/>
  <c r="Y273" i="21"/>
  <c r="Y225" i="25"/>
  <c r="Y239" i="25"/>
  <c r="Z257" i="21"/>
  <c r="Z289" i="21"/>
  <c r="AA275" i="25"/>
  <c r="AA307" i="25"/>
  <c r="X305" i="25"/>
  <c r="X273" i="25"/>
  <c r="Z179" i="25"/>
  <c r="Z181" i="25"/>
  <c r="X259" i="25"/>
  <c r="X291" i="25"/>
  <c r="AA177" i="21"/>
  <c r="Z275" i="25"/>
  <c r="Z307" i="25"/>
  <c r="Z225" i="21"/>
  <c r="Z239" i="21"/>
  <c r="AA275" i="21"/>
  <c r="AA307" i="21"/>
  <c r="AA223" i="4"/>
  <c r="AA257" i="4" s="1"/>
  <c r="Y271" i="14"/>
  <c r="Y303" i="14"/>
  <c r="Z225" i="11"/>
  <c r="Z239" i="11"/>
  <c r="Y291" i="14"/>
  <c r="Y259" i="14"/>
  <c r="AA176" i="14"/>
  <c r="AA210" i="14"/>
  <c r="AA214" i="14" s="1"/>
  <c r="AA241" i="14" s="1"/>
  <c r="AA210" i="11"/>
  <c r="AA214" i="11" s="1"/>
  <c r="AA241" i="11" s="1"/>
  <c r="AA176" i="11"/>
  <c r="AA200" i="11" s="1"/>
  <c r="Z289" i="14"/>
  <c r="Z257" i="14"/>
  <c r="X259" i="14"/>
  <c r="X291" i="14"/>
  <c r="X259" i="11"/>
  <c r="X291" i="11"/>
  <c r="Y257" i="11"/>
  <c r="Y289" i="11"/>
  <c r="W278" i="4"/>
  <c r="Y239" i="11"/>
  <c r="Y225" i="11"/>
  <c r="Z307" i="14"/>
  <c r="Z275" i="14"/>
  <c r="Y271" i="11"/>
  <c r="Y303" i="11"/>
  <c r="Y257" i="14"/>
  <c r="Y289" i="14"/>
  <c r="X305" i="14"/>
  <c r="X273" i="14"/>
  <c r="X305" i="11"/>
  <c r="X273" i="11"/>
  <c r="Z179" i="14"/>
  <c r="Y304" i="29"/>
  <c r="Y272" i="29"/>
  <c r="Z238" i="29"/>
  <c r="Z258" i="29"/>
  <c r="Z290" i="29"/>
  <c r="X259" i="29"/>
  <c r="X264" i="29" s="1"/>
  <c r="X265" i="29" s="1"/>
  <c r="X276" i="29" s="1"/>
  <c r="X277" i="29" s="1"/>
  <c r="X291" i="29"/>
  <c r="W185" i="25"/>
  <c r="V224" i="25"/>
  <c r="Z239" i="29"/>
  <c r="Z225" i="29"/>
  <c r="X273" i="29"/>
  <c r="X305" i="29"/>
  <c r="AA303" i="29"/>
  <c r="AB303" i="29" s="1"/>
  <c r="AA271" i="29"/>
  <c r="AB237" i="29"/>
  <c r="U258" i="25"/>
  <c r="U264" i="25" s="1"/>
  <c r="U265" i="25" s="1"/>
  <c r="U276" i="25" s="1"/>
  <c r="U277" i="25" s="1"/>
  <c r="U290" i="25"/>
  <c r="U238" i="25"/>
  <c r="Z271" i="29"/>
  <c r="Z303" i="29"/>
  <c r="Z289" i="29"/>
  <c r="Z257" i="29"/>
  <c r="T272" i="25"/>
  <c r="T278" i="25" s="1"/>
  <c r="T304" i="25"/>
  <c r="Y264" i="29"/>
  <c r="Y265" i="29" s="1"/>
  <c r="Y276" i="29" s="1"/>
  <c r="Y277" i="29" s="1"/>
  <c r="X272" i="29"/>
  <c r="X304" i="29"/>
  <c r="AA176" i="29"/>
  <c r="AA214" i="29"/>
  <c r="AA241" i="29" s="1"/>
  <c r="Z225" i="4"/>
  <c r="Z239" i="4"/>
  <c r="T304" i="11"/>
  <c r="T272" i="11"/>
  <c r="T278" i="11" s="1"/>
  <c r="AA214" i="4"/>
  <c r="AA241" i="4" s="1"/>
  <c r="AA176" i="4"/>
  <c r="Y259" i="4"/>
  <c r="Y264" i="4" s="1"/>
  <c r="Y265" i="4" s="1"/>
  <c r="Y276" i="4" s="1"/>
  <c r="Y277" i="4" s="1"/>
  <c r="Y291" i="4"/>
  <c r="Z238" i="4"/>
  <c r="Z290" i="4"/>
  <c r="Z258" i="4"/>
  <c r="Z257" i="4"/>
  <c r="Z289" i="4"/>
  <c r="Y304" i="4"/>
  <c r="Y272" i="4"/>
  <c r="Z271" i="4"/>
  <c r="Z303" i="4"/>
  <c r="U290" i="11"/>
  <c r="U258" i="11"/>
  <c r="U264" i="11" s="1"/>
  <c r="U265" i="11" s="1"/>
  <c r="U276" i="11" s="1"/>
  <c r="U277" i="11" s="1"/>
  <c r="U238" i="11"/>
  <c r="W185" i="11"/>
  <c r="V224" i="11"/>
  <c r="Y305" i="4"/>
  <c r="Y273" i="4"/>
  <c r="Y278" i="83" l="1"/>
  <c r="AA225" i="83"/>
  <c r="AA239" i="83"/>
  <c r="Z305" i="82"/>
  <c r="Z273" i="82"/>
  <c r="Z305" i="83"/>
  <c r="Z273" i="83"/>
  <c r="Z291" i="82"/>
  <c r="Z259" i="82"/>
  <c r="AA273" i="82"/>
  <c r="AB273" i="82" s="1"/>
  <c r="AA305" i="82"/>
  <c r="AB305" i="82" s="1"/>
  <c r="AB239" i="82"/>
  <c r="AA303" i="83"/>
  <c r="AB303" i="83" s="1"/>
  <c r="AA271" i="83"/>
  <c r="AB237" i="83"/>
  <c r="AA291" i="82"/>
  <c r="AA259" i="82"/>
  <c r="Z272" i="83"/>
  <c r="Z304" i="83"/>
  <c r="Z291" i="83"/>
  <c r="Z259" i="83"/>
  <c r="Z264" i="83" s="1"/>
  <c r="Z265" i="83" s="1"/>
  <c r="Z276" i="83" s="1"/>
  <c r="Z277" i="83" s="1"/>
  <c r="AA289" i="83"/>
  <c r="AA257" i="83"/>
  <c r="AA290" i="83"/>
  <c r="AA258" i="83"/>
  <c r="AA238" i="83"/>
  <c r="AA179" i="25"/>
  <c r="X186" i="25"/>
  <c r="W187" i="25"/>
  <c r="W224" i="25" s="1"/>
  <c r="AA200" i="25"/>
  <c r="U278" i="13"/>
  <c r="W187" i="11"/>
  <c r="W224" i="11" s="1"/>
  <c r="X186" i="11"/>
  <c r="V290" i="13"/>
  <c r="V238" i="13"/>
  <c r="V272" i="13" s="1"/>
  <c r="V278" i="13" s="1"/>
  <c r="W224" i="13"/>
  <c r="W258" i="13" s="1"/>
  <c r="W264" i="13" s="1"/>
  <c r="W265" i="13" s="1"/>
  <c r="W276" i="13" s="1"/>
  <c r="W277" i="13" s="1"/>
  <c r="Y259" i="21"/>
  <c r="AA180" i="13"/>
  <c r="Z271" i="11"/>
  <c r="Z257" i="11"/>
  <c r="Z271" i="21"/>
  <c r="AA237" i="13"/>
  <c r="AB237" i="13" s="1"/>
  <c r="Z303" i="16"/>
  <c r="Z257" i="25"/>
  <c r="Z275" i="10"/>
  <c r="Y273" i="14"/>
  <c r="AA303" i="14"/>
  <c r="AB303" i="14" s="1"/>
  <c r="AA271" i="14"/>
  <c r="AB271" i="14" s="1"/>
  <c r="AA180" i="14"/>
  <c r="AA223" i="14"/>
  <c r="AA179" i="21"/>
  <c r="Z303" i="25"/>
  <c r="AA237" i="16"/>
  <c r="AA271" i="16" s="1"/>
  <c r="Z289" i="13"/>
  <c r="AA180" i="16"/>
  <c r="Z303" i="14"/>
  <c r="AA303" i="4"/>
  <c r="AB303" i="4" s="1"/>
  <c r="Y278" i="4"/>
  <c r="X278" i="4"/>
  <c r="AB237" i="4"/>
  <c r="AA200" i="21"/>
  <c r="AA225" i="21" s="1"/>
  <c r="V304" i="13"/>
  <c r="Y185" i="13"/>
  <c r="Y187" i="13" s="1"/>
  <c r="Z239" i="14"/>
  <c r="Z305" i="14" s="1"/>
  <c r="AA223" i="10"/>
  <c r="AA289" i="10" s="1"/>
  <c r="AA289" i="13"/>
  <c r="AA237" i="10"/>
  <c r="AB237" i="10" s="1"/>
  <c r="AA289" i="29"/>
  <c r="AA239" i="25"/>
  <c r="Y278" i="29"/>
  <c r="AA289" i="4"/>
  <c r="X278" i="10"/>
  <c r="X278" i="29"/>
  <c r="AB237" i="11"/>
  <c r="AA271" i="11"/>
  <c r="AB271" i="11" s="1"/>
  <c r="AA303" i="11"/>
  <c r="AB303" i="11" s="1"/>
  <c r="AA223" i="11"/>
  <c r="AA180" i="11"/>
  <c r="Z303" i="10"/>
  <c r="Z271" i="10"/>
  <c r="Y291" i="13"/>
  <c r="Y259" i="13"/>
  <c r="Y239" i="10"/>
  <c r="Y225" i="10"/>
  <c r="W278" i="10"/>
  <c r="Z225" i="10"/>
  <c r="Z239" i="10"/>
  <c r="AA289" i="16"/>
  <c r="AA257" i="16"/>
  <c r="Z257" i="10"/>
  <c r="Z289" i="10"/>
  <c r="Z291" i="13"/>
  <c r="Z259" i="13"/>
  <c r="AA176" i="10"/>
  <c r="AA214" i="10"/>
  <c r="AA241" i="10" s="1"/>
  <c r="Y273" i="13"/>
  <c r="Y305" i="13"/>
  <c r="AA181" i="16"/>
  <c r="AA179" i="16"/>
  <c r="AA307" i="16"/>
  <c r="AA275" i="16"/>
  <c r="AA179" i="13"/>
  <c r="AA181" i="13"/>
  <c r="Z239" i="16"/>
  <c r="Z225" i="16"/>
  <c r="AA225" i="16"/>
  <c r="AA239" i="16"/>
  <c r="Z273" i="13"/>
  <c r="Z305" i="13"/>
  <c r="AA307" i="13"/>
  <c r="AA275" i="13"/>
  <c r="Y238" i="10"/>
  <c r="Y258" i="10"/>
  <c r="Y290" i="10"/>
  <c r="Z290" i="10"/>
  <c r="Z238" i="10"/>
  <c r="Z258" i="10"/>
  <c r="Z239" i="25"/>
  <c r="Z225" i="25"/>
  <c r="Y291" i="25"/>
  <c r="Y259" i="25"/>
  <c r="Z305" i="21"/>
  <c r="Z273" i="21"/>
  <c r="Y305" i="25"/>
  <c r="Y273" i="25"/>
  <c r="AA223" i="21"/>
  <c r="AA237" i="21"/>
  <c r="AA180" i="21"/>
  <c r="AA181" i="21"/>
  <c r="Z291" i="21"/>
  <c r="Z259" i="21"/>
  <c r="AA180" i="25"/>
  <c r="AA223" i="25"/>
  <c r="AA237" i="25"/>
  <c r="AA181" i="25"/>
  <c r="Y273" i="11"/>
  <c r="Y305" i="11"/>
  <c r="AA275" i="14"/>
  <c r="AA307" i="14"/>
  <c r="Z291" i="14"/>
  <c r="Z259" i="14"/>
  <c r="AA179" i="14"/>
  <c r="AA181" i="14"/>
  <c r="AA200" i="14"/>
  <c r="AA179" i="11"/>
  <c r="AA181" i="11"/>
  <c r="Z305" i="11"/>
  <c r="Z273" i="11"/>
  <c r="Y259" i="11"/>
  <c r="Y291" i="11"/>
  <c r="AA307" i="11"/>
  <c r="AB307" i="11" s="1"/>
  <c r="AA275" i="11"/>
  <c r="AB275" i="11" s="1"/>
  <c r="Z291" i="11"/>
  <c r="Z259" i="11"/>
  <c r="U272" i="25"/>
  <c r="U278" i="25" s="1"/>
  <c r="U304" i="25"/>
  <c r="AB271" i="29"/>
  <c r="X185" i="25"/>
  <c r="AA307" i="29"/>
  <c r="AB307" i="29" s="1"/>
  <c r="AA275" i="29"/>
  <c r="AB275" i="29" s="1"/>
  <c r="AB241" i="29"/>
  <c r="Z259" i="29"/>
  <c r="Z264" i="29" s="1"/>
  <c r="Z265" i="29" s="1"/>
  <c r="Z276" i="29" s="1"/>
  <c r="Z277" i="29" s="1"/>
  <c r="Z291" i="29"/>
  <c r="Z304" i="29"/>
  <c r="Z272" i="29"/>
  <c r="AA187" i="29"/>
  <c r="AA224" i="29" s="1"/>
  <c r="AA179" i="29"/>
  <c r="AA200" i="29"/>
  <c r="AA181" i="29"/>
  <c r="Z305" i="29"/>
  <c r="Z273" i="29"/>
  <c r="V290" i="25"/>
  <c r="V258" i="25"/>
  <c r="V264" i="25" s="1"/>
  <c r="V265" i="25" s="1"/>
  <c r="V276" i="25" s="1"/>
  <c r="V238" i="25"/>
  <c r="V238" i="11"/>
  <c r="V258" i="11"/>
  <c r="V264" i="11" s="1"/>
  <c r="V265" i="11" s="1"/>
  <c r="V276" i="11" s="1"/>
  <c r="V290" i="11"/>
  <c r="Z304" i="4"/>
  <c r="Z272" i="4"/>
  <c r="X185" i="11"/>
  <c r="AB271" i="4"/>
  <c r="U272" i="11"/>
  <c r="U278" i="11" s="1"/>
  <c r="U304" i="11"/>
  <c r="AA187" i="4"/>
  <c r="AA224" i="4" s="1"/>
  <c r="AA179" i="4"/>
  <c r="AA200" i="4"/>
  <c r="AA181" i="4"/>
  <c r="AA275" i="4"/>
  <c r="AB275" i="4" s="1"/>
  <c r="AA307" i="4"/>
  <c r="AB307" i="4" s="1"/>
  <c r="AB241" i="4"/>
  <c r="Z273" i="4"/>
  <c r="Z305" i="4"/>
  <c r="Z291" i="4"/>
  <c r="Z259" i="4"/>
  <c r="Z264" i="4" s="1"/>
  <c r="Z265" i="4" s="1"/>
  <c r="Z276" i="4" s="1"/>
  <c r="Z277" i="4" s="1"/>
  <c r="AB271" i="83" l="1"/>
  <c r="AA273" i="83"/>
  <c r="AB273" i="83" s="1"/>
  <c r="AA305" i="83"/>
  <c r="AB305" i="83" s="1"/>
  <c r="AB239" i="83"/>
  <c r="AA304" i="83"/>
  <c r="AB304" i="83" s="1"/>
  <c r="AA272" i="83"/>
  <c r="AB272" i="83" s="1"/>
  <c r="AB238" i="83"/>
  <c r="Z278" i="83"/>
  <c r="AA291" i="83"/>
  <c r="AA259" i="83"/>
  <c r="AA264" i="83" s="1"/>
  <c r="AA265" i="83" s="1"/>
  <c r="AA276" i="83" s="1"/>
  <c r="AA257" i="14"/>
  <c r="AB223" i="14"/>
  <c r="Y186" i="25"/>
  <c r="X187" i="25"/>
  <c r="X187" i="11"/>
  <c r="X224" i="11" s="1"/>
  <c r="Y186" i="11"/>
  <c r="W290" i="13"/>
  <c r="W238" i="13"/>
  <c r="W304" i="13" s="1"/>
  <c r="X224" i="13"/>
  <c r="X238" i="13" s="1"/>
  <c r="AA303" i="10"/>
  <c r="AB303" i="10" s="1"/>
  <c r="AA271" i="13"/>
  <c r="AB271" i="13" s="1"/>
  <c r="AA303" i="13"/>
  <c r="AB303" i="13" s="1"/>
  <c r="AB237" i="16"/>
  <c r="AA303" i="16"/>
  <c r="AB303" i="16" s="1"/>
  <c r="AA289" i="14"/>
  <c r="AA239" i="21"/>
  <c r="AA305" i="21" s="1"/>
  <c r="AB305" i="21" s="1"/>
  <c r="AA257" i="10"/>
  <c r="AA225" i="25"/>
  <c r="AA259" i="25" s="1"/>
  <c r="Z185" i="13"/>
  <c r="Z187" i="13" s="1"/>
  <c r="Z273" i="14"/>
  <c r="AA271" i="10"/>
  <c r="AB271" i="10" s="1"/>
  <c r="Z278" i="29"/>
  <c r="AA257" i="11"/>
  <c r="AA289" i="11"/>
  <c r="Z259" i="10"/>
  <c r="Z264" i="10" s="1"/>
  <c r="Z265" i="10" s="1"/>
  <c r="Z276" i="10" s="1"/>
  <c r="Z277" i="10" s="1"/>
  <c r="Z291" i="10"/>
  <c r="Y291" i="10"/>
  <c r="Y259" i="10"/>
  <c r="Y264" i="10" s="1"/>
  <c r="Y265" i="10" s="1"/>
  <c r="Y276" i="10" s="1"/>
  <c r="Y277" i="10" s="1"/>
  <c r="Z272" i="10"/>
  <c r="Z304" i="10"/>
  <c r="AA259" i="16"/>
  <c r="AA291" i="16"/>
  <c r="AA200" i="10"/>
  <c r="AA187" i="10"/>
  <c r="AA224" i="10" s="1"/>
  <c r="AA179" i="10"/>
  <c r="AA181" i="10"/>
  <c r="Z305" i="10"/>
  <c r="Z273" i="10"/>
  <c r="AA225" i="13"/>
  <c r="AA239" i="13"/>
  <c r="Y272" i="10"/>
  <c r="Y304" i="10"/>
  <c r="Z259" i="16"/>
  <c r="Z291" i="16"/>
  <c r="AB271" i="16"/>
  <c r="Y305" i="10"/>
  <c r="Y273" i="10"/>
  <c r="AA305" i="16"/>
  <c r="AB305" i="16" s="1"/>
  <c r="AA273" i="16"/>
  <c r="AB273" i="16" s="1"/>
  <c r="AB239" i="16"/>
  <c r="Z305" i="16"/>
  <c r="Z273" i="16"/>
  <c r="AA307" i="10"/>
  <c r="AB307" i="10" s="1"/>
  <c r="AA275" i="10"/>
  <c r="AB275" i="10" s="1"/>
  <c r="AB241" i="10"/>
  <c r="AA289" i="25"/>
  <c r="AA257" i="25"/>
  <c r="AA271" i="21"/>
  <c r="AA303" i="21"/>
  <c r="AB303" i="21" s="1"/>
  <c r="AB237" i="21"/>
  <c r="Z291" i="25"/>
  <c r="Z259" i="25"/>
  <c r="AA271" i="25"/>
  <c r="AB271" i="25" s="1"/>
  <c r="AA303" i="25"/>
  <c r="AB303" i="25" s="1"/>
  <c r="AB237" i="25"/>
  <c r="AA305" i="25"/>
  <c r="AB305" i="25" s="1"/>
  <c r="AA273" i="25"/>
  <c r="AB273" i="25" s="1"/>
  <c r="AB239" i="25"/>
  <c r="AA257" i="21"/>
  <c r="AA289" i="21"/>
  <c r="AA259" i="21"/>
  <c r="AA291" i="21"/>
  <c r="Z273" i="25"/>
  <c r="Z305" i="25"/>
  <c r="Z278" i="4"/>
  <c r="AA239" i="11"/>
  <c r="AA225" i="11"/>
  <c r="AA239" i="14"/>
  <c r="AA225" i="14"/>
  <c r="AB225" i="14" s="1"/>
  <c r="AA225" i="29"/>
  <c r="AA239" i="29"/>
  <c r="V304" i="25"/>
  <c r="V272" i="25"/>
  <c r="V277" i="25"/>
  <c r="AA238" i="29"/>
  <c r="AA290" i="29"/>
  <c r="AA258" i="29"/>
  <c r="W238" i="25"/>
  <c r="W258" i="25"/>
  <c r="W264" i="25" s="1"/>
  <c r="W265" i="25" s="1"/>
  <c r="W276" i="25" s="1"/>
  <c r="W277" i="25" s="1"/>
  <c r="W290" i="25"/>
  <c r="Y185" i="25"/>
  <c r="X224" i="25"/>
  <c r="W258" i="11"/>
  <c r="W264" i="11" s="1"/>
  <c r="W265" i="11" s="1"/>
  <c r="W276" i="11" s="1"/>
  <c r="W277" i="11" s="1"/>
  <c r="W238" i="11"/>
  <c r="W290" i="11"/>
  <c r="AA290" i="4"/>
  <c r="AA258" i="4"/>
  <c r="AA238" i="4"/>
  <c r="Y185" i="11"/>
  <c r="V277" i="11"/>
  <c r="V304" i="11"/>
  <c r="V272" i="11"/>
  <c r="AA225" i="4"/>
  <c r="AA239" i="4"/>
  <c r="W272" i="13" l="1"/>
  <c r="W278" i="13" s="1"/>
  <c r="AA277" i="83"/>
  <c r="AB277" i="83" s="1"/>
  <c r="AB276" i="83"/>
  <c r="AA278" i="83"/>
  <c r="X290" i="13"/>
  <c r="Z186" i="25"/>
  <c r="Y187" i="25"/>
  <c r="X258" i="13"/>
  <c r="X264" i="13" s="1"/>
  <c r="X265" i="13" s="1"/>
  <c r="X276" i="13" s="1"/>
  <c r="X277" i="13" s="1"/>
  <c r="Y187" i="11"/>
  <c r="Z186" i="11"/>
  <c r="Y224" i="13"/>
  <c r="Y258" i="13" s="1"/>
  <c r="Y264" i="13" s="1"/>
  <c r="Y265" i="13" s="1"/>
  <c r="Y276" i="13" s="1"/>
  <c r="Y277" i="13" s="1"/>
  <c r="AB239" i="21"/>
  <c r="AA273" i="21"/>
  <c r="AB273" i="21" s="1"/>
  <c r="AA291" i="25"/>
  <c r="Z278" i="10"/>
  <c r="X304" i="13"/>
  <c r="X272" i="13"/>
  <c r="AA185" i="13"/>
  <c r="AA187" i="13" s="1"/>
  <c r="AA259" i="13"/>
  <c r="AA291" i="13"/>
  <c r="AA238" i="10"/>
  <c r="AA290" i="10"/>
  <c r="AA258" i="10"/>
  <c r="Y278" i="10"/>
  <c r="AA305" i="13"/>
  <c r="AB305" i="13" s="1"/>
  <c r="AA273" i="13"/>
  <c r="AB273" i="13" s="1"/>
  <c r="AB239" i="13"/>
  <c r="AA225" i="10"/>
  <c r="AA239" i="10"/>
  <c r="AB271" i="21"/>
  <c r="AA273" i="14"/>
  <c r="AB273" i="14" s="1"/>
  <c r="AA305" i="14"/>
  <c r="AB305" i="14" s="1"/>
  <c r="AB239" i="14"/>
  <c r="AA259" i="14"/>
  <c r="AA291" i="14"/>
  <c r="AA259" i="11"/>
  <c r="AA291" i="11"/>
  <c r="AB239" i="11"/>
  <c r="AA273" i="11"/>
  <c r="AB273" i="11" s="1"/>
  <c r="AA305" i="11"/>
  <c r="AB305" i="11" s="1"/>
  <c r="X290" i="25"/>
  <c r="X258" i="25"/>
  <c r="X264" i="25" s="1"/>
  <c r="X265" i="25" s="1"/>
  <c r="X276" i="25" s="1"/>
  <c r="X277" i="25" s="1"/>
  <c r="X238" i="25"/>
  <c r="W304" i="25"/>
  <c r="W272" i="25"/>
  <c r="W278" i="25" s="1"/>
  <c r="Z185" i="25"/>
  <c r="Y224" i="25"/>
  <c r="AA305" i="29"/>
  <c r="AB305" i="29" s="1"/>
  <c r="AA273" i="29"/>
  <c r="AB273" i="29" s="1"/>
  <c r="AB239" i="29"/>
  <c r="AA272" i="29"/>
  <c r="AA304" i="29"/>
  <c r="V278" i="25"/>
  <c r="AA259" i="29"/>
  <c r="AA264" i="29" s="1"/>
  <c r="AA265" i="29" s="1"/>
  <c r="AA276" i="29" s="1"/>
  <c r="AA291" i="29"/>
  <c r="AA305" i="4"/>
  <c r="AB305" i="4" s="1"/>
  <c r="AA273" i="4"/>
  <c r="AB273" i="4" s="1"/>
  <c r="AB239" i="4"/>
  <c r="V278" i="11"/>
  <c r="Z185" i="11"/>
  <c r="Y224" i="11"/>
  <c r="W304" i="11"/>
  <c r="W272" i="11"/>
  <c r="W278" i="11" s="1"/>
  <c r="AA291" i="4"/>
  <c r="AA259" i="4"/>
  <c r="AA264" i="4" s="1"/>
  <c r="AA265" i="4" s="1"/>
  <c r="AA276" i="4" s="1"/>
  <c r="AA272" i="4"/>
  <c r="AA304" i="4"/>
  <c r="X258" i="11"/>
  <c r="X264" i="11" s="1"/>
  <c r="X265" i="11" s="1"/>
  <c r="X276" i="11" s="1"/>
  <c r="X277" i="11" s="1"/>
  <c r="X238" i="11"/>
  <c r="X290" i="11"/>
  <c r="AB278" i="83" l="1"/>
  <c r="Y238" i="13"/>
  <c r="AA186" i="25"/>
  <c r="Z187" i="25"/>
  <c r="Z224" i="25" s="1"/>
  <c r="X278" i="13"/>
  <c r="Y290" i="13"/>
  <c r="Z187" i="11"/>
  <c r="Z224" i="11" s="1"/>
  <c r="AA186" i="11"/>
  <c r="AA224" i="13"/>
  <c r="AA238" i="13" s="1"/>
  <c r="Z224" i="13"/>
  <c r="Z290" i="13" s="1"/>
  <c r="Y272" i="13"/>
  <c r="Y278" i="13" s="1"/>
  <c r="Y304" i="13"/>
  <c r="AA305" i="10"/>
  <c r="AB305" i="10" s="1"/>
  <c r="AA273" i="10"/>
  <c r="AB273" i="10" s="1"/>
  <c r="AB239" i="10"/>
  <c r="AA304" i="10"/>
  <c r="AA272" i="10"/>
  <c r="AA259" i="10"/>
  <c r="AA264" i="10" s="1"/>
  <c r="AA265" i="10" s="1"/>
  <c r="AA276" i="10" s="1"/>
  <c r="AA291" i="10"/>
  <c r="AA277" i="29"/>
  <c r="AB277" i="29" s="1"/>
  <c r="AB276" i="29"/>
  <c r="Y290" i="25"/>
  <c r="Y258" i="25"/>
  <c r="Y264" i="25" s="1"/>
  <c r="Y265" i="25" s="1"/>
  <c r="Y276" i="25" s="1"/>
  <c r="Y277" i="25" s="1"/>
  <c r="Y238" i="25"/>
  <c r="X272" i="25"/>
  <c r="X278" i="25" s="1"/>
  <c r="X304" i="25"/>
  <c r="AA185" i="25"/>
  <c r="X272" i="11"/>
  <c r="X278" i="11" s="1"/>
  <c r="X304" i="11"/>
  <c r="Y258" i="11"/>
  <c r="Y264" i="11" s="1"/>
  <c r="Y265" i="11" s="1"/>
  <c r="Y276" i="11" s="1"/>
  <c r="Y277" i="11" s="1"/>
  <c r="Y238" i="11"/>
  <c r="Y290" i="11"/>
  <c r="AA185" i="11"/>
  <c r="AB304" i="4"/>
  <c r="AA277" i="4"/>
  <c r="AB277" i="4" s="1"/>
  <c r="AB276" i="4"/>
  <c r="AA258" i="13" l="1"/>
  <c r="AA264" i="13" s="1"/>
  <c r="AA265" i="13" s="1"/>
  <c r="AA276" i="13" s="1"/>
  <c r="AA187" i="25"/>
  <c r="AA224" i="25" s="1"/>
  <c r="AA187" i="11"/>
  <c r="AA290" i="13"/>
  <c r="Z238" i="13"/>
  <c r="Z304" i="13" s="1"/>
  <c r="Z258" i="13"/>
  <c r="Z264" i="13" s="1"/>
  <c r="Z265" i="13" s="1"/>
  <c r="Z276" i="13" s="1"/>
  <c r="Z277" i="13" s="1"/>
  <c r="AA277" i="13"/>
  <c r="AB277" i="13" s="1"/>
  <c r="AB276" i="13"/>
  <c r="AA304" i="13"/>
  <c r="AB304" i="13" s="1"/>
  <c r="AA272" i="13"/>
  <c r="AB272" i="13" s="1"/>
  <c r="AB238" i="13"/>
  <c r="AA277" i="10"/>
  <c r="AB277" i="10" s="1"/>
  <c r="AB276" i="10"/>
  <c r="AA278" i="29"/>
  <c r="AB278" i="29"/>
  <c r="Z258" i="25"/>
  <c r="Z264" i="25" s="1"/>
  <c r="Z265" i="25" s="1"/>
  <c r="Z276" i="25" s="1"/>
  <c r="Z277" i="25" s="1"/>
  <c r="Z238" i="25"/>
  <c r="Z290" i="25"/>
  <c r="Y272" i="25"/>
  <c r="Y278" i="25" s="1"/>
  <c r="Y304" i="25"/>
  <c r="Z238" i="11"/>
  <c r="Z290" i="11"/>
  <c r="Z258" i="11"/>
  <c r="Z264" i="11" s="1"/>
  <c r="Z265" i="11" s="1"/>
  <c r="Z276" i="11" s="1"/>
  <c r="Z277" i="11" s="1"/>
  <c r="Y272" i="11"/>
  <c r="Y278" i="11" s="1"/>
  <c r="Y304" i="11"/>
  <c r="AB278" i="4"/>
  <c r="AA278" i="4"/>
  <c r="AA258" i="25" l="1"/>
  <c r="AA264" i="25" s="1"/>
  <c r="AA265" i="25" s="1"/>
  <c r="AA276" i="25" s="1"/>
  <c r="AA277" i="25" s="1"/>
  <c r="AB277" i="25" s="1"/>
  <c r="AA290" i="25"/>
  <c r="AA238" i="25"/>
  <c r="AA224" i="11"/>
  <c r="AA238" i="11" s="1"/>
  <c r="AA304" i="11" s="1"/>
  <c r="Z272" i="13"/>
  <c r="AA258" i="11"/>
  <c r="AA264" i="11" s="1"/>
  <c r="AA265" i="11" s="1"/>
  <c r="AA276" i="11" s="1"/>
  <c r="AB276" i="11" s="1"/>
  <c r="Z278" i="13"/>
  <c r="AA278" i="13"/>
  <c r="AB278" i="13"/>
  <c r="AB278" i="10"/>
  <c r="AA278" i="10"/>
  <c r="AA304" i="25"/>
  <c r="AB304" i="25" s="1"/>
  <c r="AA272" i="25"/>
  <c r="AB238" i="25"/>
  <c r="Z304" i="25"/>
  <c r="Z272" i="25"/>
  <c r="Z278" i="25" s="1"/>
  <c r="AA272" i="11"/>
  <c r="Z272" i="11"/>
  <c r="Z278" i="11" s="1"/>
  <c r="Z304" i="11"/>
  <c r="AB276" i="25" l="1"/>
  <c r="AB238" i="11"/>
  <c r="AA277" i="11"/>
  <c r="AB277" i="11" s="1"/>
  <c r="AA290" i="11"/>
  <c r="AA278" i="25"/>
  <c r="AB272" i="25"/>
  <c r="AB304" i="11"/>
  <c r="AA278" i="11"/>
  <c r="AB272" i="11"/>
  <c r="AB278" i="25" l="1"/>
  <c r="AB278" i="11"/>
  <c r="C18" i="35" l="1"/>
  <c r="C19" i="35" s="1"/>
  <c r="D18" i="35" l="1"/>
  <c r="D19" i="35" s="1"/>
  <c r="N42" i="33"/>
  <c r="N49" i="33" l="1"/>
  <c r="E18" i="35"/>
  <c r="E19" i="35" s="1"/>
  <c r="F18" i="35" l="1"/>
  <c r="F19" i="35" s="1"/>
  <c r="G18" i="35" l="1"/>
  <c r="G19" i="35" s="1"/>
  <c r="G186" i="14" l="1"/>
  <c r="G186" i="82" s="1"/>
  <c r="H186" i="82" l="1"/>
  <c r="H187" i="82" s="1"/>
  <c r="H224" i="82" s="1"/>
  <c r="J186" i="82"/>
  <c r="J187" i="82" s="1"/>
  <c r="J224" i="82" s="1"/>
  <c r="K186" i="82"/>
  <c r="K187" i="82" s="1"/>
  <c r="K224" i="82" s="1"/>
  <c r="L186" i="82"/>
  <c r="L187" i="82" s="1"/>
  <c r="L224" i="82" s="1"/>
  <c r="N186" i="82"/>
  <c r="N187" i="82" s="1"/>
  <c r="N224" i="82" s="1"/>
  <c r="P186" i="82"/>
  <c r="P187" i="82" s="1"/>
  <c r="P224" i="82" s="1"/>
  <c r="R186" i="82"/>
  <c r="R187" i="82" s="1"/>
  <c r="R224" i="82" s="1"/>
  <c r="S186" i="82"/>
  <c r="S187" i="82" s="1"/>
  <c r="S224" i="82" s="1"/>
  <c r="U186" i="82"/>
  <c r="U187" i="82" s="1"/>
  <c r="U224" i="82" s="1"/>
  <c r="T186" i="82"/>
  <c r="T187" i="82" s="1"/>
  <c r="T224" i="82" s="1"/>
  <c r="X186" i="82"/>
  <c r="X187" i="82" s="1"/>
  <c r="X224" i="82" s="1"/>
  <c r="AA186" i="82"/>
  <c r="AA187" i="82" s="1"/>
  <c r="AA224" i="82" s="1"/>
  <c r="I186" i="82"/>
  <c r="I187" i="82" s="1"/>
  <c r="I224" i="82" s="1"/>
  <c r="M186" i="82"/>
  <c r="M187" i="82" s="1"/>
  <c r="M224" i="82" s="1"/>
  <c r="O186" i="82"/>
  <c r="O187" i="82" s="1"/>
  <c r="O224" i="82" s="1"/>
  <c r="Q186" i="82"/>
  <c r="Q187" i="82" s="1"/>
  <c r="Q224" i="82" s="1"/>
  <c r="V186" i="82"/>
  <c r="V187" i="82" s="1"/>
  <c r="V224" i="82" s="1"/>
  <c r="W186" i="82"/>
  <c r="W187" i="82" s="1"/>
  <c r="W224" i="82" s="1"/>
  <c r="Y186" i="82"/>
  <c r="Y187" i="82" s="1"/>
  <c r="Y224" i="82" s="1"/>
  <c r="Z186" i="82"/>
  <c r="Z187" i="82" s="1"/>
  <c r="Z224" i="82" s="1"/>
  <c r="G186" i="74"/>
  <c r="G186" i="78"/>
  <c r="H186" i="14"/>
  <c r="H187" i="14" s="1"/>
  <c r="G186" i="48"/>
  <c r="H186" i="48" s="1"/>
  <c r="H187" i="48" s="1"/>
  <c r="H224" i="48" s="1"/>
  <c r="J186" i="14"/>
  <c r="R186" i="14"/>
  <c r="Z186" i="14"/>
  <c r="P188" i="14"/>
  <c r="X188" i="14"/>
  <c r="R188" i="14"/>
  <c r="Z188" i="14"/>
  <c r="U186" i="14"/>
  <c r="AA188" i="14"/>
  <c r="L188" i="14"/>
  <c r="J188" i="14"/>
  <c r="M188" i="14"/>
  <c r="P186" i="14"/>
  <c r="O188" i="14"/>
  <c r="K186" i="14"/>
  <c r="S186" i="14"/>
  <c r="AA186" i="14"/>
  <c r="Q188" i="14"/>
  <c r="Y188" i="14"/>
  <c r="T186" i="14"/>
  <c r="M186" i="14"/>
  <c r="S188" i="14"/>
  <c r="V186" i="14"/>
  <c r="O186" i="14"/>
  <c r="U188" i="14"/>
  <c r="X186" i="14"/>
  <c r="Y186" i="14"/>
  <c r="L186" i="14"/>
  <c r="I186" i="14"/>
  <c r="I187" i="14" s="1"/>
  <c r="K188" i="14"/>
  <c r="N186" i="14"/>
  <c r="T188" i="14"/>
  <c r="W186" i="14"/>
  <c r="I188" i="14"/>
  <c r="N188" i="14"/>
  <c r="Q186" i="14"/>
  <c r="W188" i="14"/>
  <c r="V188" i="14"/>
  <c r="G186" i="16"/>
  <c r="H186" i="16" s="1"/>
  <c r="H187" i="16" s="1"/>
  <c r="H224" i="16" s="1"/>
  <c r="G186" i="21"/>
  <c r="H186" i="21" s="1"/>
  <c r="H187" i="21" s="1"/>
  <c r="H188" i="21" s="1"/>
  <c r="Q290" i="82" l="1"/>
  <c r="Q258" i="82"/>
  <c r="Q264" i="82" s="1"/>
  <c r="Q265" i="82" s="1"/>
  <c r="Q276" i="82" s="1"/>
  <c r="Q277" i="82" s="1"/>
  <c r="Q238" i="82"/>
  <c r="S290" i="82"/>
  <c r="S258" i="82"/>
  <c r="S264" i="82" s="1"/>
  <c r="S265" i="82" s="1"/>
  <c r="S276" i="82" s="1"/>
  <c r="S277" i="82" s="1"/>
  <c r="S238" i="82"/>
  <c r="O290" i="82"/>
  <c r="O238" i="82"/>
  <c r="O258" i="82"/>
  <c r="O264" i="82" s="1"/>
  <c r="O265" i="82" s="1"/>
  <c r="O276" i="82" s="1"/>
  <c r="O277" i="82" s="1"/>
  <c r="R258" i="82"/>
  <c r="R264" i="82" s="1"/>
  <c r="R265" i="82" s="1"/>
  <c r="R276" i="82" s="1"/>
  <c r="R277" i="82" s="1"/>
  <c r="R290" i="82"/>
  <c r="R238" i="82"/>
  <c r="M238" i="82"/>
  <c r="M290" i="82"/>
  <c r="M258" i="82"/>
  <c r="M264" i="82" s="1"/>
  <c r="M265" i="82" s="1"/>
  <c r="M276" i="82" s="1"/>
  <c r="M277" i="82" s="1"/>
  <c r="P290" i="82"/>
  <c r="P258" i="82"/>
  <c r="P264" i="82" s="1"/>
  <c r="P265" i="82" s="1"/>
  <c r="P276" i="82" s="1"/>
  <c r="P277" i="82" s="1"/>
  <c r="P238" i="82"/>
  <c r="I258" i="82"/>
  <c r="I264" i="82" s="1"/>
  <c r="I265" i="82" s="1"/>
  <c r="I276" i="82" s="1"/>
  <c r="I277" i="82" s="1"/>
  <c r="I238" i="82"/>
  <c r="I290" i="82"/>
  <c r="N290" i="82"/>
  <c r="N238" i="82"/>
  <c r="N258" i="82"/>
  <c r="N264" i="82" s="1"/>
  <c r="N265" i="82" s="1"/>
  <c r="N276" i="82" s="1"/>
  <c r="N277" i="82" s="1"/>
  <c r="Z258" i="82"/>
  <c r="Z264" i="82" s="1"/>
  <c r="Z265" i="82" s="1"/>
  <c r="Z276" i="82" s="1"/>
  <c r="Z277" i="82" s="1"/>
  <c r="Z238" i="82"/>
  <c r="Z290" i="82"/>
  <c r="AA238" i="82"/>
  <c r="AA290" i="82"/>
  <c r="AA258" i="82"/>
  <c r="AA264" i="82" s="1"/>
  <c r="AA265" i="82" s="1"/>
  <c r="AA276" i="82" s="1"/>
  <c r="AA277" i="82" s="1"/>
  <c r="L290" i="82"/>
  <c r="L258" i="82"/>
  <c r="L264" i="82" s="1"/>
  <c r="L265" i="82" s="1"/>
  <c r="L276" i="82" s="1"/>
  <c r="L277" i="82" s="1"/>
  <c r="L238" i="82"/>
  <c r="Y238" i="82"/>
  <c r="Y290" i="82"/>
  <c r="Y258" i="82"/>
  <c r="Y264" i="82" s="1"/>
  <c r="Y265" i="82" s="1"/>
  <c r="Y276" i="82" s="1"/>
  <c r="Y277" i="82" s="1"/>
  <c r="X290" i="82"/>
  <c r="X258" i="82"/>
  <c r="X264" i="82" s="1"/>
  <c r="X265" i="82" s="1"/>
  <c r="X276" i="82" s="1"/>
  <c r="X277" i="82" s="1"/>
  <c r="X238" i="82"/>
  <c r="K258" i="82"/>
  <c r="K264" i="82" s="1"/>
  <c r="K265" i="82" s="1"/>
  <c r="K276" i="82" s="1"/>
  <c r="K277" i="82" s="1"/>
  <c r="K290" i="82"/>
  <c r="K238" i="82"/>
  <c r="W290" i="82"/>
  <c r="W258" i="82"/>
  <c r="W264" i="82" s="1"/>
  <c r="W265" i="82" s="1"/>
  <c r="W276" i="82" s="1"/>
  <c r="W277" i="82" s="1"/>
  <c r="W238" i="82"/>
  <c r="T290" i="82"/>
  <c r="T238" i="82"/>
  <c r="T258" i="82"/>
  <c r="T264" i="82" s="1"/>
  <c r="T265" i="82" s="1"/>
  <c r="T276" i="82" s="1"/>
  <c r="T277" i="82" s="1"/>
  <c r="J290" i="82"/>
  <c r="J258" i="82"/>
  <c r="J264" i="82" s="1"/>
  <c r="J265" i="82" s="1"/>
  <c r="J276" i="82" s="1"/>
  <c r="J277" i="82" s="1"/>
  <c r="J238" i="82"/>
  <c r="V290" i="82"/>
  <c r="V238" i="82"/>
  <c r="V258" i="82"/>
  <c r="V264" i="82" s="1"/>
  <c r="V265" i="82" s="1"/>
  <c r="V276" i="82" s="1"/>
  <c r="U290" i="82"/>
  <c r="U258" i="82"/>
  <c r="U264" i="82" s="1"/>
  <c r="U265" i="82" s="1"/>
  <c r="U276" i="82" s="1"/>
  <c r="U277" i="82" s="1"/>
  <c r="U238" i="82"/>
  <c r="H258" i="82"/>
  <c r="H264" i="82" s="1"/>
  <c r="H265" i="82" s="1"/>
  <c r="H276" i="82" s="1"/>
  <c r="H277" i="82" s="1"/>
  <c r="H290" i="82"/>
  <c r="H238" i="82"/>
  <c r="H186" i="78"/>
  <c r="H187" i="78" s="1"/>
  <c r="H224" i="78" s="1"/>
  <c r="I186" i="78"/>
  <c r="I187" i="78" s="1"/>
  <c r="I224" i="78" s="1"/>
  <c r="J186" i="78"/>
  <c r="J187" i="78" s="1"/>
  <c r="J224" i="78" s="1"/>
  <c r="K186" i="78"/>
  <c r="K187" i="78" s="1"/>
  <c r="K224" i="78" s="1"/>
  <c r="L186" i="78"/>
  <c r="L187" i="78" s="1"/>
  <c r="L224" i="78" s="1"/>
  <c r="M186" i="78"/>
  <c r="M187" i="78" s="1"/>
  <c r="M224" i="78" s="1"/>
  <c r="N186" i="78"/>
  <c r="N187" i="78" s="1"/>
  <c r="N224" i="78" s="1"/>
  <c r="O186" i="78"/>
  <c r="O187" i="78" s="1"/>
  <c r="O224" i="78" s="1"/>
  <c r="P186" i="78"/>
  <c r="P187" i="78" s="1"/>
  <c r="P224" i="78" s="1"/>
  <c r="Q186" i="78"/>
  <c r="Q187" i="78" s="1"/>
  <c r="Q224" i="78" s="1"/>
  <c r="R186" i="78"/>
  <c r="R187" i="78" s="1"/>
  <c r="R224" i="78" s="1"/>
  <c r="S186" i="78"/>
  <c r="S187" i="78" s="1"/>
  <c r="S224" i="78" s="1"/>
  <c r="T186" i="78"/>
  <c r="T187" i="78" s="1"/>
  <c r="T224" i="78" s="1"/>
  <c r="U186" i="78"/>
  <c r="U187" i="78" s="1"/>
  <c r="U224" i="78" s="1"/>
  <c r="V186" i="78"/>
  <c r="V187" i="78" s="1"/>
  <c r="V224" i="78" s="1"/>
  <c r="W186" i="78"/>
  <c r="W187" i="78" s="1"/>
  <c r="W224" i="78" s="1"/>
  <c r="X186" i="78"/>
  <c r="X187" i="78" s="1"/>
  <c r="X224" i="78" s="1"/>
  <c r="Y186" i="78"/>
  <c r="Y187" i="78" s="1"/>
  <c r="Y224" i="78" s="1"/>
  <c r="Z186" i="78"/>
  <c r="Z187" i="78" s="1"/>
  <c r="Z224" i="78" s="1"/>
  <c r="AA186" i="78"/>
  <c r="AA187" i="78" s="1"/>
  <c r="AA224" i="78" s="1"/>
  <c r="H186" i="74"/>
  <c r="H187" i="74" s="1"/>
  <c r="H224" i="74" s="1"/>
  <c r="I186" i="74"/>
  <c r="I187" i="74" s="1"/>
  <c r="I224" i="74" s="1"/>
  <c r="J186" i="74"/>
  <c r="J187" i="74" s="1"/>
  <c r="J224" i="74" s="1"/>
  <c r="K186" i="74"/>
  <c r="K187" i="74" s="1"/>
  <c r="K224" i="74" s="1"/>
  <c r="L186" i="74"/>
  <c r="L187" i="74" s="1"/>
  <c r="L224" i="74" s="1"/>
  <c r="M186" i="74"/>
  <c r="M187" i="74" s="1"/>
  <c r="M224" i="74" s="1"/>
  <c r="N186" i="74"/>
  <c r="N187" i="74" s="1"/>
  <c r="N224" i="74" s="1"/>
  <c r="O186" i="74"/>
  <c r="O187" i="74" s="1"/>
  <c r="O224" i="74" s="1"/>
  <c r="P186" i="74"/>
  <c r="P187" i="74" s="1"/>
  <c r="P224" i="74" s="1"/>
  <c r="Q186" i="74"/>
  <c r="Q187" i="74" s="1"/>
  <c r="Q224" i="74" s="1"/>
  <c r="R186" i="74"/>
  <c r="R187" i="74" s="1"/>
  <c r="R224" i="74" s="1"/>
  <c r="S186" i="74"/>
  <c r="S187" i="74" s="1"/>
  <c r="S224" i="74" s="1"/>
  <c r="T186" i="74"/>
  <c r="T187" i="74" s="1"/>
  <c r="T224" i="74" s="1"/>
  <c r="U186" i="74"/>
  <c r="U187" i="74" s="1"/>
  <c r="U224" i="74" s="1"/>
  <c r="V186" i="74"/>
  <c r="V187" i="74" s="1"/>
  <c r="V224" i="74" s="1"/>
  <c r="W186" i="74"/>
  <c r="W187" i="74" s="1"/>
  <c r="W224" i="74" s="1"/>
  <c r="X186" i="74"/>
  <c r="X187" i="74" s="1"/>
  <c r="X224" i="74" s="1"/>
  <c r="Y186" i="74"/>
  <c r="Y187" i="74" s="1"/>
  <c r="Y224" i="74" s="1"/>
  <c r="Z186" i="74"/>
  <c r="Z187" i="74" s="1"/>
  <c r="Z224" i="74" s="1"/>
  <c r="AA186" i="74"/>
  <c r="AA187" i="74" s="1"/>
  <c r="AA224" i="74" s="1"/>
  <c r="T186" i="48"/>
  <c r="T187" i="48" s="1"/>
  <c r="T224" i="48" s="1"/>
  <c r="R186" i="48"/>
  <c r="R187" i="48" s="1"/>
  <c r="R224" i="48" s="1"/>
  <c r="R238" i="48" s="1"/>
  <c r="AA186" i="48"/>
  <c r="AA187" i="48" s="1"/>
  <c r="AA224" i="48" s="1"/>
  <c r="AA290" i="48" s="1"/>
  <c r="Q186" i="48"/>
  <c r="Q187" i="48" s="1"/>
  <c r="Q224" i="48" s="1"/>
  <c r="Q290" i="48" s="1"/>
  <c r="X186" i="48"/>
  <c r="X187" i="48" s="1"/>
  <c r="X224" i="48" s="1"/>
  <c r="P186" i="48"/>
  <c r="P187" i="48" s="1"/>
  <c r="P224" i="48" s="1"/>
  <c r="Y186" i="48"/>
  <c r="Y187" i="48" s="1"/>
  <c r="Y224" i="48" s="1"/>
  <c r="Z186" i="48"/>
  <c r="Z187" i="48" s="1"/>
  <c r="Z224" i="48" s="1"/>
  <c r="U186" i="48"/>
  <c r="U187" i="48" s="1"/>
  <c r="U224" i="48" s="1"/>
  <c r="W186" i="48"/>
  <c r="W187" i="48" s="1"/>
  <c r="W224" i="48" s="1"/>
  <c r="W238" i="48" s="1"/>
  <c r="O186" i="48"/>
  <c r="O187" i="48" s="1"/>
  <c r="O224" i="48" s="1"/>
  <c r="O238" i="48" s="1"/>
  <c r="N186" i="48"/>
  <c r="N187" i="48" s="1"/>
  <c r="N224" i="48" s="1"/>
  <c r="N258" i="48" s="1"/>
  <c r="N264" i="48" s="1"/>
  <c r="N265" i="48" s="1"/>
  <c r="N276" i="48" s="1"/>
  <c r="N277" i="48" s="1"/>
  <c r="V186" i="48"/>
  <c r="V187" i="48" s="1"/>
  <c r="V224" i="48" s="1"/>
  <c r="V238" i="48" s="1"/>
  <c r="M186" i="48"/>
  <c r="M187" i="48" s="1"/>
  <c r="M224" i="48" s="1"/>
  <c r="M238" i="48" s="1"/>
  <c r="S186" i="48"/>
  <c r="S187" i="48" s="1"/>
  <c r="S224" i="48" s="1"/>
  <c r="L186" i="48"/>
  <c r="L187" i="48" s="1"/>
  <c r="L224" i="48" s="1"/>
  <c r="K186" i="48"/>
  <c r="K187" i="48" s="1"/>
  <c r="K224" i="48" s="1"/>
  <c r="K238" i="48" s="1"/>
  <c r="J186" i="48"/>
  <c r="J187" i="48" s="1"/>
  <c r="J224" i="48" s="1"/>
  <c r="J290" i="48" s="1"/>
  <c r="I186" i="48"/>
  <c r="I187" i="48" s="1"/>
  <c r="I224" i="48" s="1"/>
  <c r="I258" i="48" s="1"/>
  <c r="I264" i="48" s="1"/>
  <c r="I265" i="48" s="1"/>
  <c r="I276" i="48" s="1"/>
  <c r="I277" i="48" s="1"/>
  <c r="U238" i="48"/>
  <c r="U290" i="48"/>
  <c r="U258" i="48"/>
  <c r="U264" i="48" s="1"/>
  <c r="U265" i="48" s="1"/>
  <c r="U276" i="48" s="1"/>
  <c r="U277" i="48" s="1"/>
  <c r="V258" i="48"/>
  <c r="V264" i="48" s="1"/>
  <c r="V265" i="48" s="1"/>
  <c r="V276" i="48" s="1"/>
  <c r="S258" i="48"/>
  <c r="S264" i="48" s="1"/>
  <c r="S265" i="48" s="1"/>
  <c r="S276" i="48" s="1"/>
  <c r="S277" i="48" s="1"/>
  <c r="S238" i="48"/>
  <c r="S290" i="48"/>
  <c r="L290" i="48"/>
  <c r="L258" i="48"/>
  <c r="L264" i="48" s="1"/>
  <c r="L265" i="48" s="1"/>
  <c r="L276" i="48" s="1"/>
  <c r="L277" i="48" s="1"/>
  <c r="L238" i="48"/>
  <c r="T258" i="48"/>
  <c r="T264" i="48" s="1"/>
  <c r="T265" i="48" s="1"/>
  <c r="T276" i="48" s="1"/>
  <c r="T277" i="48" s="1"/>
  <c r="T238" i="48"/>
  <c r="T290" i="48"/>
  <c r="X290" i="48"/>
  <c r="X238" i="48"/>
  <c r="X258" i="48"/>
  <c r="X264" i="48" s="1"/>
  <c r="X265" i="48" s="1"/>
  <c r="X276" i="48" s="1"/>
  <c r="X277" i="48" s="1"/>
  <c r="R258" i="48"/>
  <c r="R264" i="48" s="1"/>
  <c r="R265" i="48" s="1"/>
  <c r="R276" i="48" s="1"/>
  <c r="R277" i="48" s="1"/>
  <c r="R290" i="48"/>
  <c r="Y290" i="48"/>
  <c r="Y258" i="48"/>
  <c r="Y264" i="48" s="1"/>
  <c r="Y265" i="48" s="1"/>
  <c r="Y276" i="48" s="1"/>
  <c r="Y277" i="48" s="1"/>
  <c r="Y238" i="48"/>
  <c r="Q238" i="48"/>
  <c r="Z290" i="48"/>
  <c r="Z238" i="48"/>
  <c r="Z258" i="48"/>
  <c r="Z264" i="48" s="1"/>
  <c r="Z265" i="48" s="1"/>
  <c r="Z276" i="48" s="1"/>
  <c r="Z277" i="48" s="1"/>
  <c r="P238" i="48"/>
  <c r="P258" i="48"/>
  <c r="P264" i="48" s="1"/>
  <c r="P265" i="48" s="1"/>
  <c r="P276" i="48" s="1"/>
  <c r="P277" i="48" s="1"/>
  <c r="P290" i="48"/>
  <c r="H290" i="48"/>
  <c r="H238" i="48"/>
  <c r="H258" i="48"/>
  <c r="H264" i="48" s="1"/>
  <c r="H265" i="48" s="1"/>
  <c r="H276" i="48" s="1"/>
  <c r="H277" i="48" s="1"/>
  <c r="I186" i="21"/>
  <c r="I187" i="21" s="1"/>
  <c r="I186" i="16"/>
  <c r="J186" i="16" s="1"/>
  <c r="H224" i="21"/>
  <c r="H258" i="21" s="1"/>
  <c r="H264" i="21" s="1"/>
  <c r="H265" i="21" s="1"/>
  <c r="H276" i="21" s="1"/>
  <c r="H277" i="21" s="1"/>
  <c r="H224" i="14"/>
  <c r="J187" i="14"/>
  <c r="I224" i="14"/>
  <c r="H238" i="16"/>
  <c r="H258" i="16"/>
  <c r="H264" i="16" s="1"/>
  <c r="H265" i="16" s="1"/>
  <c r="H276" i="16" s="1"/>
  <c r="H277" i="16" s="1"/>
  <c r="H290" i="16"/>
  <c r="N290" i="48" l="1"/>
  <c r="N238" i="48"/>
  <c r="Q258" i="48"/>
  <c r="Q264" i="48" s="1"/>
  <c r="Q265" i="48" s="1"/>
  <c r="Q276" i="48" s="1"/>
  <c r="Q277" i="48" s="1"/>
  <c r="W290" i="48"/>
  <c r="W258" i="48"/>
  <c r="W264" i="48" s="1"/>
  <c r="W265" i="48" s="1"/>
  <c r="W276" i="48" s="1"/>
  <c r="W277" i="48" s="1"/>
  <c r="AA238" i="48"/>
  <c r="AB238" i="48" s="1"/>
  <c r="AA258" i="48"/>
  <c r="AA264" i="48" s="1"/>
  <c r="AA265" i="48" s="1"/>
  <c r="AA276" i="48" s="1"/>
  <c r="AA277" i="48" s="1"/>
  <c r="O258" i="48"/>
  <c r="O264" i="48" s="1"/>
  <c r="O265" i="48" s="1"/>
  <c r="O276" i="48" s="1"/>
  <c r="O277" i="48" s="1"/>
  <c r="O304" i="82"/>
  <c r="O272" i="82"/>
  <c r="O278" i="82" s="1"/>
  <c r="T304" i="82"/>
  <c r="T272" i="82"/>
  <c r="T278" i="82" s="1"/>
  <c r="X304" i="82"/>
  <c r="X272" i="82"/>
  <c r="X278" i="82" s="1"/>
  <c r="N272" i="82"/>
  <c r="N278" i="82" s="1"/>
  <c r="N304" i="82"/>
  <c r="V277" i="82"/>
  <c r="AB277" i="82" s="1"/>
  <c r="AB276" i="82"/>
  <c r="S272" i="82"/>
  <c r="S278" i="82" s="1"/>
  <c r="S304" i="82"/>
  <c r="V272" i="82"/>
  <c r="V304" i="82"/>
  <c r="AB238" i="82"/>
  <c r="W272" i="82"/>
  <c r="W278" i="82" s="1"/>
  <c r="W304" i="82"/>
  <c r="M304" i="82"/>
  <c r="M272" i="82"/>
  <c r="M278" i="82" s="1"/>
  <c r="H304" i="82"/>
  <c r="H272" i="82"/>
  <c r="H278" i="82" s="1"/>
  <c r="AA272" i="82"/>
  <c r="AA278" i="82" s="1"/>
  <c r="AA304" i="82"/>
  <c r="I272" i="82"/>
  <c r="I278" i="82" s="1"/>
  <c r="I304" i="82"/>
  <c r="R272" i="82"/>
  <c r="R278" i="82" s="1"/>
  <c r="R304" i="82"/>
  <c r="J272" i="82"/>
  <c r="J278" i="82" s="1"/>
  <c r="J304" i="82"/>
  <c r="Q304" i="82"/>
  <c r="Q272" i="82"/>
  <c r="Q278" i="82" s="1"/>
  <c r="K272" i="82"/>
  <c r="K278" i="82" s="1"/>
  <c r="K304" i="82"/>
  <c r="Y304" i="82"/>
  <c r="Y272" i="82"/>
  <c r="Y278" i="82" s="1"/>
  <c r="Z304" i="82"/>
  <c r="Z272" i="82"/>
  <c r="Z278" i="82" s="1"/>
  <c r="P272" i="82"/>
  <c r="P278" i="82" s="1"/>
  <c r="P304" i="82"/>
  <c r="U272" i="82"/>
  <c r="U278" i="82" s="1"/>
  <c r="U304" i="82"/>
  <c r="L304" i="82"/>
  <c r="L272" i="82"/>
  <c r="L278" i="82" s="1"/>
  <c r="X258" i="74"/>
  <c r="X264" i="74" s="1"/>
  <c r="X265" i="74" s="1"/>
  <c r="X276" i="74" s="1"/>
  <c r="X238" i="74"/>
  <c r="X290" i="74"/>
  <c r="P258" i="74"/>
  <c r="P264" i="74" s="1"/>
  <c r="P265" i="74" s="1"/>
  <c r="P276" i="74" s="1"/>
  <c r="P277" i="74" s="1"/>
  <c r="P238" i="74"/>
  <c r="P290" i="74"/>
  <c r="H290" i="74"/>
  <c r="H258" i="74"/>
  <c r="H264" i="74" s="1"/>
  <c r="H265" i="74" s="1"/>
  <c r="H276" i="74" s="1"/>
  <c r="H238" i="74"/>
  <c r="T258" i="78"/>
  <c r="T264" i="78" s="1"/>
  <c r="T265" i="78" s="1"/>
  <c r="T276" i="78" s="1"/>
  <c r="T277" i="78" s="1"/>
  <c r="T290" i="78"/>
  <c r="T238" i="78"/>
  <c r="L258" i="78"/>
  <c r="L264" i="78" s="1"/>
  <c r="L265" i="78" s="1"/>
  <c r="L276" i="78" s="1"/>
  <c r="L277" i="78" s="1"/>
  <c r="L290" i="78"/>
  <c r="L238" i="78"/>
  <c r="W258" i="74"/>
  <c r="W264" i="74" s="1"/>
  <c r="W265" i="74" s="1"/>
  <c r="W276" i="74" s="1"/>
  <c r="W277" i="74" s="1"/>
  <c r="W290" i="74"/>
  <c r="W238" i="74"/>
  <c r="O258" i="74"/>
  <c r="O264" i="74" s="1"/>
  <c r="O265" i="74" s="1"/>
  <c r="O276" i="74" s="1"/>
  <c r="O277" i="74" s="1"/>
  <c r="O290" i="74"/>
  <c r="O238" i="74"/>
  <c r="AA290" i="78"/>
  <c r="AA258" i="78"/>
  <c r="AA264" i="78" s="1"/>
  <c r="AA265" i="78" s="1"/>
  <c r="AA276" i="78" s="1"/>
  <c r="AA238" i="78"/>
  <c r="S238" i="78"/>
  <c r="S290" i="78"/>
  <c r="S258" i="78"/>
  <c r="S264" i="78" s="1"/>
  <c r="S265" i="78" s="1"/>
  <c r="S276" i="78" s="1"/>
  <c r="K238" i="78"/>
  <c r="K290" i="78"/>
  <c r="K258" i="78"/>
  <c r="K264" i="78" s="1"/>
  <c r="K265" i="78" s="1"/>
  <c r="K276" i="78" s="1"/>
  <c r="K277" i="78" s="1"/>
  <c r="V258" i="74"/>
  <c r="V264" i="74" s="1"/>
  <c r="V265" i="74" s="1"/>
  <c r="V276" i="74" s="1"/>
  <c r="V290" i="74"/>
  <c r="V238" i="74"/>
  <c r="N238" i="74"/>
  <c r="N290" i="74"/>
  <c r="N258" i="74"/>
  <c r="N264" i="74" s="1"/>
  <c r="N265" i="74" s="1"/>
  <c r="N276" i="74" s="1"/>
  <c r="Z258" i="78"/>
  <c r="Z264" i="78" s="1"/>
  <c r="Z265" i="78" s="1"/>
  <c r="Z276" i="78" s="1"/>
  <c r="Z277" i="78" s="1"/>
  <c r="Z290" i="78"/>
  <c r="Z238" i="78"/>
  <c r="R258" i="78"/>
  <c r="R264" i="78" s="1"/>
  <c r="R265" i="78" s="1"/>
  <c r="R276" i="78" s="1"/>
  <c r="R290" i="78"/>
  <c r="R238" i="78"/>
  <c r="J258" i="78"/>
  <c r="J264" i="78" s="1"/>
  <c r="J265" i="78" s="1"/>
  <c r="J276" i="78" s="1"/>
  <c r="J277" i="78" s="1"/>
  <c r="J238" i="78"/>
  <c r="J290" i="78"/>
  <c r="U238" i="74"/>
  <c r="U290" i="74"/>
  <c r="U258" i="74"/>
  <c r="U264" i="74" s="1"/>
  <c r="U265" i="74" s="1"/>
  <c r="U276" i="74" s="1"/>
  <c r="U277" i="74" s="1"/>
  <c r="M290" i="74"/>
  <c r="M258" i="74"/>
  <c r="M264" i="74" s="1"/>
  <c r="M265" i="74" s="1"/>
  <c r="M276" i="74" s="1"/>
  <c r="M238" i="74"/>
  <c r="Y238" i="78"/>
  <c r="Y258" i="78"/>
  <c r="Y264" i="78" s="1"/>
  <c r="Y265" i="78" s="1"/>
  <c r="Y276" i="78" s="1"/>
  <c r="Y277" i="78" s="1"/>
  <c r="Y290" i="78"/>
  <c r="Q258" i="78"/>
  <c r="Q264" i="78" s="1"/>
  <c r="Q265" i="78" s="1"/>
  <c r="Q276" i="78" s="1"/>
  <c r="Q277" i="78" s="1"/>
  <c r="Q290" i="78"/>
  <c r="Q238" i="78"/>
  <c r="I238" i="78"/>
  <c r="I258" i="78"/>
  <c r="I264" i="78" s="1"/>
  <c r="I265" i="78" s="1"/>
  <c r="I276" i="78" s="1"/>
  <c r="I277" i="78" s="1"/>
  <c r="I290" i="78"/>
  <c r="T238" i="74"/>
  <c r="T290" i="74"/>
  <c r="T258" i="74"/>
  <c r="T264" i="74" s="1"/>
  <c r="T265" i="74" s="1"/>
  <c r="T276" i="74" s="1"/>
  <c r="L290" i="74"/>
  <c r="L238" i="74"/>
  <c r="L258" i="74"/>
  <c r="L264" i="74" s="1"/>
  <c r="L265" i="74" s="1"/>
  <c r="L276" i="74" s="1"/>
  <c r="X258" i="78"/>
  <c r="X264" i="78" s="1"/>
  <c r="X265" i="78" s="1"/>
  <c r="X276" i="78" s="1"/>
  <c r="X277" i="78" s="1"/>
  <c r="X290" i="78"/>
  <c r="X238" i="78"/>
  <c r="P238" i="78"/>
  <c r="P290" i="78"/>
  <c r="P258" i="78"/>
  <c r="P264" i="78" s="1"/>
  <c r="P265" i="78" s="1"/>
  <c r="P276" i="78" s="1"/>
  <c r="H258" i="78"/>
  <c r="H264" i="78" s="1"/>
  <c r="H265" i="78" s="1"/>
  <c r="H276" i="78" s="1"/>
  <c r="H277" i="78" s="1"/>
  <c r="H238" i="78"/>
  <c r="H290" i="78"/>
  <c r="AA290" i="74"/>
  <c r="AA238" i="74"/>
  <c r="AA258" i="74"/>
  <c r="AA264" i="74" s="1"/>
  <c r="AA265" i="74" s="1"/>
  <c r="AA276" i="74" s="1"/>
  <c r="S290" i="74"/>
  <c r="S258" i="74"/>
  <c r="S264" i="74" s="1"/>
  <c r="S265" i="74" s="1"/>
  <c r="S276" i="74" s="1"/>
  <c r="S277" i="74" s="1"/>
  <c r="S238" i="74"/>
  <c r="K258" i="74"/>
  <c r="K264" i="74" s="1"/>
  <c r="K265" i="74" s="1"/>
  <c r="K276" i="74" s="1"/>
  <c r="K277" i="74" s="1"/>
  <c r="K290" i="74"/>
  <c r="K238" i="74"/>
  <c r="W258" i="78"/>
  <c r="W264" i="78" s="1"/>
  <c r="W265" i="78" s="1"/>
  <c r="W276" i="78" s="1"/>
  <c r="W238" i="78"/>
  <c r="W290" i="78"/>
  <c r="O290" i="78"/>
  <c r="O258" i="78"/>
  <c r="O264" i="78" s="1"/>
  <c r="O265" i="78" s="1"/>
  <c r="O276" i="78" s="1"/>
  <c r="O238" i="78"/>
  <c r="Z238" i="74"/>
  <c r="Z258" i="74"/>
  <c r="Z264" i="74" s="1"/>
  <c r="Z265" i="74" s="1"/>
  <c r="Z276" i="74" s="1"/>
  <c r="Z277" i="74" s="1"/>
  <c r="Z290" i="74"/>
  <c r="R238" i="74"/>
  <c r="R290" i="74"/>
  <c r="R258" i="74"/>
  <c r="R264" i="74" s="1"/>
  <c r="R265" i="74" s="1"/>
  <c r="R276" i="74" s="1"/>
  <c r="R277" i="74" s="1"/>
  <c r="J290" i="74"/>
  <c r="J258" i="74"/>
  <c r="J264" i="74" s="1"/>
  <c r="J265" i="74" s="1"/>
  <c r="J276" i="74" s="1"/>
  <c r="J277" i="74" s="1"/>
  <c r="J238" i="74"/>
  <c r="V258" i="78"/>
  <c r="V264" i="78" s="1"/>
  <c r="V265" i="78" s="1"/>
  <c r="V276" i="78" s="1"/>
  <c r="V290" i="78"/>
  <c r="V238" i="78"/>
  <c r="N258" i="78"/>
  <c r="N264" i="78" s="1"/>
  <c r="N265" i="78" s="1"/>
  <c r="N276" i="78" s="1"/>
  <c r="N238" i="78"/>
  <c r="N290" i="78"/>
  <c r="Y290" i="74"/>
  <c r="Y258" i="74"/>
  <c r="Y264" i="74" s="1"/>
  <c r="Y265" i="74" s="1"/>
  <c r="Y276" i="74" s="1"/>
  <c r="Y277" i="74" s="1"/>
  <c r="Y238" i="74"/>
  <c r="Q290" i="74"/>
  <c r="Q258" i="74"/>
  <c r="Q264" i="74" s="1"/>
  <c r="Q265" i="74" s="1"/>
  <c r="Q276" i="74" s="1"/>
  <c r="Q277" i="74" s="1"/>
  <c r="Q238" i="74"/>
  <c r="I290" i="74"/>
  <c r="I238" i="74"/>
  <c r="I258" i="74"/>
  <c r="I264" i="74" s="1"/>
  <c r="I265" i="74" s="1"/>
  <c r="I276" i="74" s="1"/>
  <c r="U290" i="78"/>
  <c r="U258" i="78"/>
  <c r="U264" i="78" s="1"/>
  <c r="U265" i="78" s="1"/>
  <c r="U276" i="78" s="1"/>
  <c r="U277" i="78" s="1"/>
  <c r="U238" i="78"/>
  <c r="M290" i="78"/>
  <c r="M258" i="78"/>
  <c r="M264" i="78" s="1"/>
  <c r="M265" i="78" s="1"/>
  <c r="M276" i="78" s="1"/>
  <c r="M277" i="78" s="1"/>
  <c r="M238" i="78"/>
  <c r="O290" i="48"/>
  <c r="V290" i="48"/>
  <c r="I238" i="48"/>
  <c r="I304" i="48" s="1"/>
  <c r="I290" i="48"/>
  <c r="J258" i="48"/>
  <c r="J264" i="48" s="1"/>
  <c r="J265" i="48" s="1"/>
  <c r="J276" i="48" s="1"/>
  <c r="J277" i="48" s="1"/>
  <c r="M258" i="48"/>
  <c r="M264" i="48" s="1"/>
  <c r="M265" i="48" s="1"/>
  <c r="M276" i="48" s="1"/>
  <c r="M277" i="48" s="1"/>
  <c r="M290" i="48"/>
  <c r="K258" i="48"/>
  <c r="K264" i="48" s="1"/>
  <c r="K265" i="48" s="1"/>
  <c r="K276" i="48" s="1"/>
  <c r="K277" i="48" s="1"/>
  <c r="K290" i="48"/>
  <c r="J238" i="48"/>
  <c r="J272" i="48" s="1"/>
  <c r="J186" i="21"/>
  <c r="K186" i="21" s="1"/>
  <c r="L272" i="48"/>
  <c r="L278" i="48" s="1"/>
  <c r="L304" i="48"/>
  <c r="M304" i="48"/>
  <c r="M272" i="48"/>
  <c r="P272" i="48"/>
  <c r="P278" i="48" s="1"/>
  <c r="P304" i="48"/>
  <c r="R272" i="48"/>
  <c r="R278" i="48" s="1"/>
  <c r="R304" i="48"/>
  <c r="K272" i="48"/>
  <c r="K304" i="48"/>
  <c r="V304" i="48"/>
  <c r="V272" i="48"/>
  <c r="U304" i="48"/>
  <c r="U272" i="48"/>
  <c r="U278" i="48" s="1"/>
  <c r="Q304" i="48"/>
  <c r="Q272" i="48"/>
  <c r="Q278" i="48" s="1"/>
  <c r="O272" i="48"/>
  <c r="O304" i="48"/>
  <c r="Z272" i="48"/>
  <c r="Z278" i="48" s="1"/>
  <c r="Z304" i="48"/>
  <c r="Y304" i="48"/>
  <c r="Y272" i="48"/>
  <c r="Y278" i="48" s="1"/>
  <c r="T304" i="48"/>
  <c r="T272" i="48"/>
  <c r="T278" i="48" s="1"/>
  <c r="V277" i="48"/>
  <c r="AB277" i="48" s="1"/>
  <c r="AB276" i="48"/>
  <c r="S272" i="48"/>
  <c r="S278" i="48" s="1"/>
  <c r="S304" i="48"/>
  <c r="H304" i="48"/>
  <c r="H272" i="48"/>
  <c r="H278" i="48" s="1"/>
  <c r="X272" i="48"/>
  <c r="X278" i="48" s="1"/>
  <c r="X304" i="48"/>
  <c r="N304" i="48"/>
  <c r="N272" i="48"/>
  <c r="N278" i="48" s="1"/>
  <c r="W272" i="48"/>
  <c r="W278" i="48" s="1"/>
  <c r="W304" i="48"/>
  <c r="I187" i="16"/>
  <c r="I224" i="16" s="1"/>
  <c r="I290" i="16" s="1"/>
  <c r="H238" i="21"/>
  <c r="H272" i="21" s="1"/>
  <c r="H278" i="21" s="1"/>
  <c r="H290" i="21"/>
  <c r="I224" i="21"/>
  <c r="I258" i="21" s="1"/>
  <c r="I264" i="21" s="1"/>
  <c r="I265" i="21" s="1"/>
  <c r="I276" i="21" s="1"/>
  <c r="I277" i="21" s="1"/>
  <c r="I188" i="21"/>
  <c r="J187" i="16"/>
  <c r="J224" i="16" s="1"/>
  <c r="K186" i="16"/>
  <c r="I290" i="14"/>
  <c r="I258" i="14"/>
  <c r="I264" i="14" s="1"/>
  <c r="I265" i="14" s="1"/>
  <c r="I276" i="14" s="1"/>
  <c r="I277" i="14" s="1"/>
  <c r="I238" i="14"/>
  <c r="K187" i="14"/>
  <c r="J224" i="14"/>
  <c r="H272" i="16"/>
  <c r="H278" i="16" s="1"/>
  <c r="H304" i="16"/>
  <c r="H290" i="14"/>
  <c r="H258" i="14"/>
  <c r="H264" i="14" s="1"/>
  <c r="H265" i="14" s="1"/>
  <c r="H276" i="14" s="1"/>
  <c r="H277" i="14" s="1"/>
  <c r="H238" i="14"/>
  <c r="O278" i="48" l="1"/>
  <c r="AA304" i="48"/>
  <c r="J278" i="48"/>
  <c r="AA272" i="48"/>
  <c r="I272" i="48"/>
  <c r="I278" i="48" s="1"/>
  <c r="V278" i="82"/>
  <c r="AB304" i="82"/>
  <c r="AB272" i="82"/>
  <c r="AB278" i="82" s="1"/>
  <c r="H304" i="21"/>
  <c r="I238" i="16"/>
  <c r="P277" i="78"/>
  <c r="R277" i="78"/>
  <c r="N277" i="78"/>
  <c r="T277" i="74"/>
  <c r="AA277" i="78"/>
  <c r="AA277" i="74"/>
  <c r="W277" i="78"/>
  <c r="N277" i="74"/>
  <c r="S277" i="78"/>
  <c r="I277" i="74"/>
  <c r="L277" i="74"/>
  <c r="M277" i="74"/>
  <c r="O277" i="78"/>
  <c r="X277" i="74"/>
  <c r="H277" i="74"/>
  <c r="M272" i="78"/>
  <c r="M278" i="78" s="1"/>
  <c r="M304" i="78"/>
  <c r="N304" i="78"/>
  <c r="N272" i="78"/>
  <c r="AA272" i="78"/>
  <c r="AA304" i="78"/>
  <c r="Q272" i="74"/>
  <c r="Q278" i="74" s="1"/>
  <c r="Q304" i="74"/>
  <c r="Z272" i="78"/>
  <c r="Z278" i="78" s="1"/>
  <c r="Z304" i="78"/>
  <c r="V277" i="74"/>
  <c r="AB276" i="74"/>
  <c r="L304" i="78"/>
  <c r="L272" i="78"/>
  <c r="L278" i="78" s="1"/>
  <c r="V272" i="78"/>
  <c r="V304" i="78"/>
  <c r="AB238" i="78"/>
  <c r="R272" i="74"/>
  <c r="R278" i="74" s="1"/>
  <c r="R304" i="74"/>
  <c r="W304" i="78"/>
  <c r="W272" i="78"/>
  <c r="P272" i="78"/>
  <c r="P304" i="78"/>
  <c r="U272" i="74"/>
  <c r="U278" i="74" s="1"/>
  <c r="U304" i="74"/>
  <c r="U304" i="78"/>
  <c r="U272" i="78"/>
  <c r="U278" i="78" s="1"/>
  <c r="AA272" i="74"/>
  <c r="AA304" i="74"/>
  <c r="X272" i="78"/>
  <c r="X278" i="78" s="1"/>
  <c r="X304" i="78"/>
  <c r="T304" i="74"/>
  <c r="T272" i="74"/>
  <c r="O272" i="74"/>
  <c r="O278" i="74" s="1"/>
  <c r="O304" i="74"/>
  <c r="P304" i="74"/>
  <c r="P272" i="74"/>
  <c r="P278" i="74" s="1"/>
  <c r="Y304" i="74"/>
  <c r="Y272" i="74"/>
  <c r="Y278" i="74" s="1"/>
  <c r="V277" i="78"/>
  <c r="AB276" i="78"/>
  <c r="K272" i="74"/>
  <c r="K278" i="74" s="1"/>
  <c r="K304" i="74"/>
  <c r="Y272" i="78"/>
  <c r="Y278" i="78" s="1"/>
  <c r="Y304" i="78"/>
  <c r="J272" i="78"/>
  <c r="J278" i="78" s="1"/>
  <c r="J304" i="78"/>
  <c r="K304" i="78"/>
  <c r="K272" i="78"/>
  <c r="K278" i="78" s="1"/>
  <c r="T304" i="78"/>
  <c r="T272" i="78"/>
  <c r="T278" i="78" s="1"/>
  <c r="J272" i="74"/>
  <c r="J278" i="74" s="1"/>
  <c r="J304" i="74"/>
  <c r="Z272" i="74"/>
  <c r="Z278" i="74" s="1"/>
  <c r="Z304" i="74"/>
  <c r="M304" i="74"/>
  <c r="M272" i="74"/>
  <c r="O272" i="78"/>
  <c r="O304" i="78"/>
  <c r="H272" i="78"/>
  <c r="H278" i="78" s="1"/>
  <c r="H304" i="78"/>
  <c r="I304" i="78"/>
  <c r="I272" i="78"/>
  <c r="I278" i="78" s="1"/>
  <c r="R304" i="78"/>
  <c r="R272" i="78"/>
  <c r="N272" i="74"/>
  <c r="N304" i="74"/>
  <c r="W304" i="74"/>
  <c r="W272" i="74"/>
  <c r="W278" i="74" s="1"/>
  <c r="X304" i="74"/>
  <c r="X272" i="74"/>
  <c r="I304" i="74"/>
  <c r="I272" i="74"/>
  <c r="S272" i="74"/>
  <c r="S278" i="74" s="1"/>
  <c r="S304" i="74"/>
  <c r="L272" i="74"/>
  <c r="L304" i="74"/>
  <c r="Q304" i="78"/>
  <c r="Q272" i="78"/>
  <c r="Q278" i="78" s="1"/>
  <c r="V272" i="74"/>
  <c r="V304" i="74"/>
  <c r="AB238" i="74"/>
  <c r="S272" i="78"/>
  <c r="S304" i="78"/>
  <c r="H304" i="74"/>
  <c r="H272" i="74"/>
  <c r="J304" i="48"/>
  <c r="M278" i="48"/>
  <c r="K278" i="48"/>
  <c r="I258" i="16"/>
  <c r="I264" i="16" s="1"/>
  <c r="I265" i="16" s="1"/>
  <c r="I276" i="16" s="1"/>
  <c r="I277" i="16" s="1"/>
  <c r="AB304" i="48"/>
  <c r="J187" i="21"/>
  <c r="J188" i="21" s="1"/>
  <c r="V278" i="48"/>
  <c r="I290" i="21"/>
  <c r="AB272" i="48"/>
  <c r="AB278" i="48" s="1"/>
  <c r="AA278" i="48"/>
  <c r="I238" i="21"/>
  <c r="I272" i="21" s="1"/>
  <c r="I278" i="21" s="1"/>
  <c r="K187" i="21"/>
  <c r="L186" i="21"/>
  <c r="I304" i="14"/>
  <c r="I272" i="14"/>
  <c r="I278" i="14" s="1"/>
  <c r="H272" i="14"/>
  <c r="H278" i="14" s="1"/>
  <c r="H304" i="14"/>
  <c r="J258" i="14"/>
  <c r="J264" i="14" s="1"/>
  <c r="J265" i="14" s="1"/>
  <c r="J276" i="14" s="1"/>
  <c r="J277" i="14" s="1"/>
  <c r="J238" i="14"/>
  <c r="J290" i="14"/>
  <c r="K224" i="14"/>
  <c r="L187" i="14"/>
  <c r="I304" i="16"/>
  <c r="I272" i="16"/>
  <c r="K187" i="16"/>
  <c r="K224" i="16" s="1"/>
  <c r="L186" i="16"/>
  <c r="J258" i="16"/>
  <c r="J264" i="16" s="1"/>
  <c r="J265" i="16" s="1"/>
  <c r="J276" i="16" s="1"/>
  <c r="J277" i="16" s="1"/>
  <c r="J290" i="16"/>
  <c r="J238" i="16"/>
  <c r="H278" i="74" l="1"/>
  <c r="W278" i="78"/>
  <c r="X278" i="74"/>
  <c r="AA278" i="74"/>
  <c r="O278" i="78"/>
  <c r="AA278" i="78"/>
  <c r="M278" i="74"/>
  <c r="T278" i="74"/>
  <c r="L278" i="74"/>
  <c r="N278" i="78"/>
  <c r="I278" i="74"/>
  <c r="R278" i="78"/>
  <c r="S278" i="78"/>
  <c r="P278" i="78"/>
  <c r="N278" i="74"/>
  <c r="I278" i="16"/>
  <c r="AB277" i="74"/>
  <c r="V278" i="74"/>
  <c r="V278" i="78"/>
  <c r="AB277" i="78"/>
  <c r="AB304" i="78"/>
  <c r="AB304" i="74"/>
  <c r="AB272" i="78"/>
  <c r="AB272" i="74"/>
  <c r="J224" i="21"/>
  <c r="J238" i="21" s="1"/>
  <c r="J272" i="21" s="1"/>
  <c r="I304" i="21"/>
  <c r="K224" i="21"/>
  <c r="K290" i="21" s="1"/>
  <c r="K188" i="21"/>
  <c r="J272" i="14"/>
  <c r="J278" i="14" s="1"/>
  <c r="J304" i="14"/>
  <c r="M186" i="21"/>
  <c r="L187" i="21"/>
  <c r="K290" i="16"/>
  <c r="K258" i="16"/>
  <c r="K264" i="16" s="1"/>
  <c r="K265" i="16" s="1"/>
  <c r="K276" i="16" s="1"/>
  <c r="K277" i="16" s="1"/>
  <c r="K238" i="16"/>
  <c r="M186" i="16"/>
  <c r="L187" i="16"/>
  <c r="L224" i="16" s="1"/>
  <c r="J304" i="16"/>
  <c r="J272" i="16"/>
  <c r="J278" i="16" s="1"/>
  <c r="L224" i="14"/>
  <c r="M187" i="14"/>
  <c r="K238" i="14"/>
  <c r="K290" i="14"/>
  <c r="K258" i="14"/>
  <c r="K264" i="14" s="1"/>
  <c r="K265" i="14" s="1"/>
  <c r="K276" i="14" s="1"/>
  <c r="K277" i="14" s="1"/>
  <c r="AB278" i="74" l="1"/>
  <c r="AB278" i="78"/>
  <c r="J290" i="21"/>
  <c r="J304" i="21"/>
  <c r="J258" i="21"/>
  <c r="J264" i="21" s="1"/>
  <c r="J265" i="21" s="1"/>
  <c r="J276" i="21" s="1"/>
  <c r="J277" i="21" s="1"/>
  <c r="K238" i="21"/>
  <c r="K304" i="21" s="1"/>
  <c r="K258" i="21"/>
  <c r="K264" i="21" s="1"/>
  <c r="K265" i="21" s="1"/>
  <c r="K276" i="21" s="1"/>
  <c r="K277" i="21" s="1"/>
  <c r="L224" i="21"/>
  <c r="L290" i="21" s="1"/>
  <c r="L188" i="21"/>
  <c r="L290" i="14"/>
  <c r="L238" i="14"/>
  <c r="L258" i="14"/>
  <c r="L264" i="14" s="1"/>
  <c r="L265" i="14" s="1"/>
  <c r="L276" i="14" s="1"/>
  <c r="L277" i="14" s="1"/>
  <c r="N186" i="21"/>
  <c r="M187" i="21"/>
  <c r="M224" i="14"/>
  <c r="N187" i="14"/>
  <c r="K304" i="14"/>
  <c r="K272" i="14"/>
  <c r="K278" i="14" s="1"/>
  <c r="L238" i="16"/>
  <c r="L258" i="16"/>
  <c r="L264" i="16" s="1"/>
  <c r="L265" i="16" s="1"/>
  <c r="L276" i="16" s="1"/>
  <c r="L277" i="16" s="1"/>
  <c r="L290" i="16"/>
  <c r="N186" i="16"/>
  <c r="M187" i="16"/>
  <c r="M224" i="16" s="1"/>
  <c r="K272" i="16"/>
  <c r="K278" i="16" s="1"/>
  <c r="K304" i="16"/>
  <c r="J278" i="21" l="1"/>
  <c r="K272" i="21"/>
  <c r="K278" i="21" s="1"/>
  <c r="L258" i="21"/>
  <c r="L264" i="21" s="1"/>
  <c r="L265" i="21" s="1"/>
  <c r="L276" i="21" s="1"/>
  <c r="L277" i="21" s="1"/>
  <c r="L238" i="21"/>
  <c r="L304" i="21" s="1"/>
  <c r="M224" i="21"/>
  <c r="M238" i="21" s="1"/>
  <c r="M188" i="21"/>
  <c r="L272" i="16"/>
  <c r="L278" i="16" s="1"/>
  <c r="L304" i="16"/>
  <c r="N187" i="21"/>
  <c r="O186" i="21"/>
  <c r="M238" i="14"/>
  <c r="M290" i="14"/>
  <c r="M258" i="14"/>
  <c r="M264" i="14" s="1"/>
  <c r="M265" i="14" s="1"/>
  <c r="M276" i="14" s="1"/>
  <c r="M277" i="14" s="1"/>
  <c r="M290" i="16"/>
  <c r="M238" i="16"/>
  <c r="M258" i="16"/>
  <c r="M264" i="16" s="1"/>
  <c r="M265" i="16" s="1"/>
  <c r="M276" i="16" s="1"/>
  <c r="M277" i="16" s="1"/>
  <c r="L272" i="14"/>
  <c r="L278" i="14" s="1"/>
  <c r="L304" i="14"/>
  <c r="N187" i="16"/>
  <c r="N224" i="16" s="1"/>
  <c r="O186" i="16"/>
  <c r="O187" i="14"/>
  <c r="N224" i="14"/>
  <c r="M258" i="21" l="1"/>
  <c r="M264" i="21" s="1"/>
  <c r="M265" i="21" s="1"/>
  <c r="M276" i="21" s="1"/>
  <c r="M277" i="21" s="1"/>
  <c r="L272" i="21"/>
  <c r="L278" i="21" s="1"/>
  <c r="M290" i="21"/>
  <c r="N224" i="21"/>
  <c r="N258" i="21" s="1"/>
  <c r="N264" i="21" s="1"/>
  <c r="N265" i="21" s="1"/>
  <c r="N276" i="21" s="1"/>
  <c r="N277" i="21" s="1"/>
  <c r="N188" i="21"/>
  <c r="O187" i="16"/>
  <c r="O224" i="16" s="1"/>
  <c r="P186" i="16"/>
  <c r="N258" i="16"/>
  <c r="N264" i="16" s="1"/>
  <c r="N265" i="16" s="1"/>
  <c r="N276" i="16" s="1"/>
  <c r="N277" i="16" s="1"/>
  <c r="N238" i="16"/>
  <c r="N290" i="16"/>
  <c r="M272" i="14"/>
  <c r="M278" i="14" s="1"/>
  <c r="M304" i="14"/>
  <c r="O224" i="14"/>
  <c r="P187" i="14"/>
  <c r="P186" i="21"/>
  <c r="O187" i="21"/>
  <c r="M272" i="21"/>
  <c r="M304" i="21"/>
  <c r="N238" i="14"/>
  <c r="N258" i="14"/>
  <c r="N264" i="14" s="1"/>
  <c r="N265" i="14" s="1"/>
  <c r="N276" i="14" s="1"/>
  <c r="N277" i="14" s="1"/>
  <c r="N290" i="14"/>
  <c r="M272" i="16"/>
  <c r="M278" i="16" s="1"/>
  <c r="M304" i="16"/>
  <c r="M278" i="21" l="1"/>
  <c r="N290" i="21"/>
  <c r="N238" i="21"/>
  <c r="N304" i="21" s="1"/>
  <c r="O224" i="21"/>
  <c r="O258" i="21" s="1"/>
  <c r="O264" i="21" s="1"/>
  <c r="O265" i="21" s="1"/>
  <c r="O276" i="21" s="1"/>
  <c r="O277" i="21" s="1"/>
  <c r="O188" i="21"/>
  <c r="Q187" i="14"/>
  <c r="P224" i="14"/>
  <c r="P187" i="21"/>
  <c r="Q186" i="21"/>
  <c r="O290" i="14"/>
  <c r="O238" i="14"/>
  <c r="O258" i="14"/>
  <c r="O264" i="14" s="1"/>
  <c r="O265" i="14" s="1"/>
  <c r="O276" i="14" s="1"/>
  <c r="O277" i="14" s="1"/>
  <c r="Q186" i="16"/>
  <c r="P187" i="16"/>
  <c r="P224" i="16" s="1"/>
  <c r="N304" i="16"/>
  <c r="N272" i="16"/>
  <c r="N278" i="16" s="1"/>
  <c r="N272" i="14"/>
  <c r="N278" i="14" s="1"/>
  <c r="N304" i="14"/>
  <c r="O238" i="16"/>
  <c r="O290" i="16"/>
  <c r="O258" i="16"/>
  <c r="O264" i="16" s="1"/>
  <c r="O265" i="16" s="1"/>
  <c r="O276" i="16" s="1"/>
  <c r="O277" i="16" s="1"/>
  <c r="O290" i="21" l="1"/>
  <c r="N272" i="21"/>
  <c r="N278" i="21" s="1"/>
  <c r="O238" i="21"/>
  <c r="O304" i="21" s="1"/>
  <c r="P224" i="21"/>
  <c r="P258" i="21" s="1"/>
  <c r="P264" i="21" s="1"/>
  <c r="P265" i="21" s="1"/>
  <c r="P276" i="21" s="1"/>
  <c r="P277" i="21" s="1"/>
  <c r="P188" i="21"/>
  <c r="O272" i="14"/>
  <c r="O278" i="14" s="1"/>
  <c r="O304" i="14"/>
  <c r="R186" i="21"/>
  <c r="Q187" i="21"/>
  <c r="P238" i="16"/>
  <c r="P290" i="16"/>
  <c r="P258" i="16"/>
  <c r="P264" i="16" s="1"/>
  <c r="P265" i="16" s="1"/>
  <c r="P276" i="16" s="1"/>
  <c r="P277" i="16" s="1"/>
  <c r="P238" i="14"/>
  <c r="P290" i="14"/>
  <c r="P258" i="14"/>
  <c r="P264" i="14" s="1"/>
  <c r="P265" i="14" s="1"/>
  <c r="P276" i="14" s="1"/>
  <c r="P277" i="14" s="1"/>
  <c r="O304" i="16"/>
  <c r="O272" i="16"/>
  <c r="O278" i="16" s="1"/>
  <c r="R186" i="16"/>
  <c r="Q187" i="16"/>
  <c r="Q224" i="16" s="1"/>
  <c r="R187" i="14"/>
  <c r="Q224" i="14"/>
  <c r="P290" i="21" l="1"/>
  <c r="P238" i="21"/>
  <c r="P272" i="21" s="1"/>
  <c r="P278" i="21" s="1"/>
  <c r="O272" i="21"/>
  <c r="O278" i="21" s="1"/>
  <c r="Q224" i="21"/>
  <c r="Q258" i="21" s="1"/>
  <c r="Q264" i="21" s="1"/>
  <c r="Q265" i="21" s="1"/>
  <c r="Q276" i="21" s="1"/>
  <c r="Q277" i="21" s="1"/>
  <c r="Q188" i="21"/>
  <c r="Q290" i="16"/>
  <c r="Q238" i="16"/>
  <c r="Q258" i="16"/>
  <c r="Q264" i="16" s="1"/>
  <c r="Q265" i="16" s="1"/>
  <c r="Q276" i="16" s="1"/>
  <c r="Q277" i="16" s="1"/>
  <c r="R187" i="16"/>
  <c r="R224" i="16" s="1"/>
  <c r="S186" i="16"/>
  <c r="R187" i="21"/>
  <c r="S186" i="21"/>
  <c r="P272" i="16"/>
  <c r="P278" i="16" s="1"/>
  <c r="P304" i="16"/>
  <c r="P272" i="14"/>
  <c r="P278" i="14" s="1"/>
  <c r="P304" i="14"/>
  <c r="S187" i="14"/>
  <c r="R224" i="14"/>
  <c r="Q258" i="14"/>
  <c r="Q264" i="14" s="1"/>
  <c r="Q265" i="14" s="1"/>
  <c r="Q276" i="14" s="1"/>
  <c r="Q277" i="14" s="1"/>
  <c r="Q238" i="14"/>
  <c r="Q290" i="14"/>
  <c r="P304" i="21" l="1"/>
  <c r="Q238" i="21"/>
  <c r="Q304" i="21" s="1"/>
  <c r="Q290" i="21"/>
  <c r="R224" i="21"/>
  <c r="R290" i="21" s="1"/>
  <c r="R188" i="21"/>
  <c r="R290" i="16"/>
  <c r="R258" i="16"/>
  <c r="R264" i="16" s="1"/>
  <c r="R265" i="16" s="1"/>
  <c r="R276" i="16" s="1"/>
  <c r="R277" i="16" s="1"/>
  <c r="R238" i="16"/>
  <c r="T186" i="16"/>
  <c r="S187" i="16"/>
  <c r="S224" i="16" s="1"/>
  <c r="Q304" i="14"/>
  <c r="Q272" i="14"/>
  <c r="Q278" i="14" s="1"/>
  <c r="T187" i="14"/>
  <c r="S224" i="14"/>
  <c r="T186" i="21"/>
  <c r="S187" i="21"/>
  <c r="Q272" i="16"/>
  <c r="Q278" i="16" s="1"/>
  <c r="Q304" i="16"/>
  <c r="R238" i="14"/>
  <c r="R290" i="14"/>
  <c r="R258" i="14"/>
  <c r="R264" i="14" s="1"/>
  <c r="R265" i="14" s="1"/>
  <c r="R276" i="14" s="1"/>
  <c r="R277" i="14" s="1"/>
  <c r="Q272" i="21" l="1"/>
  <c r="Q278" i="21" s="1"/>
  <c r="R238" i="21"/>
  <c r="R272" i="21" s="1"/>
  <c r="R258" i="21"/>
  <c r="R264" i="21" s="1"/>
  <c r="R265" i="21" s="1"/>
  <c r="R276" i="21" s="1"/>
  <c r="R277" i="21" s="1"/>
  <c r="S224" i="21"/>
  <c r="S238" i="21" s="1"/>
  <c r="S188" i="21"/>
  <c r="S290" i="16"/>
  <c r="S238" i="16"/>
  <c r="S258" i="16"/>
  <c r="S264" i="16" s="1"/>
  <c r="S265" i="16" s="1"/>
  <c r="S276" i="16" s="1"/>
  <c r="S277" i="16" s="1"/>
  <c r="U187" i="14"/>
  <c r="T224" i="14"/>
  <c r="U186" i="16"/>
  <c r="T187" i="16"/>
  <c r="T224" i="16" s="1"/>
  <c r="R272" i="16"/>
  <c r="R278" i="16" s="1"/>
  <c r="R304" i="16"/>
  <c r="R304" i="14"/>
  <c r="R272" i="14"/>
  <c r="R278" i="14" s="1"/>
  <c r="U186" i="21"/>
  <c r="T187" i="21"/>
  <c r="S238" i="14"/>
  <c r="S258" i="14"/>
  <c r="S264" i="14" s="1"/>
  <c r="S265" i="14" s="1"/>
  <c r="S276" i="14" s="1"/>
  <c r="S277" i="14" s="1"/>
  <c r="S290" i="14"/>
  <c r="R304" i="21" l="1"/>
  <c r="S258" i="21"/>
  <c r="S264" i="21" s="1"/>
  <c r="S265" i="21" s="1"/>
  <c r="S276" i="21" s="1"/>
  <c r="S277" i="21" s="1"/>
  <c r="S290" i="21"/>
  <c r="R278" i="21"/>
  <c r="T224" i="21"/>
  <c r="T258" i="21" s="1"/>
  <c r="T264" i="21" s="1"/>
  <c r="T265" i="21" s="1"/>
  <c r="T276" i="21" s="1"/>
  <c r="T277" i="21" s="1"/>
  <c r="T188" i="21"/>
  <c r="T238" i="16"/>
  <c r="T290" i="16"/>
  <c r="T258" i="16"/>
  <c r="T264" i="16" s="1"/>
  <c r="T265" i="16" s="1"/>
  <c r="T276" i="16" s="1"/>
  <c r="T277" i="16" s="1"/>
  <c r="S272" i="14"/>
  <c r="S278" i="14" s="1"/>
  <c r="S304" i="14"/>
  <c r="T238" i="14"/>
  <c r="T290" i="14"/>
  <c r="T258" i="14"/>
  <c r="T264" i="14" s="1"/>
  <c r="T265" i="14" s="1"/>
  <c r="T276" i="14" s="1"/>
  <c r="T277" i="14" s="1"/>
  <c r="V187" i="14"/>
  <c r="U224" i="14"/>
  <c r="V186" i="21"/>
  <c r="U187" i="21"/>
  <c r="S304" i="21"/>
  <c r="S272" i="21"/>
  <c r="S272" i="16"/>
  <c r="S278" i="16" s="1"/>
  <c r="S304" i="16"/>
  <c r="V186" i="16"/>
  <c r="U187" i="16"/>
  <c r="U224" i="16" s="1"/>
  <c r="T238" i="21" l="1"/>
  <c r="T272" i="21" s="1"/>
  <c r="T278" i="21" s="1"/>
  <c r="T290" i="21"/>
  <c r="S278" i="21"/>
  <c r="U224" i="21"/>
  <c r="U290" i="21" s="1"/>
  <c r="U188" i="21"/>
  <c r="U258" i="16"/>
  <c r="U264" i="16" s="1"/>
  <c r="U265" i="16" s="1"/>
  <c r="U276" i="16" s="1"/>
  <c r="U277" i="16" s="1"/>
  <c r="U238" i="16"/>
  <c r="U290" i="16"/>
  <c r="W186" i="21"/>
  <c r="V187" i="21"/>
  <c r="U258" i="14"/>
  <c r="U264" i="14" s="1"/>
  <c r="U265" i="14" s="1"/>
  <c r="U276" i="14" s="1"/>
  <c r="U277" i="14" s="1"/>
  <c r="U290" i="14"/>
  <c r="U238" i="14"/>
  <c r="W187" i="14"/>
  <c r="V224" i="14"/>
  <c r="T304" i="14"/>
  <c r="T272" i="14"/>
  <c r="T278" i="14" s="1"/>
  <c r="W186" i="16"/>
  <c r="V187" i="16"/>
  <c r="V224" i="16" s="1"/>
  <c r="T272" i="16"/>
  <c r="T278" i="16" s="1"/>
  <c r="T304" i="16"/>
  <c r="T304" i="21" l="1"/>
  <c r="U238" i="21"/>
  <c r="U304" i="21" s="1"/>
  <c r="U258" i="21"/>
  <c r="U264" i="21" s="1"/>
  <c r="U265" i="21" s="1"/>
  <c r="U276" i="21" s="1"/>
  <c r="U277" i="21" s="1"/>
  <c r="V224" i="21"/>
  <c r="V290" i="21" s="1"/>
  <c r="V188" i="21"/>
  <c r="X187" i="14"/>
  <c r="W224" i="14"/>
  <c r="U304" i="14"/>
  <c r="U272" i="14"/>
  <c r="U278" i="14" s="1"/>
  <c r="V238" i="16"/>
  <c r="V290" i="16"/>
  <c r="V258" i="16"/>
  <c r="V264" i="16" s="1"/>
  <c r="V265" i="16" s="1"/>
  <c r="V276" i="16" s="1"/>
  <c r="X186" i="16"/>
  <c r="W187" i="16"/>
  <c r="W224" i="16" s="1"/>
  <c r="U304" i="16"/>
  <c r="U272" i="16"/>
  <c r="U278" i="16" s="1"/>
  <c r="V258" i="14"/>
  <c r="V264" i="14" s="1"/>
  <c r="V265" i="14" s="1"/>
  <c r="V276" i="14" s="1"/>
  <c r="V290" i="14"/>
  <c r="V238" i="14"/>
  <c r="X186" i="21"/>
  <c r="W187" i="21"/>
  <c r="U272" i="21" l="1"/>
  <c r="U278" i="21" s="1"/>
  <c r="V238" i="21"/>
  <c r="V304" i="21" s="1"/>
  <c r="V258" i="21"/>
  <c r="V264" i="21" s="1"/>
  <c r="V265" i="21" s="1"/>
  <c r="V276" i="21" s="1"/>
  <c r="V277" i="21" s="1"/>
  <c r="W224" i="21"/>
  <c r="W258" i="21" s="1"/>
  <c r="W264" i="21" s="1"/>
  <c r="W265" i="21" s="1"/>
  <c r="W276" i="21" s="1"/>
  <c r="W277" i="21" s="1"/>
  <c r="W188" i="21"/>
  <c r="W238" i="16"/>
  <c r="W290" i="16"/>
  <c r="W258" i="16"/>
  <c r="W264" i="16" s="1"/>
  <c r="W265" i="16" s="1"/>
  <c r="W276" i="16" s="1"/>
  <c r="W277" i="16" s="1"/>
  <c r="Y186" i="16"/>
  <c r="X187" i="16"/>
  <c r="X224" i="16" s="1"/>
  <c r="Y186" i="21"/>
  <c r="X187" i="21"/>
  <c r="V304" i="14"/>
  <c r="V272" i="14"/>
  <c r="V277" i="14"/>
  <c r="V277" i="16"/>
  <c r="W258" i="14"/>
  <c r="W264" i="14" s="1"/>
  <c r="W265" i="14" s="1"/>
  <c r="W276" i="14" s="1"/>
  <c r="W277" i="14" s="1"/>
  <c r="W290" i="14"/>
  <c r="W238" i="14"/>
  <c r="V272" i="16"/>
  <c r="V304" i="16"/>
  <c r="X224" i="14"/>
  <c r="Y187" i="14"/>
  <c r="AA42" i="33"/>
  <c r="W238" i="21" l="1"/>
  <c r="W290" i="21"/>
  <c r="V272" i="21"/>
  <c r="X224" i="21"/>
  <c r="X290" i="21" s="1"/>
  <c r="X188" i="21"/>
  <c r="W304" i="14"/>
  <c r="W272" i="14"/>
  <c r="W278" i="14" s="1"/>
  <c r="V278" i="21"/>
  <c r="V278" i="14"/>
  <c r="V278" i="16"/>
  <c r="Y187" i="21"/>
  <c r="Z186" i="21"/>
  <c r="Y224" i="14"/>
  <c r="Z187" i="14"/>
  <c r="X238" i="16"/>
  <c r="X290" i="16"/>
  <c r="X258" i="16"/>
  <c r="X264" i="16" s="1"/>
  <c r="X265" i="16" s="1"/>
  <c r="X276" i="16" s="1"/>
  <c r="X277" i="16" s="1"/>
  <c r="X238" i="14"/>
  <c r="X258" i="14"/>
  <c r="X264" i="14" s="1"/>
  <c r="X265" i="14" s="1"/>
  <c r="X276" i="14" s="1"/>
  <c r="X277" i="14" s="1"/>
  <c r="X290" i="14"/>
  <c r="W272" i="21"/>
  <c r="W278" i="21" s="1"/>
  <c r="W304" i="21"/>
  <c r="Z186" i="16"/>
  <c r="Y187" i="16"/>
  <c r="Y224" i="16" s="1"/>
  <c r="W272" i="16"/>
  <c r="W278" i="16" s="1"/>
  <c r="W304" i="16"/>
  <c r="AA43" i="33"/>
  <c r="AB42" i="33"/>
  <c r="AB49" i="33" s="1"/>
  <c r="X258" i="21" l="1"/>
  <c r="X264" i="21" s="1"/>
  <c r="X265" i="21" s="1"/>
  <c r="X276" i="21" s="1"/>
  <c r="X277" i="21" s="1"/>
  <c r="X238" i="21"/>
  <c r="Y224" i="21"/>
  <c r="Y258" i="21" s="1"/>
  <c r="Y264" i="21" s="1"/>
  <c r="Y265" i="21" s="1"/>
  <c r="Y276" i="21" s="1"/>
  <c r="Y277" i="21" s="1"/>
  <c r="Y188" i="21"/>
  <c r="Y290" i="16"/>
  <c r="Y258" i="16"/>
  <c r="Y264" i="16" s="1"/>
  <c r="Y265" i="16" s="1"/>
  <c r="Y276" i="16" s="1"/>
  <c r="Y277" i="16" s="1"/>
  <c r="Y238" i="16"/>
  <c r="AA186" i="21"/>
  <c r="AA187" i="21" s="1"/>
  <c r="Z187" i="21"/>
  <c r="X304" i="14"/>
  <c r="X272" i="14"/>
  <c r="X278" i="14" s="1"/>
  <c r="Z187" i="16"/>
  <c r="Z224" i="16" s="1"/>
  <c r="AA186" i="16"/>
  <c r="AA187" i="16" s="1"/>
  <c r="AA224" i="16" s="1"/>
  <c r="X304" i="16"/>
  <c r="X272" i="16"/>
  <c r="X278" i="16" s="1"/>
  <c r="Y258" i="14"/>
  <c r="Y264" i="14" s="1"/>
  <c r="Y265" i="14" s="1"/>
  <c r="Y276" i="14" s="1"/>
  <c r="Y277" i="14" s="1"/>
  <c r="Y290" i="14"/>
  <c r="Y238" i="14"/>
  <c r="Z224" i="14"/>
  <c r="X304" i="21"/>
  <c r="X272" i="21"/>
  <c r="AB43" i="33"/>
  <c r="AB50" i="33" s="1"/>
  <c r="AC42" i="33"/>
  <c r="AC49" i="33" s="1"/>
  <c r="X278" i="21" l="1"/>
  <c r="Y290" i="21"/>
  <c r="Y238" i="21"/>
  <c r="Y272" i="21" s="1"/>
  <c r="Y278" i="21" s="1"/>
  <c r="Z224" i="21"/>
  <c r="Z290" i="21" s="1"/>
  <c r="Z188" i="21"/>
  <c r="AA224" i="21"/>
  <c r="AA258" i="21" s="1"/>
  <c r="AA264" i="21" s="1"/>
  <c r="AA265" i="21" s="1"/>
  <c r="AA276" i="21" s="1"/>
  <c r="AA188" i="21"/>
  <c r="AA187" i="14"/>
  <c r="AA224" i="14" s="1"/>
  <c r="AB224" i="14" s="1"/>
  <c r="Z238" i="14"/>
  <c r="Z258" i="14"/>
  <c r="Z264" i="14" s="1"/>
  <c r="Z265" i="14" s="1"/>
  <c r="Z276" i="14" s="1"/>
  <c r="Z277" i="14" s="1"/>
  <c r="Z290" i="14"/>
  <c r="AA238" i="16"/>
  <c r="AA290" i="16"/>
  <c r="AA258" i="16"/>
  <c r="AA264" i="16" s="1"/>
  <c r="AA265" i="16" s="1"/>
  <c r="AA276" i="16" s="1"/>
  <c r="Z258" i="16"/>
  <c r="Z264" i="16" s="1"/>
  <c r="Z265" i="16" s="1"/>
  <c r="Z276" i="16" s="1"/>
  <c r="Z277" i="16" s="1"/>
  <c r="Z290" i="16"/>
  <c r="Z238" i="16"/>
  <c r="Y304" i="16"/>
  <c r="Y272" i="16"/>
  <c r="Y278" i="16" s="1"/>
  <c r="Y272" i="14"/>
  <c r="Y278" i="14" s="1"/>
  <c r="Y304" i="14"/>
  <c r="AC43" i="33"/>
  <c r="AC50" i="33" s="1"/>
  <c r="AD42" i="33"/>
  <c r="Y304" i="21" l="1"/>
  <c r="AA290" i="21"/>
  <c r="Z238" i="21"/>
  <c r="Z304" i="21" s="1"/>
  <c r="AA238" i="21"/>
  <c r="AA304" i="21" s="1"/>
  <c r="Z258" i="21"/>
  <c r="Z264" i="21" s="1"/>
  <c r="Z265" i="21" s="1"/>
  <c r="Z276" i="21" s="1"/>
  <c r="Z277" i="21" s="1"/>
  <c r="AA258" i="14"/>
  <c r="AA264" i="14" s="1"/>
  <c r="AA265" i="14" s="1"/>
  <c r="AA276" i="14" s="1"/>
  <c r="AA277" i="14" s="1"/>
  <c r="AB277" i="14" s="1"/>
  <c r="AA290" i="14"/>
  <c r="AA238" i="14"/>
  <c r="AA304" i="14" s="1"/>
  <c r="AA277" i="21"/>
  <c r="AB277" i="21" s="1"/>
  <c r="AB276" i="21"/>
  <c r="AA277" i="16"/>
  <c r="AB277" i="16" s="1"/>
  <c r="AB276" i="16"/>
  <c r="Z304" i="16"/>
  <c r="Z272" i="16"/>
  <c r="Z278" i="16" s="1"/>
  <c r="AD49" i="33"/>
  <c r="AA272" i="16"/>
  <c r="AA304" i="16"/>
  <c r="AB238" i="16"/>
  <c r="Z304" i="14"/>
  <c r="Z272" i="14"/>
  <c r="Z278" i="14" s="1"/>
  <c r="AD43" i="33"/>
  <c r="AD50" i="33" s="1"/>
  <c r="AE42" i="33"/>
  <c r="AE49" i="33" s="1"/>
  <c r="Z272" i="21" l="1"/>
  <c r="Z278" i="21" s="1"/>
  <c r="AB238" i="21"/>
  <c r="AA272" i="21"/>
  <c r="AA278" i="21" s="1"/>
  <c r="AB276" i="14"/>
  <c r="AB238" i="14"/>
  <c r="AA272" i="14"/>
  <c r="AA278" i="14" s="1"/>
  <c r="AB304" i="21"/>
  <c r="AA278" i="16"/>
  <c r="AB272" i="16"/>
  <c r="AB278" i="16" s="1"/>
  <c r="AB304" i="14"/>
  <c r="AB304" i="16"/>
  <c r="AE43" i="33"/>
  <c r="AE50" i="33" s="1"/>
  <c r="AF42" i="33"/>
  <c r="AB272" i="21" l="1"/>
  <c r="AB278" i="21" s="1"/>
  <c r="AB272" i="14"/>
  <c r="AB278" i="14" s="1"/>
  <c r="AF49" i="33"/>
  <c r="AF43" i="33"/>
  <c r="AG42" i="33"/>
  <c r="AG49" i="33" s="1"/>
  <c r="AF50" i="33" l="1"/>
  <c r="AH42" i="33"/>
  <c r="AG43" i="33"/>
  <c r="AH49" i="33" l="1"/>
  <c r="AG50" i="33"/>
  <c r="AI42" i="33"/>
  <c r="AI49" i="33" s="1"/>
  <c r="AH43" i="33"/>
  <c r="Y42" i="33"/>
  <c r="AH50" i="33" l="1"/>
  <c r="AI43" i="33"/>
  <c r="AI50" i="33" s="1"/>
  <c r="Z42" i="33"/>
  <c r="AA49" i="33" s="1"/>
  <c r="V42" i="33"/>
  <c r="W42" i="33"/>
  <c r="X42" i="33"/>
  <c r="Y49" i="33" s="1"/>
  <c r="X49" i="33" l="1"/>
  <c r="W49" i="33"/>
  <c r="Z49" i="33"/>
  <c r="T42" i="33" l="1"/>
  <c r="BX42" i="33" l="1"/>
  <c r="P42" i="33"/>
  <c r="R42" i="33"/>
  <c r="Q42" i="33"/>
  <c r="O42" i="33"/>
  <c r="S42" i="33"/>
  <c r="T49" i="33" s="1"/>
  <c r="U42" i="33"/>
  <c r="V49" i="33" s="1"/>
  <c r="Q49" i="33" l="1"/>
  <c r="S49" i="33"/>
  <c r="P49" i="33"/>
  <c r="O49" i="33"/>
  <c r="U49" i="33"/>
  <c r="R49" i="33"/>
  <c r="N43" i="33" l="1"/>
  <c r="N50" i="33" l="1"/>
  <c r="O43" i="33"/>
  <c r="O50" i="33" l="1"/>
  <c r="P43" i="33"/>
  <c r="P50" i="33" s="1"/>
  <c r="Q43" i="33" l="1"/>
  <c r="Q50" i="33" l="1"/>
  <c r="R43" i="33"/>
  <c r="R50" i="33" s="1"/>
  <c r="S43" i="33" l="1"/>
  <c r="S50" i="33" l="1"/>
  <c r="T43" i="33"/>
  <c r="BX43" i="33" l="1"/>
  <c r="T50" i="33"/>
  <c r="U43" i="33"/>
  <c r="U50" i="33" l="1"/>
  <c r="V43" i="33"/>
  <c r="V50" i="33" s="1"/>
  <c r="W43" i="33" l="1"/>
  <c r="W50" i="33" s="1"/>
  <c r="X43" i="33" l="1"/>
  <c r="X50" i="33" l="1"/>
  <c r="Z43" i="33"/>
  <c r="AA50" i="33" s="1"/>
  <c r="Y43" i="33"/>
  <c r="Y50" i="33" s="1"/>
  <c r="Z50" i="33" l="1"/>
  <c r="E147" i="34" l="1"/>
  <c r="E148" i="34"/>
  <c r="E146" i="34"/>
  <c r="E149" i="34" l="1"/>
  <c r="E151" i="34" s="1"/>
  <c r="X54" i="34" s="1"/>
  <c r="L57" i="34" l="1"/>
  <c r="L61" i="34" l="1"/>
  <c r="L83" i="34" s="1"/>
  <c r="L79" i="34"/>
  <c r="J57" i="34"/>
  <c r="K57" i="34"/>
  <c r="K61" i="34" l="1"/>
  <c r="K83" i="34" s="1"/>
  <c r="K79" i="34"/>
  <c r="J61" i="34"/>
  <c r="J83" i="34" s="1"/>
  <c r="J79" i="34"/>
  <c r="I57" i="34"/>
  <c r="I61" i="34" l="1"/>
  <c r="I83" i="34" s="1"/>
  <c r="I79" i="34"/>
  <c r="H57" i="34"/>
  <c r="H61" i="34" l="1"/>
  <c r="H83" i="34" s="1"/>
  <c r="H79" i="34"/>
  <c r="G57" i="34"/>
  <c r="G61" i="34" l="1"/>
  <c r="G83" i="34" s="1"/>
  <c r="G79" i="34"/>
  <c r="F57" i="34"/>
  <c r="F61" i="34" l="1"/>
  <c r="F83" i="34" s="1"/>
  <c r="F79" i="34"/>
  <c r="E61" i="34"/>
  <c r="E83" i="34" s="1"/>
  <c r="G218" i="29"/>
  <c r="H218" i="29"/>
  <c r="I218" i="29"/>
  <c r="J218" i="29"/>
  <c r="K218" i="29"/>
  <c r="L218" i="29"/>
  <c r="M218" i="29"/>
  <c r="N218" i="29"/>
  <c r="O218" i="29"/>
  <c r="P218" i="29"/>
  <c r="Q218" i="29"/>
  <c r="R218" i="29"/>
  <c r="S218" i="29"/>
  <c r="T218" i="29"/>
  <c r="U218" i="29"/>
  <c r="V218" i="29"/>
  <c r="W218" i="29"/>
  <c r="X218" i="29"/>
  <c r="Y218" i="29"/>
  <c r="Z218" i="29"/>
  <c r="AA218" i="29"/>
  <c r="H219" i="29"/>
  <c r="I219" i="29"/>
  <c r="J219" i="29"/>
  <c r="K219" i="29"/>
  <c r="L219" i="29"/>
  <c r="M219" i="29"/>
  <c r="N219" i="29"/>
  <c r="O219" i="29"/>
  <c r="P219" i="29"/>
  <c r="Q219" i="29"/>
  <c r="R219" i="29"/>
  <c r="S219" i="29"/>
  <c r="T219" i="29"/>
  <c r="U219" i="29"/>
  <c r="V219" i="29"/>
  <c r="W219" i="29"/>
  <c r="X219" i="29"/>
  <c r="Y219" i="29"/>
  <c r="Z219" i="29"/>
  <c r="AA219" i="29"/>
  <c r="G220" i="29"/>
  <c r="H228" i="29"/>
  <c r="I228" i="29"/>
  <c r="J228" i="29"/>
  <c r="K228" i="29"/>
  <c r="L228" i="29"/>
  <c r="M228" i="29"/>
  <c r="N228" i="29"/>
  <c r="O228" i="29"/>
  <c r="P228" i="29"/>
  <c r="Q228" i="29"/>
  <c r="R228" i="29"/>
  <c r="S228" i="29"/>
  <c r="T228" i="29"/>
  <c r="U228" i="29"/>
  <c r="V228" i="29"/>
  <c r="W228" i="29"/>
  <c r="X228" i="29"/>
  <c r="Y228" i="29"/>
  <c r="Z228" i="29"/>
  <c r="AA228" i="29"/>
  <c r="H230" i="29"/>
  <c r="I230" i="29"/>
  <c r="J230" i="29"/>
  <c r="K230" i="29"/>
  <c r="L230" i="29"/>
  <c r="M230" i="29"/>
  <c r="N230" i="29"/>
  <c r="O230" i="29"/>
  <c r="P230" i="29"/>
  <c r="Q230" i="29"/>
  <c r="R230" i="29"/>
  <c r="S230" i="29"/>
  <c r="T230" i="29"/>
  <c r="U230" i="29"/>
  <c r="V230" i="29"/>
  <c r="W230" i="29"/>
  <c r="X230" i="29"/>
  <c r="Y230" i="29"/>
  <c r="Z230" i="29"/>
  <c r="AA230" i="29"/>
  <c r="H231" i="29"/>
  <c r="I231" i="29"/>
  <c r="J231" i="29"/>
  <c r="K231" i="29"/>
  <c r="L231" i="29"/>
  <c r="M231" i="29"/>
  <c r="N231" i="29"/>
  <c r="O231" i="29"/>
  <c r="P231" i="29"/>
  <c r="Q231" i="29"/>
  <c r="R231" i="29"/>
  <c r="S231" i="29"/>
  <c r="T231" i="29"/>
  <c r="U231" i="29"/>
  <c r="V231" i="29"/>
  <c r="W231" i="29"/>
  <c r="X231" i="29"/>
  <c r="Y231" i="29"/>
  <c r="Z231" i="29"/>
  <c r="AA231" i="29"/>
  <c r="H242" i="29"/>
  <c r="I242" i="29"/>
  <c r="J242" i="29"/>
  <c r="K242" i="29"/>
  <c r="L242" i="29"/>
  <c r="M242" i="29"/>
  <c r="N242" i="29"/>
  <c r="O242" i="29"/>
  <c r="P242" i="29"/>
  <c r="Q242" i="29"/>
  <c r="R242" i="29"/>
  <c r="S242" i="29"/>
  <c r="T242" i="29"/>
  <c r="U242" i="29"/>
  <c r="V242" i="29"/>
  <c r="W242" i="29"/>
  <c r="X242" i="29"/>
  <c r="Y242" i="29"/>
  <c r="Z242" i="29"/>
  <c r="AA242" i="29"/>
  <c r="AB242" i="29"/>
  <c r="H243" i="29"/>
  <c r="I243" i="29"/>
  <c r="J243" i="29"/>
  <c r="K243" i="29"/>
  <c r="L243" i="29"/>
  <c r="M243" i="29"/>
  <c r="N243" i="29"/>
  <c r="O243" i="29"/>
  <c r="P243" i="29"/>
  <c r="Q243" i="29"/>
  <c r="R243" i="29"/>
  <c r="S243" i="29"/>
  <c r="T243" i="29"/>
  <c r="U243" i="29"/>
  <c r="V243" i="29"/>
  <c r="W243" i="29"/>
  <c r="X243" i="29"/>
  <c r="Y243" i="29"/>
  <c r="Z243" i="29"/>
  <c r="AA243" i="29"/>
  <c r="AB243" i="29"/>
  <c r="H244" i="29"/>
  <c r="I244" i="29"/>
  <c r="J244" i="29"/>
  <c r="K244" i="29"/>
  <c r="L244" i="29"/>
  <c r="M244" i="29"/>
  <c r="N244" i="29"/>
  <c r="O244" i="29"/>
  <c r="P244" i="29"/>
  <c r="Q244" i="29"/>
  <c r="R244" i="29"/>
  <c r="S244" i="29"/>
  <c r="T244" i="29"/>
  <c r="U244" i="29"/>
  <c r="V244" i="29"/>
  <c r="W244" i="29"/>
  <c r="X244" i="29"/>
  <c r="Y244" i="29"/>
  <c r="Z244" i="29"/>
  <c r="AA244" i="29"/>
  <c r="AB244" i="29"/>
  <c r="G245" i="29"/>
  <c r="H247" i="29"/>
  <c r="I247" i="29"/>
  <c r="J247" i="29"/>
  <c r="K247" i="29"/>
  <c r="L247" i="29"/>
  <c r="M247" i="29"/>
  <c r="N247" i="29"/>
  <c r="O247" i="29"/>
  <c r="P247" i="29"/>
  <c r="Q247" i="29"/>
  <c r="R247" i="29"/>
  <c r="S247" i="29"/>
  <c r="T247" i="29"/>
  <c r="U247" i="29"/>
  <c r="V247" i="29"/>
  <c r="W247" i="29"/>
  <c r="X247" i="29"/>
  <c r="Y247" i="29"/>
  <c r="Z247" i="29"/>
  <c r="AA247" i="29"/>
  <c r="G248" i="29"/>
  <c r="G249" i="29"/>
  <c r="G253" i="29"/>
  <c r="G262" i="29"/>
  <c r="G264" i="29"/>
  <c r="G265" i="29"/>
  <c r="G276" i="29"/>
  <c r="G277" i="29"/>
  <c r="G278" i="29"/>
  <c r="G279" i="29"/>
  <c r="G280" i="29"/>
  <c r="G284" i="29"/>
  <c r="H284" i="29"/>
  <c r="I284" i="29"/>
  <c r="J284" i="29"/>
  <c r="K284" i="29"/>
  <c r="L284" i="29"/>
  <c r="M284" i="29"/>
  <c r="N284" i="29"/>
  <c r="O284" i="29"/>
  <c r="P284" i="29"/>
  <c r="Q284" i="29"/>
  <c r="R284" i="29"/>
  <c r="S284" i="29"/>
  <c r="T284" i="29"/>
  <c r="U284" i="29"/>
  <c r="V284" i="29"/>
  <c r="W284" i="29"/>
  <c r="X284" i="29"/>
  <c r="Y284" i="29"/>
  <c r="Z284" i="29"/>
  <c r="AA284" i="29"/>
  <c r="G285" i="29"/>
  <c r="H285" i="29"/>
  <c r="I285" i="29"/>
  <c r="J285" i="29"/>
  <c r="K285" i="29"/>
  <c r="L285" i="29"/>
  <c r="M285" i="29"/>
  <c r="N285" i="29"/>
  <c r="O285" i="29"/>
  <c r="P285" i="29"/>
  <c r="Q285" i="29"/>
  <c r="R285" i="29"/>
  <c r="S285" i="29"/>
  <c r="T285" i="29"/>
  <c r="U285" i="29"/>
  <c r="V285" i="29"/>
  <c r="W285" i="29"/>
  <c r="X285" i="29"/>
  <c r="Y285" i="29"/>
  <c r="Z285" i="29"/>
  <c r="AA285" i="29"/>
  <c r="G286" i="29"/>
  <c r="G294" i="29"/>
  <c r="H294" i="29"/>
  <c r="I294" i="29"/>
  <c r="J294" i="29"/>
  <c r="K294" i="29"/>
  <c r="L294" i="29"/>
  <c r="M294" i="29"/>
  <c r="N294" i="29"/>
  <c r="O294" i="29"/>
  <c r="P294" i="29"/>
  <c r="Q294" i="29"/>
  <c r="R294" i="29"/>
  <c r="S294" i="29"/>
  <c r="T294" i="29"/>
  <c r="U294" i="29"/>
  <c r="V294" i="29"/>
  <c r="W294" i="29"/>
  <c r="X294" i="29"/>
  <c r="Y294" i="29"/>
  <c r="Z294" i="29"/>
  <c r="AA294" i="29"/>
  <c r="G296" i="29"/>
  <c r="H296" i="29"/>
  <c r="I296" i="29"/>
  <c r="J296" i="29"/>
  <c r="K296" i="29"/>
  <c r="L296" i="29"/>
  <c r="M296" i="29"/>
  <c r="N296" i="29"/>
  <c r="O296" i="29"/>
  <c r="P296" i="29"/>
  <c r="Q296" i="29"/>
  <c r="R296" i="29"/>
  <c r="S296" i="29"/>
  <c r="T296" i="29"/>
  <c r="U296" i="29"/>
  <c r="V296" i="29"/>
  <c r="W296" i="29"/>
  <c r="X296" i="29"/>
  <c r="Y296" i="29"/>
  <c r="Z296" i="29"/>
  <c r="AA296" i="29"/>
  <c r="G297" i="29"/>
  <c r="H297" i="29"/>
  <c r="I297" i="29"/>
  <c r="J297" i="29"/>
  <c r="K297" i="29"/>
  <c r="L297" i="29"/>
  <c r="M297" i="29"/>
  <c r="N297" i="29"/>
  <c r="O297" i="29"/>
  <c r="P297" i="29"/>
  <c r="Q297" i="29"/>
  <c r="R297" i="29"/>
  <c r="S297" i="29"/>
  <c r="T297" i="29"/>
  <c r="U297" i="29"/>
  <c r="V297" i="29"/>
  <c r="W297" i="29"/>
  <c r="X297" i="29"/>
  <c r="Y297" i="29"/>
  <c r="Z297" i="29"/>
  <c r="AA297" i="29"/>
  <c r="G308" i="29"/>
  <c r="H308" i="29"/>
  <c r="I308" i="29"/>
  <c r="J308" i="29"/>
  <c r="K308" i="29"/>
  <c r="L308" i="29"/>
  <c r="M308" i="29"/>
  <c r="N308" i="29"/>
  <c r="O308" i="29"/>
  <c r="P308" i="29"/>
  <c r="Q308" i="29"/>
  <c r="R308" i="29"/>
  <c r="S308" i="29"/>
  <c r="T308" i="29"/>
  <c r="U308" i="29"/>
  <c r="V308" i="29"/>
  <c r="W308" i="29"/>
  <c r="X308" i="29"/>
  <c r="Y308" i="29"/>
  <c r="Z308" i="29"/>
  <c r="AA308" i="29"/>
  <c r="AB308" i="29"/>
  <c r="G309" i="29"/>
  <c r="H309" i="29"/>
  <c r="I309" i="29"/>
  <c r="J309" i="29"/>
  <c r="K309" i="29"/>
  <c r="L309" i="29"/>
  <c r="M309" i="29"/>
  <c r="N309" i="29"/>
  <c r="O309" i="29"/>
  <c r="P309" i="29"/>
  <c r="Q309" i="29"/>
  <c r="R309" i="29"/>
  <c r="S309" i="29"/>
  <c r="T309" i="29"/>
  <c r="U309" i="29"/>
  <c r="V309" i="29"/>
  <c r="W309" i="29"/>
  <c r="X309" i="29"/>
  <c r="Y309" i="29"/>
  <c r="Z309" i="29"/>
  <c r="AA309" i="29"/>
  <c r="AB309" i="29"/>
  <c r="G310" i="29"/>
  <c r="H310" i="29"/>
  <c r="I310" i="29"/>
  <c r="J310" i="29"/>
  <c r="K310" i="29"/>
  <c r="L310" i="29"/>
  <c r="M310" i="29"/>
  <c r="N310" i="29"/>
  <c r="O310" i="29"/>
  <c r="P310" i="29"/>
  <c r="Q310" i="29"/>
  <c r="R310" i="29"/>
  <c r="S310" i="29"/>
  <c r="T310" i="29"/>
  <c r="U310" i="29"/>
  <c r="V310" i="29"/>
  <c r="W310" i="29"/>
  <c r="X310" i="29"/>
  <c r="Y310" i="29"/>
  <c r="Z310" i="29"/>
  <c r="AA310" i="29"/>
  <c r="AB310" i="29"/>
  <c r="G311" i="29"/>
  <c r="G313" i="29"/>
  <c r="H313" i="29"/>
  <c r="I313" i="29"/>
  <c r="J313" i="29"/>
  <c r="K313" i="29"/>
  <c r="L313" i="29"/>
  <c r="M313" i="29"/>
  <c r="N313" i="29"/>
  <c r="O313" i="29"/>
  <c r="P313" i="29"/>
  <c r="Q313" i="29"/>
  <c r="R313" i="29"/>
  <c r="S313" i="29"/>
  <c r="T313" i="29"/>
  <c r="U313" i="29"/>
  <c r="V313" i="29"/>
  <c r="W313" i="29"/>
  <c r="X313" i="29"/>
  <c r="Y313" i="29"/>
  <c r="Z313" i="29"/>
  <c r="AA313" i="29"/>
  <c r="G314" i="29"/>
  <c r="G315" i="29"/>
  <c r="G218" i="25"/>
  <c r="H218" i="25"/>
  <c r="I218" i="25"/>
  <c r="J218" i="25"/>
  <c r="K218" i="25"/>
  <c r="L218" i="25"/>
  <c r="M218" i="25"/>
  <c r="N218" i="25"/>
  <c r="O218" i="25"/>
  <c r="P218" i="25"/>
  <c r="Q218" i="25"/>
  <c r="R218" i="25"/>
  <c r="S218" i="25"/>
  <c r="T218" i="25"/>
  <c r="U218" i="25"/>
  <c r="V218" i="25"/>
  <c r="W218" i="25"/>
  <c r="X218" i="25"/>
  <c r="Y218" i="25"/>
  <c r="Z218" i="25"/>
  <c r="AA218" i="25"/>
  <c r="H219" i="25"/>
  <c r="I219" i="25"/>
  <c r="J219" i="25"/>
  <c r="K219" i="25"/>
  <c r="L219" i="25"/>
  <c r="M219" i="25"/>
  <c r="N219" i="25"/>
  <c r="O219" i="25"/>
  <c r="P219" i="25"/>
  <c r="Q219" i="25"/>
  <c r="R219" i="25"/>
  <c r="S219" i="25"/>
  <c r="T219" i="25"/>
  <c r="U219" i="25"/>
  <c r="V219" i="25"/>
  <c r="W219" i="25"/>
  <c r="X219" i="25"/>
  <c r="Y219" i="25"/>
  <c r="Z219" i="25"/>
  <c r="AA219" i="25"/>
  <c r="G220" i="25"/>
  <c r="H228" i="25"/>
  <c r="I228" i="25"/>
  <c r="J228" i="25"/>
  <c r="K228" i="25"/>
  <c r="L228" i="25"/>
  <c r="M228" i="25"/>
  <c r="N228" i="25"/>
  <c r="O228" i="25"/>
  <c r="P228" i="25"/>
  <c r="Q228" i="25"/>
  <c r="R228" i="25"/>
  <c r="S228" i="25"/>
  <c r="T228" i="25"/>
  <c r="U228" i="25"/>
  <c r="V228" i="25"/>
  <c r="W228" i="25"/>
  <c r="X228" i="25"/>
  <c r="Y228" i="25"/>
  <c r="Z228" i="25"/>
  <c r="AA228" i="25"/>
  <c r="H230" i="25"/>
  <c r="I230" i="25"/>
  <c r="J230" i="25"/>
  <c r="K230" i="25"/>
  <c r="L230" i="25"/>
  <c r="M230" i="25"/>
  <c r="N230" i="25"/>
  <c r="O230" i="25"/>
  <c r="P230" i="25"/>
  <c r="Q230" i="25"/>
  <c r="R230" i="25"/>
  <c r="S230" i="25"/>
  <c r="T230" i="25"/>
  <c r="U230" i="25"/>
  <c r="V230" i="25"/>
  <c r="W230" i="25"/>
  <c r="X230" i="25"/>
  <c r="Y230" i="25"/>
  <c r="Z230" i="25"/>
  <c r="AA230" i="25"/>
  <c r="H231" i="25"/>
  <c r="I231" i="25"/>
  <c r="J231" i="25"/>
  <c r="K231" i="25"/>
  <c r="L231" i="25"/>
  <c r="M231" i="25"/>
  <c r="N231" i="25"/>
  <c r="O231" i="25"/>
  <c r="P231" i="25"/>
  <c r="Q231" i="25"/>
  <c r="R231" i="25"/>
  <c r="S231" i="25"/>
  <c r="T231" i="25"/>
  <c r="U231" i="25"/>
  <c r="V231" i="25"/>
  <c r="W231" i="25"/>
  <c r="X231" i="25"/>
  <c r="Y231" i="25"/>
  <c r="Z231" i="25"/>
  <c r="AA231" i="25"/>
  <c r="H242" i="25"/>
  <c r="I242" i="25"/>
  <c r="J242" i="25"/>
  <c r="K242" i="25"/>
  <c r="L242" i="25"/>
  <c r="M242" i="25"/>
  <c r="N242" i="25"/>
  <c r="O242" i="25"/>
  <c r="P242" i="25"/>
  <c r="Q242" i="25"/>
  <c r="R242" i="25"/>
  <c r="S242" i="25"/>
  <c r="T242" i="25"/>
  <c r="U242" i="25"/>
  <c r="V242" i="25"/>
  <c r="W242" i="25"/>
  <c r="X242" i="25"/>
  <c r="Y242" i="25"/>
  <c r="Z242" i="25"/>
  <c r="AA242" i="25"/>
  <c r="AB242" i="25"/>
  <c r="H243" i="25"/>
  <c r="I243" i="25"/>
  <c r="J243" i="25"/>
  <c r="K243" i="25"/>
  <c r="L243" i="25"/>
  <c r="M243" i="25"/>
  <c r="N243" i="25"/>
  <c r="O243" i="25"/>
  <c r="P243" i="25"/>
  <c r="Q243" i="25"/>
  <c r="R243" i="25"/>
  <c r="S243" i="25"/>
  <c r="T243" i="25"/>
  <c r="U243" i="25"/>
  <c r="V243" i="25"/>
  <c r="W243" i="25"/>
  <c r="X243" i="25"/>
  <c r="Y243" i="25"/>
  <c r="Z243" i="25"/>
  <c r="AA243" i="25"/>
  <c r="AB243" i="25"/>
  <c r="H244" i="25"/>
  <c r="I244" i="25"/>
  <c r="J244" i="25"/>
  <c r="K244" i="25"/>
  <c r="L244" i="25"/>
  <c r="M244" i="25"/>
  <c r="N244" i="25"/>
  <c r="O244" i="25"/>
  <c r="P244" i="25"/>
  <c r="Q244" i="25"/>
  <c r="R244" i="25"/>
  <c r="S244" i="25"/>
  <c r="T244" i="25"/>
  <c r="U244" i="25"/>
  <c r="V244" i="25"/>
  <c r="W244" i="25"/>
  <c r="X244" i="25"/>
  <c r="Y244" i="25"/>
  <c r="Z244" i="25"/>
  <c r="AA244" i="25"/>
  <c r="AB244" i="25"/>
  <c r="G245" i="25"/>
  <c r="H247" i="25"/>
  <c r="I247" i="25"/>
  <c r="J247" i="25"/>
  <c r="K247" i="25"/>
  <c r="L247" i="25"/>
  <c r="M247" i="25"/>
  <c r="N247" i="25"/>
  <c r="O247" i="25"/>
  <c r="P247" i="25"/>
  <c r="Q247" i="25"/>
  <c r="R247" i="25"/>
  <c r="S247" i="25"/>
  <c r="T247" i="25"/>
  <c r="U247" i="25"/>
  <c r="V247" i="25"/>
  <c r="W247" i="25"/>
  <c r="X247" i="25"/>
  <c r="Y247" i="25"/>
  <c r="Z247" i="25"/>
  <c r="AA247" i="25"/>
  <c r="G248" i="25"/>
  <c r="G249" i="25"/>
  <c r="G253" i="25"/>
  <c r="G262" i="25"/>
  <c r="G264" i="25"/>
  <c r="G265" i="25"/>
  <c r="G276" i="25"/>
  <c r="G277" i="25"/>
  <c r="G278" i="25"/>
  <c r="G279" i="25"/>
  <c r="G280" i="25"/>
  <c r="G284" i="25"/>
  <c r="H284" i="25"/>
  <c r="I284" i="25"/>
  <c r="J284" i="25"/>
  <c r="K284" i="25"/>
  <c r="L284" i="25"/>
  <c r="M284" i="25"/>
  <c r="N284" i="25"/>
  <c r="O284" i="25"/>
  <c r="P284" i="25"/>
  <c r="Q284" i="25"/>
  <c r="R284" i="25"/>
  <c r="S284" i="25"/>
  <c r="T284" i="25"/>
  <c r="U284" i="25"/>
  <c r="V284" i="25"/>
  <c r="W284" i="25"/>
  <c r="X284" i="25"/>
  <c r="Y284" i="25"/>
  <c r="Z284" i="25"/>
  <c r="AA284" i="25"/>
  <c r="G285" i="25"/>
  <c r="H285" i="25"/>
  <c r="I285" i="25"/>
  <c r="J285" i="25"/>
  <c r="K285" i="25"/>
  <c r="L285" i="25"/>
  <c r="M285" i="25"/>
  <c r="N285" i="25"/>
  <c r="O285" i="25"/>
  <c r="P285" i="25"/>
  <c r="Q285" i="25"/>
  <c r="R285" i="25"/>
  <c r="S285" i="25"/>
  <c r="T285" i="25"/>
  <c r="U285" i="25"/>
  <c r="V285" i="25"/>
  <c r="W285" i="25"/>
  <c r="X285" i="25"/>
  <c r="Y285" i="25"/>
  <c r="Z285" i="25"/>
  <c r="AA285" i="25"/>
  <c r="G286" i="25"/>
  <c r="G294" i="25"/>
  <c r="H294" i="25"/>
  <c r="I294" i="25"/>
  <c r="J294" i="25"/>
  <c r="K294" i="25"/>
  <c r="L294" i="25"/>
  <c r="M294" i="25"/>
  <c r="N294" i="25"/>
  <c r="O294" i="25"/>
  <c r="P294" i="25"/>
  <c r="Q294" i="25"/>
  <c r="R294" i="25"/>
  <c r="S294" i="25"/>
  <c r="T294" i="25"/>
  <c r="U294" i="25"/>
  <c r="V294" i="25"/>
  <c r="W294" i="25"/>
  <c r="X294" i="25"/>
  <c r="Y294" i="25"/>
  <c r="Z294" i="25"/>
  <c r="AA294" i="25"/>
  <c r="G296" i="25"/>
  <c r="H296" i="25"/>
  <c r="I296" i="25"/>
  <c r="J296" i="25"/>
  <c r="K296" i="25"/>
  <c r="L296" i="25"/>
  <c r="M296" i="25"/>
  <c r="N296" i="25"/>
  <c r="O296" i="25"/>
  <c r="P296" i="25"/>
  <c r="Q296" i="25"/>
  <c r="R296" i="25"/>
  <c r="S296" i="25"/>
  <c r="T296" i="25"/>
  <c r="U296" i="25"/>
  <c r="V296" i="25"/>
  <c r="W296" i="25"/>
  <c r="X296" i="25"/>
  <c r="Y296" i="25"/>
  <c r="Z296" i="25"/>
  <c r="AA296" i="25"/>
  <c r="G297" i="25"/>
  <c r="H297" i="25"/>
  <c r="I297" i="25"/>
  <c r="J297" i="25"/>
  <c r="K297" i="25"/>
  <c r="L297" i="25"/>
  <c r="M297" i="25"/>
  <c r="N297" i="25"/>
  <c r="O297" i="25"/>
  <c r="P297" i="25"/>
  <c r="Q297" i="25"/>
  <c r="R297" i="25"/>
  <c r="S297" i="25"/>
  <c r="T297" i="25"/>
  <c r="U297" i="25"/>
  <c r="V297" i="25"/>
  <c r="W297" i="25"/>
  <c r="X297" i="25"/>
  <c r="Y297" i="25"/>
  <c r="Z297" i="25"/>
  <c r="AA297" i="25"/>
  <c r="G308" i="25"/>
  <c r="H308" i="25"/>
  <c r="I308" i="25"/>
  <c r="J308" i="25"/>
  <c r="K308" i="25"/>
  <c r="L308" i="25"/>
  <c r="M308" i="25"/>
  <c r="N308" i="25"/>
  <c r="O308" i="25"/>
  <c r="P308" i="25"/>
  <c r="Q308" i="25"/>
  <c r="R308" i="25"/>
  <c r="S308" i="25"/>
  <c r="T308" i="25"/>
  <c r="U308" i="25"/>
  <c r="V308" i="25"/>
  <c r="W308" i="25"/>
  <c r="X308" i="25"/>
  <c r="Y308" i="25"/>
  <c r="Z308" i="25"/>
  <c r="AA308" i="25"/>
  <c r="AB308" i="25"/>
  <c r="G309" i="25"/>
  <c r="H309" i="25"/>
  <c r="I309" i="25"/>
  <c r="J309" i="25"/>
  <c r="K309" i="25"/>
  <c r="L309" i="25"/>
  <c r="M309" i="25"/>
  <c r="N309" i="25"/>
  <c r="O309" i="25"/>
  <c r="P309" i="25"/>
  <c r="Q309" i="25"/>
  <c r="R309" i="25"/>
  <c r="S309" i="25"/>
  <c r="T309" i="25"/>
  <c r="U309" i="25"/>
  <c r="V309" i="25"/>
  <c r="W309" i="25"/>
  <c r="X309" i="25"/>
  <c r="Y309" i="25"/>
  <c r="Z309" i="25"/>
  <c r="AA309" i="25"/>
  <c r="AB309" i="25"/>
  <c r="G310" i="25"/>
  <c r="H310" i="25"/>
  <c r="I310" i="25"/>
  <c r="J310" i="25"/>
  <c r="K310" i="25"/>
  <c r="L310" i="25"/>
  <c r="M310" i="25"/>
  <c r="N310" i="25"/>
  <c r="O310" i="25"/>
  <c r="P310" i="25"/>
  <c r="Q310" i="25"/>
  <c r="R310" i="25"/>
  <c r="S310" i="25"/>
  <c r="T310" i="25"/>
  <c r="U310" i="25"/>
  <c r="V310" i="25"/>
  <c r="W310" i="25"/>
  <c r="X310" i="25"/>
  <c r="Y310" i="25"/>
  <c r="Z310" i="25"/>
  <c r="AA310" i="25"/>
  <c r="AB310" i="25"/>
  <c r="G311" i="25"/>
  <c r="G313" i="25"/>
  <c r="H313" i="25"/>
  <c r="I313" i="25"/>
  <c r="J313" i="25"/>
  <c r="K313" i="25"/>
  <c r="L313" i="25"/>
  <c r="M313" i="25"/>
  <c r="N313" i="25"/>
  <c r="O313" i="25"/>
  <c r="P313" i="25"/>
  <c r="Q313" i="25"/>
  <c r="R313" i="25"/>
  <c r="S313" i="25"/>
  <c r="T313" i="25"/>
  <c r="U313" i="25"/>
  <c r="V313" i="25"/>
  <c r="W313" i="25"/>
  <c r="X313" i="25"/>
  <c r="Y313" i="25"/>
  <c r="Z313" i="25"/>
  <c r="AA313" i="25"/>
  <c r="G314" i="25"/>
  <c r="G315" i="25"/>
  <c r="G218" i="21"/>
  <c r="H218" i="21"/>
  <c r="I218" i="21"/>
  <c r="J218" i="21"/>
  <c r="K218" i="21"/>
  <c r="L218" i="21"/>
  <c r="M218" i="21"/>
  <c r="N218" i="21"/>
  <c r="O218" i="21"/>
  <c r="P218" i="21"/>
  <c r="Q218" i="21"/>
  <c r="R218" i="21"/>
  <c r="S218" i="21"/>
  <c r="T218" i="21"/>
  <c r="U218" i="21"/>
  <c r="V218" i="21"/>
  <c r="W218" i="21"/>
  <c r="X218" i="21"/>
  <c r="Y218" i="21"/>
  <c r="Z218" i="21"/>
  <c r="AA218" i="21"/>
  <c r="H219" i="21"/>
  <c r="I219" i="21"/>
  <c r="J219" i="21"/>
  <c r="K219" i="21"/>
  <c r="L219" i="21"/>
  <c r="M219" i="21"/>
  <c r="N219" i="21"/>
  <c r="O219" i="21"/>
  <c r="P219" i="21"/>
  <c r="Q219" i="21"/>
  <c r="R219" i="21"/>
  <c r="S219" i="21"/>
  <c r="T219" i="21"/>
  <c r="U219" i="21"/>
  <c r="V219" i="21"/>
  <c r="W219" i="21"/>
  <c r="X219" i="21"/>
  <c r="Y219" i="21"/>
  <c r="Z219" i="21"/>
  <c r="AA219" i="21"/>
  <c r="G220" i="21"/>
  <c r="H228" i="21"/>
  <c r="I228" i="21"/>
  <c r="J228" i="21"/>
  <c r="K228" i="21"/>
  <c r="L228" i="21"/>
  <c r="M228" i="21"/>
  <c r="N228" i="21"/>
  <c r="O228" i="21"/>
  <c r="P228" i="21"/>
  <c r="Q228" i="21"/>
  <c r="R228" i="21"/>
  <c r="S228" i="21"/>
  <c r="T228" i="21"/>
  <c r="U228" i="21"/>
  <c r="V228" i="21"/>
  <c r="W228" i="21"/>
  <c r="X228" i="21"/>
  <c r="Y228" i="21"/>
  <c r="Z228" i="21"/>
  <c r="AA228" i="21"/>
  <c r="H230" i="21"/>
  <c r="I230" i="21"/>
  <c r="J230" i="21"/>
  <c r="K230" i="21"/>
  <c r="L230" i="21"/>
  <c r="M230" i="21"/>
  <c r="N230" i="21"/>
  <c r="O230" i="21"/>
  <c r="P230" i="21"/>
  <c r="Q230" i="21"/>
  <c r="R230" i="21"/>
  <c r="S230" i="21"/>
  <c r="T230" i="21"/>
  <c r="U230" i="21"/>
  <c r="V230" i="21"/>
  <c r="W230" i="21"/>
  <c r="X230" i="21"/>
  <c r="Y230" i="21"/>
  <c r="Z230" i="21"/>
  <c r="AA230" i="21"/>
  <c r="H231" i="21"/>
  <c r="I231" i="21"/>
  <c r="J231" i="21"/>
  <c r="K231" i="21"/>
  <c r="L231" i="21"/>
  <c r="M231" i="21"/>
  <c r="N231" i="21"/>
  <c r="O231" i="21"/>
  <c r="P231" i="21"/>
  <c r="Q231" i="21"/>
  <c r="R231" i="21"/>
  <c r="S231" i="21"/>
  <c r="T231" i="21"/>
  <c r="U231" i="21"/>
  <c r="V231" i="21"/>
  <c r="W231" i="21"/>
  <c r="X231" i="21"/>
  <c r="Y231" i="21"/>
  <c r="Z231" i="21"/>
  <c r="AA231" i="21"/>
  <c r="H242" i="21"/>
  <c r="I242" i="21"/>
  <c r="J242" i="21"/>
  <c r="K242" i="21"/>
  <c r="L242" i="21"/>
  <c r="M242" i="21"/>
  <c r="N242" i="21"/>
  <c r="O242" i="21"/>
  <c r="P242" i="21"/>
  <c r="Q242" i="21"/>
  <c r="R242" i="21"/>
  <c r="S242" i="21"/>
  <c r="T242" i="21"/>
  <c r="U242" i="21"/>
  <c r="V242" i="21"/>
  <c r="W242" i="21"/>
  <c r="X242" i="21"/>
  <c r="Y242" i="21"/>
  <c r="Z242" i="21"/>
  <c r="AA242" i="21"/>
  <c r="AB242" i="21"/>
  <c r="H243" i="21"/>
  <c r="I243" i="21"/>
  <c r="J243" i="21"/>
  <c r="K243" i="21"/>
  <c r="L243" i="21"/>
  <c r="M243" i="21"/>
  <c r="N243" i="21"/>
  <c r="O243" i="21"/>
  <c r="P243" i="21"/>
  <c r="Q243" i="21"/>
  <c r="R243" i="21"/>
  <c r="S243" i="21"/>
  <c r="T243" i="21"/>
  <c r="U243" i="21"/>
  <c r="V243" i="21"/>
  <c r="W243" i="21"/>
  <c r="X243" i="21"/>
  <c r="Y243" i="21"/>
  <c r="Z243" i="21"/>
  <c r="AA243" i="21"/>
  <c r="AB243" i="21"/>
  <c r="H244" i="21"/>
  <c r="I244" i="21"/>
  <c r="J244" i="21"/>
  <c r="K244" i="21"/>
  <c r="L244" i="21"/>
  <c r="M244" i="21"/>
  <c r="N244" i="21"/>
  <c r="O244" i="21"/>
  <c r="P244" i="21"/>
  <c r="Q244" i="21"/>
  <c r="R244" i="21"/>
  <c r="S244" i="21"/>
  <c r="T244" i="21"/>
  <c r="U244" i="21"/>
  <c r="V244" i="21"/>
  <c r="W244" i="21"/>
  <c r="X244" i="21"/>
  <c r="Y244" i="21"/>
  <c r="Z244" i="21"/>
  <c r="AA244" i="21"/>
  <c r="AB244" i="21"/>
  <c r="G245" i="21"/>
  <c r="H247" i="21"/>
  <c r="I247" i="21"/>
  <c r="J247" i="21"/>
  <c r="K247" i="21"/>
  <c r="L247" i="21"/>
  <c r="M247" i="21"/>
  <c r="N247" i="21"/>
  <c r="O247" i="21"/>
  <c r="P247" i="21"/>
  <c r="Q247" i="21"/>
  <c r="R247" i="21"/>
  <c r="S247" i="21"/>
  <c r="T247" i="21"/>
  <c r="U247" i="21"/>
  <c r="V247" i="21"/>
  <c r="W247" i="21"/>
  <c r="X247" i="21"/>
  <c r="Y247" i="21"/>
  <c r="Z247" i="21"/>
  <c r="AA247" i="21"/>
  <c r="G248" i="21"/>
  <c r="G249" i="21"/>
  <c r="G253" i="21"/>
  <c r="G262" i="21"/>
  <c r="G264" i="21"/>
  <c r="G265" i="21"/>
  <c r="G276" i="21"/>
  <c r="G277" i="21"/>
  <c r="G278" i="21"/>
  <c r="G279" i="21"/>
  <c r="G280" i="21"/>
  <c r="G284" i="21"/>
  <c r="H284" i="21"/>
  <c r="I284" i="21"/>
  <c r="J284" i="21"/>
  <c r="K284" i="21"/>
  <c r="L284" i="21"/>
  <c r="M284" i="21"/>
  <c r="N284" i="21"/>
  <c r="O284" i="21"/>
  <c r="P284" i="21"/>
  <c r="Q284" i="21"/>
  <c r="R284" i="21"/>
  <c r="S284" i="21"/>
  <c r="T284" i="21"/>
  <c r="U284" i="21"/>
  <c r="V284" i="21"/>
  <c r="W284" i="21"/>
  <c r="X284" i="21"/>
  <c r="Y284" i="21"/>
  <c r="Z284" i="21"/>
  <c r="AA284" i="21"/>
  <c r="G285" i="21"/>
  <c r="H285" i="21"/>
  <c r="I285" i="21"/>
  <c r="J285" i="21"/>
  <c r="K285" i="21"/>
  <c r="L285" i="21"/>
  <c r="M285" i="21"/>
  <c r="N285" i="21"/>
  <c r="O285" i="21"/>
  <c r="P285" i="21"/>
  <c r="Q285" i="21"/>
  <c r="R285" i="21"/>
  <c r="S285" i="21"/>
  <c r="T285" i="21"/>
  <c r="U285" i="21"/>
  <c r="V285" i="21"/>
  <c r="W285" i="21"/>
  <c r="X285" i="21"/>
  <c r="Y285" i="21"/>
  <c r="Z285" i="21"/>
  <c r="AA285" i="21"/>
  <c r="G286" i="21"/>
  <c r="G294" i="21"/>
  <c r="H294" i="21"/>
  <c r="I294" i="21"/>
  <c r="J294" i="21"/>
  <c r="K294" i="21"/>
  <c r="L294" i="21"/>
  <c r="M294" i="21"/>
  <c r="N294" i="21"/>
  <c r="O294" i="21"/>
  <c r="P294" i="21"/>
  <c r="Q294" i="21"/>
  <c r="R294" i="21"/>
  <c r="S294" i="21"/>
  <c r="T294" i="21"/>
  <c r="U294" i="21"/>
  <c r="V294" i="21"/>
  <c r="W294" i="21"/>
  <c r="X294" i="21"/>
  <c r="Y294" i="21"/>
  <c r="Z294" i="21"/>
  <c r="AA294" i="21"/>
  <c r="G296" i="21"/>
  <c r="H296" i="21"/>
  <c r="I296" i="21"/>
  <c r="J296" i="21"/>
  <c r="K296" i="21"/>
  <c r="L296" i="21"/>
  <c r="M296" i="21"/>
  <c r="N296" i="21"/>
  <c r="O296" i="21"/>
  <c r="P296" i="21"/>
  <c r="Q296" i="21"/>
  <c r="R296" i="21"/>
  <c r="S296" i="21"/>
  <c r="T296" i="21"/>
  <c r="U296" i="21"/>
  <c r="V296" i="21"/>
  <c r="W296" i="21"/>
  <c r="X296" i="21"/>
  <c r="Y296" i="21"/>
  <c r="Z296" i="21"/>
  <c r="AA296" i="21"/>
  <c r="G297" i="21"/>
  <c r="H297" i="21"/>
  <c r="I297" i="21"/>
  <c r="J297" i="21"/>
  <c r="K297" i="21"/>
  <c r="L297" i="21"/>
  <c r="M297" i="21"/>
  <c r="N297" i="21"/>
  <c r="O297" i="21"/>
  <c r="P297" i="21"/>
  <c r="Q297" i="21"/>
  <c r="R297" i="21"/>
  <c r="S297" i="21"/>
  <c r="T297" i="21"/>
  <c r="U297" i="21"/>
  <c r="V297" i="21"/>
  <c r="W297" i="21"/>
  <c r="X297" i="21"/>
  <c r="Y297" i="21"/>
  <c r="Z297" i="21"/>
  <c r="AA297" i="21"/>
  <c r="G308" i="21"/>
  <c r="H308" i="21"/>
  <c r="I308" i="21"/>
  <c r="J308" i="21"/>
  <c r="K308" i="21"/>
  <c r="L308" i="21"/>
  <c r="M308" i="21"/>
  <c r="N308" i="21"/>
  <c r="O308" i="21"/>
  <c r="P308" i="21"/>
  <c r="Q308" i="21"/>
  <c r="R308" i="21"/>
  <c r="S308" i="21"/>
  <c r="T308" i="21"/>
  <c r="U308" i="21"/>
  <c r="V308" i="21"/>
  <c r="W308" i="21"/>
  <c r="X308" i="21"/>
  <c r="Y308" i="21"/>
  <c r="Z308" i="21"/>
  <c r="AA308" i="21"/>
  <c r="AB308" i="21"/>
  <c r="G309" i="21"/>
  <c r="H309" i="21"/>
  <c r="I309" i="21"/>
  <c r="J309" i="21"/>
  <c r="K309" i="21"/>
  <c r="L309" i="21"/>
  <c r="M309" i="21"/>
  <c r="N309" i="21"/>
  <c r="O309" i="21"/>
  <c r="P309" i="21"/>
  <c r="Q309" i="21"/>
  <c r="R309" i="21"/>
  <c r="S309" i="21"/>
  <c r="T309" i="21"/>
  <c r="U309" i="21"/>
  <c r="V309" i="21"/>
  <c r="W309" i="21"/>
  <c r="X309" i="21"/>
  <c r="Y309" i="21"/>
  <c r="Z309" i="21"/>
  <c r="AA309" i="21"/>
  <c r="AB309" i="21"/>
  <c r="G310" i="21"/>
  <c r="H310" i="21"/>
  <c r="I310" i="21"/>
  <c r="J310" i="21"/>
  <c r="K310" i="21"/>
  <c r="L310" i="21"/>
  <c r="M310" i="21"/>
  <c r="N310" i="21"/>
  <c r="O310" i="21"/>
  <c r="P310" i="21"/>
  <c r="Q310" i="21"/>
  <c r="R310" i="21"/>
  <c r="S310" i="21"/>
  <c r="T310" i="21"/>
  <c r="U310" i="21"/>
  <c r="V310" i="21"/>
  <c r="W310" i="21"/>
  <c r="X310" i="21"/>
  <c r="Y310" i="21"/>
  <c r="Z310" i="21"/>
  <c r="AA310" i="21"/>
  <c r="AB310" i="21"/>
  <c r="G311" i="21"/>
  <c r="G313" i="21"/>
  <c r="H313" i="21"/>
  <c r="I313" i="21"/>
  <c r="J313" i="21"/>
  <c r="K313" i="21"/>
  <c r="L313" i="21"/>
  <c r="M313" i="21"/>
  <c r="N313" i="21"/>
  <c r="O313" i="21"/>
  <c r="P313" i="21"/>
  <c r="Q313" i="21"/>
  <c r="R313" i="21"/>
  <c r="S313" i="21"/>
  <c r="T313" i="21"/>
  <c r="U313" i="21"/>
  <c r="V313" i="21"/>
  <c r="W313" i="21"/>
  <c r="X313" i="21"/>
  <c r="Y313" i="21"/>
  <c r="Z313" i="21"/>
  <c r="AA313" i="21"/>
  <c r="G314" i="21"/>
  <c r="G315" i="21"/>
  <c r="G218" i="10"/>
  <c r="H218" i="10"/>
  <c r="I218" i="10"/>
  <c r="J218" i="10"/>
  <c r="K218" i="10"/>
  <c r="L218" i="10"/>
  <c r="M218" i="10"/>
  <c r="N218" i="10"/>
  <c r="O218" i="10"/>
  <c r="P218" i="10"/>
  <c r="Q218" i="10"/>
  <c r="R218" i="10"/>
  <c r="S218" i="10"/>
  <c r="T218" i="10"/>
  <c r="U218" i="10"/>
  <c r="V218" i="10"/>
  <c r="W218" i="10"/>
  <c r="X218" i="10"/>
  <c r="Y218" i="10"/>
  <c r="Z218" i="10"/>
  <c r="AA218" i="10"/>
  <c r="H219" i="10"/>
  <c r="I219" i="10"/>
  <c r="J219" i="10"/>
  <c r="K219" i="10"/>
  <c r="L219" i="10"/>
  <c r="M219" i="10"/>
  <c r="N219" i="10"/>
  <c r="O219" i="10"/>
  <c r="P219" i="10"/>
  <c r="Q219" i="10"/>
  <c r="R219" i="10"/>
  <c r="S219" i="10"/>
  <c r="T219" i="10"/>
  <c r="U219" i="10"/>
  <c r="V219" i="10"/>
  <c r="W219" i="10"/>
  <c r="X219" i="10"/>
  <c r="Y219" i="10"/>
  <c r="Z219" i="10"/>
  <c r="AA219" i="10"/>
  <c r="G220" i="10"/>
  <c r="H228" i="10"/>
  <c r="I228" i="10"/>
  <c r="J228" i="10"/>
  <c r="K228" i="10"/>
  <c r="L228" i="10"/>
  <c r="M228" i="10"/>
  <c r="N228" i="10"/>
  <c r="O228" i="10"/>
  <c r="P228" i="10"/>
  <c r="Q228" i="10"/>
  <c r="R228" i="10"/>
  <c r="S228" i="10"/>
  <c r="T228" i="10"/>
  <c r="U228" i="10"/>
  <c r="V228" i="10"/>
  <c r="W228" i="10"/>
  <c r="X228" i="10"/>
  <c r="Y228" i="10"/>
  <c r="Z228" i="10"/>
  <c r="AA228" i="10"/>
  <c r="H230" i="10"/>
  <c r="I230" i="10"/>
  <c r="J230" i="10"/>
  <c r="K230" i="10"/>
  <c r="L230" i="10"/>
  <c r="M230" i="10"/>
  <c r="N230" i="10"/>
  <c r="O230" i="10"/>
  <c r="P230" i="10"/>
  <c r="Q230" i="10"/>
  <c r="R230" i="10"/>
  <c r="S230" i="10"/>
  <c r="T230" i="10"/>
  <c r="U230" i="10"/>
  <c r="V230" i="10"/>
  <c r="W230" i="10"/>
  <c r="X230" i="10"/>
  <c r="Y230" i="10"/>
  <c r="Z230" i="10"/>
  <c r="AA230" i="10"/>
  <c r="H231" i="10"/>
  <c r="I231" i="10"/>
  <c r="J231" i="10"/>
  <c r="K231" i="10"/>
  <c r="L231" i="10"/>
  <c r="M231" i="10"/>
  <c r="N231" i="10"/>
  <c r="O231" i="10"/>
  <c r="P231" i="10"/>
  <c r="Q231" i="10"/>
  <c r="R231" i="10"/>
  <c r="S231" i="10"/>
  <c r="T231" i="10"/>
  <c r="U231" i="10"/>
  <c r="V231" i="10"/>
  <c r="W231" i="10"/>
  <c r="X231" i="10"/>
  <c r="Y231" i="10"/>
  <c r="Z231" i="10"/>
  <c r="AA231" i="10"/>
  <c r="H242" i="10"/>
  <c r="I242" i="10"/>
  <c r="J242" i="10"/>
  <c r="K242" i="10"/>
  <c r="L242" i="10"/>
  <c r="M242" i="10"/>
  <c r="N242" i="10"/>
  <c r="O242" i="10"/>
  <c r="P242" i="10"/>
  <c r="Q242" i="10"/>
  <c r="R242" i="10"/>
  <c r="S242" i="10"/>
  <c r="T242" i="10"/>
  <c r="U242" i="10"/>
  <c r="V242" i="10"/>
  <c r="W242" i="10"/>
  <c r="X242" i="10"/>
  <c r="Y242" i="10"/>
  <c r="Z242" i="10"/>
  <c r="AA242" i="10"/>
  <c r="AB242" i="10"/>
  <c r="H243" i="10"/>
  <c r="I243" i="10"/>
  <c r="J243" i="10"/>
  <c r="K243" i="10"/>
  <c r="L243" i="10"/>
  <c r="M243" i="10"/>
  <c r="N243" i="10"/>
  <c r="O243" i="10"/>
  <c r="P243" i="10"/>
  <c r="Q243" i="10"/>
  <c r="R243" i="10"/>
  <c r="S243" i="10"/>
  <c r="T243" i="10"/>
  <c r="U243" i="10"/>
  <c r="V243" i="10"/>
  <c r="W243" i="10"/>
  <c r="X243" i="10"/>
  <c r="Y243" i="10"/>
  <c r="Z243" i="10"/>
  <c r="AA243" i="10"/>
  <c r="AB243" i="10"/>
  <c r="H244" i="10"/>
  <c r="I244" i="10"/>
  <c r="J244" i="10"/>
  <c r="K244" i="10"/>
  <c r="L244" i="10"/>
  <c r="M244" i="10"/>
  <c r="N244" i="10"/>
  <c r="O244" i="10"/>
  <c r="P244" i="10"/>
  <c r="Q244" i="10"/>
  <c r="R244" i="10"/>
  <c r="S244" i="10"/>
  <c r="T244" i="10"/>
  <c r="U244" i="10"/>
  <c r="V244" i="10"/>
  <c r="W244" i="10"/>
  <c r="X244" i="10"/>
  <c r="Y244" i="10"/>
  <c r="Z244" i="10"/>
  <c r="AA244" i="10"/>
  <c r="AB244" i="10"/>
  <c r="G245" i="10"/>
  <c r="H247" i="10"/>
  <c r="I247" i="10"/>
  <c r="J247" i="10"/>
  <c r="K247" i="10"/>
  <c r="L247" i="10"/>
  <c r="M247" i="10"/>
  <c r="N247" i="10"/>
  <c r="O247" i="10"/>
  <c r="P247" i="10"/>
  <c r="Q247" i="10"/>
  <c r="R247" i="10"/>
  <c r="S247" i="10"/>
  <c r="T247" i="10"/>
  <c r="U247" i="10"/>
  <c r="V247" i="10"/>
  <c r="W247" i="10"/>
  <c r="X247" i="10"/>
  <c r="Y247" i="10"/>
  <c r="Z247" i="10"/>
  <c r="AA247" i="10"/>
  <c r="G248" i="10"/>
  <c r="G249" i="10"/>
  <c r="G253" i="10"/>
  <c r="G262" i="10"/>
  <c r="G264" i="10"/>
  <c r="G265" i="10"/>
  <c r="G276" i="10"/>
  <c r="G277" i="10"/>
  <c r="G278" i="10"/>
  <c r="G279" i="10"/>
  <c r="G280" i="10"/>
  <c r="G284" i="10"/>
  <c r="H284" i="10"/>
  <c r="I284" i="10"/>
  <c r="J284" i="10"/>
  <c r="K284" i="10"/>
  <c r="L284" i="10"/>
  <c r="M284" i="10"/>
  <c r="N284" i="10"/>
  <c r="O284" i="10"/>
  <c r="P284" i="10"/>
  <c r="Q284" i="10"/>
  <c r="R284" i="10"/>
  <c r="S284" i="10"/>
  <c r="T284" i="10"/>
  <c r="U284" i="10"/>
  <c r="V284" i="10"/>
  <c r="W284" i="10"/>
  <c r="X284" i="10"/>
  <c r="Y284" i="10"/>
  <c r="Z284" i="10"/>
  <c r="AA284" i="10"/>
  <c r="G285" i="10"/>
  <c r="H285" i="10"/>
  <c r="I285" i="10"/>
  <c r="J285" i="10"/>
  <c r="K285" i="10"/>
  <c r="L285" i="10"/>
  <c r="M285" i="10"/>
  <c r="N285" i="10"/>
  <c r="O285" i="10"/>
  <c r="P285" i="10"/>
  <c r="Q285" i="10"/>
  <c r="R285" i="10"/>
  <c r="S285" i="10"/>
  <c r="T285" i="10"/>
  <c r="U285" i="10"/>
  <c r="V285" i="10"/>
  <c r="W285" i="10"/>
  <c r="X285" i="10"/>
  <c r="Y285" i="10"/>
  <c r="Z285" i="10"/>
  <c r="AA285" i="10"/>
  <c r="G286" i="10"/>
  <c r="G294" i="10"/>
  <c r="H294" i="10"/>
  <c r="I294" i="10"/>
  <c r="J294" i="10"/>
  <c r="K294" i="10"/>
  <c r="L294" i="10"/>
  <c r="M294" i="10"/>
  <c r="N294" i="10"/>
  <c r="O294" i="10"/>
  <c r="P294" i="10"/>
  <c r="Q294" i="10"/>
  <c r="R294" i="10"/>
  <c r="S294" i="10"/>
  <c r="T294" i="10"/>
  <c r="U294" i="10"/>
  <c r="V294" i="10"/>
  <c r="W294" i="10"/>
  <c r="X294" i="10"/>
  <c r="Y294" i="10"/>
  <c r="Z294" i="10"/>
  <c r="AA294" i="10"/>
  <c r="G296" i="10"/>
  <c r="H296" i="10"/>
  <c r="I296" i="10"/>
  <c r="J296" i="10"/>
  <c r="K296" i="10"/>
  <c r="L296" i="10"/>
  <c r="M296" i="10"/>
  <c r="N296" i="10"/>
  <c r="O296" i="10"/>
  <c r="P296" i="10"/>
  <c r="Q296" i="10"/>
  <c r="R296" i="10"/>
  <c r="S296" i="10"/>
  <c r="T296" i="10"/>
  <c r="U296" i="10"/>
  <c r="V296" i="10"/>
  <c r="W296" i="10"/>
  <c r="X296" i="10"/>
  <c r="Y296" i="10"/>
  <c r="Z296" i="10"/>
  <c r="AA296" i="10"/>
  <c r="G297" i="10"/>
  <c r="H297" i="10"/>
  <c r="I297" i="10"/>
  <c r="J297" i="10"/>
  <c r="K297" i="10"/>
  <c r="L297" i="10"/>
  <c r="M297" i="10"/>
  <c r="N297" i="10"/>
  <c r="O297" i="10"/>
  <c r="P297" i="10"/>
  <c r="Q297" i="10"/>
  <c r="R297" i="10"/>
  <c r="S297" i="10"/>
  <c r="T297" i="10"/>
  <c r="U297" i="10"/>
  <c r="V297" i="10"/>
  <c r="W297" i="10"/>
  <c r="X297" i="10"/>
  <c r="Y297" i="10"/>
  <c r="Z297" i="10"/>
  <c r="AA297" i="10"/>
  <c r="G308" i="10"/>
  <c r="H308" i="10"/>
  <c r="I308" i="10"/>
  <c r="J308" i="10"/>
  <c r="K308" i="10"/>
  <c r="L308" i="10"/>
  <c r="M308" i="10"/>
  <c r="N308" i="10"/>
  <c r="O308" i="10"/>
  <c r="P308" i="10"/>
  <c r="Q308" i="10"/>
  <c r="R308" i="10"/>
  <c r="S308" i="10"/>
  <c r="T308" i="10"/>
  <c r="U308" i="10"/>
  <c r="V308" i="10"/>
  <c r="W308" i="10"/>
  <c r="X308" i="10"/>
  <c r="Y308" i="10"/>
  <c r="Z308" i="10"/>
  <c r="AA308" i="10"/>
  <c r="AB308" i="10"/>
  <c r="G309" i="10"/>
  <c r="H309" i="10"/>
  <c r="I309" i="10"/>
  <c r="J309" i="10"/>
  <c r="K309" i="10"/>
  <c r="L309" i="10"/>
  <c r="M309" i="10"/>
  <c r="N309" i="10"/>
  <c r="O309" i="10"/>
  <c r="P309" i="10"/>
  <c r="Q309" i="10"/>
  <c r="R309" i="10"/>
  <c r="S309" i="10"/>
  <c r="T309" i="10"/>
  <c r="U309" i="10"/>
  <c r="V309" i="10"/>
  <c r="W309" i="10"/>
  <c r="X309" i="10"/>
  <c r="Y309" i="10"/>
  <c r="Z309" i="10"/>
  <c r="AA309" i="10"/>
  <c r="AB309" i="10"/>
  <c r="G310" i="10"/>
  <c r="H310" i="10"/>
  <c r="I310" i="10"/>
  <c r="J310" i="10"/>
  <c r="K310" i="10"/>
  <c r="L310" i="10"/>
  <c r="M310" i="10"/>
  <c r="N310" i="10"/>
  <c r="O310" i="10"/>
  <c r="P310" i="10"/>
  <c r="Q310" i="10"/>
  <c r="R310" i="10"/>
  <c r="S310" i="10"/>
  <c r="T310" i="10"/>
  <c r="U310" i="10"/>
  <c r="V310" i="10"/>
  <c r="W310" i="10"/>
  <c r="X310" i="10"/>
  <c r="Y310" i="10"/>
  <c r="Z310" i="10"/>
  <c r="AA310" i="10"/>
  <c r="AB310" i="10"/>
  <c r="G311" i="10"/>
  <c r="G313" i="10"/>
  <c r="H313" i="10"/>
  <c r="I313" i="10"/>
  <c r="J313" i="10"/>
  <c r="K313" i="10"/>
  <c r="L313" i="10"/>
  <c r="M313" i="10"/>
  <c r="N313" i="10"/>
  <c r="O313" i="10"/>
  <c r="P313" i="10"/>
  <c r="Q313" i="10"/>
  <c r="R313" i="10"/>
  <c r="S313" i="10"/>
  <c r="T313" i="10"/>
  <c r="U313" i="10"/>
  <c r="V313" i="10"/>
  <c r="W313" i="10"/>
  <c r="X313" i="10"/>
  <c r="Y313" i="10"/>
  <c r="Z313" i="10"/>
  <c r="AA313" i="10"/>
  <c r="G314" i="10"/>
  <c r="G315" i="10"/>
  <c r="G218" i="13"/>
  <c r="H218" i="13"/>
  <c r="I218" i="13"/>
  <c r="J218" i="13"/>
  <c r="K218" i="13"/>
  <c r="L218" i="13"/>
  <c r="M218" i="13"/>
  <c r="N218" i="13"/>
  <c r="O218" i="13"/>
  <c r="P218" i="13"/>
  <c r="Q218" i="13"/>
  <c r="R218" i="13"/>
  <c r="S218" i="13"/>
  <c r="T218" i="13"/>
  <c r="U218" i="13"/>
  <c r="V218" i="13"/>
  <c r="W218" i="13"/>
  <c r="X218" i="13"/>
  <c r="Y218" i="13"/>
  <c r="Z218" i="13"/>
  <c r="AA218" i="13"/>
  <c r="H219" i="13"/>
  <c r="I219" i="13"/>
  <c r="J219" i="13"/>
  <c r="K219" i="13"/>
  <c r="L219" i="13"/>
  <c r="M219" i="13"/>
  <c r="N219" i="13"/>
  <c r="O219" i="13"/>
  <c r="P219" i="13"/>
  <c r="Q219" i="13"/>
  <c r="R219" i="13"/>
  <c r="S219" i="13"/>
  <c r="T219" i="13"/>
  <c r="U219" i="13"/>
  <c r="V219" i="13"/>
  <c r="W219" i="13"/>
  <c r="X219" i="13"/>
  <c r="Y219" i="13"/>
  <c r="Z219" i="13"/>
  <c r="AA219" i="13"/>
  <c r="G220" i="13"/>
  <c r="H228" i="13"/>
  <c r="I228" i="13"/>
  <c r="J228" i="13"/>
  <c r="K228" i="13"/>
  <c r="L228" i="13"/>
  <c r="M228" i="13"/>
  <c r="N228" i="13"/>
  <c r="O228" i="13"/>
  <c r="P228" i="13"/>
  <c r="Q228" i="13"/>
  <c r="R228" i="13"/>
  <c r="S228" i="13"/>
  <c r="T228" i="13"/>
  <c r="U228" i="13"/>
  <c r="V228" i="13"/>
  <c r="W228" i="13"/>
  <c r="X228" i="13"/>
  <c r="Y228" i="13"/>
  <c r="Z228" i="13"/>
  <c r="AA228" i="13"/>
  <c r="H230" i="13"/>
  <c r="I230" i="13"/>
  <c r="J230" i="13"/>
  <c r="K230" i="13"/>
  <c r="L230" i="13"/>
  <c r="M230" i="13"/>
  <c r="N230" i="13"/>
  <c r="O230" i="13"/>
  <c r="P230" i="13"/>
  <c r="Q230" i="13"/>
  <c r="R230" i="13"/>
  <c r="S230" i="13"/>
  <c r="T230" i="13"/>
  <c r="U230" i="13"/>
  <c r="V230" i="13"/>
  <c r="W230" i="13"/>
  <c r="X230" i="13"/>
  <c r="Y230" i="13"/>
  <c r="Z230" i="13"/>
  <c r="AA230" i="13"/>
  <c r="H231" i="13"/>
  <c r="I231" i="13"/>
  <c r="J231" i="13"/>
  <c r="K231" i="13"/>
  <c r="L231" i="13"/>
  <c r="M231" i="13"/>
  <c r="N231" i="13"/>
  <c r="O231" i="13"/>
  <c r="P231" i="13"/>
  <c r="Q231" i="13"/>
  <c r="R231" i="13"/>
  <c r="S231" i="13"/>
  <c r="T231" i="13"/>
  <c r="U231" i="13"/>
  <c r="V231" i="13"/>
  <c r="W231" i="13"/>
  <c r="X231" i="13"/>
  <c r="Y231" i="13"/>
  <c r="Z231" i="13"/>
  <c r="AA231" i="13"/>
  <c r="H242" i="13"/>
  <c r="I242" i="13"/>
  <c r="J242" i="13"/>
  <c r="K242" i="13"/>
  <c r="L242" i="13"/>
  <c r="M242" i="13"/>
  <c r="N242" i="13"/>
  <c r="O242" i="13"/>
  <c r="P242" i="13"/>
  <c r="Q242" i="13"/>
  <c r="R242" i="13"/>
  <c r="S242" i="13"/>
  <c r="T242" i="13"/>
  <c r="U242" i="13"/>
  <c r="V242" i="13"/>
  <c r="W242" i="13"/>
  <c r="X242" i="13"/>
  <c r="Y242" i="13"/>
  <c r="Z242" i="13"/>
  <c r="AA242" i="13"/>
  <c r="AB242" i="13"/>
  <c r="H243" i="13"/>
  <c r="I243" i="13"/>
  <c r="J243" i="13"/>
  <c r="K243" i="13"/>
  <c r="L243" i="13"/>
  <c r="M243" i="13"/>
  <c r="N243" i="13"/>
  <c r="O243" i="13"/>
  <c r="P243" i="13"/>
  <c r="Q243" i="13"/>
  <c r="R243" i="13"/>
  <c r="S243" i="13"/>
  <c r="T243" i="13"/>
  <c r="U243" i="13"/>
  <c r="V243" i="13"/>
  <c r="W243" i="13"/>
  <c r="X243" i="13"/>
  <c r="Y243" i="13"/>
  <c r="Z243" i="13"/>
  <c r="AA243" i="13"/>
  <c r="AB243" i="13"/>
  <c r="H244" i="13"/>
  <c r="I244" i="13"/>
  <c r="J244" i="13"/>
  <c r="K244" i="13"/>
  <c r="L244" i="13"/>
  <c r="M244" i="13"/>
  <c r="N244" i="13"/>
  <c r="O244" i="13"/>
  <c r="P244" i="13"/>
  <c r="Q244" i="13"/>
  <c r="R244" i="13"/>
  <c r="S244" i="13"/>
  <c r="T244" i="13"/>
  <c r="U244" i="13"/>
  <c r="V244" i="13"/>
  <c r="W244" i="13"/>
  <c r="X244" i="13"/>
  <c r="Y244" i="13"/>
  <c r="Z244" i="13"/>
  <c r="AA244" i="13"/>
  <c r="AB244" i="13"/>
  <c r="G245" i="13"/>
  <c r="H247" i="13"/>
  <c r="I247" i="13"/>
  <c r="J247" i="13"/>
  <c r="K247" i="13"/>
  <c r="L247" i="13"/>
  <c r="M247" i="13"/>
  <c r="N247" i="13"/>
  <c r="O247" i="13"/>
  <c r="P247" i="13"/>
  <c r="Q247" i="13"/>
  <c r="R247" i="13"/>
  <c r="S247" i="13"/>
  <c r="T247" i="13"/>
  <c r="U247" i="13"/>
  <c r="V247" i="13"/>
  <c r="W247" i="13"/>
  <c r="X247" i="13"/>
  <c r="Y247" i="13"/>
  <c r="Z247" i="13"/>
  <c r="AA247" i="13"/>
  <c r="G248" i="13"/>
  <c r="G249" i="13"/>
  <c r="G253" i="13"/>
  <c r="G262" i="13"/>
  <c r="G264" i="13"/>
  <c r="G265" i="13"/>
  <c r="G276" i="13"/>
  <c r="G277" i="13"/>
  <c r="G278" i="13"/>
  <c r="G279" i="13"/>
  <c r="G280" i="13"/>
  <c r="G284" i="13"/>
  <c r="H284" i="13"/>
  <c r="I284" i="13"/>
  <c r="J284" i="13"/>
  <c r="K284" i="13"/>
  <c r="L284" i="13"/>
  <c r="M284" i="13"/>
  <c r="N284" i="13"/>
  <c r="O284" i="13"/>
  <c r="P284" i="13"/>
  <c r="Q284" i="13"/>
  <c r="R284" i="13"/>
  <c r="S284" i="13"/>
  <c r="T284" i="13"/>
  <c r="U284" i="13"/>
  <c r="V284" i="13"/>
  <c r="W284" i="13"/>
  <c r="X284" i="13"/>
  <c r="Y284" i="13"/>
  <c r="Z284" i="13"/>
  <c r="AA284" i="13"/>
  <c r="G285" i="13"/>
  <c r="H285" i="13"/>
  <c r="I285" i="13"/>
  <c r="J285" i="13"/>
  <c r="K285" i="13"/>
  <c r="L285" i="13"/>
  <c r="M285" i="13"/>
  <c r="N285" i="13"/>
  <c r="O285" i="13"/>
  <c r="P285" i="13"/>
  <c r="Q285" i="13"/>
  <c r="R285" i="13"/>
  <c r="S285" i="13"/>
  <c r="T285" i="13"/>
  <c r="U285" i="13"/>
  <c r="V285" i="13"/>
  <c r="W285" i="13"/>
  <c r="X285" i="13"/>
  <c r="Y285" i="13"/>
  <c r="Z285" i="13"/>
  <c r="AA285" i="13"/>
  <c r="G286" i="13"/>
  <c r="G294" i="13"/>
  <c r="H294" i="13"/>
  <c r="I294" i="13"/>
  <c r="J294" i="13"/>
  <c r="K294" i="13"/>
  <c r="L294" i="13"/>
  <c r="M294" i="13"/>
  <c r="N294" i="13"/>
  <c r="O294" i="13"/>
  <c r="P294" i="13"/>
  <c r="Q294" i="13"/>
  <c r="R294" i="13"/>
  <c r="S294" i="13"/>
  <c r="T294" i="13"/>
  <c r="U294" i="13"/>
  <c r="V294" i="13"/>
  <c r="W294" i="13"/>
  <c r="X294" i="13"/>
  <c r="Y294" i="13"/>
  <c r="Z294" i="13"/>
  <c r="AA294" i="13"/>
  <c r="G296" i="13"/>
  <c r="H296" i="13"/>
  <c r="I296" i="13"/>
  <c r="J296" i="13"/>
  <c r="K296" i="13"/>
  <c r="L296" i="13"/>
  <c r="M296" i="13"/>
  <c r="N296" i="13"/>
  <c r="O296" i="13"/>
  <c r="P296" i="13"/>
  <c r="Q296" i="13"/>
  <c r="R296" i="13"/>
  <c r="S296" i="13"/>
  <c r="T296" i="13"/>
  <c r="U296" i="13"/>
  <c r="V296" i="13"/>
  <c r="W296" i="13"/>
  <c r="X296" i="13"/>
  <c r="Y296" i="13"/>
  <c r="Z296" i="13"/>
  <c r="AA296" i="13"/>
  <c r="G297" i="13"/>
  <c r="H297" i="13"/>
  <c r="I297" i="13"/>
  <c r="J297" i="13"/>
  <c r="K297" i="13"/>
  <c r="L297" i="13"/>
  <c r="M297" i="13"/>
  <c r="N297" i="13"/>
  <c r="O297" i="13"/>
  <c r="P297" i="13"/>
  <c r="Q297" i="13"/>
  <c r="R297" i="13"/>
  <c r="S297" i="13"/>
  <c r="T297" i="13"/>
  <c r="U297" i="13"/>
  <c r="V297" i="13"/>
  <c r="W297" i="13"/>
  <c r="X297" i="13"/>
  <c r="Y297" i="13"/>
  <c r="Z297" i="13"/>
  <c r="AA297" i="13"/>
  <c r="G308" i="13"/>
  <c r="H308" i="13"/>
  <c r="I308" i="13"/>
  <c r="J308" i="13"/>
  <c r="K308" i="13"/>
  <c r="L308" i="13"/>
  <c r="M308" i="13"/>
  <c r="N308" i="13"/>
  <c r="O308" i="13"/>
  <c r="P308" i="13"/>
  <c r="Q308" i="13"/>
  <c r="R308" i="13"/>
  <c r="S308" i="13"/>
  <c r="T308" i="13"/>
  <c r="U308" i="13"/>
  <c r="V308" i="13"/>
  <c r="W308" i="13"/>
  <c r="X308" i="13"/>
  <c r="Y308" i="13"/>
  <c r="Z308" i="13"/>
  <c r="AA308" i="13"/>
  <c r="AB308" i="13"/>
  <c r="G309" i="13"/>
  <c r="H309" i="13"/>
  <c r="I309" i="13"/>
  <c r="J309" i="13"/>
  <c r="K309" i="13"/>
  <c r="L309" i="13"/>
  <c r="M309" i="13"/>
  <c r="N309" i="13"/>
  <c r="O309" i="13"/>
  <c r="P309" i="13"/>
  <c r="Q309" i="13"/>
  <c r="R309" i="13"/>
  <c r="S309" i="13"/>
  <c r="T309" i="13"/>
  <c r="U309" i="13"/>
  <c r="V309" i="13"/>
  <c r="W309" i="13"/>
  <c r="X309" i="13"/>
  <c r="Y309" i="13"/>
  <c r="Z309" i="13"/>
  <c r="AA309" i="13"/>
  <c r="AB309" i="13"/>
  <c r="G310" i="13"/>
  <c r="H310" i="13"/>
  <c r="I310" i="13"/>
  <c r="J310" i="13"/>
  <c r="K310" i="13"/>
  <c r="L310" i="13"/>
  <c r="M310" i="13"/>
  <c r="N310" i="13"/>
  <c r="O310" i="13"/>
  <c r="P310" i="13"/>
  <c r="Q310" i="13"/>
  <c r="R310" i="13"/>
  <c r="S310" i="13"/>
  <c r="T310" i="13"/>
  <c r="U310" i="13"/>
  <c r="V310" i="13"/>
  <c r="W310" i="13"/>
  <c r="X310" i="13"/>
  <c r="Y310" i="13"/>
  <c r="Z310" i="13"/>
  <c r="AA310" i="13"/>
  <c r="AB310" i="13"/>
  <c r="G311" i="13"/>
  <c r="G313" i="13"/>
  <c r="H313" i="13"/>
  <c r="I313" i="13"/>
  <c r="J313" i="13"/>
  <c r="K313" i="13"/>
  <c r="L313" i="13"/>
  <c r="M313" i="13"/>
  <c r="N313" i="13"/>
  <c r="O313" i="13"/>
  <c r="P313" i="13"/>
  <c r="Q313" i="13"/>
  <c r="R313" i="13"/>
  <c r="S313" i="13"/>
  <c r="T313" i="13"/>
  <c r="U313" i="13"/>
  <c r="V313" i="13"/>
  <c r="W313" i="13"/>
  <c r="X313" i="13"/>
  <c r="Y313" i="13"/>
  <c r="Z313" i="13"/>
  <c r="AA313" i="13"/>
  <c r="G314" i="13"/>
  <c r="G315" i="13"/>
  <c r="G218" i="16"/>
  <c r="H218" i="16"/>
  <c r="I218" i="16"/>
  <c r="J218" i="16"/>
  <c r="K218" i="16"/>
  <c r="L218" i="16"/>
  <c r="M218" i="16"/>
  <c r="N218" i="16"/>
  <c r="O218" i="16"/>
  <c r="P218" i="16"/>
  <c r="Q218" i="16"/>
  <c r="R218" i="16"/>
  <c r="S218" i="16"/>
  <c r="T218" i="16"/>
  <c r="U218" i="16"/>
  <c r="V218" i="16"/>
  <c r="W218" i="16"/>
  <c r="X218" i="16"/>
  <c r="Y218" i="16"/>
  <c r="Z218" i="16"/>
  <c r="AA218" i="16"/>
  <c r="H219" i="16"/>
  <c r="I219" i="16"/>
  <c r="J219" i="16"/>
  <c r="K219" i="16"/>
  <c r="L219" i="16"/>
  <c r="M219" i="16"/>
  <c r="N219" i="16"/>
  <c r="O219" i="16"/>
  <c r="P219" i="16"/>
  <c r="Q219" i="16"/>
  <c r="R219" i="16"/>
  <c r="S219" i="16"/>
  <c r="T219" i="16"/>
  <c r="U219" i="16"/>
  <c r="V219" i="16"/>
  <c r="W219" i="16"/>
  <c r="X219" i="16"/>
  <c r="Y219" i="16"/>
  <c r="Z219" i="16"/>
  <c r="AA219" i="16"/>
  <c r="G220" i="16"/>
  <c r="H228" i="16"/>
  <c r="I228" i="16"/>
  <c r="J228" i="16"/>
  <c r="K228" i="16"/>
  <c r="L228" i="16"/>
  <c r="M228" i="16"/>
  <c r="N228" i="16"/>
  <c r="O228" i="16"/>
  <c r="P228" i="16"/>
  <c r="Q228" i="16"/>
  <c r="R228" i="16"/>
  <c r="S228" i="16"/>
  <c r="T228" i="16"/>
  <c r="U228" i="16"/>
  <c r="V228" i="16"/>
  <c r="W228" i="16"/>
  <c r="X228" i="16"/>
  <c r="Y228" i="16"/>
  <c r="Z228" i="16"/>
  <c r="AA228" i="16"/>
  <c r="H230" i="16"/>
  <c r="I230" i="16"/>
  <c r="J230" i="16"/>
  <c r="K230" i="16"/>
  <c r="L230" i="16"/>
  <c r="M230" i="16"/>
  <c r="N230" i="16"/>
  <c r="O230" i="16"/>
  <c r="P230" i="16"/>
  <c r="Q230" i="16"/>
  <c r="R230" i="16"/>
  <c r="S230" i="16"/>
  <c r="T230" i="16"/>
  <c r="U230" i="16"/>
  <c r="V230" i="16"/>
  <c r="W230" i="16"/>
  <c r="X230" i="16"/>
  <c r="Y230" i="16"/>
  <c r="Z230" i="16"/>
  <c r="AA230" i="16"/>
  <c r="H231" i="16"/>
  <c r="I231" i="16"/>
  <c r="J231" i="16"/>
  <c r="K231" i="16"/>
  <c r="L231" i="16"/>
  <c r="M231" i="16"/>
  <c r="N231" i="16"/>
  <c r="O231" i="16"/>
  <c r="P231" i="16"/>
  <c r="Q231" i="16"/>
  <c r="R231" i="16"/>
  <c r="S231" i="16"/>
  <c r="T231" i="16"/>
  <c r="U231" i="16"/>
  <c r="V231" i="16"/>
  <c r="W231" i="16"/>
  <c r="X231" i="16"/>
  <c r="Y231" i="16"/>
  <c r="Z231" i="16"/>
  <c r="AA231" i="16"/>
  <c r="H242" i="16"/>
  <c r="I242" i="16"/>
  <c r="J242" i="16"/>
  <c r="K242" i="16"/>
  <c r="L242" i="16"/>
  <c r="M242" i="16"/>
  <c r="N242" i="16"/>
  <c r="O242" i="16"/>
  <c r="P242" i="16"/>
  <c r="Q242" i="16"/>
  <c r="R242" i="16"/>
  <c r="S242" i="16"/>
  <c r="T242" i="16"/>
  <c r="U242" i="16"/>
  <c r="V242" i="16"/>
  <c r="W242" i="16"/>
  <c r="X242" i="16"/>
  <c r="Y242" i="16"/>
  <c r="Z242" i="16"/>
  <c r="AA242" i="16"/>
  <c r="AB242" i="16"/>
  <c r="H243" i="16"/>
  <c r="I243" i="16"/>
  <c r="J243" i="16"/>
  <c r="K243" i="16"/>
  <c r="L243" i="16"/>
  <c r="M243" i="16"/>
  <c r="N243" i="16"/>
  <c r="O243" i="16"/>
  <c r="P243" i="16"/>
  <c r="Q243" i="16"/>
  <c r="R243" i="16"/>
  <c r="S243" i="16"/>
  <c r="T243" i="16"/>
  <c r="U243" i="16"/>
  <c r="V243" i="16"/>
  <c r="W243" i="16"/>
  <c r="X243" i="16"/>
  <c r="Y243" i="16"/>
  <c r="Z243" i="16"/>
  <c r="AA243" i="16"/>
  <c r="AB243" i="16"/>
  <c r="H244" i="16"/>
  <c r="I244" i="16"/>
  <c r="J244" i="16"/>
  <c r="K244" i="16"/>
  <c r="L244" i="16"/>
  <c r="M244" i="16"/>
  <c r="N244" i="16"/>
  <c r="O244" i="16"/>
  <c r="P244" i="16"/>
  <c r="Q244" i="16"/>
  <c r="R244" i="16"/>
  <c r="S244" i="16"/>
  <c r="T244" i="16"/>
  <c r="U244" i="16"/>
  <c r="V244" i="16"/>
  <c r="W244" i="16"/>
  <c r="X244" i="16"/>
  <c r="Y244" i="16"/>
  <c r="Z244" i="16"/>
  <c r="AA244" i="16"/>
  <c r="AB244" i="16"/>
  <c r="G245" i="16"/>
  <c r="H247" i="16"/>
  <c r="I247" i="16"/>
  <c r="J247" i="16"/>
  <c r="K247" i="16"/>
  <c r="L247" i="16"/>
  <c r="M247" i="16"/>
  <c r="N247" i="16"/>
  <c r="O247" i="16"/>
  <c r="P247" i="16"/>
  <c r="Q247" i="16"/>
  <c r="R247" i="16"/>
  <c r="S247" i="16"/>
  <c r="T247" i="16"/>
  <c r="U247" i="16"/>
  <c r="V247" i="16"/>
  <c r="W247" i="16"/>
  <c r="X247" i="16"/>
  <c r="Y247" i="16"/>
  <c r="Z247" i="16"/>
  <c r="AA247" i="16"/>
  <c r="G248" i="16"/>
  <c r="G249" i="16"/>
  <c r="G253" i="16"/>
  <c r="G262" i="16"/>
  <c r="G264" i="16"/>
  <c r="G265" i="16"/>
  <c r="G276" i="16"/>
  <c r="G277" i="16"/>
  <c r="G278" i="16"/>
  <c r="G279" i="16"/>
  <c r="G280" i="16"/>
  <c r="G284" i="16"/>
  <c r="H284" i="16"/>
  <c r="I284" i="16"/>
  <c r="J284" i="16"/>
  <c r="K284" i="16"/>
  <c r="L284" i="16"/>
  <c r="M284" i="16"/>
  <c r="N284" i="16"/>
  <c r="O284" i="16"/>
  <c r="P284" i="16"/>
  <c r="Q284" i="16"/>
  <c r="R284" i="16"/>
  <c r="S284" i="16"/>
  <c r="T284" i="16"/>
  <c r="U284" i="16"/>
  <c r="V284" i="16"/>
  <c r="W284" i="16"/>
  <c r="X284" i="16"/>
  <c r="Y284" i="16"/>
  <c r="Z284" i="16"/>
  <c r="AA284" i="16"/>
  <c r="G285" i="16"/>
  <c r="H285" i="16"/>
  <c r="I285" i="16"/>
  <c r="J285" i="16"/>
  <c r="K285" i="16"/>
  <c r="L285" i="16"/>
  <c r="M285" i="16"/>
  <c r="N285" i="16"/>
  <c r="O285" i="16"/>
  <c r="P285" i="16"/>
  <c r="Q285" i="16"/>
  <c r="R285" i="16"/>
  <c r="S285" i="16"/>
  <c r="T285" i="16"/>
  <c r="U285" i="16"/>
  <c r="V285" i="16"/>
  <c r="W285" i="16"/>
  <c r="X285" i="16"/>
  <c r="Y285" i="16"/>
  <c r="Z285" i="16"/>
  <c r="AA285" i="16"/>
  <c r="G286" i="16"/>
  <c r="G294" i="16"/>
  <c r="H294" i="16"/>
  <c r="I294" i="16"/>
  <c r="J294" i="16"/>
  <c r="K294" i="16"/>
  <c r="L294" i="16"/>
  <c r="M294" i="16"/>
  <c r="N294" i="16"/>
  <c r="O294" i="16"/>
  <c r="P294" i="16"/>
  <c r="Q294" i="16"/>
  <c r="R294" i="16"/>
  <c r="S294" i="16"/>
  <c r="T294" i="16"/>
  <c r="U294" i="16"/>
  <c r="V294" i="16"/>
  <c r="W294" i="16"/>
  <c r="X294" i="16"/>
  <c r="Y294" i="16"/>
  <c r="Z294" i="16"/>
  <c r="AA294" i="16"/>
  <c r="G296" i="16"/>
  <c r="H296" i="16"/>
  <c r="I296" i="16"/>
  <c r="J296" i="16"/>
  <c r="K296" i="16"/>
  <c r="L296" i="16"/>
  <c r="M296" i="16"/>
  <c r="N296" i="16"/>
  <c r="O296" i="16"/>
  <c r="P296" i="16"/>
  <c r="Q296" i="16"/>
  <c r="R296" i="16"/>
  <c r="S296" i="16"/>
  <c r="T296" i="16"/>
  <c r="U296" i="16"/>
  <c r="V296" i="16"/>
  <c r="W296" i="16"/>
  <c r="X296" i="16"/>
  <c r="Y296" i="16"/>
  <c r="Z296" i="16"/>
  <c r="AA296" i="16"/>
  <c r="G297" i="16"/>
  <c r="H297" i="16"/>
  <c r="I297" i="16"/>
  <c r="J297" i="16"/>
  <c r="K297" i="16"/>
  <c r="L297" i="16"/>
  <c r="M297" i="16"/>
  <c r="N297" i="16"/>
  <c r="O297" i="16"/>
  <c r="P297" i="16"/>
  <c r="Q297" i="16"/>
  <c r="R297" i="16"/>
  <c r="S297" i="16"/>
  <c r="T297" i="16"/>
  <c r="U297" i="16"/>
  <c r="V297" i="16"/>
  <c r="W297" i="16"/>
  <c r="X297" i="16"/>
  <c r="Y297" i="16"/>
  <c r="Z297" i="16"/>
  <c r="AA297" i="16"/>
  <c r="G308" i="16"/>
  <c r="H308" i="16"/>
  <c r="I308" i="16"/>
  <c r="J308" i="16"/>
  <c r="K308" i="16"/>
  <c r="L308" i="16"/>
  <c r="M308" i="16"/>
  <c r="N308" i="16"/>
  <c r="O308" i="16"/>
  <c r="P308" i="16"/>
  <c r="Q308" i="16"/>
  <c r="R308" i="16"/>
  <c r="S308" i="16"/>
  <c r="T308" i="16"/>
  <c r="U308" i="16"/>
  <c r="V308" i="16"/>
  <c r="W308" i="16"/>
  <c r="X308" i="16"/>
  <c r="Y308" i="16"/>
  <c r="Z308" i="16"/>
  <c r="AA308" i="16"/>
  <c r="AB308" i="16"/>
  <c r="G309" i="16"/>
  <c r="H309" i="16"/>
  <c r="I309" i="16"/>
  <c r="J309" i="16"/>
  <c r="K309" i="16"/>
  <c r="L309" i="16"/>
  <c r="M309" i="16"/>
  <c r="N309" i="16"/>
  <c r="O309" i="16"/>
  <c r="P309" i="16"/>
  <c r="Q309" i="16"/>
  <c r="R309" i="16"/>
  <c r="S309" i="16"/>
  <c r="T309" i="16"/>
  <c r="U309" i="16"/>
  <c r="V309" i="16"/>
  <c r="W309" i="16"/>
  <c r="X309" i="16"/>
  <c r="Y309" i="16"/>
  <c r="Z309" i="16"/>
  <c r="AA309" i="16"/>
  <c r="AB309" i="16"/>
  <c r="G310" i="16"/>
  <c r="H310" i="16"/>
  <c r="I310" i="16"/>
  <c r="J310" i="16"/>
  <c r="K310" i="16"/>
  <c r="L310" i="16"/>
  <c r="M310" i="16"/>
  <c r="N310" i="16"/>
  <c r="O310" i="16"/>
  <c r="P310" i="16"/>
  <c r="Q310" i="16"/>
  <c r="R310" i="16"/>
  <c r="S310" i="16"/>
  <c r="T310" i="16"/>
  <c r="U310" i="16"/>
  <c r="V310" i="16"/>
  <c r="W310" i="16"/>
  <c r="X310" i="16"/>
  <c r="Y310" i="16"/>
  <c r="Z310" i="16"/>
  <c r="AA310" i="16"/>
  <c r="AB310" i="16"/>
  <c r="G311" i="16"/>
  <c r="G313" i="16"/>
  <c r="H313" i="16"/>
  <c r="I313" i="16"/>
  <c r="J313" i="16"/>
  <c r="K313" i="16"/>
  <c r="L313" i="16"/>
  <c r="M313" i="16"/>
  <c r="N313" i="16"/>
  <c r="O313" i="16"/>
  <c r="P313" i="16"/>
  <c r="Q313" i="16"/>
  <c r="R313" i="16"/>
  <c r="S313" i="16"/>
  <c r="T313" i="16"/>
  <c r="U313" i="16"/>
  <c r="V313" i="16"/>
  <c r="W313" i="16"/>
  <c r="X313" i="16"/>
  <c r="Y313" i="16"/>
  <c r="Z313" i="16"/>
  <c r="AA313" i="16"/>
  <c r="G314" i="16"/>
  <c r="G315" i="16"/>
  <c r="G218" i="46"/>
  <c r="H218" i="46"/>
  <c r="I218" i="46"/>
  <c r="J218" i="46"/>
  <c r="K218" i="46"/>
  <c r="L218" i="46"/>
  <c r="M218" i="46"/>
  <c r="N218" i="46"/>
  <c r="O218" i="46"/>
  <c r="P218" i="46"/>
  <c r="Q218" i="46"/>
  <c r="R218" i="46"/>
  <c r="S218" i="46"/>
  <c r="T218" i="46"/>
  <c r="U218" i="46"/>
  <c r="V218" i="46"/>
  <c r="W218" i="46"/>
  <c r="X218" i="46"/>
  <c r="Y218" i="46"/>
  <c r="Z218" i="46"/>
  <c r="AA218" i="46"/>
  <c r="H219" i="46"/>
  <c r="I219" i="46"/>
  <c r="J219" i="46"/>
  <c r="K219" i="46"/>
  <c r="L219" i="46"/>
  <c r="M219" i="46"/>
  <c r="N219" i="46"/>
  <c r="O219" i="46"/>
  <c r="P219" i="46"/>
  <c r="Q219" i="46"/>
  <c r="R219" i="46"/>
  <c r="S219" i="46"/>
  <c r="T219" i="46"/>
  <c r="U219" i="46"/>
  <c r="V219" i="46"/>
  <c r="W219" i="46"/>
  <c r="X219" i="46"/>
  <c r="Y219" i="46"/>
  <c r="Z219" i="46"/>
  <c r="AA219" i="46"/>
  <c r="G220" i="46"/>
  <c r="H228" i="46"/>
  <c r="I228" i="46"/>
  <c r="J228" i="46"/>
  <c r="K228" i="46"/>
  <c r="L228" i="46"/>
  <c r="M228" i="46"/>
  <c r="N228" i="46"/>
  <c r="O228" i="46"/>
  <c r="P228" i="46"/>
  <c r="Q228" i="46"/>
  <c r="R228" i="46"/>
  <c r="S228" i="46"/>
  <c r="T228" i="46"/>
  <c r="U228" i="46"/>
  <c r="V228" i="46"/>
  <c r="W228" i="46"/>
  <c r="X228" i="46"/>
  <c r="Y228" i="46"/>
  <c r="Z228" i="46"/>
  <c r="AA228" i="46"/>
  <c r="H230" i="46"/>
  <c r="I230" i="46"/>
  <c r="J230" i="46"/>
  <c r="K230" i="46"/>
  <c r="L230" i="46"/>
  <c r="M230" i="46"/>
  <c r="N230" i="46"/>
  <c r="O230" i="46"/>
  <c r="P230" i="46"/>
  <c r="Q230" i="46"/>
  <c r="R230" i="46"/>
  <c r="S230" i="46"/>
  <c r="T230" i="46"/>
  <c r="U230" i="46"/>
  <c r="V230" i="46"/>
  <c r="W230" i="46"/>
  <c r="X230" i="46"/>
  <c r="Y230" i="46"/>
  <c r="Z230" i="46"/>
  <c r="AA230" i="46"/>
  <c r="H231" i="46"/>
  <c r="I231" i="46"/>
  <c r="J231" i="46"/>
  <c r="K231" i="46"/>
  <c r="L231" i="46"/>
  <c r="M231" i="46"/>
  <c r="N231" i="46"/>
  <c r="O231" i="46"/>
  <c r="P231" i="46"/>
  <c r="Q231" i="46"/>
  <c r="R231" i="46"/>
  <c r="S231" i="46"/>
  <c r="T231" i="46"/>
  <c r="U231" i="46"/>
  <c r="V231" i="46"/>
  <c r="W231" i="46"/>
  <c r="X231" i="46"/>
  <c r="Y231" i="46"/>
  <c r="Z231" i="46"/>
  <c r="AA231" i="46"/>
  <c r="H242" i="46"/>
  <c r="I242" i="46"/>
  <c r="J242" i="46"/>
  <c r="K242" i="46"/>
  <c r="L242" i="46"/>
  <c r="M242" i="46"/>
  <c r="N242" i="46"/>
  <c r="O242" i="46"/>
  <c r="P242" i="46"/>
  <c r="Q242" i="46"/>
  <c r="R242" i="46"/>
  <c r="S242" i="46"/>
  <c r="T242" i="46"/>
  <c r="U242" i="46"/>
  <c r="V242" i="46"/>
  <c r="W242" i="46"/>
  <c r="X242" i="46"/>
  <c r="Y242" i="46"/>
  <c r="Z242" i="46"/>
  <c r="AA242" i="46"/>
  <c r="AB242" i="46"/>
  <c r="H243" i="46"/>
  <c r="I243" i="46"/>
  <c r="J243" i="46"/>
  <c r="K243" i="46"/>
  <c r="L243" i="46"/>
  <c r="M243" i="46"/>
  <c r="N243" i="46"/>
  <c r="O243" i="46"/>
  <c r="P243" i="46"/>
  <c r="Q243" i="46"/>
  <c r="R243" i="46"/>
  <c r="S243" i="46"/>
  <c r="T243" i="46"/>
  <c r="U243" i="46"/>
  <c r="V243" i="46"/>
  <c r="W243" i="46"/>
  <c r="X243" i="46"/>
  <c r="Y243" i="46"/>
  <c r="Z243" i="46"/>
  <c r="AA243" i="46"/>
  <c r="AB243" i="46"/>
  <c r="H244" i="46"/>
  <c r="I244" i="46"/>
  <c r="J244" i="46"/>
  <c r="K244" i="46"/>
  <c r="L244" i="46"/>
  <c r="M244" i="46"/>
  <c r="N244" i="46"/>
  <c r="O244" i="46"/>
  <c r="P244" i="46"/>
  <c r="Q244" i="46"/>
  <c r="R244" i="46"/>
  <c r="S244" i="46"/>
  <c r="T244" i="46"/>
  <c r="U244" i="46"/>
  <c r="V244" i="46"/>
  <c r="W244" i="46"/>
  <c r="X244" i="46"/>
  <c r="Y244" i="46"/>
  <c r="Z244" i="46"/>
  <c r="AA244" i="46"/>
  <c r="AB244" i="46"/>
  <c r="G245" i="46"/>
  <c r="H247" i="46"/>
  <c r="I247" i="46"/>
  <c r="J247" i="46"/>
  <c r="K247" i="46"/>
  <c r="L247" i="46"/>
  <c r="M247" i="46"/>
  <c r="N247" i="46"/>
  <c r="O247" i="46"/>
  <c r="P247" i="46"/>
  <c r="Q247" i="46"/>
  <c r="R247" i="46"/>
  <c r="S247" i="46"/>
  <c r="T247" i="46"/>
  <c r="U247" i="46"/>
  <c r="V247" i="46"/>
  <c r="W247" i="46"/>
  <c r="X247" i="46"/>
  <c r="Y247" i="46"/>
  <c r="Z247" i="46"/>
  <c r="AA247" i="46"/>
  <c r="G248" i="46"/>
  <c r="G249" i="46"/>
  <c r="G253" i="46"/>
  <c r="G262" i="46"/>
  <c r="G264" i="46"/>
  <c r="G265" i="46"/>
  <c r="G276" i="46"/>
  <c r="G277" i="46"/>
  <c r="G278" i="46"/>
  <c r="G279" i="46"/>
  <c r="G280" i="46"/>
  <c r="G284" i="46"/>
  <c r="H284" i="46"/>
  <c r="I284" i="46"/>
  <c r="J284" i="46"/>
  <c r="K284" i="46"/>
  <c r="L284" i="46"/>
  <c r="M284" i="46"/>
  <c r="N284" i="46"/>
  <c r="O284" i="46"/>
  <c r="P284" i="46"/>
  <c r="Q284" i="46"/>
  <c r="R284" i="46"/>
  <c r="S284" i="46"/>
  <c r="T284" i="46"/>
  <c r="U284" i="46"/>
  <c r="V284" i="46"/>
  <c r="W284" i="46"/>
  <c r="X284" i="46"/>
  <c r="Y284" i="46"/>
  <c r="Z284" i="46"/>
  <c r="AA284" i="46"/>
  <c r="G285" i="46"/>
  <c r="H285" i="46"/>
  <c r="I285" i="46"/>
  <c r="J285" i="46"/>
  <c r="K285" i="46"/>
  <c r="L285" i="46"/>
  <c r="M285" i="46"/>
  <c r="N285" i="46"/>
  <c r="O285" i="46"/>
  <c r="P285" i="46"/>
  <c r="Q285" i="46"/>
  <c r="R285" i="46"/>
  <c r="S285" i="46"/>
  <c r="T285" i="46"/>
  <c r="U285" i="46"/>
  <c r="V285" i="46"/>
  <c r="W285" i="46"/>
  <c r="X285" i="46"/>
  <c r="Y285" i="46"/>
  <c r="Z285" i="46"/>
  <c r="AA285" i="46"/>
  <c r="G286" i="46"/>
  <c r="G294" i="46"/>
  <c r="H294" i="46"/>
  <c r="I294" i="46"/>
  <c r="J294" i="46"/>
  <c r="K294" i="46"/>
  <c r="L294" i="46"/>
  <c r="M294" i="46"/>
  <c r="N294" i="46"/>
  <c r="O294" i="46"/>
  <c r="P294" i="46"/>
  <c r="Q294" i="46"/>
  <c r="R294" i="46"/>
  <c r="S294" i="46"/>
  <c r="T294" i="46"/>
  <c r="U294" i="46"/>
  <c r="V294" i="46"/>
  <c r="W294" i="46"/>
  <c r="X294" i="46"/>
  <c r="Y294" i="46"/>
  <c r="Z294" i="46"/>
  <c r="AA294" i="46"/>
  <c r="G296" i="46"/>
  <c r="H296" i="46"/>
  <c r="I296" i="46"/>
  <c r="J296" i="46"/>
  <c r="K296" i="46"/>
  <c r="L296" i="46"/>
  <c r="M296" i="46"/>
  <c r="N296" i="46"/>
  <c r="O296" i="46"/>
  <c r="P296" i="46"/>
  <c r="Q296" i="46"/>
  <c r="R296" i="46"/>
  <c r="S296" i="46"/>
  <c r="T296" i="46"/>
  <c r="U296" i="46"/>
  <c r="V296" i="46"/>
  <c r="W296" i="46"/>
  <c r="X296" i="46"/>
  <c r="Y296" i="46"/>
  <c r="Z296" i="46"/>
  <c r="AA296" i="46"/>
  <c r="G297" i="46"/>
  <c r="H297" i="46"/>
  <c r="I297" i="46"/>
  <c r="J297" i="46"/>
  <c r="K297" i="46"/>
  <c r="L297" i="46"/>
  <c r="M297" i="46"/>
  <c r="N297" i="46"/>
  <c r="O297" i="46"/>
  <c r="P297" i="46"/>
  <c r="Q297" i="46"/>
  <c r="R297" i="46"/>
  <c r="S297" i="46"/>
  <c r="T297" i="46"/>
  <c r="U297" i="46"/>
  <c r="V297" i="46"/>
  <c r="W297" i="46"/>
  <c r="X297" i="46"/>
  <c r="Y297" i="46"/>
  <c r="Z297" i="46"/>
  <c r="AA297" i="46"/>
  <c r="G308" i="46"/>
  <c r="H308" i="46"/>
  <c r="I308" i="46"/>
  <c r="J308" i="46"/>
  <c r="K308" i="46"/>
  <c r="L308" i="46"/>
  <c r="M308" i="46"/>
  <c r="N308" i="46"/>
  <c r="O308" i="46"/>
  <c r="P308" i="46"/>
  <c r="Q308" i="46"/>
  <c r="R308" i="46"/>
  <c r="S308" i="46"/>
  <c r="T308" i="46"/>
  <c r="U308" i="46"/>
  <c r="V308" i="46"/>
  <c r="W308" i="46"/>
  <c r="X308" i="46"/>
  <c r="Y308" i="46"/>
  <c r="Z308" i="46"/>
  <c r="AA308" i="46"/>
  <c r="AB308" i="46"/>
  <c r="G309" i="46"/>
  <c r="H309" i="46"/>
  <c r="I309" i="46"/>
  <c r="J309" i="46"/>
  <c r="K309" i="46"/>
  <c r="L309" i="46"/>
  <c r="M309" i="46"/>
  <c r="N309" i="46"/>
  <c r="O309" i="46"/>
  <c r="P309" i="46"/>
  <c r="Q309" i="46"/>
  <c r="R309" i="46"/>
  <c r="S309" i="46"/>
  <c r="T309" i="46"/>
  <c r="U309" i="46"/>
  <c r="V309" i="46"/>
  <c r="W309" i="46"/>
  <c r="X309" i="46"/>
  <c r="Y309" i="46"/>
  <c r="Z309" i="46"/>
  <c r="AA309" i="46"/>
  <c r="AB309" i="46"/>
  <c r="G310" i="46"/>
  <c r="H310" i="46"/>
  <c r="I310" i="46"/>
  <c r="J310" i="46"/>
  <c r="K310" i="46"/>
  <c r="L310" i="46"/>
  <c r="M310" i="46"/>
  <c r="N310" i="46"/>
  <c r="O310" i="46"/>
  <c r="P310" i="46"/>
  <c r="Q310" i="46"/>
  <c r="R310" i="46"/>
  <c r="S310" i="46"/>
  <c r="T310" i="46"/>
  <c r="U310" i="46"/>
  <c r="V310" i="46"/>
  <c r="W310" i="46"/>
  <c r="X310" i="46"/>
  <c r="Y310" i="46"/>
  <c r="Z310" i="46"/>
  <c r="AA310" i="46"/>
  <c r="AB310" i="46"/>
  <c r="G311" i="46"/>
  <c r="G313" i="46"/>
  <c r="H313" i="46"/>
  <c r="I313" i="46"/>
  <c r="J313" i="46"/>
  <c r="K313" i="46"/>
  <c r="L313" i="46"/>
  <c r="M313" i="46"/>
  <c r="N313" i="46"/>
  <c r="O313" i="46"/>
  <c r="P313" i="46"/>
  <c r="Q313" i="46"/>
  <c r="R313" i="46"/>
  <c r="S313" i="46"/>
  <c r="T313" i="46"/>
  <c r="U313" i="46"/>
  <c r="V313" i="46"/>
  <c r="W313" i="46"/>
  <c r="X313" i="46"/>
  <c r="Y313" i="46"/>
  <c r="Z313" i="46"/>
  <c r="AA313" i="46"/>
  <c r="G314" i="46"/>
  <c r="G315" i="46"/>
  <c r="G218" i="49"/>
  <c r="H218" i="49"/>
  <c r="I218" i="49"/>
  <c r="J218" i="49"/>
  <c r="K218" i="49"/>
  <c r="L218" i="49"/>
  <c r="M218" i="49"/>
  <c r="N218" i="49"/>
  <c r="O218" i="49"/>
  <c r="P218" i="49"/>
  <c r="Q218" i="49"/>
  <c r="R218" i="49"/>
  <c r="S218" i="49"/>
  <c r="T218" i="49"/>
  <c r="U218" i="49"/>
  <c r="V218" i="49"/>
  <c r="W218" i="49"/>
  <c r="X218" i="49"/>
  <c r="Y218" i="49"/>
  <c r="Z218" i="49"/>
  <c r="AA218" i="49"/>
  <c r="H219" i="49"/>
  <c r="I219" i="49"/>
  <c r="J219" i="49"/>
  <c r="K219" i="49"/>
  <c r="L219" i="49"/>
  <c r="M219" i="49"/>
  <c r="N219" i="49"/>
  <c r="O219" i="49"/>
  <c r="P219" i="49"/>
  <c r="Q219" i="49"/>
  <c r="R219" i="49"/>
  <c r="S219" i="49"/>
  <c r="T219" i="49"/>
  <c r="U219" i="49"/>
  <c r="V219" i="49"/>
  <c r="W219" i="49"/>
  <c r="X219" i="49"/>
  <c r="Y219" i="49"/>
  <c r="Z219" i="49"/>
  <c r="AA219" i="49"/>
  <c r="G220" i="49"/>
  <c r="H228" i="49"/>
  <c r="I228" i="49"/>
  <c r="J228" i="49"/>
  <c r="K228" i="49"/>
  <c r="L228" i="49"/>
  <c r="M228" i="49"/>
  <c r="N228" i="49"/>
  <c r="O228" i="49"/>
  <c r="P228" i="49"/>
  <c r="Q228" i="49"/>
  <c r="R228" i="49"/>
  <c r="S228" i="49"/>
  <c r="T228" i="49"/>
  <c r="U228" i="49"/>
  <c r="V228" i="49"/>
  <c r="W228" i="49"/>
  <c r="X228" i="49"/>
  <c r="Y228" i="49"/>
  <c r="Z228" i="49"/>
  <c r="AA228" i="49"/>
  <c r="H230" i="49"/>
  <c r="I230" i="49"/>
  <c r="J230" i="49"/>
  <c r="K230" i="49"/>
  <c r="L230" i="49"/>
  <c r="M230" i="49"/>
  <c r="N230" i="49"/>
  <c r="O230" i="49"/>
  <c r="P230" i="49"/>
  <c r="Q230" i="49"/>
  <c r="R230" i="49"/>
  <c r="S230" i="49"/>
  <c r="T230" i="49"/>
  <c r="U230" i="49"/>
  <c r="V230" i="49"/>
  <c r="W230" i="49"/>
  <c r="X230" i="49"/>
  <c r="Y230" i="49"/>
  <c r="Z230" i="49"/>
  <c r="AA230" i="49"/>
  <c r="H231" i="49"/>
  <c r="I231" i="49"/>
  <c r="J231" i="49"/>
  <c r="K231" i="49"/>
  <c r="L231" i="49"/>
  <c r="M231" i="49"/>
  <c r="N231" i="49"/>
  <c r="O231" i="49"/>
  <c r="P231" i="49"/>
  <c r="Q231" i="49"/>
  <c r="R231" i="49"/>
  <c r="S231" i="49"/>
  <c r="T231" i="49"/>
  <c r="U231" i="49"/>
  <c r="V231" i="49"/>
  <c r="W231" i="49"/>
  <c r="X231" i="49"/>
  <c r="Y231" i="49"/>
  <c r="Z231" i="49"/>
  <c r="AA231" i="49"/>
  <c r="H242" i="49"/>
  <c r="I242" i="49"/>
  <c r="J242" i="49"/>
  <c r="K242" i="49"/>
  <c r="L242" i="49"/>
  <c r="M242" i="49"/>
  <c r="N242" i="49"/>
  <c r="O242" i="49"/>
  <c r="P242" i="49"/>
  <c r="Q242" i="49"/>
  <c r="R242" i="49"/>
  <c r="S242" i="49"/>
  <c r="T242" i="49"/>
  <c r="U242" i="49"/>
  <c r="V242" i="49"/>
  <c r="W242" i="49"/>
  <c r="X242" i="49"/>
  <c r="Y242" i="49"/>
  <c r="Z242" i="49"/>
  <c r="AA242" i="49"/>
  <c r="AB242" i="49"/>
  <c r="H243" i="49"/>
  <c r="I243" i="49"/>
  <c r="J243" i="49"/>
  <c r="K243" i="49"/>
  <c r="L243" i="49"/>
  <c r="M243" i="49"/>
  <c r="N243" i="49"/>
  <c r="O243" i="49"/>
  <c r="P243" i="49"/>
  <c r="Q243" i="49"/>
  <c r="R243" i="49"/>
  <c r="S243" i="49"/>
  <c r="T243" i="49"/>
  <c r="U243" i="49"/>
  <c r="V243" i="49"/>
  <c r="W243" i="49"/>
  <c r="X243" i="49"/>
  <c r="Y243" i="49"/>
  <c r="Z243" i="49"/>
  <c r="AA243" i="49"/>
  <c r="AB243" i="49"/>
  <c r="H244" i="49"/>
  <c r="I244" i="49"/>
  <c r="J244" i="49"/>
  <c r="K244" i="49"/>
  <c r="L244" i="49"/>
  <c r="M244" i="49"/>
  <c r="N244" i="49"/>
  <c r="O244" i="49"/>
  <c r="P244" i="49"/>
  <c r="Q244" i="49"/>
  <c r="R244" i="49"/>
  <c r="S244" i="49"/>
  <c r="T244" i="49"/>
  <c r="U244" i="49"/>
  <c r="V244" i="49"/>
  <c r="W244" i="49"/>
  <c r="X244" i="49"/>
  <c r="Y244" i="49"/>
  <c r="Z244" i="49"/>
  <c r="AA244" i="49"/>
  <c r="AB244" i="49"/>
  <c r="G245" i="49"/>
  <c r="H247" i="49"/>
  <c r="I247" i="49"/>
  <c r="J247" i="49"/>
  <c r="K247" i="49"/>
  <c r="L247" i="49"/>
  <c r="M247" i="49"/>
  <c r="N247" i="49"/>
  <c r="O247" i="49"/>
  <c r="P247" i="49"/>
  <c r="Q247" i="49"/>
  <c r="R247" i="49"/>
  <c r="S247" i="49"/>
  <c r="T247" i="49"/>
  <c r="U247" i="49"/>
  <c r="V247" i="49"/>
  <c r="W247" i="49"/>
  <c r="X247" i="49"/>
  <c r="Y247" i="49"/>
  <c r="Z247" i="49"/>
  <c r="AA247" i="49"/>
  <c r="G248" i="49"/>
  <c r="G249" i="49"/>
  <c r="G253" i="49"/>
  <c r="G262" i="49"/>
  <c r="G264" i="49"/>
  <c r="G265" i="49"/>
  <c r="G276" i="49"/>
  <c r="G277" i="49"/>
  <c r="G278" i="49"/>
  <c r="G279" i="49"/>
  <c r="G280" i="49"/>
  <c r="G284" i="49"/>
  <c r="H284" i="49"/>
  <c r="I284" i="49"/>
  <c r="J284" i="49"/>
  <c r="K284" i="49"/>
  <c r="L284" i="49"/>
  <c r="M284" i="49"/>
  <c r="N284" i="49"/>
  <c r="O284" i="49"/>
  <c r="P284" i="49"/>
  <c r="Q284" i="49"/>
  <c r="R284" i="49"/>
  <c r="S284" i="49"/>
  <c r="T284" i="49"/>
  <c r="U284" i="49"/>
  <c r="V284" i="49"/>
  <c r="W284" i="49"/>
  <c r="X284" i="49"/>
  <c r="Y284" i="49"/>
  <c r="Z284" i="49"/>
  <c r="AA284" i="49"/>
  <c r="G285" i="49"/>
  <c r="H285" i="49"/>
  <c r="I285" i="49"/>
  <c r="J285" i="49"/>
  <c r="K285" i="49"/>
  <c r="L285" i="49"/>
  <c r="M285" i="49"/>
  <c r="N285" i="49"/>
  <c r="O285" i="49"/>
  <c r="P285" i="49"/>
  <c r="Q285" i="49"/>
  <c r="R285" i="49"/>
  <c r="S285" i="49"/>
  <c r="T285" i="49"/>
  <c r="U285" i="49"/>
  <c r="V285" i="49"/>
  <c r="W285" i="49"/>
  <c r="X285" i="49"/>
  <c r="Y285" i="49"/>
  <c r="Z285" i="49"/>
  <c r="AA285" i="49"/>
  <c r="G286" i="49"/>
  <c r="G294" i="49"/>
  <c r="H294" i="49"/>
  <c r="I294" i="49"/>
  <c r="J294" i="49"/>
  <c r="K294" i="49"/>
  <c r="L294" i="49"/>
  <c r="M294" i="49"/>
  <c r="N294" i="49"/>
  <c r="O294" i="49"/>
  <c r="P294" i="49"/>
  <c r="Q294" i="49"/>
  <c r="R294" i="49"/>
  <c r="S294" i="49"/>
  <c r="T294" i="49"/>
  <c r="U294" i="49"/>
  <c r="V294" i="49"/>
  <c r="W294" i="49"/>
  <c r="X294" i="49"/>
  <c r="Y294" i="49"/>
  <c r="Z294" i="49"/>
  <c r="AA294" i="49"/>
  <c r="G296" i="49"/>
  <c r="H296" i="49"/>
  <c r="I296" i="49"/>
  <c r="J296" i="49"/>
  <c r="K296" i="49"/>
  <c r="L296" i="49"/>
  <c r="M296" i="49"/>
  <c r="N296" i="49"/>
  <c r="O296" i="49"/>
  <c r="P296" i="49"/>
  <c r="Q296" i="49"/>
  <c r="R296" i="49"/>
  <c r="S296" i="49"/>
  <c r="T296" i="49"/>
  <c r="U296" i="49"/>
  <c r="V296" i="49"/>
  <c r="W296" i="49"/>
  <c r="X296" i="49"/>
  <c r="Y296" i="49"/>
  <c r="Z296" i="49"/>
  <c r="AA296" i="49"/>
  <c r="G297" i="49"/>
  <c r="H297" i="49"/>
  <c r="I297" i="49"/>
  <c r="J297" i="49"/>
  <c r="K297" i="49"/>
  <c r="L297" i="49"/>
  <c r="M297" i="49"/>
  <c r="N297" i="49"/>
  <c r="O297" i="49"/>
  <c r="P297" i="49"/>
  <c r="Q297" i="49"/>
  <c r="R297" i="49"/>
  <c r="S297" i="49"/>
  <c r="T297" i="49"/>
  <c r="U297" i="49"/>
  <c r="V297" i="49"/>
  <c r="W297" i="49"/>
  <c r="X297" i="49"/>
  <c r="Y297" i="49"/>
  <c r="Z297" i="49"/>
  <c r="AA297" i="49"/>
  <c r="G308" i="49"/>
  <c r="H308" i="49"/>
  <c r="I308" i="49"/>
  <c r="J308" i="49"/>
  <c r="K308" i="49"/>
  <c r="L308" i="49"/>
  <c r="M308" i="49"/>
  <c r="N308" i="49"/>
  <c r="O308" i="49"/>
  <c r="P308" i="49"/>
  <c r="Q308" i="49"/>
  <c r="R308" i="49"/>
  <c r="S308" i="49"/>
  <c r="T308" i="49"/>
  <c r="U308" i="49"/>
  <c r="V308" i="49"/>
  <c r="W308" i="49"/>
  <c r="X308" i="49"/>
  <c r="Y308" i="49"/>
  <c r="Z308" i="49"/>
  <c r="AA308" i="49"/>
  <c r="AB308" i="49"/>
  <c r="G309" i="49"/>
  <c r="H309" i="49"/>
  <c r="I309" i="49"/>
  <c r="J309" i="49"/>
  <c r="K309" i="49"/>
  <c r="L309" i="49"/>
  <c r="M309" i="49"/>
  <c r="N309" i="49"/>
  <c r="O309" i="49"/>
  <c r="P309" i="49"/>
  <c r="Q309" i="49"/>
  <c r="R309" i="49"/>
  <c r="S309" i="49"/>
  <c r="T309" i="49"/>
  <c r="U309" i="49"/>
  <c r="V309" i="49"/>
  <c r="W309" i="49"/>
  <c r="X309" i="49"/>
  <c r="Y309" i="49"/>
  <c r="Z309" i="49"/>
  <c r="AA309" i="49"/>
  <c r="AB309" i="49"/>
  <c r="G310" i="49"/>
  <c r="H310" i="49"/>
  <c r="I310" i="49"/>
  <c r="J310" i="49"/>
  <c r="K310" i="49"/>
  <c r="L310" i="49"/>
  <c r="M310" i="49"/>
  <c r="N310" i="49"/>
  <c r="O310" i="49"/>
  <c r="P310" i="49"/>
  <c r="Q310" i="49"/>
  <c r="R310" i="49"/>
  <c r="S310" i="49"/>
  <c r="T310" i="49"/>
  <c r="U310" i="49"/>
  <c r="V310" i="49"/>
  <c r="W310" i="49"/>
  <c r="X310" i="49"/>
  <c r="Y310" i="49"/>
  <c r="Z310" i="49"/>
  <c r="AA310" i="49"/>
  <c r="AB310" i="49"/>
  <c r="G311" i="49"/>
  <c r="G313" i="49"/>
  <c r="H313" i="49"/>
  <c r="I313" i="49"/>
  <c r="J313" i="49"/>
  <c r="K313" i="49"/>
  <c r="L313" i="49"/>
  <c r="M313" i="49"/>
  <c r="N313" i="49"/>
  <c r="O313" i="49"/>
  <c r="P313" i="49"/>
  <c r="Q313" i="49"/>
  <c r="R313" i="49"/>
  <c r="S313" i="49"/>
  <c r="T313" i="49"/>
  <c r="U313" i="49"/>
  <c r="V313" i="49"/>
  <c r="W313" i="49"/>
  <c r="X313" i="49"/>
  <c r="Y313" i="49"/>
  <c r="Z313" i="49"/>
  <c r="AA313" i="49"/>
  <c r="G314" i="49"/>
  <c r="G315" i="49"/>
  <c r="G218" i="48"/>
  <c r="H218" i="48"/>
  <c r="I218" i="48"/>
  <c r="J218" i="48"/>
  <c r="K218" i="48"/>
  <c r="L218" i="48"/>
  <c r="M218" i="48"/>
  <c r="N218" i="48"/>
  <c r="O218" i="48"/>
  <c r="P218" i="48"/>
  <c r="Q218" i="48"/>
  <c r="R218" i="48"/>
  <c r="S218" i="48"/>
  <c r="T218" i="48"/>
  <c r="U218" i="48"/>
  <c r="V218" i="48"/>
  <c r="W218" i="48"/>
  <c r="X218" i="48"/>
  <c r="Y218" i="48"/>
  <c r="Z218" i="48"/>
  <c r="AA218" i="48"/>
  <c r="H219" i="48"/>
  <c r="I219" i="48"/>
  <c r="J219" i="48"/>
  <c r="K219" i="48"/>
  <c r="L219" i="48"/>
  <c r="M219" i="48"/>
  <c r="N219" i="48"/>
  <c r="O219" i="48"/>
  <c r="P219" i="48"/>
  <c r="Q219" i="48"/>
  <c r="R219" i="48"/>
  <c r="S219" i="48"/>
  <c r="T219" i="48"/>
  <c r="U219" i="48"/>
  <c r="V219" i="48"/>
  <c r="W219" i="48"/>
  <c r="X219" i="48"/>
  <c r="Y219" i="48"/>
  <c r="Z219" i="48"/>
  <c r="AA219" i="48"/>
  <c r="G220" i="48"/>
  <c r="H228" i="48"/>
  <c r="I228" i="48"/>
  <c r="J228" i="48"/>
  <c r="K228" i="48"/>
  <c r="L228" i="48"/>
  <c r="M228" i="48"/>
  <c r="N228" i="48"/>
  <c r="O228" i="48"/>
  <c r="P228" i="48"/>
  <c r="Q228" i="48"/>
  <c r="R228" i="48"/>
  <c r="S228" i="48"/>
  <c r="T228" i="48"/>
  <c r="U228" i="48"/>
  <c r="V228" i="48"/>
  <c r="W228" i="48"/>
  <c r="X228" i="48"/>
  <c r="Y228" i="48"/>
  <c r="Z228" i="48"/>
  <c r="AA228" i="48"/>
  <c r="H230" i="48"/>
  <c r="I230" i="48"/>
  <c r="J230" i="48"/>
  <c r="K230" i="48"/>
  <c r="L230" i="48"/>
  <c r="M230" i="48"/>
  <c r="N230" i="48"/>
  <c r="O230" i="48"/>
  <c r="P230" i="48"/>
  <c r="Q230" i="48"/>
  <c r="R230" i="48"/>
  <c r="S230" i="48"/>
  <c r="T230" i="48"/>
  <c r="U230" i="48"/>
  <c r="V230" i="48"/>
  <c r="W230" i="48"/>
  <c r="X230" i="48"/>
  <c r="Y230" i="48"/>
  <c r="Z230" i="48"/>
  <c r="AA230" i="48"/>
  <c r="H231" i="48"/>
  <c r="I231" i="48"/>
  <c r="J231" i="48"/>
  <c r="K231" i="48"/>
  <c r="L231" i="48"/>
  <c r="M231" i="48"/>
  <c r="N231" i="48"/>
  <c r="O231" i="48"/>
  <c r="P231" i="48"/>
  <c r="Q231" i="48"/>
  <c r="R231" i="48"/>
  <c r="S231" i="48"/>
  <c r="T231" i="48"/>
  <c r="U231" i="48"/>
  <c r="V231" i="48"/>
  <c r="W231" i="48"/>
  <c r="X231" i="48"/>
  <c r="Y231" i="48"/>
  <c r="Z231" i="48"/>
  <c r="AA231" i="48"/>
  <c r="H242" i="48"/>
  <c r="I242" i="48"/>
  <c r="J242" i="48"/>
  <c r="K242" i="48"/>
  <c r="L242" i="48"/>
  <c r="M242" i="48"/>
  <c r="N242" i="48"/>
  <c r="O242" i="48"/>
  <c r="P242" i="48"/>
  <c r="Q242" i="48"/>
  <c r="R242" i="48"/>
  <c r="S242" i="48"/>
  <c r="T242" i="48"/>
  <c r="U242" i="48"/>
  <c r="V242" i="48"/>
  <c r="W242" i="48"/>
  <c r="X242" i="48"/>
  <c r="Y242" i="48"/>
  <c r="Z242" i="48"/>
  <c r="AA242" i="48"/>
  <c r="AB242" i="48"/>
  <c r="H243" i="48"/>
  <c r="I243" i="48"/>
  <c r="J243" i="48"/>
  <c r="K243" i="48"/>
  <c r="L243" i="48"/>
  <c r="M243" i="48"/>
  <c r="N243" i="48"/>
  <c r="O243" i="48"/>
  <c r="P243" i="48"/>
  <c r="Q243" i="48"/>
  <c r="R243" i="48"/>
  <c r="S243" i="48"/>
  <c r="T243" i="48"/>
  <c r="U243" i="48"/>
  <c r="V243" i="48"/>
  <c r="W243" i="48"/>
  <c r="X243" i="48"/>
  <c r="Y243" i="48"/>
  <c r="Z243" i="48"/>
  <c r="AA243" i="48"/>
  <c r="AB243" i="48"/>
  <c r="H244" i="48"/>
  <c r="I244" i="48"/>
  <c r="J244" i="48"/>
  <c r="K244" i="48"/>
  <c r="L244" i="48"/>
  <c r="M244" i="48"/>
  <c r="N244" i="48"/>
  <c r="O244" i="48"/>
  <c r="P244" i="48"/>
  <c r="Q244" i="48"/>
  <c r="R244" i="48"/>
  <c r="S244" i="48"/>
  <c r="T244" i="48"/>
  <c r="U244" i="48"/>
  <c r="V244" i="48"/>
  <c r="W244" i="48"/>
  <c r="X244" i="48"/>
  <c r="Y244" i="48"/>
  <c r="Z244" i="48"/>
  <c r="AA244" i="48"/>
  <c r="AB244" i="48"/>
  <c r="G245" i="48"/>
  <c r="H247" i="48"/>
  <c r="I247" i="48"/>
  <c r="J247" i="48"/>
  <c r="K247" i="48"/>
  <c r="L247" i="48"/>
  <c r="M247" i="48"/>
  <c r="N247" i="48"/>
  <c r="O247" i="48"/>
  <c r="P247" i="48"/>
  <c r="Q247" i="48"/>
  <c r="R247" i="48"/>
  <c r="S247" i="48"/>
  <c r="T247" i="48"/>
  <c r="U247" i="48"/>
  <c r="V247" i="48"/>
  <c r="W247" i="48"/>
  <c r="X247" i="48"/>
  <c r="Y247" i="48"/>
  <c r="Z247" i="48"/>
  <c r="AA247" i="48"/>
  <c r="G248" i="48"/>
  <c r="G249" i="48"/>
  <c r="G253" i="48"/>
  <c r="G262" i="48"/>
  <c r="G264" i="48"/>
  <c r="G265" i="48"/>
  <c r="G276" i="48"/>
  <c r="G277" i="48"/>
  <c r="G278" i="48"/>
  <c r="G279" i="48"/>
  <c r="G280" i="48"/>
  <c r="G284" i="48"/>
  <c r="H284" i="48"/>
  <c r="I284" i="48"/>
  <c r="J284" i="48"/>
  <c r="K284" i="48"/>
  <c r="L284" i="48"/>
  <c r="M284" i="48"/>
  <c r="N284" i="48"/>
  <c r="O284" i="48"/>
  <c r="P284" i="48"/>
  <c r="Q284" i="48"/>
  <c r="R284" i="48"/>
  <c r="S284" i="48"/>
  <c r="T284" i="48"/>
  <c r="U284" i="48"/>
  <c r="V284" i="48"/>
  <c r="W284" i="48"/>
  <c r="X284" i="48"/>
  <c r="Y284" i="48"/>
  <c r="Z284" i="48"/>
  <c r="AA284" i="48"/>
  <c r="G285" i="48"/>
  <c r="H285" i="48"/>
  <c r="I285" i="48"/>
  <c r="J285" i="48"/>
  <c r="K285" i="48"/>
  <c r="L285" i="48"/>
  <c r="M285" i="48"/>
  <c r="N285" i="48"/>
  <c r="O285" i="48"/>
  <c r="P285" i="48"/>
  <c r="Q285" i="48"/>
  <c r="R285" i="48"/>
  <c r="S285" i="48"/>
  <c r="T285" i="48"/>
  <c r="U285" i="48"/>
  <c r="V285" i="48"/>
  <c r="W285" i="48"/>
  <c r="X285" i="48"/>
  <c r="Y285" i="48"/>
  <c r="Z285" i="48"/>
  <c r="AA285" i="48"/>
  <c r="G286" i="48"/>
  <c r="G294" i="48"/>
  <c r="H294" i="48"/>
  <c r="I294" i="48"/>
  <c r="J294" i="48"/>
  <c r="K294" i="48"/>
  <c r="L294" i="48"/>
  <c r="M294" i="48"/>
  <c r="N294" i="48"/>
  <c r="O294" i="48"/>
  <c r="P294" i="48"/>
  <c r="Q294" i="48"/>
  <c r="R294" i="48"/>
  <c r="S294" i="48"/>
  <c r="T294" i="48"/>
  <c r="U294" i="48"/>
  <c r="V294" i="48"/>
  <c r="W294" i="48"/>
  <c r="X294" i="48"/>
  <c r="Y294" i="48"/>
  <c r="Z294" i="48"/>
  <c r="AA294" i="48"/>
  <c r="G296" i="48"/>
  <c r="H296" i="48"/>
  <c r="I296" i="48"/>
  <c r="J296" i="48"/>
  <c r="K296" i="48"/>
  <c r="L296" i="48"/>
  <c r="M296" i="48"/>
  <c r="N296" i="48"/>
  <c r="O296" i="48"/>
  <c r="P296" i="48"/>
  <c r="Q296" i="48"/>
  <c r="R296" i="48"/>
  <c r="S296" i="48"/>
  <c r="T296" i="48"/>
  <c r="U296" i="48"/>
  <c r="V296" i="48"/>
  <c r="W296" i="48"/>
  <c r="X296" i="48"/>
  <c r="Y296" i="48"/>
  <c r="Z296" i="48"/>
  <c r="AA296" i="48"/>
  <c r="G297" i="48"/>
  <c r="H297" i="48"/>
  <c r="I297" i="48"/>
  <c r="J297" i="48"/>
  <c r="K297" i="48"/>
  <c r="L297" i="48"/>
  <c r="M297" i="48"/>
  <c r="N297" i="48"/>
  <c r="O297" i="48"/>
  <c r="P297" i="48"/>
  <c r="Q297" i="48"/>
  <c r="R297" i="48"/>
  <c r="S297" i="48"/>
  <c r="T297" i="48"/>
  <c r="U297" i="48"/>
  <c r="V297" i="48"/>
  <c r="W297" i="48"/>
  <c r="X297" i="48"/>
  <c r="Y297" i="48"/>
  <c r="Z297" i="48"/>
  <c r="AA297" i="48"/>
  <c r="G308" i="48"/>
  <c r="H308" i="48"/>
  <c r="I308" i="48"/>
  <c r="J308" i="48"/>
  <c r="K308" i="48"/>
  <c r="L308" i="48"/>
  <c r="M308" i="48"/>
  <c r="N308" i="48"/>
  <c r="O308" i="48"/>
  <c r="P308" i="48"/>
  <c r="Q308" i="48"/>
  <c r="R308" i="48"/>
  <c r="S308" i="48"/>
  <c r="T308" i="48"/>
  <c r="U308" i="48"/>
  <c r="V308" i="48"/>
  <c r="W308" i="48"/>
  <c r="X308" i="48"/>
  <c r="Y308" i="48"/>
  <c r="Z308" i="48"/>
  <c r="AA308" i="48"/>
  <c r="AB308" i="48"/>
  <c r="G309" i="48"/>
  <c r="H309" i="48"/>
  <c r="I309" i="48"/>
  <c r="J309" i="48"/>
  <c r="K309" i="48"/>
  <c r="L309" i="48"/>
  <c r="M309" i="48"/>
  <c r="N309" i="48"/>
  <c r="O309" i="48"/>
  <c r="P309" i="48"/>
  <c r="Q309" i="48"/>
  <c r="R309" i="48"/>
  <c r="S309" i="48"/>
  <c r="T309" i="48"/>
  <c r="U309" i="48"/>
  <c r="V309" i="48"/>
  <c r="W309" i="48"/>
  <c r="X309" i="48"/>
  <c r="Y309" i="48"/>
  <c r="Z309" i="48"/>
  <c r="AA309" i="48"/>
  <c r="AB309" i="48"/>
  <c r="G310" i="48"/>
  <c r="H310" i="48"/>
  <c r="I310" i="48"/>
  <c r="J310" i="48"/>
  <c r="K310" i="48"/>
  <c r="L310" i="48"/>
  <c r="M310" i="48"/>
  <c r="N310" i="48"/>
  <c r="O310" i="48"/>
  <c r="P310" i="48"/>
  <c r="Q310" i="48"/>
  <c r="R310" i="48"/>
  <c r="S310" i="48"/>
  <c r="T310" i="48"/>
  <c r="U310" i="48"/>
  <c r="V310" i="48"/>
  <c r="W310" i="48"/>
  <c r="X310" i="48"/>
  <c r="Y310" i="48"/>
  <c r="Z310" i="48"/>
  <c r="AA310" i="48"/>
  <c r="AB310" i="48"/>
  <c r="G311" i="48"/>
  <c r="G313" i="48"/>
  <c r="H313" i="48"/>
  <c r="I313" i="48"/>
  <c r="J313" i="48"/>
  <c r="K313" i="48"/>
  <c r="L313" i="48"/>
  <c r="M313" i="48"/>
  <c r="N313" i="48"/>
  <c r="O313" i="48"/>
  <c r="P313" i="48"/>
  <c r="Q313" i="48"/>
  <c r="R313" i="48"/>
  <c r="S313" i="48"/>
  <c r="T313" i="48"/>
  <c r="U313" i="48"/>
  <c r="V313" i="48"/>
  <c r="W313" i="48"/>
  <c r="X313" i="48"/>
  <c r="Y313" i="48"/>
  <c r="Z313" i="48"/>
  <c r="AA313" i="48"/>
  <c r="G314" i="48"/>
  <c r="G315" i="48"/>
  <c r="G218" i="4"/>
  <c r="H218" i="4"/>
  <c r="I218" i="4"/>
  <c r="J218" i="4"/>
  <c r="K218" i="4"/>
  <c r="L218" i="4"/>
  <c r="M218" i="4"/>
  <c r="N218" i="4"/>
  <c r="O218" i="4"/>
  <c r="P218" i="4"/>
  <c r="Q218" i="4"/>
  <c r="R218" i="4"/>
  <c r="S218" i="4"/>
  <c r="T218" i="4"/>
  <c r="U218" i="4"/>
  <c r="V218" i="4"/>
  <c r="W218" i="4"/>
  <c r="X218" i="4"/>
  <c r="Y218" i="4"/>
  <c r="Z218" i="4"/>
  <c r="AA218" i="4"/>
  <c r="H219" i="4"/>
  <c r="I219" i="4"/>
  <c r="J219" i="4"/>
  <c r="K219" i="4"/>
  <c r="L219" i="4"/>
  <c r="M219" i="4"/>
  <c r="N219" i="4"/>
  <c r="O219" i="4"/>
  <c r="P219" i="4"/>
  <c r="Q219" i="4"/>
  <c r="R219" i="4"/>
  <c r="S219" i="4"/>
  <c r="T219" i="4"/>
  <c r="U219" i="4"/>
  <c r="V219" i="4"/>
  <c r="W219" i="4"/>
  <c r="X219" i="4"/>
  <c r="Y219" i="4"/>
  <c r="Z219" i="4"/>
  <c r="AA219" i="4"/>
  <c r="G220" i="4"/>
  <c r="H228" i="4"/>
  <c r="I228" i="4"/>
  <c r="J228" i="4"/>
  <c r="K228" i="4"/>
  <c r="L228" i="4"/>
  <c r="M228" i="4"/>
  <c r="N228" i="4"/>
  <c r="O228" i="4"/>
  <c r="P228" i="4"/>
  <c r="Q228" i="4"/>
  <c r="R228" i="4"/>
  <c r="S228" i="4"/>
  <c r="T228" i="4"/>
  <c r="U228" i="4"/>
  <c r="V228" i="4"/>
  <c r="W228" i="4"/>
  <c r="X228" i="4"/>
  <c r="Y228" i="4"/>
  <c r="Z228" i="4"/>
  <c r="AA228" i="4"/>
  <c r="H230" i="4"/>
  <c r="I230" i="4"/>
  <c r="J230" i="4"/>
  <c r="K230" i="4"/>
  <c r="L230" i="4"/>
  <c r="M230" i="4"/>
  <c r="N230" i="4"/>
  <c r="O230" i="4"/>
  <c r="P230" i="4"/>
  <c r="Q230" i="4"/>
  <c r="R230" i="4"/>
  <c r="S230" i="4"/>
  <c r="T230" i="4"/>
  <c r="U230" i="4"/>
  <c r="V230" i="4"/>
  <c r="W230" i="4"/>
  <c r="X230" i="4"/>
  <c r="Y230" i="4"/>
  <c r="Z230" i="4"/>
  <c r="AA230" i="4"/>
  <c r="H231" i="4"/>
  <c r="I231" i="4"/>
  <c r="J231" i="4"/>
  <c r="K231" i="4"/>
  <c r="L231" i="4"/>
  <c r="M231" i="4"/>
  <c r="N231" i="4"/>
  <c r="O231" i="4"/>
  <c r="P231" i="4"/>
  <c r="Q231" i="4"/>
  <c r="R231" i="4"/>
  <c r="S231" i="4"/>
  <c r="T231" i="4"/>
  <c r="U231" i="4"/>
  <c r="V231" i="4"/>
  <c r="W231" i="4"/>
  <c r="X231" i="4"/>
  <c r="Y231" i="4"/>
  <c r="Z231" i="4"/>
  <c r="AA231" i="4"/>
  <c r="H242" i="4"/>
  <c r="I242" i="4"/>
  <c r="J242" i="4"/>
  <c r="K242" i="4"/>
  <c r="L242" i="4"/>
  <c r="M242" i="4"/>
  <c r="N242" i="4"/>
  <c r="O242" i="4"/>
  <c r="P242" i="4"/>
  <c r="Q242" i="4"/>
  <c r="R242" i="4"/>
  <c r="S242" i="4"/>
  <c r="T242" i="4"/>
  <c r="U242" i="4"/>
  <c r="V242" i="4"/>
  <c r="W242" i="4"/>
  <c r="X242" i="4"/>
  <c r="Y242" i="4"/>
  <c r="Z242" i="4"/>
  <c r="AA242" i="4"/>
  <c r="AB242" i="4"/>
  <c r="H243" i="4"/>
  <c r="I243" i="4"/>
  <c r="J243" i="4"/>
  <c r="K243" i="4"/>
  <c r="L243" i="4"/>
  <c r="M243" i="4"/>
  <c r="N243" i="4"/>
  <c r="O243" i="4"/>
  <c r="P243" i="4"/>
  <c r="Q243" i="4"/>
  <c r="R243" i="4"/>
  <c r="S243" i="4"/>
  <c r="T243" i="4"/>
  <c r="U243" i="4"/>
  <c r="V243" i="4"/>
  <c r="W243" i="4"/>
  <c r="X243" i="4"/>
  <c r="Y243" i="4"/>
  <c r="Z243" i="4"/>
  <c r="AA243" i="4"/>
  <c r="AB243" i="4"/>
  <c r="H244" i="4"/>
  <c r="I244" i="4"/>
  <c r="J244" i="4"/>
  <c r="K244" i="4"/>
  <c r="L244" i="4"/>
  <c r="M244" i="4"/>
  <c r="N244" i="4"/>
  <c r="O244" i="4"/>
  <c r="P244" i="4"/>
  <c r="Q244" i="4"/>
  <c r="R244" i="4"/>
  <c r="S244" i="4"/>
  <c r="T244" i="4"/>
  <c r="U244" i="4"/>
  <c r="V244" i="4"/>
  <c r="W244" i="4"/>
  <c r="X244" i="4"/>
  <c r="Y244" i="4"/>
  <c r="Z244" i="4"/>
  <c r="AA244" i="4"/>
  <c r="AB244" i="4"/>
  <c r="G245" i="4"/>
  <c r="H247" i="4"/>
  <c r="I247" i="4"/>
  <c r="J247" i="4"/>
  <c r="K247" i="4"/>
  <c r="L247" i="4"/>
  <c r="M247" i="4"/>
  <c r="N247" i="4"/>
  <c r="O247" i="4"/>
  <c r="P247" i="4"/>
  <c r="Q247" i="4"/>
  <c r="R247" i="4"/>
  <c r="S247" i="4"/>
  <c r="T247" i="4"/>
  <c r="U247" i="4"/>
  <c r="V247" i="4"/>
  <c r="W247" i="4"/>
  <c r="X247" i="4"/>
  <c r="Y247" i="4"/>
  <c r="Z247" i="4"/>
  <c r="AA247" i="4"/>
  <c r="G248" i="4"/>
  <c r="G249" i="4"/>
  <c r="G253" i="4"/>
  <c r="G262" i="4"/>
  <c r="G264" i="4"/>
  <c r="G265" i="4"/>
  <c r="G276" i="4"/>
  <c r="G277" i="4"/>
  <c r="G278" i="4"/>
  <c r="G279" i="4"/>
  <c r="G280" i="4"/>
  <c r="G284" i="4"/>
  <c r="H284" i="4"/>
  <c r="I284" i="4"/>
  <c r="J284" i="4"/>
  <c r="K284" i="4"/>
  <c r="L284" i="4"/>
  <c r="M284" i="4"/>
  <c r="N284" i="4"/>
  <c r="O284" i="4"/>
  <c r="P284" i="4"/>
  <c r="Q284" i="4"/>
  <c r="R284" i="4"/>
  <c r="S284" i="4"/>
  <c r="T284" i="4"/>
  <c r="U284" i="4"/>
  <c r="V284" i="4"/>
  <c r="W284" i="4"/>
  <c r="X284" i="4"/>
  <c r="Y284" i="4"/>
  <c r="Z284" i="4"/>
  <c r="AA284" i="4"/>
  <c r="G285" i="4"/>
  <c r="H285" i="4"/>
  <c r="I285" i="4"/>
  <c r="J285" i="4"/>
  <c r="K285" i="4"/>
  <c r="L285" i="4"/>
  <c r="M285" i="4"/>
  <c r="N285" i="4"/>
  <c r="O285" i="4"/>
  <c r="P285" i="4"/>
  <c r="Q285" i="4"/>
  <c r="R285" i="4"/>
  <c r="S285" i="4"/>
  <c r="T285" i="4"/>
  <c r="U285" i="4"/>
  <c r="V285" i="4"/>
  <c r="W285" i="4"/>
  <c r="X285" i="4"/>
  <c r="Y285" i="4"/>
  <c r="Z285" i="4"/>
  <c r="AA285" i="4"/>
  <c r="G286" i="4"/>
  <c r="G294" i="4"/>
  <c r="H294" i="4"/>
  <c r="I294" i="4"/>
  <c r="J294" i="4"/>
  <c r="K294" i="4"/>
  <c r="L294" i="4"/>
  <c r="M294" i="4"/>
  <c r="N294" i="4"/>
  <c r="O294" i="4"/>
  <c r="P294" i="4"/>
  <c r="Q294" i="4"/>
  <c r="R294" i="4"/>
  <c r="S294" i="4"/>
  <c r="T294" i="4"/>
  <c r="U294" i="4"/>
  <c r="V294" i="4"/>
  <c r="W294" i="4"/>
  <c r="X294" i="4"/>
  <c r="Y294" i="4"/>
  <c r="Z294" i="4"/>
  <c r="AA294" i="4"/>
  <c r="G296" i="4"/>
  <c r="H296" i="4"/>
  <c r="I296" i="4"/>
  <c r="J296" i="4"/>
  <c r="K296" i="4"/>
  <c r="L296" i="4"/>
  <c r="M296" i="4"/>
  <c r="N296" i="4"/>
  <c r="O296" i="4"/>
  <c r="P296" i="4"/>
  <c r="Q296" i="4"/>
  <c r="R296" i="4"/>
  <c r="S296" i="4"/>
  <c r="T296" i="4"/>
  <c r="U296" i="4"/>
  <c r="V296" i="4"/>
  <c r="W296" i="4"/>
  <c r="X296" i="4"/>
  <c r="Y296" i="4"/>
  <c r="Z296" i="4"/>
  <c r="AA296" i="4"/>
  <c r="G297" i="4"/>
  <c r="H297" i="4"/>
  <c r="I297" i="4"/>
  <c r="J297" i="4"/>
  <c r="K297" i="4"/>
  <c r="L297" i="4"/>
  <c r="M297" i="4"/>
  <c r="N297" i="4"/>
  <c r="O297" i="4"/>
  <c r="P297" i="4"/>
  <c r="Q297" i="4"/>
  <c r="R297" i="4"/>
  <c r="S297" i="4"/>
  <c r="T297" i="4"/>
  <c r="U297" i="4"/>
  <c r="V297" i="4"/>
  <c r="W297" i="4"/>
  <c r="X297" i="4"/>
  <c r="Y297" i="4"/>
  <c r="Z297" i="4"/>
  <c r="AA297" i="4"/>
  <c r="G308" i="4"/>
  <c r="H308" i="4"/>
  <c r="I308" i="4"/>
  <c r="J308" i="4"/>
  <c r="K308" i="4"/>
  <c r="L308" i="4"/>
  <c r="M308" i="4"/>
  <c r="N308" i="4"/>
  <c r="O308" i="4"/>
  <c r="P308" i="4"/>
  <c r="Q308" i="4"/>
  <c r="R308" i="4"/>
  <c r="S308" i="4"/>
  <c r="T308" i="4"/>
  <c r="U308" i="4"/>
  <c r="V308" i="4"/>
  <c r="W308" i="4"/>
  <c r="X308" i="4"/>
  <c r="Y308" i="4"/>
  <c r="Z308" i="4"/>
  <c r="AA308" i="4"/>
  <c r="AB308" i="4"/>
  <c r="G309" i="4"/>
  <c r="H309" i="4"/>
  <c r="I309" i="4"/>
  <c r="J309" i="4"/>
  <c r="K309" i="4"/>
  <c r="L309" i="4"/>
  <c r="M309" i="4"/>
  <c r="N309" i="4"/>
  <c r="O309" i="4"/>
  <c r="P309" i="4"/>
  <c r="Q309" i="4"/>
  <c r="R309" i="4"/>
  <c r="S309" i="4"/>
  <c r="T309" i="4"/>
  <c r="U309" i="4"/>
  <c r="V309" i="4"/>
  <c r="W309" i="4"/>
  <c r="X309" i="4"/>
  <c r="Y309" i="4"/>
  <c r="Z309" i="4"/>
  <c r="AA309" i="4"/>
  <c r="AB309" i="4"/>
  <c r="G310" i="4"/>
  <c r="H310" i="4"/>
  <c r="I310" i="4"/>
  <c r="J310" i="4"/>
  <c r="K310" i="4"/>
  <c r="L310" i="4"/>
  <c r="M310" i="4"/>
  <c r="N310" i="4"/>
  <c r="O310" i="4"/>
  <c r="P310" i="4"/>
  <c r="Q310" i="4"/>
  <c r="R310" i="4"/>
  <c r="S310" i="4"/>
  <c r="T310" i="4"/>
  <c r="U310" i="4"/>
  <c r="V310" i="4"/>
  <c r="W310" i="4"/>
  <c r="X310" i="4"/>
  <c r="Y310" i="4"/>
  <c r="Z310" i="4"/>
  <c r="AA310" i="4"/>
  <c r="AB310" i="4"/>
  <c r="G311" i="4"/>
  <c r="G313" i="4"/>
  <c r="H313" i="4"/>
  <c r="I313" i="4"/>
  <c r="J313" i="4"/>
  <c r="K313" i="4"/>
  <c r="L313" i="4"/>
  <c r="M313" i="4"/>
  <c r="N313" i="4"/>
  <c r="O313" i="4"/>
  <c r="P313" i="4"/>
  <c r="Q313" i="4"/>
  <c r="R313" i="4"/>
  <c r="S313" i="4"/>
  <c r="T313" i="4"/>
  <c r="U313" i="4"/>
  <c r="V313" i="4"/>
  <c r="W313" i="4"/>
  <c r="X313" i="4"/>
  <c r="Y313" i="4"/>
  <c r="Z313" i="4"/>
  <c r="AA313" i="4"/>
  <c r="G314" i="4"/>
  <c r="G315" i="4"/>
  <c r="G218" i="11"/>
  <c r="H218" i="11"/>
  <c r="I218" i="11"/>
  <c r="J218" i="11"/>
  <c r="K218" i="11"/>
  <c r="L218" i="11"/>
  <c r="M218" i="11"/>
  <c r="N218" i="11"/>
  <c r="O218" i="11"/>
  <c r="P218" i="11"/>
  <c r="Q218" i="11"/>
  <c r="R218" i="11"/>
  <c r="S218" i="11"/>
  <c r="T218" i="11"/>
  <c r="U218" i="11"/>
  <c r="V218" i="11"/>
  <c r="W218" i="11"/>
  <c r="X218" i="11"/>
  <c r="Y218" i="11"/>
  <c r="Z218" i="11"/>
  <c r="AA218" i="11"/>
  <c r="H219" i="11"/>
  <c r="I219" i="11"/>
  <c r="J219" i="11"/>
  <c r="K219" i="11"/>
  <c r="L219" i="11"/>
  <c r="M219" i="11"/>
  <c r="N219" i="11"/>
  <c r="O219" i="11"/>
  <c r="P219" i="11"/>
  <c r="Q219" i="11"/>
  <c r="R219" i="11"/>
  <c r="S219" i="11"/>
  <c r="T219" i="11"/>
  <c r="U219" i="11"/>
  <c r="V219" i="11"/>
  <c r="W219" i="11"/>
  <c r="X219" i="11"/>
  <c r="Y219" i="11"/>
  <c r="Z219" i="11"/>
  <c r="AA219" i="11"/>
  <c r="G220" i="11"/>
  <c r="H228" i="11"/>
  <c r="I228" i="11"/>
  <c r="J228" i="11"/>
  <c r="K228" i="11"/>
  <c r="L228" i="11"/>
  <c r="M228" i="11"/>
  <c r="N228" i="11"/>
  <c r="O228" i="11"/>
  <c r="P228" i="11"/>
  <c r="Q228" i="11"/>
  <c r="R228" i="11"/>
  <c r="S228" i="11"/>
  <c r="T228" i="11"/>
  <c r="U228" i="11"/>
  <c r="V228" i="11"/>
  <c r="W228" i="11"/>
  <c r="X228" i="11"/>
  <c r="Y228" i="11"/>
  <c r="Z228" i="11"/>
  <c r="AA228" i="11"/>
  <c r="H230" i="11"/>
  <c r="I230" i="11"/>
  <c r="J230" i="11"/>
  <c r="K230" i="11"/>
  <c r="L230" i="11"/>
  <c r="M230" i="11"/>
  <c r="N230" i="11"/>
  <c r="O230" i="11"/>
  <c r="P230" i="11"/>
  <c r="Q230" i="11"/>
  <c r="R230" i="11"/>
  <c r="S230" i="11"/>
  <c r="T230" i="11"/>
  <c r="U230" i="11"/>
  <c r="V230" i="11"/>
  <c r="W230" i="11"/>
  <c r="X230" i="11"/>
  <c r="Y230" i="11"/>
  <c r="Z230" i="11"/>
  <c r="AA230" i="11"/>
  <c r="H231" i="11"/>
  <c r="I231" i="11"/>
  <c r="J231" i="11"/>
  <c r="K231" i="11"/>
  <c r="L231" i="11"/>
  <c r="M231" i="11"/>
  <c r="N231" i="11"/>
  <c r="O231" i="11"/>
  <c r="P231" i="11"/>
  <c r="Q231" i="11"/>
  <c r="R231" i="11"/>
  <c r="S231" i="11"/>
  <c r="T231" i="11"/>
  <c r="U231" i="11"/>
  <c r="V231" i="11"/>
  <c r="W231" i="11"/>
  <c r="X231" i="11"/>
  <c r="Y231" i="11"/>
  <c r="Z231" i="11"/>
  <c r="AA231" i="11"/>
  <c r="H242" i="11"/>
  <c r="I242" i="11"/>
  <c r="J242" i="11"/>
  <c r="K242" i="11"/>
  <c r="L242" i="11"/>
  <c r="M242" i="11"/>
  <c r="N242" i="11"/>
  <c r="O242" i="11"/>
  <c r="P242" i="11"/>
  <c r="Q242" i="11"/>
  <c r="R242" i="11"/>
  <c r="S242" i="11"/>
  <c r="T242" i="11"/>
  <c r="U242" i="11"/>
  <c r="V242" i="11"/>
  <c r="W242" i="11"/>
  <c r="X242" i="11"/>
  <c r="Y242" i="11"/>
  <c r="Z242" i="11"/>
  <c r="AA242" i="11"/>
  <c r="AB242" i="11"/>
  <c r="H243" i="11"/>
  <c r="I243" i="11"/>
  <c r="J243" i="11"/>
  <c r="K243" i="11"/>
  <c r="L243" i="11"/>
  <c r="M243" i="11"/>
  <c r="N243" i="11"/>
  <c r="O243" i="11"/>
  <c r="P243" i="11"/>
  <c r="Q243" i="11"/>
  <c r="R243" i="11"/>
  <c r="S243" i="11"/>
  <c r="T243" i="11"/>
  <c r="U243" i="11"/>
  <c r="V243" i="11"/>
  <c r="W243" i="11"/>
  <c r="X243" i="11"/>
  <c r="Y243" i="11"/>
  <c r="Z243" i="11"/>
  <c r="AA243" i="11"/>
  <c r="AB243" i="11"/>
  <c r="H244" i="11"/>
  <c r="I244" i="11"/>
  <c r="J244" i="11"/>
  <c r="K244" i="11"/>
  <c r="L244" i="11"/>
  <c r="M244" i="11"/>
  <c r="N244" i="11"/>
  <c r="O244" i="11"/>
  <c r="P244" i="11"/>
  <c r="Q244" i="11"/>
  <c r="R244" i="11"/>
  <c r="S244" i="11"/>
  <c r="T244" i="11"/>
  <c r="U244" i="11"/>
  <c r="V244" i="11"/>
  <c r="W244" i="11"/>
  <c r="X244" i="11"/>
  <c r="Y244" i="11"/>
  <c r="Z244" i="11"/>
  <c r="AA244" i="11"/>
  <c r="AB244" i="11"/>
  <c r="G245" i="11"/>
  <c r="H247" i="11"/>
  <c r="I247" i="11"/>
  <c r="J247" i="11"/>
  <c r="K247" i="11"/>
  <c r="L247" i="11"/>
  <c r="M247" i="11"/>
  <c r="N247" i="11"/>
  <c r="O247" i="11"/>
  <c r="P247" i="11"/>
  <c r="Q247" i="11"/>
  <c r="R247" i="11"/>
  <c r="S247" i="11"/>
  <c r="T247" i="11"/>
  <c r="U247" i="11"/>
  <c r="V247" i="11"/>
  <c r="W247" i="11"/>
  <c r="X247" i="11"/>
  <c r="Y247" i="11"/>
  <c r="Z247" i="11"/>
  <c r="AA247" i="11"/>
  <c r="G248" i="11"/>
  <c r="G249" i="11"/>
  <c r="G253" i="11"/>
  <c r="G262" i="11"/>
  <c r="G264" i="11"/>
  <c r="G265" i="11"/>
  <c r="G276" i="11"/>
  <c r="G277" i="11"/>
  <c r="G278" i="11"/>
  <c r="G279" i="11"/>
  <c r="G280" i="11"/>
  <c r="G284" i="11"/>
  <c r="H284" i="11"/>
  <c r="I284" i="11"/>
  <c r="J284" i="11"/>
  <c r="K284" i="11"/>
  <c r="L284" i="11"/>
  <c r="M284" i="11"/>
  <c r="N284" i="11"/>
  <c r="O284" i="11"/>
  <c r="P284" i="11"/>
  <c r="Q284" i="11"/>
  <c r="R284" i="11"/>
  <c r="S284" i="11"/>
  <c r="T284" i="11"/>
  <c r="U284" i="11"/>
  <c r="V284" i="11"/>
  <c r="W284" i="11"/>
  <c r="X284" i="11"/>
  <c r="Y284" i="11"/>
  <c r="Z284" i="11"/>
  <c r="AA284" i="11"/>
  <c r="G285" i="11"/>
  <c r="H285" i="11"/>
  <c r="I285" i="11"/>
  <c r="J285" i="11"/>
  <c r="K285" i="11"/>
  <c r="L285" i="11"/>
  <c r="M285" i="11"/>
  <c r="N285" i="11"/>
  <c r="O285" i="11"/>
  <c r="P285" i="11"/>
  <c r="Q285" i="11"/>
  <c r="R285" i="11"/>
  <c r="S285" i="11"/>
  <c r="T285" i="11"/>
  <c r="U285" i="11"/>
  <c r="V285" i="11"/>
  <c r="W285" i="11"/>
  <c r="X285" i="11"/>
  <c r="Y285" i="11"/>
  <c r="Z285" i="11"/>
  <c r="AA285" i="11"/>
  <c r="G286" i="11"/>
  <c r="G294" i="11"/>
  <c r="H294" i="11"/>
  <c r="I294" i="11"/>
  <c r="J294" i="11"/>
  <c r="K294" i="11"/>
  <c r="L294" i="11"/>
  <c r="M294" i="11"/>
  <c r="N294" i="11"/>
  <c r="O294" i="11"/>
  <c r="P294" i="11"/>
  <c r="Q294" i="11"/>
  <c r="R294" i="11"/>
  <c r="S294" i="11"/>
  <c r="T294" i="11"/>
  <c r="U294" i="11"/>
  <c r="V294" i="11"/>
  <c r="W294" i="11"/>
  <c r="X294" i="11"/>
  <c r="Y294" i="11"/>
  <c r="Z294" i="11"/>
  <c r="AA294" i="11"/>
  <c r="G296" i="11"/>
  <c r="H296" i="11"/>
  <c r="I296" i="11"/>
  <c r="J296" i="11"/>
  <c r="K296" i="11"/>
  <c r="L296" i="11"/>
  <c r="M296" i="11"/>
  <c r="N296" i="11"/>
  <c r="O296" i="11"/>
  <c r="P296" i="11"/>
  <c r="Q296" i="11"/>
  <c r="R296" i="11"/>
  <c r="S296" i="11"/>
  <c r="T296" i="11"/>
  <c r="U296" i="11"/>
  <c r="V296" i="11"/>
  <c r="W296" i="11"/>
  <c r="X296" i="11"/>
  <c r="Y296" i="11"/>
  <c r="Z296" i="11"/>
  <c r="AA296" i="11"/>
  <c r="G297" i="11"/>
  <c r="H297" i="11"/>
  <c r="I297" i="11"/>
  <c r="J297" i="11"/>
  <c r="K297" i="11"/>
  <c r="L297" i="11"/>
  <c r="M297" i="11"/>
  <c r="N297" i="11"/>
  <c r="O297" i="11"/>
  <c r="P297" i="11"/>
  <c r="Q297" i="11"/>
  <c r="R297" i="11"/>
  <c r="S297" i="11"/>
  <c r="T297" i="11"/>
  <c r="U297" i="11"/>
  <c r="V297" i="11"/>
  <c r="W297" i="11"/>
  <c r="X297" i="11"/>
  <c r="Y297" i="11"/>
  <c r="Z297" i="11"/>
  <c r="AA297" i="11"/>
  <c r="G308" i="11"/>
  <c r="H308" i="11"/>
  <c r="I308" i="11"/>
  <c r="J308" i="11"/>
  <c r="K308" i="11"/>
  <c r="L308" i="11"/>
  <c r="M308" i="11"/>
  <c r="N308" i="11"/>
  <c r="O308" i="11"/>
  <c r="P308" i="11"/>
  <c r="Q308" i="11"/>
  <c r="R308" i="11"/>
  <c r="S308" i="11"/>
  <c r="T308" i="11"/>
  <c r="U308" i="11"/>
  <c r="V308" i="11"/>
  <c r="W308" i="11"/>
  <c r="X308" i="11"/>
  <c r="Y308" i="11"/>
  <c r="Z308" i="11"/>
  <c r="AA308" i="11"/>
  <c r="AB308" i="11"/>
  <c r="G309" i="11"/>
  <c r="H309" i="11"/>
  <c r="I309" i="11"/>
  <c r="J309" i="11"/>
  <c r="K309" i="11"/>
  <c r="L309" i="11"/>
  <c r="M309" i="11"/>
  <c r="N309" i="11"/>
  <c r="O309" i="11"/>
  <c r="P309" i="11"/>
  <c r="Q309" i="11"/>
  <c r="R309" i="11"/>
  <c r="S309" i="11"/>
  <c r="T309" i="11"/>
  <c r="U309" i="11"/>
  <c r="V309" i="11"/>
  <c r="W309" i="11"/>
  <c r="X309" i="11"/>
  <c r="Y309" i="11"/>
  <c r="Z309" i="11"/>
  <c r="AA309" i="11"/>
  <c r="AB309" i="11"/>
  <c r="G310" i="11"/>
  <c r="H310" i="11"/>
  <c r="I310" i="11"/>
  <c r="J310" i="11"/>
  <c r="K310" i="11"/>
  <c r="L310" i="11"/>
  <c r="M310" i="11"/>
  <c r="N310" i="11"/>
  <c r="O310" i="11"/>
  <c r="P310" i="11"/>
  <c r="Q310" i="11"/>
  <c r="R310" i="11"/>
  <c r="S310" i="11"/>
  <c r="T310" i="11"/>
  <c r="U310" i="11"/>
  <c r="V310" i="11"/>
  <c r="W310" i="11"/>
  <c r="X310" i="11"/>
  <c r="Y310" i="11"/>
  <c r="Z310" i="11"/>
  <c r="AA310" i="11"/>
  <c r="AB310" i="11"/>
  <c r="G311" i="11"/>
  <c r="G313" i="11"/>
  <c r="H313" i="11"/>
  <c r="I313" i="11"/>
  <c r="J313" i="11"/>
  <c r="K313" i="11"/>
  <c r="L313" i="11"/>
  <c r="M313" i="11"/>
  <c r="N313" i="11"/>
  <c r="O313" i="11"/>
  <c r="P313" i="11"/>
  <c r="Q313" i="11"/>
  <c r="R313" i="11"/>
  <c r="S313" i="11"/>
  <c r="T313" i="11"/>
  <c r="U313" i="11"/>
  <c r="V313" i="11"/>
  <c r="W313" i="11"/>
  <c r="X313" i="11"/>
  <c r="Y313" i="11"/>
  <c r="Z313" i="11"/>
  <c r="AA313" i="11"/>
  <c r="G314" i="11"/>
  <c r="G315" i="11"/>
  <c r="G218" i="14"/>
  <c r="H218" i="14"/>
  <c r="I218" i="14"/>
  <c r="J218" i="14"/>
  <c r="K218" i="14"/>
  <c r="L218" i="14"/>
  <c r="M218" i="14"/>
  <c r="N218" i="14"/>
  <c r="O218" i="14"/>
  <c r="P218" i="14"/>
  <c r="Q218" i="14"/>
  <c r="R218" i="14"/>
  <c r="S218" i="14"/>
  <c r="T218" i="14"/>
  <c r="U218" i="14"/>
  <c r="V218" i="14"/>
  <c r="W218" i="14"/>
  <c r="X218" i="14"/>
  <c r="Y218" i="14"/>
  <c r="Z218" i="14"/>
  <c r="AA218" i="14"/>
  <c r="H219" i="14"/>
  <c r="I219" i="14"/>
  <c r="J219" i="14"/>
  <c r="K219" i="14"/>
  <c r="L219" i="14"/>
  <c r="M219" i="14"/>
  <c r="N219" i="14"/>
  <c r="O219" i="14"/>
  <c r="P219" i="14"/>
  <c r="Q219" i="14"/>
  <c r="R219" i="14"/>
  <c r="S219" i="14"/>
  <c r="T219" i="14"/>
  <c r="U219" i="14"/>
  <c r="V219" i="14"/>
  <c r="W219" i="14"/>
  <c r="X219" i="14"/>
  <c r="Y219" i="14"/>
  <c r="Z219" i="14"/>
  <c r="AA219" i="14"/>
  <c r="G220" i="14"/>
  <c r="H228" i="14"/>
  <c r="I228" i="14"/>
  <c r="J228" i="14"/>
  <c r="K228" i="14"/>
  <c r="L228" i="14"/>
  <c r="M228" i="14"/>
  <c r="N228" i="14"/>
  <c r="O228" i="14"/>
  <c r="P228" i="14"/>
  <c r="Q228" i="14"/>
  <c r="R228" i="14"/>
  <c r="S228" i="14"/>
  <c r="T228" i="14"/>
  <c r="U228" i="14"/>
  <c r="V228" i="14"/>
  <c r="W228" i="14"/>
  <c r="X228" i="14"/>
  <c r="Y228" i="14"/>
  <c r="Z228" i="14"/>
  <c r="AA228" i="14"/>
  <c r="H230" i="14"/>
  <c r="I230" i="14"/>
  <c r="J230" i="14"/>
  <c r="K230" i="14"/>
  <c r="L230" i="14"/>
  <c r="M230" i="14"/>
  <c r="N230" i="14"/>
  <c r="O230" i="14"/>
  <c r="P230" i="14"/>
  <c r="Q230" i="14"/>
  <c r="R230" i="14"/>
  <c r="S230" i="14"/>
  <c r="T230" i="14"/>
  <c r="U230" i="14"/>
  <c r="V230" i="14"/>
  <c r="W230" i="14"/>
  <c r="X230" i="14"/>
  <c r="Y230" i="14"/>
  <c r="Z230" i="14"/>
  <c r="AA230" i="14"/>
  <c r="H231" i="14"/>
  <c r="I231" i="14"/>
  <c r="J231" i="14"/>
  <c r="K231" i="14"/>
  <c r="L231" i="14"/>
  <c r="M231" i="14"/>
  <c r="N231" i="14"/>
  <c r="O231" i="14"/>
  <c r="P231" i="14"/>
  <c r="Q231" i="14"/>
  <c r="R231" i="14"/>
  <c r="S231" i="14"/>
  <c r="T231" i="14"/>
  <c r="U231" i="14"/>
  <c r="V231" i="14"/>
  <c r="W231" i="14"/>
  <c r="X231" i="14"/>
  <c r="Y231" i="14"/>
  <c r="Z231" i="14"/>
  <c r="AA231" i="14"/>
  <c r="H242" i="14"/>
  <c r="I242" i="14"/>
  <c r="J242" i="14"/>
  <c r="K242" i="14"/>
  <c r="L242" i="14"/>
  <c r="M242" i="14"/>
  <c r="N242" i="14"/>
  <c r="O242" i="14"/>
  <c r="P242" i="14"/>
  <c r="Q242" i="14"/>
  <c r="R242" i="14"/>
  <c r="S242" i="14"/>
  <c r="T242" i="14"/>
  <c r="U242" i="14"/>
  <c r="V242" i="14"/>
  <c r="W242" i="14"/>
  <c r="X242" i="14"/>
  <c r="Y242" i="14"/>
  <c r="Z242" i="14"/>
  <c r="AA242" i="14"/>
  <c r="AB242" i="14"/>
  <c r="H243" i="14"/>
  <c r="I243" i="14"/>
  <c r="J243" i="14"/>
  <c r="K243" i="14"/>
  <c r="L243" i="14"/>
  <c r="M243" i="14"/>
  <c r="N243" i="14"/>
  <c r="O243" i="14"/>
  <c r="P243" i="14"/>
  <c r="Q243" i="14"/>
  <c r="R243" i="14"/>
  <c r="S243" i="14"/>
  <c r="T243" i="14"/>
  <c r="U243" i="14"/>
  <c r="V243" i="14"/>
  <c r="W243" i="14"/>
  <c r="X243" i="14"/>
  <c r="Y243" i="14"/>
  <c r="Z243" i="14"/>
  <c r="AA243" i="14"/>
  <c r="AB243" i="14"/>
  <c r="H244" i="14"/>
  <c r="I244" i="14"/>
  <c r="J244" i="14"/>
  <c r="K244" i="14"/>
  <c r="L244" i="14"/>
  <c r="M244" i="14"/>
  <c r="N244" i="14"/>
  <c r="O244" i="14"/>
  <c r="P244" i="14"/>
  <c r="Q244" i="14"/>
  <c r="R244" i="14"/>
  <c r="S244" i="14"/>
  <c r="T244" i="14"/>
  <c r="U244" i="14"/>
  <c r="V244" i="14"/>
  <c r="W244" i="14"/>
  <c r="X244" i="14"/>
  <c r="Y244" i="14"/>
  <c r="Z244" i="14"/>
  <c r="AA244" i="14"/>
  <c r="AB244" i="14"/>
  <c r="G245" i="14"/>
  <c r="H247" i="14"/>
  <c r="I247" i="14"/>
  <c r="J247" i="14"/>
  <c r="K247" i="14"/>
  <c r="L247" i="14"/>
  <c r="M247" i="14"/>
  <c r="N247" i="14"/>
  <c r="O247" i="14"/>
  <c r="P247" i="14"/>
  <c r="Q247" i="14"/>
  <c r="R247" i="14"/>
  <c r="S247" i="14"/>
  <c r="T247" i="14"/>
  <c r="U247" i="14"/>
  <c r="V247" i="14"/>
  <c r="W247" i="14"/>
  <c r="X247" i="14"/>
  <c r="Y247" i="14"/>
  <c r="Z247" i="14"/>
  <c r="AA247" i="14"/>
  <c r="G248" i="14"/>
  <c r="G249" i="14"/>
  <c r="G253" i="14"/>
  <c r="G262" i="14"/>
  <c r="G264" i="14"/>
  <c r="G265" i="14"/>
  <c r="G276" i="14"/>
  <c r="G277" i="14"/>
  <c r="G278" i="14"/>
  <c r="G279" i="14"/>
  <c r="G280" i="14"/>
  <c r="G284" i="14"/>
  <c r="H284" i="14"/>
  <c r="I284" i="14"/>
  <c r="J284" i="14"/>
  <c r="K284" i="14"/>
  <c r="L284" i="14"/>
  <c r="M284" i="14"/>
  <c r="N284" i="14"/>
  <c r="O284" i="14"/>
  <c r="P284" i="14"/>
  <c r="Q284" i="14"/>
  <c r="R284" i="14"/>
  <c r="S284" i="14"/>
  <c r="T284" i="14"/>
  <c r="U284" i="14"/>
  <c r="V284" i="14"/>
  <c r="W284" i="14"/>
  <c r="X284" i="14"/>
  <c r="Y284" i="14"/>
  <c r="Z284" i="14"/>
  <c r="AA284" i="14"/>
  <c r="G285" i="14"/>
  <c r="H285" i="14"/>
  <c r="I285" i="14"/>
  <c r="J285" i="14"/>
  <c r="K285" i="14"/>
  <c r="L285" i="14"/>
  <c r="M285" i="14"/>
  <c r="N285" i="14"/>
  <c r="O285" i="14"/>
  <c r="P285" i="14"/>
  <c r="Q285" i="14"/>
  <c r="R285" i="14"/>
  <c r="S285" i="14"/>
  <c r="T285" i="14"/>
  <c r="U285" i="14"/>
  <c r="V285" i="14"/>
  <c r="W285" i="14"/>
  <c r="X285" i="14"/>
  <c r="Y285" i="14"/>
  <c r="Z285" i="14"/>
  <c r="AA285" i="14"/>
  <c r="G286" i="14"/>
  <c r="G294" i="14"/>
  <c r="H294" i="14"/>
  <c r="I294" i="14"/>
  <c r="J294" i="14"/>
  <c r="K294" i="14"/>
  <c r="L294" i="14"/>
  <c r="M294" i="14"/>
  <c r="N294" i="14"/>
  <c r="O294" i="14"/>
  <c r="P294" i="14"/>
  <c r="Q294" i="14"/>
  <c r="R294" i="14"/>
  <c r="S294" i="14"/>
  <c r="T294" i="14"/>
  <c r="U294" i="14"/>
  <c r="V294" i="14"/>
  <c r="W294" i="14"/>
  <c r="X294" i="14"/>
  <c r="Y294" i="14"/>
  <c r="Z294" i="14"/>
  <c r="AA294" i="14"/>
  <c r="G296" i="14"/>
  <c r="H296" i="14"/>
  <c r="I296" i="14"/>
  <c r="J296" i="14"/>
  <c r="K296" i="14"/>
  <c r="L296" i="14"/>
  <c r="M296" i="14"/>
  <c r="N296" i="14"/>
  <c r="O296" i="14"/>
  <c r="P296" i="14"/>
  <c r="Q296" i="14"/>
  <c r="R296" i="14"/>
  <c r="S296" i="14"/>
  <c r="T296" i="14"/>
  <c r="U296" i="14"/>
  <c r="V296" i="14"/>
  <c r="W296" i="14"/>
  <c r="X296" i="14"/>
  <c r="Y296" i="14"/>
  <c r="Z296" i="14"/>
  <c r="AA296" i="14"/>
  <c r="G297" i="14"/>
  <c r="H297" i="14"/>
  <c r="I297" i="14"/>
  <c r="J297" i="14"/>
  <c r="K297" i="14"/>
  <c r="L297" i="14"/>
  <c r="M297" i="14"/>
  <c r="N297" i="14"/>
  <c r="O297" i="14"/>
  <c r="P297" i="14"/>
  <c r="Q297" i="14"/>
  <c r="R297" i="14"/>
  <c r="S297" i="14"/>
  <c r="T297" i="14"/>
  <c r="U297" i="14"/>
  <c r="V297" i="14"/>
  <c r="W297" i="14"/>
  <c r="X297" i="14"/>
  <c r="Y297" i="14"/>
  <c r="Z297" i="14"/>
  <c r="AA297" i="14"/>
  <c r="G308" i="14"/>
  <c r="H308" i="14"/>
  <c r="I308" i="14"/>
  <c r="J308" i="14"/>
  <c r="K308" i="14"/>
  <c r="L308" i="14"/>
  <c r="M308" i="14"/>
  <c r="N308" i="14"/>
  <c r="O308" i="14"/>
  <c r="P308" i="14"/>
  <c r="Q308" i="14"/>
  <c r="R308" i="14"/>
  <c r="S308" i="14"/>
  <c r="T308" i="14"/>
  <c r="U308" i="14"/>
  <c r="V308" i="14"/>
  <c r="W308" i="14"/>
  <c r="X308" i="14"/>
  <c r="Y308" i="14"/>
  <c r="Z308" i="14"/>
  <c r="AA308" i="14"/>
  <c r="AB308" i="14"/>
  <c r="G309" i="14"/>
  <c r="H309" i="14"/>
  <c r="I309" i="14"/>
  <c r="J309" i="14"/>
  <c r="K309" i="14"/>
  <c r="L309" i="14"/>
  <c r="M309" i="14"/>
  <c r="N309" i="14"/>
  <c r="O309" i="14"/>
  <c r="P309" i="14"/>
  <c r="Q309" i="14"/>
  <c r="R309" i="14"/>
  <c r="S309" i="14"/>
  <c r="T309" i="14"/>
  <c r="U309" i="14"/>
  <c r="V309" i="14"/>
  <c r="W309" i="14"/>
  <c r="X309" i="14"/>
  <c r="Y309" i="14"/>
  <c r="Z309" i="14"/>
  <c r="AA309" i="14"/>
  <c r="AB309" i="14"/>
  <c r="G310" i="14"/>
  <c r="H310" i="14"/>
  <c r="I310" i="14"/>
  <c r="J310" i="14"/>
  <c r="K310" i="14"/>
  <c r="L310" i="14"/>
  <c r="M310" i="14"/>
  <c r="N310" i="14"/>
  <c r="O310" i="14"/>
  <c r="P310" i="14"/>
  <c r="Q310" i="14"/>
  <c r="R310" i="14"/>
  <c r="S310" i="14"/>
  <c r="T310" i="14"/>
  <c r="U310" i="14"/>
  <c r="V310" i="14"/>
  <c r="W310" i="14"/>
  <c r="X310" i="14"/>
  <c r="Y310" i="14"/>
  <c r="Z310" i="14"/>
  <c r="AA310" i="14"/>
  <c r="AB310" i="14"/>
  <c r="G311" i="14"/>
  <c r="G313" i="14"/>
  <c r="H313" i="14"/>
  <c r="I313" i="14"/>
  <c r="J313" i="14"/>
  <c r="K313" i="14"/>
  <c r="L313" i="14"/>
  <c r="M313" i="14"/>
  <c r="N313" i="14"/>
  <c r="O313" i="14"/>
  <c r="P313" i="14"/>
  <c r="Q313" i="14"/>
  <c r="R313" i="14"/>
  <c r="S313" i="14"/>
  <c r="T313" i="14"/>
  <c r="U313" i="14"/>
  <c r="V313" i="14"/>
  <c r="W313" i="14"/>
  <c r="X313" i="14"/>
  <c r="Y313" i="14"/>
  <c r="Z313" i="14"/>
  <c r="AA313" i="14"/>
  <c r="G314" i="14"/>
  <c r="G315" i="14"/>
  <c r="G218" i="76"/>
  <c r="H218" i="76"/>
  <c r="I218" i="76"/>
  <c r="J218" i="76"/>
  <c r="K218" i="76"/>
  <c r="L218" i="76"/>
  <c r="M218" i="76"/>
  <c r="N218" i="76"/>
  <c r="O218" i="76"/>
  <c r="P218" i="76"/>
  <c r="Q218" i="76"/>
  <c r="R218" i="76"/>
  <c r="S218" i="76"/>
  <c r="T218" i="76"/>
  <c r="U218" i="76"/>
  <c r="V218" i="76"/>
  <c r="W218" i="76"/>
  <c r="X218" i="76"/>
  <c r="Y218" i="76"/>
  <c r="Z218" i="76"/>
  <c r="AA218" i="76"/>
  <c r="H219" i="76"/>
  <c r="I219" i="76"/>
  <c r="J219" i="76"/>
  <c r="K219" i="76"/>
  <c r="L219" i="76"/>
  <c r="M219" i="76"/>
  <c r="N219" i="76"/>
  <c r="O219" i="76"/>
  <c r="P219" i="76"/>
  <c r="Q219" i="76"/>
  <c r="R219" i="76"/>
  <c r="S219" i="76"/>
  <c r="T219" i="76"/>
  <c r="U219" i="76"/>
  <c r="V219" i="76"/>
  <c r="W219" i="76"/>
  <c r="X219" i="76"/>
  <c r="Y219" i="76"/>
  <c r="Z219" i="76"/>
  <c r="AA219" i="76"/>
  <c r="G220" i="76"/>
  <c r="H228" i="76"/>
  <c r="I228" i="76"/>
  <c r="J228" i="76"/>
  <c r="K228" i="76"/>
  <c r="L228" i="76"/>
  <c r="M228" i="76"/>
  <c r="N228" i="76"/>
  <c r="O228" i="76"/>
  <c r="P228" i="76"/>
  <c r="Q228" i="76"/>
  <c r="R228" i="76"/>
  <c r="S228" i="76"/>
  <c r="T228" i="76"/>
  <c r="U228" i="76"/>
  <c r="V228" i="76"/>
  <c r="W228" i="76"/>
  <c r="X228" i="76"/>
  <c r="Y228" i="76"/>
  <c r="Z228" i="76"/>
  <c r="AA228" i="76"/>
  <c r="H230" i="76"/>
  <c r="I230" i="76"/>
  <c r="J230" i="76"/>
  <c r="K230" i="76"/>
  <c r="L230" i="76"/>
  <c r="M230" i="76"/>
  <c r="N230" i="76"/>
  <c r="O230" i="76"/>
  <c r="P230" i="76"/>
  <c r="Q230" i="76"/>
  <c r="R230" i="76"/>
  <c r="S230" i="76"/>
  <c r="T230" i="76"/>
  <c r="U230" i="76"/>
  <c r="V230" i="76"/>
  <c r="W230" i="76"/>
  <c r="X230" i="76"/>
  <c r="Y230" i="76"/>
  <c r="Z230" i="76"/>
  <c r="AA230" i="76"/>
  <c r="H231" i="76"/>
  <c r="I231" i="76"/>
  <c r="J231" i="76"/>
  <c r="K231" i="76"/>
  <c r="L231" i="76"/>
  <c r="M231" i="76"/>
  <c r="N231" i="76"/>
  <c r="O231" i="76"/>
  <c r="P231" i="76"/>
  <c r="Q231" i="76"/>
  <c r="R231" i="76"/>
  <c r="S231" i="76"/>
  <c r="T231" i="76"/>
  <c r="U231" i="76"/>
  <c r="V231" i="76"/>
  <c r="W231" i="76"/>
  <c r="X231" i="76"/>
  <c r="Y231" i="76"/>
  <c r="Z231" i="76"/>
  <c r="AA231" i="76"/>
  <c r="H242" i="76"/>
  <c r="I242" i="76"/>
  <c r="J242" i="76"/>
  <c r="K242" i="76"/>
  <c r="L242" i="76"/>
  <c r="M242" i="76"/>
  <c r="N242" i="76"/>
  <c r="O242" i="76"/>
  <c r="P242" i="76"/>
  <c r="Q242" i="76"/>
  <c r="R242" i="76"/>
  <c r="S242" i="76"/>
  <c r="T242" i="76"/>
  <c r="U242" i="76"/>
  <c r="V242" i="76"/>
  <c r="W242" i="76"/>
  <c r="X242" i="76"/>
  <c r="Y242" i="76"/>
  <c r="Z242" i="76"/>
  <c r="AA242" i="76"/>
  <c r="AB242" i="76"/>
  <c r="H243" i="76"/>
  <c r="I243" i="76"/>
  <c r="J243" i="76"/>
  <c r="K243" i="76"/>
  <c r="L243" i="76"/>
  <c r="M243" i="76"/>
  <c r="N243" i="76"/>
  <c r="O243" i="76"/>
  <c r="P243" i="76"/>
  <c r="Q243" i="76"/>
  <c r="R243" i="76"/>
  <c r="S243" i="76"/>
  <c r="T243" i="76"/>
  <c r="U243" i="76"/>
  <c r="V243" i="76"/>
  <c r="W243" i="76"/>
  <c r="X243" i="76"/>
  <c r="Y243" i="76"/>
  <c r="Z243" i="76"/>
  <c r="AA243" i="76"/>
  <c r="AB243" i="76"/>
  <c r="H244" i="76"/>
  <c r="I244" i="76"/>
  <c r="J244" i="76"/>
  <c r="K244" i="76"/>
  <c r="L244" i="76"/>
  <c r="M244" i="76"/>
  <c r="N244" i="76"/>
  <c r="O244" i="76"/>
  <c r="P244" i="76"/>
  <c r="Q244" i="76"/>
  <c r="R244" i="76"/>
  <c r="S244" i="76"/>
  <c r="T244" i="76"/>
  <c r="U244" i="76"/>
  <c r="V244" i="76"/>
  <c r="W244" i="76"/>
  <c r="X244" i="76"/>
  <c r="Y244" i="76"/>
  <c r="Z244" i="76"/>
  <c r="AA244" i="76"/>
  <c r="AB244" i="76"/>
  <c r="G245" i="76"/>
  <c r="H247" i="76"/>
  <c r="I247" i="76"/>
  <c r="J247" i="76"/>
  <c r="K247" i="76"/>
  <c r="L247" i="76"/>
  <c r="M247" i="76"/>
  <c r="N247" i="76"/>
  <c r="O247" i="76"/>
  <c r="P247" i="76"/>
  <c r="Q247" i="76"/>
  <c r="R247" i="76"/>
  <c r="S247" i="76"/>
  <c r="T247" i="76"/>
  <c r="U247" i="76"/>
  <c r="V247" i="76"/>
  <c r="W247" i="76"/>
  <c r="X247" i="76"/>
  <c r="Y247" i="76"/>
  <c r="Z247" i="76"/>
  <c r="AA247" i="76"/>
  <c r="G248" i="76"/>
  <c r="G249" i="76"/>
  <c r="G253" i="76"/>
  <c r="G262" i="76"/>
  <c r="G264" i="76"/>
  <c r="G265" i="76"/>
  <c r="G276" i="76"/>
  <c r="G277" i="76"/>
  <c r="G278" i="76"/>
  <c r="G279" i="76"/>
  <c r="G280" i="76"/>
  <c r="G284" i="76"/>
  <c r="H284" i="76"/>
  <c r="I284" i="76"/>
  <c r="J284" i="76"/>
  <c r="K284" i="76"/>
  <c r="L284" i="76"/>
  <c r="M284" i="76"/>
  <c r="N284" i="76"/>
  <c r="O284" i="76"/>
  <c r="P284" i="76"/>
  <c r="Q284" i="76"/>
  <c r="R284" i="76"/>
  <c r="S284" i="76"/>
  <c r="T284" i="76"/>
  <c r="U284" i="76"/>
  <c r="V284" i="76"/>
  <c r="W284" i="76"/>
  <c r="X284" i="76"/>
  <c r="Y284" i="76"/>
  <c r="Z284" i="76"/>
  <c r="AA284" i="76"/>
  <c r="G285" i="76"/>
  <c r="H285" i="76"/>
  <c r="I285" i="76"/>
  <c r="J285" i="76"/>
  <c r="K285" i="76"/>
  <c r="L285" i="76"/>
  <c r="M285" i="76"/>
  <c r="N285" i="76"/>
  <c r="O285" i="76"/>
  <c r="P285" i="76"/>
  <c r="Q285" i="76"/>
  <c r="R285" i="76"/>
  <c r="S285" i="76"/>
  <c r="T285" i="76"/>
  <c r="U285" i="76"/>
  <c r="V285" i="76"/>
  <c r="W285" i="76"/>
  <c r="X285" i="76"/>
  <c r="Y285" i="76"/>
  <c r="Z285" i="76"/>
  <c r="AA285" i="76"/>
  <c r="G286" i="76"/>
  <c r="G294" i="76"/>
  <c r="H294" i="76"/>
  <c r="I294" i="76"/>
  <c r="J294" i="76"/>
  <c r="K294" i="76"/>
  <c r="L294" i="76"/>
  <c r="M294" i="76"/>
  <c r="N294" i="76"/>
  <c r="O294" i="76"/>
  <c r="P294" i="76"/>
  <c r="Q294" i="76"/>
  <c r="R294" i="76"/>
  <c r="S294" i="76"/>
  <c r="T294" i="76"/>
  <c r="U294" i="76"/>
  <c r="V294" i="76"/>
  <c r="W294" i="76"/>
  <c r="X294" i="76"/>
  <c r="Y294" i="76"/>
  <c r="Z294" i="76"/>
  <c r="AA294" i="76"/>
  <c r="G296" i="76"/>
  <c r="H296" i="76"/>
  <c r="I296" i="76"/>
  <c r="J296" i="76"/>
  <c r="K296" i="76"/>
  <c r="L296" i="76"/>
  <c r="M296" i="76"/>
  <c r="N296" i="76"/>
  <c r="O296" i="76"/>
  <c r="P296" i="76"/>
  <c r="Q296" i="76"/>
  <c r="R296" i="76"/>
  <c r="S296" i="76"/>
  <c r="T296" i="76"/>
  <c r="U296" i="76"/>
  <c r="V296" i="76"/>
  <c r="W296" i="76"/>
  <c r="X296" i="76"/>
  <c r="Y296" i="76"/>
  <c r="Z296" i="76"/>
  <c r="AA296" i="76"/>
  <c r="G297" i="76"/>
  <c r="H297" i="76"/>
  <c r="I297" i="76"/>
  <c r="J297" i="76"/>
  <c r="K297" i="76"/>
  <c r="L297" i="76"/>
  <c r="M297" i="76"/>
  <c r="N297" i="76"/>
  <c r="O297" i="76"/>
  <c r="P297" i="76"/>
  <c r="Q297" i="76"/>
  <c r="R297" i="76"/>
  <c r="S297" i="76"/>
  <c r="T297" i="76"/>
  <c r="U297" i="76"/>
  <c r="V297" i="76"/>
  <c r="W297" i="76"/>
  <c r="X297" i="76"/>
  <c r="Y297" i="76"/>
  <c r="Z297" i="76"/>
  <c r="AA297" i="76"/>
  <c r="G308" i="76"/>
  <c r="H308" i="76"/>
  <c r="I308" i="76"/>
  <c r="J308" i="76"/>
  <c r="K308" i="76"/>
  <c r="L308" i="76"/>
  <c r="M308" i="76"/>
  <c r="N308" i="76"/>
  <c r="O308" i="76"/>
  <c r="P308" i="76"/>
  <c r="Q308" i="76"/>
  <c r="R308" i="76"/>
  <c r="S308" i="76"/>
  <c r="T308" i="76"/>
  <c r="U308" i="76"/>
  <c r="V308" i="76"/>
  <c r="W308" i="76"/>
  <c r="X308" i="76"/>
  <c r="Y308" i="76"/>
  <c r="Z308" i="76"/>
  <c r="AA308" i="76"/>
  <c r="AB308" i="76"/>
  <c r="G309" i="76"/>
  <c r="H309" i="76"/>
  <c r="I309" i="76"/>
  <c r="J309" i="76"/>
  <c r="K309" i="76"/>
  <c r="L309" i="76"/>
  <c r="M309" i="76"/>
  <c r="N309" i="76"/>
  <c r="O309" i="76"/>
  <c r="P309" i="76"/>
  <c r="Q309" i="76"/>
  <c r="R309" i="76"/>
  <c r="S309" i="76"/>
  <c r="T309" i="76"/>
  <c r="U309" i="76"/>
  <c r="V309" i="76"/>
  <c r="W309" i="76"/>
  <c r="X309" i="76"/>
  <c r="Y309" i="76"/>
  <c r="Z309" i="76"/>
  <c r="AA309" i="76"/>
  <c r="AB309" i="76"/>
  <c r="G310" i="76"/>
  <c r="H310" i="76"/>
  <c r="I310" i="76"/>
  <c r="J310" i="76"/>
  <c r="K310" i="76"/>
  <c r="L310" i="76"/>
  <c r="M310" i="76"/>
  <c r="N310" i="76"/>
  <c r="O310" i="76"/>
  <c r="P310" i="76"/>
  <c r="Q310" i="76"/>
  <c r="R310" i="76"/>
  <c r="S310" i="76"/>
  <c r="T310" i="76"/>
  <c r="U310" i="76"/>
  <c r="V310" i="76"/>
  <c r="W310" i="76"/>
  <c r="X310" i="76"/>
  <c r="Y310" i="76"/>
  <c r="Z310" i="76"/>
  <c r="AA310" i="76"/>
  <c r="AB310" i="76"/>
  <c r="G311" i="76"/>
  <c r="G313" i="76"/>
  <c r="H313" i="76"/>
  <c r="I313" i="76"/>
  <c r="J313" i="76"/>
  <c r="K313" i="76"/>
  <c r="L313" i="76"/>
  <c r="M313" i="76"/>
  <c r="N313" i="76"/>
  <c r="O313" i="76"/>
  <c r="P313" i="76"/>
  <c r="Q313" i="76"/>
  <c r="R313" i="76"/>
  <c r="S313" i="76"/>
  <c r="T313" i="76"/>
  <c r="U313" i="76"/>
  <c r="V313" i="76"/>
  <c r="W313" i="76"/>
  <c r="X313" i="76"/>
  <c r="Y313" i="76"/>
  <c r="Z313" i="76"/>
  <c r="AA313" i="76"/>
  <c r="G314" i="76"/>
  <c r="G315" i="76"/>
  <c r="G218" i="80"/>
  <c r="H218" i="80"/>
  <c r="I218" i="80"/>
  <c r="J218" i="80"/>
  <c r="K218" i="80"/>
  <c r="L218" i="80"/>
  <c r="M218" i="80"/>
  <c r="N218" i="80"/>
  <c r="O218" i="80"/>
  <c r="P218" i="80"/>
  <c r="Q218" i="80"/>
  <c r="R218" i="80"/>
  <c r="S218" i="80"/>
  <c r="T218" i="80"/>
  <c r="U218" i="80"/>
  <c r="V218" i="80"/>
  <c r="W218" i="80"/>
  <c r="X218" i="80"/>
  <c r="Y218" i="80"/>
  <c r="Z218" i="80"/>
  <c r="AA218" i="80"/>
  <c r="H219" i="80"/>
  <c r="I219" i="80"/>
  <c r="J219" i="80"/>
  <c r="K219" i="80"/>
  <c r="L219" i="80"/>
  <c r="M219" i="80"/>
  <c r="N219" i="80"/>
  <c r="O219" i="80"/>
  <c r="P219" i="80"/>
  <c r="Q219" i="80"/>
  <c r="R219" i="80"/>
  <c r="S219" i="80"/>
  <c r="T219" i="80"/>
  <c r="U219" i="80"/>
  <c r="V219" i="80"/>
  <c r="W219" i="80"/>
  <c r="X219" i="80"/>
  <c r="Y219" i="80"/>
  <c r="Z219" i="80"/>
  <c r="AA219" i="80"/>
  <c r="G220" i="80"/>
  <c r="H228" i="80"/>
  <c r="I228" i="80"/>
  <c r="J228" i="80"/>
  <c r="K228" i="80"/>
  <c r="L228" i="80"/>
  <c r="M228" i="80"/>
  <c r="N228" i="80"/>
  <c r="O228" i="80"/>
  <c r="P228" i="80"/>
  <c r="Q228" i="80"/>
  <c r="R228" i="80"/>
  <c r="S228" i="80"/>
  <c r="T228" i="80"/>
  <c r="U228" i="80"/>
  <c r="V228" i="80"/>
  <c r="W228" i="80"/>
  <c r="X228" i="80"/>
  <c r="Y228" i="80"/>
  <c r="Z228" i="80"/>
  <c r="AA228" i="80"/>
  <c r="H230" i="80"/>
  <c r="I230" i="80"/>
  <c r="J230" i="80"/>
  <c r="K230" i="80"/>
  <c r="L230" i="80"/>
  <c r="M230" i="80"/>
  <c r="N230" i="80"/>
  <c r="O230" i="80"/>
  <c r="P230" i="80"/>
  <c r="Q230" i="80"/>
  <c r="R230" i="80"/>
  <c r="S230" i="80"/>
  <c r="T230" i="80"/>
  <c r="U230" i="80"/>
  <c r="V230" i="80"/>
  <c r="W230" i="80"/>
  <c r="X230" i="80"/>
  <c r="Y230" i="80"/>
  <c r="Z230" i="80"/>
  <c r="AA230" i="80"/>
  <c r="H231" i="80"/>
  <c r="I231" i="80"/>
  <c r="J231" i="80"/>
  <c r="K231" i="80"/>
  <c r="L231" i="80"/>
  <c r="M231" i="80"/>
  <c r="N231" i="80"/>
  <c r="O231" i="80"/>
  <c r="P231" i="80"/>
  <c r="Q231" i="80"/>
  <c r="R231" i="80"/>
  <c r="S231" i="80"/>
  <c r="T231" i="80"/>
  <c r="U231" i="80"/>
  <c r="V231" i="80"/>
  <c r="W231" i="80"/>
  <c r="X231" i="80"/>
  <c r="Y231" i="80"/>
  <c r="Z231" i="80"/>
  <c r="AA231" i="80"/>
  <c r="H242" i="80"/>
  <c r="I242" i="80"/>
  <c r="J242" i="80"/>
  <c r="K242" i="80"/>
  <c r="L242" i="80"/>
  <c r="M242" i="80"/>
  <c r="N242" i="80"/>
  <c r="O242" i="80"/>
  <c r="P242" i="80"/>
  <c r="Q242" i="80"/>
  <c r="R242" i="80"/>
  <c r="S242" i="80"/>
  <c r="T242" i="80"/>
  <c r="U242" i="80"/>
  <c r="V242" i="80"/>
  <c r="W242" i="80"/>
  <c r="X242" i="80"/>
  <c r="Y242" i="80"/>
  <c r="Z242" i="80"/>
  <c r="AA242" i="80"/>
  <c r="AB242" i="80"/>
  <c r="H243" i="80"/>
  <c r="I243" i="80"/>
  <c r="J243" i="80"/>
  <c r="K243" i="80"/>
  <c r="L243" i="80"/>
  <c r="M243" i="80"/>
  <c r="N243" i="80"/>
  <c r="O243" i="80"/>
  <c r="P243" i="80"/>
  <c r="Q243" i="80"/>
  <c r="R243" i="80"/>
  <c r="S243" i="80"/>
  <c r="T243" i="80"/>
  <c r="U243" i="80"/>
  <c r="V243" i="80"/>
  <c r="W243" i="80"/>
  <c r="X243" i="80"/>
  <c r="Y243" i="80"/>
  <c r="Z243" i="80"/>
  <c r="AA243" i="80"/>
  <c r="AB243" i="80"/>
  <c r="H244" i="80"/>
  <c r="I244" i="80"/>
  <c r="J244" i="80"/>
  <c r="K244" i="80"/>
  <c r="L244" i="80"/>
  <c r="M244" i="80"/>
  <c r="N244" i="80"/>
  <c r="O244" i="80"/>
  <c r="P244" i="80"/>
  <c r="Q244" i="80"/>
  <c r="R244" i="80"/>
  <c r="S244" i="80"/>
  <c r="T244" i="80"/>
  <c r="U244" i="80"/>
  <c r="V244" i="80"/>
  <c r="W244" i="80"/>
  <c r="X244" i="80"/>
  <c r="Y244" i="80"/>
  <c r="Z244" i="80"/>
  <c r="AA244" i="80"/>
  <c r="AB244" i="80"/>
  <c r="G245" i="80"/>
  <c r="H247" i="80"/>
  <c r="I247" i="80"/>
  <c r="J247" i="80"/>
  <c r="K247" i="80"/>
  <c r="L247" i="80"/>
  <c r="M247" i="80"/>
  <c r="N247" i="80"/>
  <c r="O247" i="80"/>
  <c r="P247" i="80"/>
  <c r="Q247" i="80"/>
  <c r="R247" i="80"/>
  <c r="S247" i="80"/>
  <c r="T247" i="80"/>
  <c r="U247" i="80"/>
  <c r="V247" i="80"/>
  <c r="W247" i="80"/>
  <c r="X247" i="80"/>
  <c r="Y247" i="80"/>
  <c r="Z247" i="80"/>
  <c r="AA247" i="80"/>
  <c r="G248" i="80"/>
  <c r="G249" i="80"/>
  <c r="G253" i="80"/>
  <c r="G262" i="80"/>
  <c r="G264" i="80"/>
  <c r="G265" i="80"/>
  <c r="G276" i="80"/>
  <c r="G277" i="80"/>
  <c r="G278" i="80"/>
  <c r="G279" i="80"/>
  <c r="G280" i="80"/>
  <c r="G284" i="80"/>
  <c r="H284" i="80"/>
  <c r="I284" i="80"/>
  <c r="J284" i="80"/>
  <c r="K284" i="80"/>
  <c r="L284" i="80"/>
  <c r="M284" i="80"/>
  <c r="N284" i="80"/>
  <c r="O284" i="80"/>
  <c r="P284" i="80"/>
  <c r="Q284" i="80"/>
  <c r="R284" i="80"/>
  <c r="S284" i="80"/>
  <c r="T284" i="80"/>
  <c r="U284" i="80"/>
  <c r="V284" i="80"/>
  <c r="W284" i="80"/>
  <c r="X284" i="80"/>
  <c r="Y284" i="80"/>
  <c r="Z284" i="80"/>
  <c r="AA284" i="80"/>
  <c r="G285" i="80"/>
  <c r="H285" i="80"/>
  <c r="I285" i="80"/>
  <c r="J285" i="80"/>
  <c r="K285" i="80"/>
  <c r="L285" i="80"/>
  <c r="M285" i="80"/>
  <c r="N285" i="80"/>
  <c r="O285" i="80"/>
  <c r="P285" i="80"/>
  <c r="Q285" i="80"/>
  <c r="R285" i="80"/>
  <c r="S285" i="80"/>
  <c r="T285" i="80"/>
  <c r="U285" i="80"/>
  <c r="V285" i="80"/>
  <c r="W285" i="80"/>
  <c r="X285" i="80"/>
  <c r="Y285" i="80"/>
  <c r="Z285" i="80"/>
  <c r="AA285" i="80"/>
  <c r="G286" i="80"/>
  <c r="G294" i="80"/>
  <c r="H294" i="80"/>
  <c r="I294" i="80"/>
  <c r="J294" i="80"/>
  <c r="K294" i="80"/>
  <c r="L294" i="80"/>
  <c r="M294" i="80"/>
  <c r="N294" i="80"/>
  <c r="O294" i="80"/>
  <c r="P294" i="80"/>
  <c r="Q294" i="80"/>
  <c r="R294" i="80"/>
  <c r="S294" i="80"/>
  <c r="T294" i="80"/>
  <c r="U294" i="80"/>
  <c r="V294" i="80"/>
  <c r="W294" i="80"/>
  <c r="X294" i="80"/>
  <c r="Y294" i="80"/>
  <c r="Z294" i="80"/>
  <c r="AA294" i="80"/>
  <c r="G296" i="80"/>
  <c r="H296" i="80"/>
  <c r="I296" i="80"/>
  <c r="J296" i="80"/>
  <c r="K296" i="80"/>
  <c r="L296" i="80"/>
  <c r="M296" i="80"/>
  <c r="N296" i="80"/>
  <c r="O296" i="80"/>
  <c r="P296" i="80"/>
  <c r="Q296" i="80"/>
  <c r="R296" i="80"/>
  <c r="S296" i="80"/>
  <c r="T296" i="80"/>
  <c r="U296" i="80"/>
  <c r="V296" i="80"/>
  <c r="W296" i="80"/>
  <c r="X296" i="80"/>
  <c r="Y296" i="80"/>
  <c r="Z296" i="80"/>
  <c r="AA296" i="80"/>
  <c r="G297" i="80"/>
  <c r="H297" i="80"/>
  <c r="I297" i="80"/>
  <c r="J297" i="80"/>
  <c r="K297" i="80"/>
  <c r="L297" i="80"/>
  <c r="M297" i="80"/>
  <c r="N297" i="80"/>
  <c r="O297" i="80"/>
  <c r="P297" i="80"/>
  <c r="Q297" i="80"/>
  <c r="R297" i="80"/>
  <c r="S297" i="80"/>
  <c r="T297" i="80"/>
  <c r="U297" i="80"/>
  <c r="V297" i="80"/>
  <c r="W297" i="80"/>
  <c r="X297" i="80"/>
  <c r="Y297" i="80"/>
  <c r="Z297" i="80"/>
  <c r="AA297" i="80"/>
  <c r="G308" i="80"/>
  <c r="H308" i="80"/>
  <c r="I308" i="80"/>
  <c r="J308" i="80"/>
  <c r="K308" i="80"/>
  <c r="L308" i="80"/>
  <c r="M308" i="80"/>
  <c r="N308" i="80"/>
  <c r="O308" i="80"/>
  <c r="P308" i="80"/>
  <c r="Q308" i="80"/>
  <c r="R308" i="80"/>
  <c r="S308" i="80"/>
  <c r="T308" i="80"/>
  <c r="U308" i="80"/>
  <c r="V308" i="80"/>
  <c r="W308" i="80"/>
  <c r="X308" i="80"/>
  <c r="Y308" i="80"/>
  <c r="Z308" i="80"/>
  <c r="AA308" i="80"/>
  <c r="AB308" i="80"/>
  <c r="G309" i="80"/>
  <c r="H309" i="80"/>
  <c r="I309" i="80"/>
  <c r="J309" i="80"/>
  <c r="K309" i="80"/>
  <c r="L309" i="80"/>
  <c r="M309" i="80"/>
  <c r="N309" i="80"/>
  <c r="O309" i="80"/>
  <c r="P309" i="80"/>
  <c r="Q309" i="80"/>
  <c r="R309" i="80"/>
  <c r="S309" i="80"/>
  <c r="T309" i="80"/>
  <c r="U309" i="80"/>
  <c r="V309" i="80"/>
  <c r="W309" i="80"/>
  <c r="X309" i="80"/>
  <c r="Y309" i="80"/>
  <c r="Z309" i="80"/>
  <c r="AA309" i="80"/>
  <c r="AB309" i="80"/>
  <c r="G310" i="80"/>
  <c r="H310" i="80"/>
  <c r="I310" i="80"/>
  <c r="J310" i="80"/>
  <c r="K310" i="80"/>
  <c r="L310" i="80"/>
  <c r="M310" i="80"/>
  <c r="N310" i="80"/>
  <c r="O310" i="80"/>
  <c r="P310" i="80"/>
  <c r="Q310" i="80"/>
  <c r="R310" i="80"/>
  <c r="S310" i="80"/>
  <c r="T310" i="80"/>
  <c r="U310" i="80"/>
  <c r="V310" i="80"/>
  <c r="W310" i="80"/>
  <c r="X310" i="80"/>
  <c r="Y310" i="80"/>
  <c r="Z310" i="80"/>
  <c r="AA310" i="80"/>
  <c r="AB310" i="80"/>
  <c r="G311" i="80"/>
  <c r="G313" i="80"/>
  <c r="H313" i="80"/>
  <c r="I313" i="80"/>
  <c r="J313" i="80"/>
  <c r="K313" i="80"/>
  <c r="L313" i="80"/>
  <c r="M313" i="80"/>
  <c r="N313" i="80"/>
  <c r="O313" i="80"/>
  <c r="P313" i="80"/>
  <c r="Q313" i="80"/>
  <c r="R313" i="80"/>
  <c r="S313" i="80"/>
  <c r="T313" i="80"/>
  <c r="U313" i="80"/>
  <c r="V313" i="80"/>
  <c r="W313" i="80"/>
  <c r="X313" i="80"/>
  <c r="Y313" i="80"/>
  <c r="Z313" i="80"/>
  <c r="AA313" i="80"/>
  <c r="G314" i="80"/>
  <c r="G315" i="80"/>
  <c r="G218" i="74"/>
  <c r="H218" i="74"/>
  <c r="I218" i="74"/>
  <c r="J218" i="74"/>
  <c r="K218" i="74"/>
  <c r="L218" i="74"/>
  <c r="M218" i="74"/>
  <c r="N218" i="74"/>
  <c r="O218" i="74"/>
  <c r="P218" i="74"/>
  <c r="Q218" i="74"/>
  <c r="R218" i="74"/>
  <c r="S218" i="74"/>
  <c r="T218" i="74"/>
  <c r="U218" i="74"/>
  <c r="V218" i="74"/>
  <c r="W218" i="74"/>
  <c r="X218" i="74"/>
  <c r="Y218" i="74"/>
  <c r="Z218" i="74"/>
  <c r="AA218" i="74"/>
  <c r="H219" i="74"/>
  <c r="I219" i="74"/>
  <c r="J219" i="74"/>
  <c r="K219" i="74"/>
  <c r="L219" i="74"/>
  <c r="M219" i="74"/>
  <c r="N219" i="74"/>
  <c r="O219" i="74"/>
  <c r="P219" i="74"/>
  <c r="Q219" i="74"/>
  <c r="R219" i="74"/>
  <c r="S219" i="74"/>
  <c r="T219" i="74"/>
  <c r="U219" i="74"/>
  <c r="V219" i="74"/>
  <c r="W219" i="74"/>
  <c r="X219" i="74"/>
  <c r="Y219" i="74"/>
  <c r="Z219" i="74"/>
  <c r="AA219" i="74"/>
  <c r="G220" i="74"/>
  <c r="H228" i="74"/>
  <c r="I228" i="74"/>
  <c r="J228" i="74"/>
  <c r="K228" i="74"/>
  <c r="L228" i="74"/>
  <c r="M228" i="74"/>
  <c r="N228" i="74"/>
  <c r="O228" i="74"/>
  <c r="P228" i="74"/>
  <c r="Q228" i="74"/>
  <c r="R228" i="74"/>
  <c r="S228" i="74"/>
  <c r="T228" i="74"/>
  <c r="U228" i="74"/>
  <c r="V228" i="74"/>
  <c r="W228" i="74"/>
  <c r="X228" i="74"/>
  <c r="Y228" i="74"/>
  <c r="Z228" i="74"/>
  <c r="AA228" i="74"/>
  <c r="H230" i="74"/>
  <c r="I230" i="74"/>
  <c r="J230" i="74"/>
  <c r="K230" i="74"/>
  <c r="L230" i="74"/>
  <c r="M230" i="74"/>
  <c r="N230" i="74"/>
  <c r="O230" i="74"/>
  <c r="P230" i="74"/>
  <c r="Q230" i="74"/>
  <c r="R230" i="74"/>
  <c r="S230" i="74"/>
  <c r="T230" i="74"/>
  <c r="U230" i="74"/>
  <c r="V230" i="74"/>
  <c r="W230" i="74"/>
  <c r="X230" i="74"/>
  <c r="Y230" i="74"/>
  <c r="Z230" i="74"/>
  <c r="AA230" i="74"/>
  <c r="H231" i="74"/>
  <c r="I231" i="74"/>
  <c r="J231" i="74"/>
  <c r="K231" i="74"/>
  <c r="L231" i="74"/>
  <c r="M231" i="74"/>
  <c r="N231" i="74"/>
  <c r="O231" i="74"/>
  <c r="P231" i="74"/>
  <c r="Q231" i="74"/>
  <c r="R231" i="74"/>
  <c r="S231" i="74"/>
  <c r="T231" i="74"/>
  <c r="U231" i="74"/>
  <c r="V231" i="74"/>
  <c r="W231" i="74"/>
  <c r="X231" i="74"/>
  <c r="Y231" i="74"/>
  <c r="Z231" i="74"/>
  <c r="AA231" i="74"/>
  <c r="H242" i="74"/>
  <c r="I242" i="74"/>
  <c r="J242" i="74"/>
  <c r="K242" i="74"/>
  <c r="L242" i="74"/>
  <c r="M242" i="74"/>
  <c r="N242" i="74"/>
  <c r="O242" i="74"/>
  <c r="P242" i="74"/>
  <c r="Q242" i="74"/>
  <c r="R242" i="74"/>
  <c r="S242" i="74"/>
  <c r="T242" i="74"/>
  <c r="U242" i="74"/>
  <c r="V242" i="74"/>
  <c r="W242" i="74"/>
  <c r="X242" i="74"/>
  <c r="Y242" i="74"/>
  <c r="Z242" i="74"/>
  <c r="AA242" i="74"/>
  <c r="AB242" i="74"/>
  <c r="H243" i="74"/>
  <c r="I243" i="74"/>
  <c r="J243" i="74"/>
  <c r="K243" i="74"/>
  <c r="L243" i="74"/>
  <c r="M243" i="74"/>
  <c r="N243" i="74"/>
  <c r="O243" i="74"/>
  <c r="P243" i="74"/>
  <c r="Q243" i="74"/>
  <c r="R243" i="74"/>
  <c r="S243" i="74"/>
  <c r="T243" i="74"/>
  <c r="U243" i="74"/>
  <c r="V243" i="74"/>
  <c r="W243" i="74"/>
  <c r="X243" i="74"/>
  <c r="Y243" i="74"/>
  <c r="Z243" i="74"/>
  <c r="AA243" i="74"/>
  <c r="AB243" i="74"/>
  <c r="H244" i="74"/>
  <c r="I244" i="74"/>
  <c r="J244" i="74"/>
  <c r="K244" i="74"/>
  <c r="L244" i="74"/>
  <c r="M244" i="74"/>
  <c r="N244" i="74"/>
  <c r="O244" i="74"/>
  <c r="P244" i="74"/>
  <c r="Q244" i="74"/>
  <c r="R244" i="74"/>
  <c r="S244" i="74"/>
  <c r="T244" i="74"/>
  <c r="U244" i="74"/>
  <c r="V244" i="74"/>
  <c r="W244" i="74"/>
  <c r="X244" i="74"/>
  <c r="Y244" i="74"/>
  <c r="Z244" i="74"/>
  <c r="AA244" i="74"/>
  <c r="AB244" i="74"/>
  <c r="G245" i="74"/>
  <c r="H247" i="74"/>
  <c r="I247" i="74"/>
  <c r="J247" i="74"/>
  <c r="K247" i="74"/>
  <c r="L247" i="74"/>
  <c r="M247" i="74"/>
  <c r="N247" i="74"/>
  <c r="O247" i="74"/>
  <c r="P247" i="74"/>
  <c r="Q247" i="74"/>
  <c r="R247" i="74"/>
  <c r="S247" i="74"/>
  <c r="T247" i="74"/>
  <c r="U247" i="74"/>
  <c r="V247" i="74"/>
  <c r="W247" i="74"/>
  <c r="X247" i="74"/>
  <c r="Y247" i="74"/>
  <c r="Z247" i="74"/>
  <c r="AA247" i="74"/>
  <c r="G248" i="74"/>
  <c r="G249" i="74"/>
  <c r="G253" i="74"/>
  <c r="G262" i="74"/>
  <c r="G264" i="74"/>
  <c r="G265" i="74"/>
  <c r="G276" i="74"/>
  <c r="G277" i="74"/>
  <c r="G278" i="74"/>
  <c r="G279" i="74"/>
  <c r="G280" i="74"/>
  <c r="G284" i="74"/>
  <c r="H284" i="74"/>
  <c r="I284" i="74"/>
  <c r="J284" i="74"/>
  <c r="K284" i="74"/>
  <c r="L284" i="74"/>
  <c r="M284" i="74"/>
  <c r="N284" i="74"/>
  <c r="O284" i="74"/>
  <c r="P284" i="74"/>
  <c r="Q284" i="74"/>
  <c r="R284" i="74"/>
  <c r="S284" i="74"/>
  <c r="T284" i="74"/>
  <c r="U284" i="74"/>
  <c r="V284" i="74"/>
  <c r="W284" i="74"/>
  <c r="X284" i="74"/>
  <c r="Y284" i="74"/>
  <c r="Z284" i="74"/>
  <c r="AA284" i="74"/>
  <c r="G285" i="74"/>
  <c r="H285" i="74"/>
  <c r="I285" i="74"/>
  <c r="J285" i="74"/>
  <c r="K285" i="74"/>
  <c r="L285" i="74"/>
  <c r="M285" i="74"/>
  <c r="N285" i="74"/>
  <c r="O285" i="74"/>
  <c r="P285" i="74"/>
  <c r="Q285" i="74"/>
  <c r="R285" i="74"/>
  <c r="S285" i="74"/>
  <c r="T285" i="74"/>
  <c r="U285" i="74"/>
  <c r="V285" i="74"/>
  <c r="W285" i="74"/>
  <c r="X285" i="74"/>
  <c r="Y285" i="74"/>
  <c r="Z285" i="74"/>
  <c r="AA285" i="74"/>
  <c r="G286" i="74"/>
  <c r="G294" i="74"/>
  <c r="H294" i="74"/>
  <c r="I294" i="74"/>
  <c r="J294" i="74"/>
  <c r="K294" i="74"/>
  <c r="L294" i="74"/>
  <c r="M294" i="74"/>
  <c r="N294" i="74"/>
  <c r="O294" i="74"/>
  <c r="P294" i="74"/>
  <c r="Q294" i="74"/>
  <c r="R294" i="74"/>
  <c r="S294" i="74"/>
  <c r="T294" i="74"/>
  <c r="U294" i="74"/>
  <c r="V294" i="74"/>
  <c r="W294" i="74"/>
  <c r="X294" i="74"/>
  <c r="Y294" i="74"/>
  <c r="Z294" i="74"/>
  <c r="AA294" i="74"/>
  <c r="G296" i="74"/>
  <c r="H296" i="74"/>
  <c r="I296" i="74"/>
  <c r="J296" i="74"/>
  <c r="K296" i="74"/>
  <c r="L296" i="74"/>
  <c r="M296" i="74"/>
  <c r="N296" i="74"/>
  <c r="O296" i="74"/>
  <c r="P296" i="74"/>
  <c r="Q296" i="74"/>
  <c r="R296" i="74"/>
  <c r="S296" i="74"/>
  <c r="T296" i="74"/>
  <c r="U296" i="74"/>
  <c r="V296" i="74"/>
  <c r="W296" i="74"/>
  <c r="X296" i="74"/>
  <c r="Y296" i="74"/>
  <c r="Z296" i="74"/>
  <c r="AA296" i="74"/>
  <c r="G297" i="74"/>
  <c r="H297" i="74"/>
  <c r="I297" i="74"/>
  <c r="J297" i="74"/>
  <c r="K297" i="74"/>
  <c r="L297" i="74"/>
  <c r="M297" i="74"/>
  <c r="N297" i="74"/>
  <c r="O297" i="74"/>
  <c r="P297" i="74"/>
  <c r="Q297" i="74"/>
  <c r="R297" i="74"/>
  <c r="S297" i="74"/>
  <c r="T297" i="74"/>
  <c r="U297" i="74"/>
  <c r="V297" i="74"/>
  <c r="W297" i="74"/>
  <c r="X297" i="74"/>
  <c r="Y297" i="74"/>
  <c r="Z297" i="74"/>
  <c r="AA297" i="74"/>
  <c r="G308" i="74"/>
  <c r="H308" i="74"/>
  <c r="I308" i="74"/>
  <c r="J308" i="74"/>
  <c r="K308" i="74"/>
  <c r="L308" i="74"/>
  <c r="M308" i="74"/>
  <c r="N308" i="74"/>
  <c r="O308" i="74"/>
  <c r="P308" i="74"/>
  <c r="Q308" i="74"/>
  <c r="R308" i="74"/>
  <c r="S308" i="74"/>
  <c r="T308" i="74"/>
  <c r="U308" i="74"/>
  <c r="V308" i="74"/>
  <c r="W308" i="74"/>
  <c r="X308" i="74"/>
  <c r="Y308" i="74"/>
  <c r="Z308" i="74"/>
  <c r="AA308" i="74"/>
  <c r="AB308" i="74"/>
  <c r="G309" i="74"/>
  <c r="H309" i="74"/>
  <c r="I309" i="74"/>
  <c r="J309" i="74"/>
  <c r="K309" i="74"/>
  <c r="L309" i="74"/>
  <c r="M309" i="74"/>
  <c r="N309" i="74"/>
  <c r="O309" i="74"/>
  <c r="P309" i="74"/>
  <c r="Q309" i="74"/>
  <c r="R309" i="74"/>
  <c r="S309" i="74"/>
  <c r="T309" i="74"/>
  <c r="U309" i="74"/>
  <c r="V309" i="74"/>
  <c r="W309" i="74"/>
  <c r="X309" i="74"/>
  <c r="Y309" i="74"/>
  <c r="Z309" i="74"/>
  <c r="AA309" i="74"/>
  <c r="AB309" i="74"/>
  <c r="G310" i="74"/>
  <c r="H310" i="74"/>
  <c r="I310" i="74"/>
  <c r="J310" i="74"/>
  <c r="K310" i="74"/>
  <c r="L310" i="74"/>
  <c r="M310" i="74"/>
  <c r="N310" i="74"/>
  <c r="O310" i="74"/>
  <c r="P310" i="74"/>
  <c r="Q310" i="74"/>
  <c r="R310" i="74"/>
  <c r="S310" i="74"/>
  <c r="T310" i="74"/>
  <c r="U310" i="74"/>
  <c r="V310" i="74"/>
  <c r="W310" i="74"/>
  <c r="X310" i="74"/>
  <c r="Y310" i="74"/>
  <c r="Z310" i="74"/>
  <c r="AA310" i="74"/>
  <c r="AB310" i="74"/>
  <c r="G311" i="74"/>
  <c r="G313" i="74"/>
  <c r="H313" i="74"/>
  <c r="I313" i="74"/>
  <c r="J313" i="74"/>
  <c r="K313" i="74"/>
  <c r="L313" i="74"/>
  <c r="M313" i="74"/>
  <c r="N313" i="74"/>
  <c r="O313" i="74"/>
  <c r="P313" i="74"/>
  <c r="Q313" i="74"/>
  <c r="R313" i="74"/>
  <c r="S313" i="74"/>
  <c r="T313" i="74"/>
  <c r="U313" i="74"/>
  <c r="V313" i="74"/>
  <c r="W313" i="74"/>
  <c r="X313" i="74"/>
  <c r="Y313" i="74"/>
  <c r="Z313" i="74"/>
  <c r="AA313" i="74"/>
  <c r="G314" i="74"/>
  <c r="G315" i="74"/>
  <c r="G218" i="78"/>
  <c r="H218" i="78"/>
  <c r="I218" i="78"/>
  <c r="J218" i="78"/>
  <c r="K218" i="78"/>
  <c r="L218" i="78"/>
  <c r="M218" i="78"/>
  <c r="N218" i="78"/>
  <c r="O218" i="78"/>
  <c r="P218" i="78"/>
  <c r="Q218" i="78"/>
  <c r="R218" i="78"/>
  <c r="S218" i="78"/>
  <c r="T218" i="78"/>
  <c r="U218" i="78"/>
  <c r="V218" i="78"/>
  <c r="W218" i="78"/>
  <c r="X218" i="78"/>
  <c r="Y218" i="78"/>
  <c r="Z218" i="78"/>
  <c r="AA218" i="78"/>
  <c r="H219" i="78"/>
  <c r="I219" i="78"/>
  <c r="J219" i="78"/>
  <c r="K219" i="78"/>
  <c r="L219" i="78"/>
  <c r="M219" i="78"/>
  <c r="N219" i="78"/>
  <c r="O219" i="78"/>
  <c r="P219" i="78"/>
  <c r="Q219" i="78"/>
  <c r="R219" i="78"/>
  <c r="S219" i="78"/>
  <c r="T219" i="78"/>
  <c r="U219" i="78"/>
  <c r="V219" i="78"/>
  <c r="W219" i="78"/>
  <c r="X219" i="78"/>
  <c r="Y219" i="78"/>
  <c r="Z219" i="78"/>
  <c r="AA219" i="78"/>
  <c r="G220" i="78"/>
  <c r="H228" i="78"/>
  <c r="I228" i="78"/>
  <c r="J228" i="78"/>
  <c r="K228" i="78"/>
  <c r="L228" i="78"/>
  <c r="M228" i="78"/>
  <c r="N228" i="78"/>
  <c r="O228" i="78"/>
  <c r="P228" i="78"/>
  <c r="Q228" i="78"/>
  <c r="R228" i="78"/>
  <c r="S228" i="78"/>
  <c r="T228" i="78"/>
  <c r="U228" i="78"/>
  <c r="V228" i="78"/>
  <c r="W228" i="78"/>
  <c r="X228" i="78"/>
  <c r="Y228" i="78"/>
  <c r="Z228" i="78"/>
  <c r="AA228" i="78"/>
  <c r="H230" i="78"/>
  <c r="I230" i="78"/>
  <c r="J230" i="78"/>
  <c r="K230" i="78"/>
  <c r="L230" i="78"/>
  <c r="M230" i="78"/>
  <c r="N230" i="78"/>
  <c r="O230" i="78"/>
  <c r="P230" i="78"/>
  <c r="Q230" i="78"/>
  <c r="R230" i="78"/>
  <c r="S230" i="78"/>
  <c r="T230" i="78"/>
  <c r="U230" i="78"/>
  <c r="V230" i="78"/>
  <c r="W230" i="78"/>
  <c r="X230" i="78"/>
  <c r="Y230" i="78"/>
  <c r="Z230" i="78"/>
  <c r="AA230" i="78"/>
  <c r="H231" i="78"/>
  <c r="I231" i="78"/>
  <c r="J231" i="78"/>
  <c r="K231" i="78"/>
  <c r="L231" i="78"/>
  <c r="M231" i="78"/>
  <c r="N231" i="78"/>
  <c r="O231" i="78"/>
  <c r="P231" i="78"/>
  <c r="Q231" i="78"/>
  <c r="R231" i="78"/>
  <c r="S231" i="78"/>
  <c r="T231" i="78"/>
  <c r="U231" i="78"/>
  <c r="V231" i="78"/>
  <c r="W231" i="78"/>
  <c r="X231" i="78"/>
  <c r="Y231" i="78"/>
  <c r="Z231" i="78"/>
  <c r="AA231" i="78"/>
  <c r="H242" i="78"/>
  <c r="I242" i="78"/>
  <c r="J242" i="78"/>
  <c r="K242" i="78"/>
  <c r="L242" i="78"/>
  <c r="M242" i="78"/>
  <c r="N242" i="78"/>
  <c r="O242" i="78"/>
  <c r="P242" i="78"/>
  <c r="Q242" i="78"/>
  <c r="R242" i="78"/>
  <c r="S242" i="78"/>
  <c r="T242" i="78"/>
  <c r="U242" i="78"/>
  <c r="V242" i="78"/>
  <c r="W242" i="78"/>
  <c r="X242" i="78"/>
  <c r="Y242" i="78"/>
  <c r="Z242" i="78"/>
  <c r="AA242" i="78"/>
  <c r="AB242" i="78"/>
  <c r="H243" i="78"/>
  <c r="I243" i="78"/>
  <c r="J243" i="78"/>
  <c r="K243" i="78"/>
  <c r="L243" i="78"/>
  <c r="M243" i="78"/>
  <c r="N243" i="78"/>
  <c r="O243" i="78"/>
  <c r="P243" i="78"/>
  <c r="Q243" i="78"/>
  <c r="R243" i="78"/>
  <c r="S243" i="78"/>
  <c r="T243" i="78"/>
  <c r="U243" i="78"/>
  <c r="V243" i="78"/>
  <c r="W243" i="78"/>
  <c r="X243" i="78"/>
  <c r="Y243" i="78"/>
  <c r="Z243" i="78"/>
  <c r="AA243" i="78"/>
  <c r="AB243" i="78"/>
  <c r="H244" i="78"/>
  <c r="I244" i="78"/>
  <c r="J244" i="78"/>
  <c r="K244" i="78"/>
  <c r="L244" i="78"/>
  <c r="M244" i="78"/>
  <c r="N244" i="78"/>
  <c r="O244" i="78"/>
  <c r="P244" i="78"/>
  <c r="Q244" i="78"/>
  <c r="R244" i="78"/>
  <c r="S244" i="78"/>
  <c r="T244" i="78"/>
  <c r="U244" i="78"/>
  <c r="V244" i="78"/>
  <c r="W244" i="78"/>
  <c r="X244" i="78"/>
  <c r="Y244" i="78"/>
  <c r="Z244" i="78"/>
  <c r="AA244" i="78"/>
  <c r="AB244" i="78"/>
  <c r="G245" i="78"/>
  <c r="H247" i="78"/>
  <c r="I247" i="78"/>
  <c r="J247" i="78"/>
  <c r="K247" i="78"/>
  <c r="L247" i="78"/>
  <c r="M247" i="78"/>
  <c r="N247" i="78"/>
  <c r="O247" i="78"/>
  <c r="P247" i="78"/>
  <c r="Q247" i="78"/>
  <c r="R247" i="78"/>
  <c r="S247" i="78"/>
  <c r="T247" i="78"/>
  <c r="U247" i="78"/>
  <c r="V247" i="78"/>
  <c r="W247" i="78"/>
  <c r="X247" i="78"/>
  <c r="Y247" i="78"/>
  <c r="Z247" i="78"/>
  <c r="AA247" i="78"/>
  <c r="G248" i="78"/>
  <c r="G249" i="78"/>
  <c r="G253" i="78"/>
  <c r="G262" i="78"/>
  <c r="G264" i="78"/>
  <c r="G265" i="78"/>
  <c r="G276" i="78"/>
  <c r="G277" i="78"/>
  <c r="G278" i="78"/>
  <c r="G279" i="78"/>
  <c r="G280" i="78"/>
  <c r="G284" i="78"/>
  <c r="H284" i="78"/>
  <c r="I284" i="78"/>
  <c r="J284" i="78"/>
  <c r="K284" i="78"/>
  <c r="L284" i="78"/>
  <c r="M284" i="78"/>
  <c r="N284" i="78"/>
  <c r="O284" i="78"/>
  <c r="P284" i="78"/>
  <c r="Q284" i="78"/>
  <c r="R284" i="78"/>
  <c r="S284" i="78"/>
  <c r="T284" i="78"/>
  <c r="U284" i="78"/>
  <c r="V284" i="78"/>
  <c r="W284" i="78"/>
  <c r="X284" i="78"/>
  <c r="Y284" i="78"/>
  <c r="Z284" i="78"/>
  <c r="AA284" i="78"/>
  <c r="G285" i="78"/>
  <c r="H285" i="78"/>
  <c r="I285" i="78"/>
  <c r="J285" i="78"/>
  <c r="K285" i="78"/>
  <c r="L285" i="78"/>
  <c r="M285" i="78"/>
  <c r="N285" i="78"/>
  <c r="O285" i="78"/>
  <c r="P285" i="78"/>
  <c r="Q285" i="78"/>
  <c r="R285" i="78"/>
  <c r="S285" i="78"/>
  <c r="T285" i="78"/>
  <c r="U285" i="78"/>
  <c r="V285" i="78"/>
  <c r="W285" i="78"/>
  <c r="X285" i="78"/>
  <c r="Y285" i="78"/>
  <c r="Z285" i="78"/>
  <c r="AA285" i="78"/>
  <c r="G286" i="78"/>
  <c r="G294" i="78"/>
  <c r="H294" i="78"/>
  <c r="I294" i="78"/>
  <c r="J294" i="78"/>
  <c r="K294" i="78"/>
  <c r="L294" i="78"/>
  <c r="M294" i="78"/>
  <c r="N294" i="78"/>
  <c r="O294" i="78"/>
  <c r="P294" i="78"/>
  <c r="Q294" i="78"/>
  <c r="R294" i="78"/>
  <c r="S294" i="78"/>
  <c r="T294" i="78"/>
  <c r="U294" i="78"/>
  <c r="V294" i="78"/>
  <c r="W294" i="78"/>
  <c r="X294" i="78"/>
  <c r="Y294" i="78"/>
  <c r="Z294" i="78"/>
  <c r="AA294" i="78"/>
  <c r="G296" i="78"/>
  <c r="H296" i="78"/>
  <c r="I296" i="78"/>
  <c r="J296" i="78"/>
  <c r="K296" i="78"/>
  <c r="L296" i="78"/>
  <c r="M296" i="78"/>
  <c r="N296" i="78"/>
  <c r="O296" i="78"/>
  <c r="P296" i="78"/>
  <c r="Q296" i="78"/>
  <c r="R296" i="78"/>
  <c r="S296" i="78"/>
  <c r="T296" i="78"/>
  <c r="U296" i="78"/>
  <c r="V296" i="78"/>
  <c r="W296" i="78"/>
  <c r="X296" i="78"/>
  <c r="Y296" i="78"/>
  <c r="Z296" i="78"/>
  <c r="AA296" i="78"/>
  <c r="G297" i="78"/>
  <c r="H297" i="78"/>
  <c r="I297" i="78"/>
  <c r="J297" i="78"/>
  <c r="K297" i="78"/>
  <c r="L297" i="78"/>
  <c r="M297" i="78"/>
  <c r="N297" i="78"/>
  <c r="O297" i="78"/>
  <c r="P297" i="78"/>
  <c r="Q297" i="78"/>
  <c r="R297" i="78"/>
  <c r="S297" i="78"/>
  <c r="T297" i="78"/>
  <c r="U297" i="78"/>
  <c r="V297" i="78"/>
  <c r="W297" i="78"/>
  <c r="X297" i="78"/>
  <c r="Y297" i="78"/>
  <c r="Z297" i="78"/>
  <c r="AA297" i="78"/>
  <c r="G308" i="78"/>
  <c r="H308" i="78"/>
  <c r="I308" i="78"/>
  <c r="J308" i="78"/>
  <c r="K308" i="78"/>
  <c r="L308" i="78"/>
  <c r="M308" i="78"/>
  <c r="N308" i="78"/>
  <c r="O308" i="78"/>
  <c r="P308" i="78"/>
  <c r="Q308" i="78"/>
  <c r="R308" i="78"/>
  <c r="S308" i="78"/>
  <c r="T308" i="78"/>
  <c r="U308" i="78"/>
  <c r="V308" i="78"/>
  <c r="W308" i="78"/>
  <c r="X308" i="78"/>
  <c r="Y308" i="78"/>
  <c r="Z308" i="78"/>
  <c r="AA308" i="78"/>
  <c r="AB308" i="78"/>
  <c r="G309" i="78"/>
  <c r="H309" i="78"/>
  <c r="I309" i="78"/>
  <c r="J309" i="78"/>
  <c r="K309" i="78"/>
  <c r="L309" i="78"/>
  <c r="M309" i="78"/>
  <c r="N309" i="78"/>
  <c r="O309" i="78"/>
  <c r="P309" i="78"/>
  <c r="Q309" i="78"/>
  <c r="R309" i="78"/>
  <c r="S309" i="78"/>
  <c r="T309" i="78"/>
  <c r="U309" i="78"/>
  <c r="V309" i="78"/>
  <c r="W309" i="78"/>
  <c r="X309" i="78"/>
  <c r="Y309" i="78"/>
  <c r="Z309" i="78"/>
  <c r="AA309" i="78"/>
  <c r="AB309" i="78"/>
  <c r="G310" i="78"/>
  <c r="H310" i="78"/>
  <c r="I310" i="78"/>
  <c r="J310" i="78"/>
  <c r="K310" i="78"/>
  <c r="L310" i="78"/>
  <c r="M310" i="78"/>
  <c r="N310" i="78"/>
  <c r="O310" i="78"/>
  <c r="P310" i="78"/>
  <c r="Q310" i="78"/>
  <c r="R310" i="78"/>
  <c r="S310" i="78"/>
  <c r="T310" i="78"/>
  <c r="U310" i="78"/>
  <c r="V310" i="78"/>
  <c r="W310" i="78"/>
  <c r="X310" i="78"/>
  <c r="Y310" i="78"/>
  <c r="Z310" i="78"/>
  <c r="AA310" i="78"/>
  <c r="AB310" i="78"/>
  <c r="G311" i="78"/>
  <c r="G313" i="78"/>
  <c r="H313" i="78"/>
  <c r="I313" i="78"/>
  <c r="J313" i="78"/>
  <c r="K313" i="78"/>
  <c r="L313" i="78"/>
  <c r="M313" i="78"/>
  <c r="N313" i="78"/>
  <c r="O313" i="78"/>
  <c r="P313" i="78"/>
  <c r="Q313" i="78"/>
  <c r="R313" i="78"/>
  <c r="S313" i="78"/>
  <c r="T313" i="78"/>
  <c r="U313" i="78"/>
  <c r="V313" i="78"/>
  <c r="W313" i="78"/>
  <c r="X313" i="78"/>
  <c r="Y313" i="78"/>
  <c r="Z313" i="78"/>
  <c r="AA313" i="78"/>
  <c r="G314" i="78"/>
  <c r="G315" i="78"/>
  <c r="G218" i="85"/>
  <c r="H218" i="85"/>
  <c r="I218" i="85"/>
  <c r="J218" i="85"/>
  <c r="K218" i="85"/>
  <c r="L218" i="85"/>
  <c r="M218" i="85"/>
  <c r="N218" i="85"/>
  <c r="O218" i="85"/>
  <c r="P218" i="85"/>
  <c r="Q218" i="85"/>
  <c r="R218" i="85"/>
  <c r="S218" i="85"/>
  <c r="T218" i="85"/>
  <c r="U218" i="85"/>
  <c r="V218" i="85"/>
  <c r="W218" i="85"/>
  <c r="X218" i="85"/>
  <c r="Y218" i="85"/>
  <c r="Z218" i="85"/>
  <c r="AA218" i="85"/>
  <c r="H219" i="85"/>
  <c r="I219" i="85"/>
  <c r="J219" i="85"/>
  <c r="K219" i="85"/>
  <c r="L219" i="85"/>
  <c r="M219" i="85"/>
  <c r="N219" i="85"/>
  <c r="O219" i="85"/>
  <c r="P219" i="85"/>
  <c r="Q219" i="85"/>
  <c r="R219" i="85"/>
  <c r="S219" i="85"/>
  <c r="T219" i="85"/>
  <c r="U219" i="85"/>
  <c r="V219" i="85"/>
  <c r="W219" i="85"/>
  <c r="X219" i="85"/>
  <c r="Y219" i="85"/>
  <c r="Z219" i="85"/>
  <c r="AA219" i="85"/>
  <c r="G220" i="85"/>
  <c r="H228" i="85"/>
  <c r="I228" i="85"/>
  <c r="J228" i="85"/>
  <c r="K228" i="85"/>
  <c r="L228" i="85"/>
  <c r="M228" i="85"/>
  <c r="N228" i="85"/>
  <c r="O228" i="85"/>
  <c r="P228" i="85"/>
  <c r="Q228" i="85"/>
  <c r="R228" i="85"/>
  <c r="S228" i="85"/>
  <c r="T228" i="85"/>
  <c r="U228" i="85"/>
  <c r="V228" i="85"/>
  <c r="W228" i="85"/>
  <c r="X228" i="85"/>
  <c r="Y228" i="85"/>
  <c r="Z228" i="85"/>
  <c r="AA228" i="85"/>
  <c r="H230" i="85"/>
  <c r="I230" i="85"/>
  <c r="J230" i="85"/>
  <c r="K230" i="85"/>
  <c r="L230" i="85"/>
  <c r="M230" i="85"/>
  <c r="N230" i="85"/>
  <c r="O230" i="85"/>
  <c r="P230" i="85"/>
  <c r="Q230" i="85"/>
  <c r="R230" i="85"/>
  <c r="S230" i="85"/>
  <c r="T230" i="85"/>
  <c r="U230" i="85"/>
  <c r="V230" i="85"/>
  <c r="W230" i="85"/>
  <c r="X230" i="85"/>
  <c r="Y230" i="85"/>
  <c r="Z230" i="85"/>
  <c r="AA230" i="85"/>
  <c r="H231" i="85"/>
  <c r="I231" i="85"/>
  <c r="J231" i="85"/>
  <c r="K231" i="85"/>
  <c r="L231" i="85"/>
  <c r="M231" i="85"/>
  <c r="N231" i="85"/>
  <c r="O231" i="85"/>
  <c r="P231" i="85"/>
  <c r="Q231" i="85"/>
  <c r="R231" i="85"/>
  <c r="S231" i="85"/>
  <c r="T231" i="85"/>
  <c r="U231" i="85"/>
  <c r="V231" i="85"/>
  <c r="W231" i="85"/>
  <c r="X231" i="85"/>
  <c r="Y231" i="85"/>
  <c r="Z231" i="85"/>
  <c r="AA231" i="85"/>
  <c r="H242" i="85"/>
  <c r="I242" i="85"/>
  <c r="J242" i="85"/>
  <c r="K242" i="85"/>
  <c r="L242" i="85"/>
  <c r="M242" i="85"/>
  <c r="N242" i="85"/>
  <c r="O242" i="85"/>
  <c r="P242" i="85"/>
  <c r="Q242" i="85"/>
  <c r="R242" i="85"/>
  <c r="S242" i="85"/>
  <c r="T242" i="85"/>
  <c r="U242" i="85"/>
  <c r="V242" i="85"/>
  <c r="W242" i="85"/>
  <c r="X242" i="85"/>
  <c r="Y242" i="85"/>
  <c r="Z242" i="85"/>
  <c r="AA242" i="85"/>
  <c r="AB242" i="85"/>
  <c r="H243" i="85"/>
  <c r="I243" i="85"/>
  <c r="J243" i="85"/>
  <c r="K243" i="85"/>
  <c r="L243" i="85"/>
  <c r="M243" i="85"/>
  <c r="N243" i="85"/>
  <c r="O243" i="85"/>
  <c r="P243" i="85"/>
  <c r="Q243" i="85"/>
  <c r="R243" i="85"/>
  <c r="S243" i="85"/>
  <c r="T243" i="85"/>
  <c r="U243" i="85"/>
  <c r="V243" i="85"/>
  <c r="W243" i="85"/>
  <c r="X243" i="85"/>
  <c r="Y243" i="85"/>
  <c r="Z243" i="85"/>
  <c r="AA243" i="85"/>
  <c r="AB243" i="85"/>
  <c r="H244" i="85"/>
  <c r="I244" i="85"/>
  <c r="J244" i="85"/>
  <c r="K244" i="85"/>
  <c r="L244" i="85"/>
  <c r="M244" i="85"/>
  <c r="N244" i="85"/>
  <c r="O244" i="85"/>
  <c r="P244" i="85"/>
  <c r="Q244" i="85"/>
  <c r="R244" i="85"/>
  <c r="S244" i="85"/>
  <c r="T244" i="85"/>
  <c r="U244" i="85"/>
  <c r="V244" i="85"/>
  <c r="W244" i="85"/>
  <c r="X244" i="85"/>
  <c r="Y244" i="85"/>
  <c r="Z244" i="85"/>
  <c r="AA244" i="85"/>
  <c r="AB244" i="85"/>
  <c r="G245" i="85"/>
  <c r="H247" i="85"/>
  <c r="I247" i="85"/>
  <c r="J247" i="85"/>
  <c r="K247" i="85"/>
  <c r="L247" i="85"/>
  <c r="M247" i="85"/>
  <c r="N247" i="85"/>
  <c r="O247" i="85"/>
  <c r="P247" i="85"/>
  <c r="Q247" i="85"/>
  <c r="R247" i="85"/>
  <c r="S247" i="85"/>
  <c r="T247" i="85"/>
  <c r="U247" i="85"/>
  <c r="V247" i="85"/>
  <c r="W247" i="85"/>
  <c r="X247" i="85"/>
  <c r="Y247" i="85"/>
  <c r="Z247" i="85"/>
  <c r="AA247" i="85"/>
  <c r="G248" i="85"/>
  <c r="G249" i="85"/>
  <c r="G253" i="85"/>
  <c r="G262" i="85"/>
  <c r="G264" i="85"/>
  <c r="G265" i="85"/>
  <c r="G276" i="85"/>
  <c r="G277" i="85"/>
  <c r="G278" i="85"/>
  <c r="G279" i="85"/>
  <c r="G280" i="85"/>
  <c r="G284" i="85"/>
  <c r="H284" i="85"/>
  <c r="I284" i="85"/>
  <c r="J284" i="85"/>
  <c r="K284" i="85"/>
  <c r="L284" i="85"/>
  <c r="M284" i="85"/>
  <c r="N284" i="85"/>
  <c r="O284" i="85"/>
  <c r="P284" i="85"/>
  <c r="Q284" i="85"/>
  <c r="R284" i="85"/>
  <c r="S284" i="85"/>
  <c r="T284" i="85"/>
  <c r="U284" i="85"/>
  <c r="V284" i="85"/>
  <c r="W284" i="85"/>
  <c r="X284" i="85"/>
  <c r="Y284" i="85"/>
  <c r="Z284" i="85"/>
  <c r="AA284" i="85"/>
  <c r="G285" i="85"/>
  <c r="H285" i="85"/>
  <c r="I285" i="85"/>
  <c r="J285" i="85"/>
  <c r="K285" i="85"/>
  <c r="L285" i="85"/>
  <c r="M285" i="85"/>
  <c r="N285" i="85"/>
  <c r="O285" i="85"/>
  <c r="P285" i="85"/>
  <c r="Q285" i="85"/>
  <c r="R285" i="85"/>
  <c r="S285" i="85"/>
  <c r="T285" i="85"/>
  <c r="U285" i="85"/>
  <c r="V285" i="85"/>
  <c r="W285" i="85"/>
  <c r="X285" i="85"/>
  <c r="Y285" i="85"/>
  <c r="Z285" i="85"/>
  <c r="AA285" i="85"/>
  <c r="G286" i="85"/>
  <c r="G294" i="85"/>
  <c r="H294" i="85"/>
  <c r="I294" i="85"/>
  <c r="J294" i="85"/>
  <c r="K294" i="85"/>
  <c r="L294" i="85"/>
  <c r="M294" i="85"/>
  <c r="N294" i="85"/>
  <c r="O294" i="85"/>
  <c r="P294" i="85"/>
  <c r="Q294" i="85"/>
  <c r="R294" i="85"/>
  <c r="S294" i="85"/>
  <c r="T294" i="85"/>
  <c r="U294" i="85"/>
  <c r="V294" i="85"/>
  <c r="W294" i="85"/>
  <c r="X294" i="85"/>
  <c r="Y294" i="85"/>
  <c r="Z294" i="85"/>
  <c r="AA294" i="85"/>
  <c r="G296" i="85"/>
  <c r="H296" i="85"/>
  <c r="I296" i="85"/>
  <c r="J296" i="85"/>
  <c r="K296" i="85"/>
  <c r="L296" i="85"/>
  <c r="M296" i="85"/>
  <c r="N296" i="85"/>
  <c r="O296" i="85"/>
  <c r="P296" i="85"/>
  <c r="Q296" i="85"/>
  <c r="R296" i="85"/>
  <c r="S296" i="85"/>
  <c r="T296" i="85"/>
  <c r="U296" i="85"/>
  <c r="V296" i="85"/>
  <c r="W296" i="85"/>
  <c r="X296" i="85"/>
  <c r="Y296" i="85"/>
  <c r="Z296" i="85"/>
  <c r="AA296" i="85"/>
  <c r="G297" i="85"/>
  <c r="H297" i="85"/>
  <c r="I297" i="85"/>
  <c r="J297" i="85"/>
  <c r="K297" i="85"/>
  <c r="L297" i="85"/>
  <c r="M297" i="85"/>
  <c r="N297" i="85"/>
  <c r="O297" i="85"/>
  <c r="P297" i="85"/>
  <c r="Q297" i="85"/>
  <c r="R297" i="85"/>
  <c r="S297" i="85"/>
  <c r="T297" i="85"/>
  <c r="U297" i="85"/>
  <c r="V297" i="85"/>
  <c r="W297" i="85"/>
  <c r="X297" i="85"/>
  <c r="Y297" i="85"/>
  <c r="Z297" i="85"/>
  <c r="AA297" i="85"/>
  <c r="G308" i="85"/>
  <c r="H308" i="85"/>
  <c r="I308" i="85"/>
  <c r="J308" i="85"/>
  <c r="K308" i="85"/>
  <c r="L308" i="85"/>
  <c r="M308" i="85"/>
  <c r="N308" i="85"/>
  <c r="O308" i="85"/>
  <c r="P308" i="85"/>
  <c r="Q308" i="85"/>
  <c r="R308" i="85"/>
  <c r="S308" i="85"/>
  <c r="T308" i="85"/>
  <c r="U308" i="85"/>
  <c r="V308" i="85"/>
  <c r="W308" i="85"/>
  <c r="X308" i="85"/>
  <c r="Y308" i="85"/>
  <c r="Z308" i="85"/>
  <c r="AA308" i="85"/>
  <c r="AB308" i="85"/>
  <c r="G309" i="85"/>
  <c r="H309" i="85"/>
  <c r="I309" i="85"/>
  <c r="J309" i="85"/>
  <c r="K309" i="85"/>
  <c r="L309" i="85"/>
  <c r="M309" i="85"/>
  <c r="N309" i="85"/>
  <c r="O309" i="85"/>
  <c r="P309" i="85"/>
  <c r="Q309" i="85"/>
  <c r="R309" i="85"/>
  <c r="S309" i="85"/>
  <c r="T309" i="85"/>
  <c r="U309" i="85"/>
  <c r="V309" i="85"/>
  <c r="W309" i="85"/>
  <c r="X309" i="85"/>
  <c r="Y309" i="85"/>
  <c r="Z309" i="85"/>
  <c r="AA309" i="85"/>
  <c r="AB309" i="85"/>
  <c r="G310" i="85"/>
  <c r="H310" i="85"/>
  <c r="I310" i="85"/>
  <c r="J310" i="85"/>
  <c r="K310" i="85"/>
  <c r="L310" i="85"/>
  <c r="M310" i="85"/>
  <c r="N310" i="85"/>
  <c r="O310" i="85"/>
  <c r="P310" i="85"/>
  <c r="Q310" i="85"/>
  <c r="R310" i="85"/>
  <c r="S310" i="85"/>
  <c r="T310" i="85"/>
  <c r="U310" i="85"/>
  <c r="V310" i="85"/>
  <c r="W310" i="85"/>
  <c r="X310" i="85"/>
  <c r="Y310" i="85"/>
  <c r="Z310" i="85"/>
  <c r="AA310" i="85"/>
  <c r="AB310" i="85"/>
  <c r="G311" i="85"/>
  <c r="G313" i="85"/>
  <c r="H313" i="85"/>
  <c r="I313" i="85"/>
  <c r="J313" i="85"/>
  <c r="K313" i="85"/>
  <c r="L313" i="85"/>
  <c r="M313" i="85"/>
  <c r="N313" i="85"/>
  <c r="O313" i="85"/>
  <c r="P313" i="85"/>
  <c r="Q313" i="85"/>
  <c r="R313" i="85"/>
  <c r="S313" i="85"/>
  <c r="T313" i="85"/>
  <c r="U313" i="85"/>
  <c r="V313" i="85"/>
  <c r="W313" i="85"/>
  <c r="X313" i="85"/>
  <c r="Y313" i="85"/>
  <c r="Z313" i="85"/>
  <c r="AA313" i="85"/>
  <c r="G314" i="85"/>
  <c r="G315" i="85"/>
  <c r="G218" i="83"/>
  <c r="H218" i="83"/>
  <c r="I218" i="83"/>
  <c r="J218" i="83"/>
  <c r="K218" i="83"/>
  <c r="L218" i="83"/>
  <c r="M218" i="83"/>
  <c r="N218" i="83"/>
  <c r="O218" i="83"/>
  <c r="P218" i="83"/>
  <c r="Q218" i="83"/>
  <c r="R218" i="83"/>
  <c r="S218" i="83"/>
  <c r="T218" i="83"/>
  <c r="U218" i="83"/>
  <c r="V218" i="83"/>
  <c r="W218" i="83"/>
  <c r="X218" i="83"/>
  <c r="Y218" i="83"/>
  <c r="Z218" i="83"/>
  <c r="AA218" i="83"/>
  <c r="H219" i="83"/>
  <c r="I219" i="83"/>
  <c r="J219" i="83"/>
  <c r="K219" i="83"/>
  <c r="L219" i="83"/>
  <c r="M219" i="83"/>
  <c r="N219" i="83"/>
  <c r="O219" i="83"/>
  <c r="P219" i="83"/>
  <c r="Q219" i="83"/>
  <c r="R219" i="83"/>
  <c r="S219" i="83"/>
  <c r="T219" i="83"/>
  <c r="U219" i="83"/>
  <c r="V219" i="83"/>
  <c r="W219" i="83"/>
  <c r="X219" i="83"/>
  <c r="Y219" i="83"/>
  <c r="Z219" i="83"/>
  <c r="AA219" i="83"/>
  <c r="G220" i="83"/>
  <c r="H228" i="83"/>
  <c r="I228" i="83"/>
  <c r="J228" i="83"/>
  <c r="K228" i="83"/>
  <c r="L228" i="83"/>
  <c r="M228" i="83"/>
  <c r="N228" i="83"/>
  <c r="O228" i="83"/>
  <c r="P228" i="83"/>
  <c r="Q228" i="83"/>
  <c r="R228" i="83"/>
  <c r="S228" i="83"/>
  <c r="T228" i="83"/>
  <c r="U228" i="83"/>
  <c r="V228" i="83"/>
  <c r="W228" i="83"/>
  <c r="X228" i="83"/>
  <c r="Y228" i="83"/>
  <c r="Z228" i="83"/>
  <c r="AA228" i="83"/>
  <c r="H230" i="83"/>
  <c r="I230" i="83"/>
  <c r="J230" i="83"/>
  <c r="K230" i="83"/>
  <c r="L230" i="83"/>
  <c r="M230" i="83"/>
  <c r="N230" i="83"/>
  <c r="O230" i="83"/>
  <c r="P230" i="83"/>
  <c r="Q230" i="83"/>
  <c r="R230" i="83"/>
  <c r="S230" i="83"/>
  <c r="T230" i="83"/>
  <c r="U230" i="83"/>
  <c r="V230" i="83"/>
  <c r="W230" i="83"/>
  <c r="X230" i="83"/>
  <c r="Y230" i="83"/>
  <c r="Z230" i="83"/>
  <c r="AA230" i="83"/>
  <c r="H231" i="83"/>
  <c r="I231" i="83"/>
  <c r="J231" i="83"/>
  <c r="K231" i="83"/>
  <c r="L231" i="83"/>
  <c r="M231" i="83"/>
  <c r="N231" i="83"/>
  <c r="O231" i="83"/>
  <c r="P231" i="83"/>
  <c r="Q231" i="83"/>
  <c r="R231" i="83"/>
  <c r="S231" i="83"/>
  <c r="T231" i="83"/>
  <c r="U231" i="83"/>
  <c r="V231" i="83"/>
  <c r="W231" i="83"/>
  <c r="X231" i="83"/>
  <c r="Y231" i="83"/>
  <c r="Z231" i="83"/>
  <c r="AA231" i="83"/>
  <c r="H242" i="83"/>
  <c r="I242" i="83"/>
  <c r="J242" i="83"/>
  <c r="K242" i="83"/>
  <c r="L242" i="83"/>
  <c r="M242" i="83"/>
  <c r="N242" i="83"/>
  <c r="O242" i="83"/>
  <c r="P242" i="83"/>
  <c r="Q242" i="83"/>
  <c r="R242" i="83"/>
  <c r="S242" i="83"/>
  <c r="T242" i="83"/>
  <c r="U242" i="83"/>
  <c r="V242" i="83"/>
  <c r="W242" i="83"/>
  <c r="X242" i="83"/>
  <c r="Y242" i="83"/>
  <c r="Z242" i="83"/>
  <c r="AA242" i="83"/>
  <c r="AB242" i="83"/>
  <c r="H243" i="83"/>
  <c r="I243" i="83"/>
  <c r="J243" i="83"/>
  <c r="K243" i="83"/>
  <c r="L243" i="83"/>
  <c r="M243" i="83"/>
  <c r="N243" i="83"/>
  <c r="O243" i="83"/>
  <c r="P243" i="83"/>
  <c r="Q243" i="83"/>
  <c r="R243" i="83"/>
  <c r="S243" i="83"/>
  <c r="T243" i="83"/>
  <c r="U243" i="83"/>
  <c r="V243" i="83"/>
  <c r="W243" i="83"/>
  <c r="X243" i="83"/>
  <c r="Y243" i="83"/>
  <c r="Z243" i="83"/>
  <c r="AA243" i="83"/>
  <c r="AB243" i="83"/>
  <c r="H244" i="83"/>
  <c r="I244" i="83"/>
  <c r="J244" i="83"/>
  <c r="K244" i="83"/>
  <c r="L244" i="83"/>
  <c r="M244" i="83"/>
  <c r="N244" i="83"/>
  <c r="O244" i="83"/>
  <c r="P244" i="83"/>
  <c r="Q244" i="83"/>
  <c r="R244" i="83"/>
  <c r="S244" i="83"/>
  <c r="T244" i="83"/>
  <c r="U244" i="83"/>
  <c r="V244" i="83"/>
  <c r="W244" i="83"/>
  <c r="X244" i="83"/>
  <c r="Y244" i="83"/>
  <c r="Z244" i="83"/>
  <c r="AA244" i="83"/>
  <c r="AB244" i="83"/>
  <c r="G245" i="83"/>
  <c r="H247" i="83"/>
  <c r="I247" i="83"/>
  <c r="J247" i="83"/>
  <c r="K247" i="83"/>
  <c r="L247" i="83"/>
  <c r="M247" i="83"/>
  <c r="N247" i="83"/>
  <c r="O247" i="83"/>
  <c r="P247" i="83"/>
  <c r="Q247" i="83"/>
  <c r="R247" i="83"/>
  <c r="S247" i="83"/>
  <c r="T247" i="83"/>
  <c r="U247" i="83"/>
  <c r="V247" i="83"/>
  <c r="W247" i="83"/>
  <c r="X247" i="83"/>
  <c r="Y247" i="83"/>
  <c r="Z247" i="83"/>
  <c r="AA247" i="83"/>
  <c r="G248" i="83"/>
  <c r="G249" i="83"/>
  <c r="G253" i="83"/>
  <c r="G262" i="83"/>
  <c r="G264" i="83"/>
  <c r="G265" i="83"/>
  <c r="G276" i="83"/>
  <c r="G277" i="83"/>
  <c r="G278" i="83"/>
  <c r="G279" i="83"/>
  <c r="G280" i="83"/>
  <c r="G284" i="83"/>
  <c r="H284" i="83"/>
  <c r="I284" i="83"/>
  <c r="J284" i="83"/>
  <c r="K284" i="83"/>
  <c r="L284" i="83"/>
  <c r="M284" i="83"/>
  <c r="N284" i="83"/>
  <c r="O284" i="83"/>
  <c r="P284" i="83"/>
  <c r="Q284" i="83"/>
  <c r="R284" i="83"/>
  <c r="S284" i="83"/>
  <c r="T284" i="83"/>
  <c r="U284" i="83"/>
  <c r="V284" i="83"/>
  <c r="W284" i="83"/>
  <c r="X284" i="83"/>
  <c r="Y284" i="83"/>
  <c r="Z284" i="83"/>
  <c r="AA284" i="83"/>
  <c r="G285" i="83"/>
  <c r="H285" i="83"/>
  <c r="I285" i="83"/>
  <c r="J285" i="83"/>
  <c r="K285" i="83"/>
  <c r="L285" i="83"/>
  <c r="M285" i="83"/>
  <c r="N285" i="83"/>
  <c r="O285" i="83"/>
  <c r="P285" i="83"/>
  <c r="Q285" i="83"/>
  <c r="R285" i="83"/>
  <c r="S285" i="83"/>
  <c r="T285" i="83"/>
  <c r="U285" i="83"/>
  <c r="V285" i="83"/>
  <c r="W285" i="83"/>
  <c r="X285" i="83"/>
  <c r="Y285" i="83"/>
  <c r="Z285" i="83"/>
  <c r="AA285" i="83"/>
  <c r="G286" i="83"/>
  <c r="G294" i="83"/>
  <c r="H294" i="83"/>
  <c r="I294" i="83"/>
  <c r="J294" i="83"/>
  <c r="K294" i="83"/>
  <c r="L294" i="83"/>
  <c r="M294" i="83"/>
  <c r="N294" i="83"/>
  <c r="O294" i="83"/>
  <c r="P294" i="83"/>
  <c r="Q294" i="83"/>
  <c r="R294" i="83"/>
  <c r="S294" i="83"/>
  <c r="T294" i="83"/>
  <c r="U294" i="83"/>
  <c r="V294" i="83"/>
  <c r="W294" i="83"/>
  <c r="X294" i="83"/>
  <c r="Y294" i="83"/>
  <c r="Z294" i="83"/>
  <c r="AA294" i="83"/>
  <c r="G296" i="83"/>
  <c r="H296" i="83"/>
  <c r="I296" i="83"/>
  <c r="J296" i="83"/>
  <c r="K296" i="83"/>
  <c r="L296" i="83"/>
  <c r="M296" i="83"/>
  <c r="N296" i="83"/>
  <c r="O296" i="83"/>
  <c r="P296" i="83"/>
  <c r="Q296" i="83"/>
  <c r="R296" i="83"/>
  <c r="S296" i="83"/>
  <c r="T296" i="83"/>
  <c r="U296" i="83"/>
  <c r="V296" i="83"/>
  <c r="W296" i="83"/>
  <c r="X296" i="83"/>
  <c r="Y296" i="83"/>
  <c r="Z296" i="83"/>
  <c r="AA296" i="83"/>
  <c r="G297" i="83"/>
  <c r="H297" i="83"/>
  <c r="I297" i="83"/>
  <c r="J297" i="83"/>
  <c r="K297" i="83"/>
  <c r="L297" i="83"/>
  <c r="M297" i="83"/>
  <c r="N297" i="83"/>
  <c r="O297" i="83"/>
  <c r="P297" i="83"/>
  <c r="Q297" i="83"/>
  <c r="R297" i="83"/>
  <c r="S297" i="83"/>
  <c r="T297" i="83"/>
  <c r="U297" i="83"/>
  <c r="V297" i="83"/>
  <c r="W297" i="83"/>
  <c r="X297" i="83"/>
  <c r="Y297" i="83"/>
  <c r="Z297" i="83"/>
  <c r="AA297" i="83"/>
  <c r="G308" i="83"/>
  <c r="H308" i="83"/>
  <c r="I308" i="83"/>
  <c r="J308" i="83"/>
  <c r="K308" i="83"/>
  <c r="L308" i="83"/>
  <c r="M308" i="83"/>
  <c r="N308" i="83"/>
  <c r="O308" i="83"/>
  <c r="P308" i="83"/>
  <c r="Q308" i="83"/>
  <c r="R308" i="83"/>
  <c r="S308" i="83"/>
  <c r="T308" i="83"/>
  <c r="U308" i="83"/>
  <c r="V308" i="83"/>
  <c r="W308" i="83"/>
  <c r="X308" i="83"/>
  <c r="Y308" i="83"/>
  <c r="Z308" i="83"/>
  <c r="AA308" i="83"/>
  <c r="AB308" i="83"/>
  <c r="G309" i="83"/>
  <c r="H309" i="83"/>
  <c r="I309" i="83"/>
  <c r="J309" i="83"/>
  <c r="K309" i="83"/>
  <c r="L309" i="83"/>
  <c r="M309" i="83"/>
  <c r="N309" i="83"/>
  <c r="O309" i="83"/>
  <c r="P309" i="83"/>
  <c r="Q309" i="83"/>
  <c r="R309" i="83"/>
  <c r="S309" i="83"/>
  <c r="T309" i="83"/>
  <c r="U309" i="83"/>
  <c r="V309" i="83"/>
  <c r="W309" i="83"/>
  <c r="X309" i="83"/>
  <c r="Y309" i="83"/>
  <c r="Z309" i="83"/>
  <c r="AA309" i="83"/>
  <c r="AB309" i="83"/>
  <c r="G310" i="83"/>
  <c r="H310" i="83"/>
  <c r="I310" i="83"/>
  <c r="J310" i="83"/>
  <c r="K310" i="83"/>
  <c r="L310" i="83"/>
  <c r="M310" i="83"/>
  <c r="N310" i="83"/>
  <c r="O310" i="83"/>
  <c r="P310" i="83"/>
  <c r="Q310" i="83"/>
  <c r="R310" i="83"/>
  <c r="S310" i="83"/>
  <c r="T310" i="83"/>
  <c r="U310" i="83"/>
  <c r="V310" i="83"/>
  <c r="W310" i="83"/>
  <c r="X310" i="83"/>
  <c r="Y310" i="83"/>
  <c r="Z310" i="83"/>
  <c r="AA310" i="83"/>
  <c r="AB310" i="83"/>
  <c r="G311" i="83"/>
  <c r="G313" i="83"/>
  <c r="H313" i="83"/>
  <c r="I313" i="83"/>
  <c r="J313" i="83"/>
  <c r="K313" i="83"/>
  <c r="L313" i="83"/>
  <c r="M313" i="83"/>
  <c r="N313" i="83"/>
  <c r="O313" i="83"/>
  <c r="P313" i="83"/>
  <c r="Q313" i="83"/>
  <c r="R313" i="83"/>
  <c r="S313" i="83"/>
  <c r="T313" i="83"/>
  <c r="U313" i="83"/>
  <c r="V313" i="83"/>
  <c r="W313" i="83"/>
  <c r="X313" i="83"/>
  <c r="Y313" i="83"/>
  <c r="Z313" i="83"/>
  <c r="AA313" i="83"/>
  <c r="G314" i="83"/>
  <c r="G315" i="83"/>
  <c r="G218" i="82"/>
  <c r="H218" i="82"/>
  <c r="I218" i="82"/>
  <c r="J218" i="82"/>
  <c r="K218" i="82"/>
  <c r="L218" i="82"/>
  <c r="M218" i="82"/>
  <c r="N218" i="82"/>
  <c r="O218" i="82"/>
  <c r="P218" i="82"/>
  <c r="Q218" i="82"/>
  <c r="R218" i="82"/>
  <c r="S218" i="82"/>
  <c r="T218" i="82"/>
  <c r="U218" i="82"/>
  <c r="V218" i="82"/>
  <c r="W218" i="82"/>
  <c r="X218" i="82"/>
  <c r="Y218" i="82"/>
  <c r="Z218" i="82"/>
  <c r="AA218" i="82"/>
  <c r="H219" i="82"/>
  <c r="I219" i="82"/>
  <c r="J219" i="82"/>
  <c r="K219" i="82"/>
  <c r="L219" i="82"/>
  <c r="M219" i="82"/>
  <c r="N219" i="82"/>
  <c r="O219" i="82"/>
  <c r="P219" i="82"/>
  <c r="Q219" i="82"/>
  <c r="R219" i="82"/>
  <c r="S219" i="82"/>
  <c r="T219" i="82"/>
  <c r="U219" i="82"/>
  <c r="V219" i="82"/>
  <c r="W219" i="82"/>
  <c r="X219" i="82"/>
  <c r="Y219" i="82"/>
  <c r="Z219" i="82"/>
  <c r="AA219" i="82"/>
  <c r="G220" i="82"/>
  <c r="H228" i="82"/>
  <c r="I228" i="82"/>
  <c r="J228" i="82"/>
  <c r="K228" i="82"/>
  <c r="L228" i="82"/>
  <c r="M228" i="82"/>
  <c r="N228" i="82"/>
  <c r="O228" i="82"/>
  <c r="P228" i="82"/>
  <c r="Q228" i="82"/>
  <c r="R228" i="82"/>
  <c r="S228" i="82"/>
  <c r="T228" i="82"/>
  <c r="U228" i="82"/>
  <c r="V228" i="82"/>
  <c r="W228" i="82"/>
  <c r="X228" i="82"/>
  <c r="Y228" i="82"/>
  <c r="Z228" i="82"/>
  <c r="AA228" i="82"/>
  <c r="H230" i="82"/>
  <c r="I230" i="82"/>
  <c r="J230" i="82"/>
  <c r="K230" i="82"/>
  <c r="L230" i="82"/>
  <c r="M230" i="82"/>
  <c r="N230" i="82"/>
  <c r="O230" i="82"/>
  <c r="P230" i="82"/>
  <c r="Q230" i="82"/>
  <c r="R230" i="82"/>
  <c r="S230" i="82"/>
  <c r="T230" i="82"/>
  <c r="U230" i="82"/>
  <c r="V230" i="82"/>
  <c r="W230" i="82"/>
  <c r="X230" i="82"/>
  <c r="Y230" i="82"/>
  <c r="Z230" i="82"/>
  <c r="AA230" i="82"/>
  <c r="H231" i="82"/>
  <c r="I231" i="82"/>
  <c r="J231" i="82"/>
  <c r="K231" i="82"/>
  <c r="L231" i="82"/>
  <c r="M231" i="82"/>
  <c r="N231" i="82"/>
  <c r="O231" i="82"/>
  <c r="P231" i="82"/>
  <c r="Q231" i="82"/>
  <c r="R231" i="82"/>
  <c r="S231" i="82"/>
  <c r="T231" i="82"/>
  <c r="U231" i="82"/>
  <c r="V231" i="82"/>
  <c r="W231" i="82"/>
  <c r="X231" i="82"/>
  <c r="Y231" i="82"/>
  <c r="Z231" i="82"/>
  <c r="AA231" i="82"/>
  <c r="H242" i="82"/>
  <c r="I242" i="82"/>
  <c r="J242" i="82"/>
  <c r="K242" i="82"/>
  <c r="L242" i="82"/>
  <c r="M242" i="82"/>
  <c r="N242" i="82"/>
  <c r="O242" i="82"/>
  <c r="P242" i="82"/>
  <c r="Q242" i="82"/>
  <c r="R242" i="82"/>
  <c r="S242" i="82"/>
  <c r="T242" i="82"/>
  <c r="U242" i="82"/>
  <c r="V242" i="82"/>
  <c r="W242" i="82"/>
  <c r="X242" i="82"/>
  <c r="Y242" i="82"/>
  <c r="Z242" i="82"/>
  <c r="AA242" i="82"/>
  <c r="AB242" i="82"/>
  <c r="H243" i="82"/>
  <c r="I243" i="82"/>
  <c r="J243" i="82"/>
  <c r="K243" i="82"/>
  <c r="L243" i="82"/>
  <c r="M243" i="82"/>
  <c r="N243" i="82"/>
  <c r="O243" i="82"/>
  <c r="P243" i="82"/>
  <c r="Q243" i="82"/>
  <c r="R243" i="82"/>
  <c r="S243" i="82"/>
  <c r="T243" i="82"/>
  <c r="U243" i="82"/>
  <c r="V243" i="82"/>
  <c r="W243" i="82"/>
  <c r="X243" i="82"/>
  <c r="Y243" i="82"/>
  <c r="Z243" i="82"/>
  <c r="AA243" i="82"/>
  <c r="AB243" i="82"/>
  <c r="H244" i="82"/>
  <c r="I244" i="82"/>
  <c r="J244" i="82"/>
  <c r="K244" i="82"/>
  <c r="L244" i="82"/>
  <c r="M244" i="82"/>
  <c r="N244" i="82"/>
  <c r="O244" i="82"/>
  <c r="P244" i="82"/>
  <c r="Q244" i="82"/>
  <c r="R244" i="82"/>
  <c r="S244" i="82"/>
  <c r="T244" i="82"/>
  <c r="U244" i="82"/>
  <c r="V244" i="82"/>
  <c r="W244" i="82"/>
  <c r="X244" i="82"/>
  <c r="Y244" i="82"/>
  <c r="Z244" i="82"/>
  <c r="AA244" i="82"/>
  <c r="AB244" i="82"/>
  <c r="G245" i="82"/>
  <c r="H247" i="82"/>
  <c r="I247" i="82"/>
  <c r="J247" i="82"/>
  <c r="K247" i="82"/>
  <c r="L247" i="82"/>
  <c r="M247" i="82"/>
  <c r="N247" i="82"/>
  <c r="O247" i="82"/>
  <c r="P247" i="82"/>
  <c r="Q247" i="82"/>
  <c r="R247" i="82"/>
  <c r="S247" i="82"/>
  <c r="T247" i="82"/>
  <c r="U247" i="82"/>
  <c r="V247" i="82"/>
  <c r="W247" i="82"/>
  <c r="X247" i="82"/>
  <c r="Y247" i="82"/>
  <c r="Z247" i="82"/>
  <c r="AA247" i="82"/>
  <c r="G248" i="82"/>
  <c r="G249" i="82"/>
  <c r="G253" i="82"/>
  <c r="G262" i="82"/>
  <c r="G264" i="82"/>
  <c r="G265" i="82"/>
  <c r="G276" i="82"/>
  <c r="G277" i="82"/>
  <c r="G278" i="82"/>
  <c r="G279" i="82"/>
  <c r="G280" i="82"/>
  <c r="G284" i="82"/>
  <c r="H284" i="82"/>
  <c r="I284" i="82"/>
  <c r="J284" i="82"/>
  <c r="K284" i="82"/>
  <c r="L284" i="82"/>
  <c r="M284" i="82"/>
  <c r="N284" i="82"/>
  <c r="O284" i="82"/>
  <c r="P284" i="82"/>
  <c r="Q284" i="82"/>
  <c r="R284" i="82"/>
  <c r="S284" i="82"/>
  <c r="T284" i="82"/>
  <c r="U284" i="82"/>
  <c r="V284" i="82"/>
  <c r="W284" i="82"/>
  <c r="X284" i="82"/>
  <c r="Y284" i="82"/>
  <c r="Z284" i="82"/>
  <c r="AA284" i="82"/>
  <c r="G285" i="82"/>
  <c r="H285" i="82"/>
  <c r="I285" i="82"/>
  <c r="J285" i="82"/>
  <c r="K285" i="82"/>
  <c r="L285" i="82"/>
  <c r="M285" i="82"/>
  <c r="N285" i="82"/>
  <c r="O285" i="82"/>
  <c r="P285" i="82"/>
  <c r="Q285" i="82"/>
  <c r="R285" i="82"/>
  <c r="S285" i="82"/>
  <c r="T285" i="82"/>
  <c r="U285" i="82"/>
  <c r="V285" i="82"/>
  <c r="W285" i="82"/>
  <c r="X285" i="82"/>
  <c r="Y285" i="82"/>
  <c r="Z285" i="82"/>
  <c r="AA285" i="82"/>
  <c r="G286" i="82"/>
  <c r="G294" i="82"/>
  <c r="H294" i="82"/>
  <c r="I294" i="82"/>
  <c r="J294" i="82"/>
  <c r="K294" i="82"/>
  <c r="L294" i="82"/>
  <c r="M294" i="82"/>
  <c r="N294" i="82"/>
  <c r="O294" i="82"/>
  <c r="P294" i="82"/>
  <c r="Q294" i="82"/>
  <c r="R294" i="82"/>
  <c r="S294" i="82"/>
  <c r="T294" i="82"/>
  <c r="U294" i="82"/>
  <c r="V294" i="82"/>
  <c r="W294" i="82"/>
  <c r="X294" i="82"/>
  <c r="Y294" i="82"/>
  <c r="Z294" i="82"/>
  <c r="AA294" i="82"/>
  <c r="G296" i="82"/>
  <c r="H296" i="82"/>
  <c r="I296" i="82"/>
  <c r="J296" i="82"/>
  <c r="K296" i="82"/>
  <c r="L296" i="82"/>
  <c r="M296" i="82"/>
  <c r="N296" i="82"/>
  <c r="O296" i="82"/>
  <c r="P296" i="82"/>
  <c r="Q296" i="82"/>
  <c r="R296" i="82"/>
  <c r="S296" i="82"/>
  <c r="T296" i="82"/>
  <c r="U296" i="82"/>
  <c r="V296" i="82"/>
  <c r="W296" i="82"/>
  <c r="X296" i="82"/>
  <c r="Y296" i="82"/>
  <c r="Z296" i="82"/>
  <c r="AA296" i="82"/>
  <c r="G297" i="82"/>
  <c r="H297" i="82"/>
  <c r="I297" i="82"/>
  <c r="J297" i="82"/>
  <c r="K297" i="82"/>
  <c r="L297" i="82"/>
  <c r="M297" i="82"/>
  <c r="N297" i="82"/>
  <c r="O297" i="82"/>
  <c r="P297" i="82"/>
  <c r="Q297" i="82"/>
  <c r="R297" i="82"/>
  <c r="S297" i="82"/>
  <c r="T297" i="82"/>
  <c r="U297" i="82"/>
  <c r="V297" i="82"/>
  <c r="W297" i="82"/>
  <c r="X297" i="82"/>
  <c r="Y297" i="82"/>
  <c r="Z297" i="82"/>
  <c r="AA297" i="82"/>
  <c r="G308" i="82"/>
  <c r="H308" i="82"/>
  <c r="I308" i="82"/>
  <c r="J308" i="82"/>
  <c r="K308" i="82"/>
  <c r="L308" i="82"/>
  <c r="M308" i="82"/>
  <c r="N308" i="82"/>
  <c r="O308" i="82"/>
  <c r="P308" i="82"/>
  <c r="Q308" i="82"/>
  <c r="R308" i="82"/>
  <c r="S308" i="82"/>
  <c r="T308" i="82"/>
  <c r="U308" i="82"/>
  <c r="V308" i="82"/>
  <c r="W308" i="82"/>
  <c r="X308" i="82"/>
  <c r="Y308" i="82"/>
  <c r="Z308" i="82"/>
  <c r="AA308" i="82"/>
  <c r="AB308" i="82"/>
  <c r="G309" i="82"/>
  <c r="H309" i="82"/>
  <c r="I309" i="82"/>
  <c r="J309" i="82"/>
  <c r="K309" i="82"/>
  <c r="L309" i="82"/>
  <c r="M309" i="82"/>
  <c r="N309" i="82"/>
  <c r="O309" i="82"/>
  <c r="P309" i="82"/>
  <c r="Q309" i="82"/>
  <c r="R309" i="82"/>
  <c r="S309" i="82"/>
  <c r="T309" i="82"/>
  <c r="U309" i="82"/>
  <c r="V309" i="82"/>
  <c r="W309" i="82"/>
  <c r="X309" i="82"/>
  <c r="Y309" i="82"/>
  <c r="Z309" i="82"/>
  <c r="AA309" i="82"/>
  <c r="AB309" i="82"/>
  <c r="G310" i="82"/>
  <c r="H310" i="82"/>
  <c r="I310" i="82"/>
  <c r="J310" i="82"/>
  <c r="K310" i="82"/>
  <c r="L310" i="82"/>
  <c r="M310" i="82"/>
  <c r="N310" i="82"/>
  <c r="O310" i="82"/>
  <c r="P310" i="82"/>
  <c r="Q310" i="82"/>
  <c r="R310" i="82"/>
  <c r="S310" i="82"/>
  <c r="T310" i="82"/>
  <c r="U310" i="82"/>
  <c r="V310" i="82"/>
  <c r="W310" i="82"/>
  <c r="X310" i="82"/>
  <c r="Y310" i="82"/>
  <c r="Z310" i="82"/>
  <c r="AA310" i="82"/>
  <c r="AB310" i="82"/>
  <c r="G311" i="82"/>
  <c r="G313" i="82"/>
  <c r="H313" i="82"/>
  <c r="I313" i="82"/>
  <c r="J313" i="82"/>
  <c r="K313" i="82"/>
  <c r="L313" i="82"/>
  <c r="M313" i="82"/>
  <c r="N313" i="82"/>
  <c r="O313" i="82"/>
  <c r="P313" i="82"/>
  <c r="Q313" i="82"/>
  <c r="R313" i="82"/>
  <c r="S313" i="82"/>
  <c r="T313" i="82"/>
  <c r="U313" i="82"/>
  <c r="V313" i="82"/>
  <c r="W313" i="82"/>
  <c r="X313" i="82"/>
  <c r="Y313" i="82"/>
  <c r="Z313" i="82"/>
  <c r="AA313" i="82"/>
  <c r="G314" i="82"/>
  <c r="G315" i="82"/>
  <c r="C4" i="8"/>
  <c r="C5" i="8"/>
  <c r="C6" i="8"/>
  <c r="C7" i="8"/>
  <c r="C11" i="8"/>
  <c r="C12" i="8"/>
  <c r="C13" i="8"/>
  <c r="C14" i="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tc={CDA72921-6E9F-4101-B5DE-660EFA4E46CF}</author>
    <author>tc={835C032C-0C26-4E8F-892E-0A0E512CCAB4}</author>
    <author>Author</author>
    <author>tc={F7177673-3D2B-485A-9054-7BC3ABF036F1}</author>
    <author>tc={C4805025-D54B-4E79-9E78-177690A0446C}</author>
  </authors>
  <commentList>
    <comment ref="M18" authorId="0" shapeId="0" xr:uid="{CDA72921-6E9F-4101-B5DE-660EFA4E46CF}">
      <text>
        <t>[Threaded comment]
Your version of Excel allows you to read this threaded comment; however, any edits to it will get removed if the file is opened in a newer version of Excel. Learn more: https://go.microsoft.com/fwlink/?linkid=870924
Comment:
    736390</t>
      </text>
    </comment>
    <comment ref="M19" authorId="1" shapeId="0" xr:uid="{835C032C-0C26-4E8F-892E-0A0E512CCAB4}">
      <text>
        <t>[Threaded comment]
Your version of Excel allows you to read this threaded comment; however, any edits to it will get removed if the file is opened in a newer version of Excel. Learn more: https://go.microsoft.com/fwlink/?linkid=870924
Comment:
    713,900</t>
      </text>
    </comment>
    <comment ref="Z23" authorId="2" shapeId="0" xr:uid="{9A3CE398-9A7B-4265-84DE-8F744F72DD6D}">
      <text>
        <r>
          <rPr>
            <b/>
            <sz val="9"/>
            <color indexed="81"/>
            <rFont val="Tahoma"/>
            <family val="2"/>
          </rPr>
          <t>Author:</t>
        </r>
        <r>
          <rPr>
            <sz val="9"/>
            <color indexed="81"/>
            <rFont val="Tahoma"/>
            <family val="2"/>
          </rPr>
          <t xml:space="preserve">
where does this trend come from??</t>
        </r>
      </text>
    </comment>
    <comment ref="M42" authorId="3" shapeId="0" xr:uid="{F7177673-3D2B-485A-9054-7BC3ABF036F1}">
      <text>
        <t>[Threaded comment]
Your version of Excel allows you to read this threaded comment; however, any edits to it will get removed if the file is opened in a newer version of Excel. Learn more: https://go.microsoft.com/fwlink/?linkid=870924
Comment:
    44855</t>
      </text>
    </comment>
    <comment ref="M43" authorId="4" shapeId="0" xr:uid="{C4805025-D54B-4E79-9E78-177690A0446C}">
      <text>
        <t>[Threaded comment]
Your version of Excel allows you to read this threaded comment; however, any edits to it will get removed if the file is opened in a newer version of Excel. Learn more: https://go.microsoft.com/fwlink/?linkid=870924
Comment:
    42494</t>
      </text>
    </comment>
    <comment ref="L52" authorId="2" shapeId="0" xr:uid="{CC3075CF-5D35-471B-9F18-3B9C331C2CCC}">
      <text>
        <r>
          <rPr>
            <b/>
            <sz val="9"/>
            <color indexed="81"/>
            <rFont val="Tahoma"/>
            <family val="2"/>
          </rPr>
          <t>Author:</t>
        </r>
        <r>
          <rPr>
            <sz val="9"/>
            <color indexed="81"/>
            <rFont val="Tahoma"/>
            <family val="2"/>
          </rPr>
          <t xml:space="preserve">
No clear trend anymore, hold constant</t>
        </r>
      </text>
    </comment>
    <comment ref="L56" authorId="2" shapeId="0" xr:uid="{7EF4CFF7-C578-4566-A6B8-70DF264254B1}">
      <text>
        <r>
          <rPr>
            <b/>
            <sz val="9"/>
            <color indexed="81"/>
            <rFont val="Tahoma"/>
            <family val="2"/>
          </rPr>
          <t>Author:</t>
        </r>
        <r>
          <rPr>
            <sz val="9"/>
            <color indexed="81"/>
            <rFont val="Tahoma"/>
            <family val="2"/>
          </rPr>
          <t xml:space="preserve">
no clear trend anymore, hold constant</t>
        </r>
      </text>
    </comment>
  </commentList>
</comments>
</file>

<file path=xl/sharedStrings.xml><?xml version="1.0" encoding="utf-8"?>
<sst xmlns="http://schemas.openxmlformats.org/spreadsheetml/2006/main" count="9793" uniqueCount="483">
  <si>
    <t>Year</t>
  </si>
  <si>
    <t>Incremental Capital Expenditure</t>
  </si>
  <si>
    <t>Planned Expenditure without Development</t>
  </si>
  <si>
    <t>(number)</t>
  </si>
  <si>
    <t>($/ML)</t>
  </si>
  <si>
    <t>Inflation Assumption</t>
  </si>
  <si>
    <t>Planned Expenditure with Development</t>
  </si>
  <si>
    <t>($)</t>
  </si>
  <si>
    <t>(%)</t>
  </si>
  <si>
    <t>Tax Calculation</t>
  </si>
  <si>
    <t>Incremental O&amp;M</t>
  </si>
  <si>
    <t>Incremental Tariff Revenue</t>
  </si>
  <si>
    <t>Tax Depreciation</t>
  </si>
  <si>
    <t>Capital Contributions</t>
  </si>
  <si>
    <t>Change in Net Taxable Income</t>
  </si>
  <si>
    <t>Change in Tax</t>
  </si>
  <si>
    <t>Corporate Tax Rate</t>
  </si>
  <si>
    <t>Total</t>
  </si>
  <si>
    <t>Contribution per customer</t>
  </si>
  <si>
    <t>Works Brought Forward / Deferred</t>
  </si>
  <si>
    <t>Tax</t>
  </si>
  <si>
    <t>Capital contribution revenue</t>
  </si>
  <si>
    <t>($/customer)</t>
  </si>
  <si>
    <t>Net Cash Flow</t>
  </si>
  <si>
    <t>NPV of Cash Flow</t>
  </si>
  <si>
    <t>Works Brought Forward or Deferred</t>
  </si>
  <si>
    <t>Incremental O&amp;M per customer</t>
  </si>
  <si>
    <t>Incremental per unit Volume</t>
  </si>
  <si>
    <t>NPV Calculation</t>
  </si>
  <si>
    <t>Customers</t>
  </si>
  <si>
    <t>Real Discount Rate</t>
  </si>
  <si>
    <t>NPV of Cash Flow excl Capital Contribution</t>
  </si>
  <si>
    <t>Post Tax Nominal Discount Factor</t>
  </si>
  <si>
    <t>Per Customer Capital Contribution Calculation</t>
  </si>
  <si>
    <t>Error Check</t>
  </si>
  <si>
    <t>Entire Development Up-Front Contribution</t>
  </si>
  <si>
    <t>Custom Basis Capital Contribution Calculation</t>
  </si>
  <si>
    <t>Contribution per payment basis</t>
  </si>
  <si>
    <t>($/payment basis)</t>
  </si>
  <si>
    <t>Other incremental O&amp;M</t>
  </si>
  <si>
    <t>Forecast Fixed Tariff</t>
  </si>
  <si>
    <t>($/customer p.a.)</t>
  </si>
  <si>
    <t>Payments</t>
  </si>
  <si>
    <t>(kL/customer p.a.)</t>
  </si>
  <si>
    <t>Label 1</t>
  </si>
  <si>
    <t>Label 2</t>
  </si>
  <si>
    <t>Label 3</t>
  </si>
  <si>
    <t>Label 4</t>
  </si>
  <si>
    <t>Other Benefits (Taxable Income)</t>
  </si>
  <si>
    <t>Other Benefits (Not Taxable Income)</t>
  </si>
  <si>
    <t>Label 6</t>
  </si>
  <si>
    <t>Label 7</t>
  </si>
  <si>
    <t>Label 8</t>
  </si>
  <si>
    <t>Red Text</t>
  </si>
  <si>
    <t>Black Text</t>
  </si>
  <si>
    <t>Blue Text</t>
  </si>
  <si>
    <t>Green Text</t>
  </si>
  <si>
    <t>Incremental Bulk Water Purchases</t>
  </si>
  <si>
    <t>(ML)</t>
  </si>
  <si>
    <t>Tariff Class 1</t>
  </si>
  <si>
    <t>Cumulative Incremental Customers</t>
  </si>
  <si>
    <t>Standard Customers per Customer</t>
  </si>
  <si>
    <t>Incremental Volume - Rate Block 1</t>
  </si>
  <si>
    <t>Incremental Volume - Rate Block 2</t>
  </si>
  <si>
    <t>Volume - Rate Block 1</t>
  </si>
  <si>
    <t>Volume - Rate Block 2</t>
  </si>
  <si>
    <t>Tariff Real Escalation</t>
  </si>
  <si>
    <t>Forecast Rate Block 1 Tariff</t>
  </si>
  <si>
    <t>Forecast Rate Block 2 Tariff</t>
  </si>
  <si>
    <t>Tariff Class 1 Volume</t>
  </si>
  <si>
    <t>Tariff Class 1 Revenue</t>
  </si>
  <si>
    <t>Tariff Class 2</t>
  </si>
  <si>
    <t>Tariff Class 2 Volume</t>
  </si>
  <si>
    <t>Tariff Class 2 Revenue</t>
  </si>
  <si>
    <t>Tariff Class 3</t>
  </si>
  <si>
    <t>Tariff Class 3 Volume</t>
  </si>
  <si>
    <t>Tariff Class 3 Revenue</t>
  </si>
  <si>
    <t>Tariff Class 4</t>
  </si>
  <si>
    <t>Tariff Class 4 Volume</t>
  </si>
  <si>
    <t>Tariff Class 4 Revenue</t>
  </si>
  <si>
    <t>Summary</t>
  </si>
  <si>
    <t>Total Incremental Volume</t>
  </si>
  <si>
    <t>Total Incremental Revenue</t>
  </si>
  <si>
    <t>Revenue per Standard Customer</t>
  </si>
  <si>
    <t>Volume per Standard Custmer</t>
  </si>
  <si>
    <t>(kL/customer)</t>
  </si>
  <si>
    <t>Revenue per ML</t>
  </si>
  <si>
    <t>Customers Connected in Year</t>
  </si>
  <si>
    <t>Standard Customers Connected in Year</t>
  </si>
  <si>
    <t>Cumulative Incremental Standard Customers</t>
  </si>
  <si>
    <t>Total Incremental Standard Customers</t>
  </si>
  <si>
    <t>Total Standard Customers Connected in Year</t>
  </si>
  <si>
    <t>Financial Assumptions</t>
  </si>
  <si>
    <t>Capital Contribution Model</t>
  </si>
  <si>
    <t>Colour Codes</t>
  </si>
  <si>
    <t>Indicates a calculation cell.</t>
  </si>
  <si>
    <t>Indicates a reference to a note or assumption, an error check or comment cell.</t>
  </si>
  <si>
    <t>Indicates an output cell.</t>
  </si>
  <si>
    <t>Notes &amp; Assumptions</t>
  </si>
  <si>
    <t>Inflation assumption used to inflate tariffs, per customer contributions, and operating and maintenance expenses.</t>
  </si>
  <si>
    <t>Post tax nominal discount rate assumption used to calculate NPVs.  The discount rate is effectively the rate of return on investment earned by the retailer.  The rate should be equal to the business's allowed ROI / WACC.</t>
  </si>
  <si>
    <t>Corporate tax (or tax equivalent) rate.</t>
  </si>
  <si>
    <t>The notes below are placeholders.  When the model is populated with real data the notes should be overwritten with details of the source of the particular input.  For example, "Discount rate from ESC final determination 2012, p23."</t>
  </si>
  <si>
    <t>Incremental capital expenditure associated with the development.  Expenditure is grouped into asset life classes so that tax depreciation can be estimated.</t>
  </si>
  <si>
    <t>Capital expenditure programme without the development.  Used to calculate costs of bring forward or benefits of deferral.</t>
  </si>
  <si>
    <t>Capital expenditure programme with the development.  Used to calculate costs of bring forward or benefits of deferral.</t>
  </si>
  <si>
    <t>The model calculates the quantum of capital contribution(s) required for a development.
The model calculates three types of capital contribution:
• a standard per-customer contribution;
• a whole-of-development up front contribution; and
• a “custom” contribution.
The model estimates the net present value (NPV) of development cash flows, excluding capital contributions.  If the NPV of development cash flows is positive, no capital contribution is required.  If the NPV of development cash flows is negative, the model calculates the capital contribution necessary to make the development NPV=0.</t>
  </si>
  <si>
    <t>Gifted Assets</t>
  </si>
  <si>
    <t>Gifted assets are included in the capital contribution calculation because they affect tax cash flows.</t>
  </si>
  <si>
    <t>Government Contributions (Not Taxable Income)</t>
  </si>
  <si>
    <t>Service Lookup Data</t>
  </si>
  <si>
    <t>Water Supply</t>
  </si>
  <si>
    <t>Wastewater</t>
  </si>
  <si>
    <t>Recycled Water</t>
  </si>
  <si>
    <t>Service Selection</t>
  </si>
  <si>
    <t>(selection)</t>
  </si>
  <si>
    <t>Service Description</t>
  </si>
  <si>
    <t>Bulk Purchase/Processing Description</t>
  </si>
  <si>
    <t>Charge Real Escalation</t>
  </si>
  <si>
    <t>Bulk Water</t>
  </si>
  <si>
    <t>Bulk Wastewater</t>
  </si>
  <si>
    <t>Bulk Recycled Water Processing</t>
  </si>
  <si>
    <t>Variable Charges</t>
  </si>
  <si>
    <t>Fixed Charges</t>
  </si>
  <si>
    <t>Temporary Asset O&amp;M</t>
  </si>
  <si>
    <t>Cost Real Escalation</t>
  </si>
  <si>
    <t>Asset Class Life Inputs</t>
  </si>
  <si>
    <t>Temporary Assets</t>
  </si>
  <si>
    <t>Pipes</t>
  </si>
  <si>
    <t>Pumps</t>
  </si>
  <si>
    <t>Valves and Meters</t>
  </si>
  <si>
    <t>Non-Depreciating Assets</t>
  </si>
  <si>
    <t>Change in Tax Depreciation from Capital Expenditure</t>
  </si>
  <si>
    <t>Total Tax Depreciation from Capital Expenditure</t>
  </si>
  <si>
    <t>Change in Tax Depreciation from Gifted Assets</t>
  </si>
  <si>
    <t>Total Tax Depreciation from Gifted Assets</t>
  </si>
  <si>
    <t>Tax Depreciation without Development</t>
  </si>
  <si>
    <t>Total Tax Depreciation without Development</t>
  </si>
  <si>
    <t>Change in Works Cash Flows from Bring Forward or Deferral</t>
  </si>
  <si>
    <t>Change in Tax Depreciation from Bring Forward or Deferral</t>
  </si>
  <si>
    <t>Incremental Volume - Rate Block 3</t>
  </si>
  <si>
    <t>Volume - Rate Block 3</t>
  </si>
  <si>
    <t>Forecast Rate Block 3 Tariff</t>
  </si>
  <si>
    <t>($/kL)</t>
  </si>
  <si>
    <t>(kL)</t>
  </si>
  <si>
    <t>(years)</t>
  </si>
  <si>
    <t>Brown Text</t>
  </si>
  <si>
    <t>Indicates an input cell where the user must select from a list of options.</t>
  </si>
  <si>
    <t>Indicates an input cell where the user may insert any value.</t>
  </si>
  <si>
    <t>On-going O&amp;M</t>
  </si>
  <si>
    <t>This input specifies the type of development is being considered: water supply, wastewater or recycled water.</t>
  </si>
  <si>
    <t>Enter labels for three asset classes (e.g. “Pipes”, “Pumps” and “Meters” or “50 Year Assets”, “25 Year Assets” and “10 Year Assets).  In addition to the user-defined classes, there is a “Temporary Asset” class.  Enter the asset lives for each asset class.  Asset lives are used only for tax depreciation purposes so tax lives should be entered.</t>
  </si>
  <si>
    <t>Enter an amount for any Government contributions to the project.  Government contributions are not taxable incomes so Government contributions do not appear in the tax calculation.  However, Government contributions do form part of the cash flows, reducing the revenue required from customer/developer capital contributions.</t>
  </si>
  <si>
    <t>Enter a forecast of the connection of new customers for the particular tariff class.  Note this is new connections in the year.  Cumulative connections are calculated in the row below.</t>
  </si>
  <si>
    <t>The number of standard customers per customer in the tariff class is used where a per-customer contribution is required.  Some connections may be the equivalent of many residential customers and therefore the retailer may choose a “standard customer” factor to scale the required capital contribution.  The standard customer connection number is also used to scale the per customer O&amp;M expense.</t>
  </si>
  <si>
    <t>Enter a forecast consumption per customer by rate block.  For tariffs with a single variable rate, leave rate block 2 and rate block 3 blank. For tariffs with two rate blocks, leave rate block 3 blank.</t>
  </si>
  <si>
    <t xml:space="preserve">Enter a real tariff escalation rate.  This is the "-X" factor in a CPI-X decision.  For example if a particular tariff is required to increase at CPI-1% in a particular year, then enter -1% in the real tariff escalation input. </t>
  </si>
  <si>
    <t>Enter the current retail tariff.  For tariffs with a single variable rate, leave rate block 2 and rate block 3 blank. For tariffs with two rate blocks, leave rate block 3 blank.</t>
  </si>
  <si>
    <t xml:space="preserve">For the appropriate bulk tariff/cost, enter a real tariff/cost escalation rate.  For example if a bulk water tariff is required to increase at CPI+2% in a particular year, then enter 2% in the real tariff escalation input. </t>
  </si>
  <si>
    <t>Enter the vairable cost or tariff for the bulk service.</t>
  </si>
  <si>
    <t>Enter the incremental cost or tariff for the bulk service.</t>
  </si>
  <si>
    <t xml:space="preserve">Enter the real O&amp;M cost escalation rate.  </t>
  </si>
  <si>
    <t>Enter the estimated on-going incremental O&amp;M cost per standard customer.</t>
  </si>
  <si>
    <t>Enter the estimated on-going incremental O&amp;M cost per ML of demand.</t>
  </si>
  <si>
    <t>Enter other on-going incremental O&amp;M costs (e.g. incremental periodic maintenance).</t>
  </si>
  <si>
    <t>Enter the estimated temporary asset O&amp;M cost per ML of demand.</t>
  </si>
  <si>
    <t>Enter other temporary asset O&amp;M costs.</t>
  </si>
  <si>
    <t>Other Benefits (Taxable Income) are benefits for which the benefit is treated as taxable income.  Enter a label to describe the benefit and a forecast of the benefit value.</t>
  </si>
  <si>
    <t>Other Benefits (Not Taxable Income) are benefits for which the benefit is not treated as taxable income.  Enter a label to describe the benefit and a forecast of the benefit value.</t>
  </si>
  <si>
    <t>For the “custom” contribution, enter the number of contributions to be paid in each year.  The model then calculates the quantum of the contribution necessary. For example, if the developer and retailer agree that the developer should pay four annual payments (one payment per year in each of the first four years of the development), then the user should enter a “1” in each of the first four years of the “payments” row.</t>
  </si>
  <si>
    <t>Enter the service names and labels for associated bulk tariffs.</t>
  </si>
  <si>
    <t xml:space="preserve">Value of Franking Credits (as a Proportion of Face Value) </t>
  </si>
  <si>
    <t>Enter value of franking credits as a proportion of face value.  This is sometimes referred to as "gamma" in regulated WACC calculation.</t>
  </si>
  <si>
    <t>Value of Franking Credits</t>
  </si>
  <si>
    <t>Water order ($500 per ML in 2012/13 dollars)</t>
  </si>
  <si>
    <t>Sewer</t>
  </si>
  <si>
    <t>Water</t>
  </si>
  <si>
    <t>2005/06</t>
  </si>
  <si>
    <t>2006/07</t>
  </si>
  <si>
    <t>2007/08</t>
  </si>
  <si>
    <t>2008/09</t>
  </si>
  <si>
    <t>2009/10</t>
  </si>
  <si>
    <t>2010/11</t>
  </si>
  <si>
    <t>2018-19</t>
  </si>
  <si>
    <t>2019-20</t>
  </si>
  <si>
    <t>2020-21</t>
  </si>
  <si>
    <t>2021-22</t>
  </si>
  <si>
    <t>2022-23</t>
  </si>
  <si>
    <t>Water &amp; Sewer</t>
  </si>
  <si>
    <t>2011/12</t>
  </si>
  <si>
    <t>2012/13</t>
  </si>
  <si>
    <t>2013/14</t>
  </si>
  <si>
    <t>2014/15</t>
  </si>
  <si>
    <t>2015/16</t>
  </si>
  <si>
    <t>2016/17</t>
  </si>
  <si>
    <t>2017/18</t>
  </si>
  <si>
    <t>2019/20</t>
  </si>
  <si>
    <t>2020/21</t>
  </si>
  <si>
    <t>2021/22</t>
  </si>
  <si>
    <t>2022/23</t>
  </si>
  <si>
    <t>Service</t>
  </si>
  <si>
    <t>Actual
Dollars of the day
$M</t>
  </si>
  <si>
    <t>Proposed Expenditure
$M</t>
  </si>
  <si>
    <t>10 year average</t>
  </si>
  <si>
    <t>Water Growth Works</t>
  </si>
  <si>
    <t>Water Developer Reimbursements</t>
  </si>
  <si>
    <t>Water Growth Third Party Funded</t>
  </si>
  <si>
    <t>Total Water Growth</t>
  </si>
  <si>
    <t>Recycled Water Growth Works</t>
  </si>
  <si>
    <t>Recycled Water Developer Reimbursements</t>
  </si>
  <si>
    <t>Brushy Creek Class A RWTP</t>
  </si>
  <si>
    <t>Recycled Water Growth Third Party Funded</t>
  </si>
  <si>
    <t>Total Recycled Water Growth</t>
  </si>
  <si>
    <t>Used average of last 3 years as major expenditure up to 19/20</t>
  </si>
  <si>
    <t>Sewer Growth Works</t>
  </si>
  <si>
    <t>Sewer Developer Reimbursements</t>
  </si>
  <si>
    <t>Sewer Epping BS Tunnel</t>
  </si>
  <si>
    <t>Sewer Growth Third Party Funded</t>
  </si>
  <si>
    <t>Total Sewer Growth</t>
  </si>
  <si>
    <t>Total Growth</t>
  </si>
  <si>
    <t>Depreciation Water Growth</t>
  </si>
  <si>
    <t>Asset Life</t>
  </si>
  <si>
    <t>Other</t>
  </si>
  <si>
    <t>2023-24</t>
  </si>
  <si>
    <t>2025-26</t>
  </si>
  <si>
    <t>Check</t>
  </si>
  <si>
    <t>Yes</t>
  </si>
  <si>
    <t>New UGB</t>
  </si>
  <si>
    <t>Greenvale</t>
  </si>
  <si>
    <t>Epping North</t>
  </si>
  <si>
    <t>CPI</t>
  </si>
  <si>
    <t>13/14</t>
  </si>
  <si>
    <t>14/15</t>
  </si>
  <si>
    <t>15/16</t>
  </si>
  <si>
    <t>16/17</t>
  </si>
  <si>
    <t>17/18</t>
  </si>
  <si>
    <t>NEW UGB</t>
  </si>
  <si>
    <t>EPPING NTH</t>
  </si>
  <si>
    <t>GREENVALE</t>
  </si>
  <si>
    <t>Desal water order</t>
  </si>
  <si>
    <t>Water order</t>
  </si>
  <si>
    <t>Amaroo Main Sewer</t>
  </si>
  <si>
    <t>Forecast Expenditure
$M</t>
  </si>
  <si>
    <t>Craigieburn transfer hub</t>
  </si>
  <si>
    <t>CPI only</t>
  </si>
  <si>
    <t>Residential water</t>
  </si>
  <si>
    <t>Non-residential water</t>
  </si>
  <si>
    <t>Fixed</t>
  </si>
  <si>
    <t>Fixed per customer</t>
  </si>
  <si>
    <t>VDP</t>
  </si>
  <si>
    <t>Greater Yarra System</t>
  </si>
  <si>
    <t>N-S Pipeline</t>
  </si>
  <si>
    <t>Total fixed costs</t>
  </si>
  <si>
    <t>Current customers</t>
  </si>
  <si>
    <t>2024-2025</t>
  </si>
  <si>
    <t>PPM</t>
  </si>
  <si>
    <t>Nominal price</t>
  </si>
  <si>
    <t xml:space="preserve">Variable transfer </t>
  </si>
  <si>
    <t>10/11</t>
  </si>
  <si>
    <t>11/12</t>
  </si>
  <si>
    <t>12/13</t>
  </si>
  <si>
    <t>18/19</t>
  </si>
  <si>
    <t>19/20</t>
  </si>
  <si>
    <t>20/21</t>
  </si>
  <si>
    <t>21/22</t>
  </si>
  <si>
    <t>22/23</t>
  </si>
  <si>
    <t>23/24</t>
  </si>
  <si>
    <t>24/25</t>
  </si>
  <si>
    <t>25/26</t>
  </si>
  <si>
    <t>26/27</t>
  </si>
  <si>
    <t>27/28</t>
  </si>
  <si>
    <t>28/29</t>
  </si>
  <si>
    <t>29/30</t>
  </si>
  <si>
    <t>30/31</t>
  </si>
  <si>
    <t>31/32</t>
  </si>
  <si>
    <t>32/33</t>
  </si>
  <si>
    <t>33/34</t>
  </si>
  <si>
    <t>Avg gwth 15/16 to 27/28</t>
  </si>
  <si>
    <t>10/11 to 15/16</t>
  </si>
  <si>
    <t>Residential</t>
  </si>
  <si>
    <t>avg annual add'l sewer over water</t>
  </si>
  <si>
    <t>Serv chg Water</t>
  </si>
  <si>
    <t>Serv chg Sewer</t>
  </si>
  <si>
    <t>Year Avg Water</t>
  </si>
  <si>
    <t>Year Avg Sewer</t>
  </si>
  <si>
    <t>Sewer % of Water</t>
  </si>
  <si>
    <t>Sew serv % Sew Usage</t>
  </si>
  <si>
    <t>16/17 to 27/28</t>
  </si>
  <si>
    <t>Non-Residential</t>
  </si>
  <si>
    <t>% non-res of res water</t>
  </si>
  <si>
    <t>Regression Model</t>
  </si>
  <si>
    <t>Recycled</t>
  </si>
  <si>
    <t>Non-res</t>
  </si>
  <si>
    <t>Year Average Serv cg</t>
  </si>
  <si>
    <t xml:space="preserve">Res Serv chg Recyc </t>
  </si>
  <si>
    <t>Non-res Serv chg Recyc</t>
  </si>
  <si>
    <t>Chosen Growth rate</t>
  </si>
  <si>
    <t>VIF 2019 gwth rates</t>
  </si>
  <si>
    <t>VIF 2016 gwth rates</t>
  </si>
  <si>
    <t>VIF 2018 gwth rates</t>
  </si>
  <si>
    <t xml:space="preserve">VIF 2021 </t>
  </si>
  <si>
    <t>MacroPlan Dec 2020 gwth rates</t>
  </si>
  <si>
    <t>MacroPlan 2021 draft</t>
  </si>
  <si>
    <t>Historical Data</t>
  </si>
  <si>
    <t>Projected Growth</t>
  </si>
  <si>
    <t>New customers</t>
  </si>
  <si>
    <t>Infill</t>
  </si>
  <si>
    <t>UGB</t>
  </si>
  <si>
    <t>Sewerage</t>
  </si>
  <si>
    <t>Average asset life for all growth assets</t>
  </si>
  <si>
    <t>Recycled water</t>
  </si>
  <si>
    <t xml:space="preserve">Sewerage </t>
  </si>
  <si>
    <t>Allocation to growth areas</t>
  </si>
  <si>
    <t>Total Actual/forecast growth capex</t>
  </si>
  <si>
    <t>Residential sewerage</t>
  </si>
  <si>
    <t>Fixed Tariff</t>
  </si>
  <si>
    <t>Sewage disposal charge</t>
  </si>
  <si>
    <t>Non-Residential sewerage</t>
  </si>
  <si>
    <t>Bulk water charges</t>
  </si>
  <si>
    <t>Bulk sewerage charges</t>
  </si>
  <si>
    <t>Western</t>
  </si>
  <si>
    <t>Variable - Treatment plus transfer</t>
  </si>
  <si>
    <t>Eastern</t>
  </si>
  <si>
    <t>Portion of discharge to MW</t>
  </si>
  <si>
    <t>Usage charge</t>
  </si>
  <si>
    <t>Historical customer numbers</t>
  </si>
  <si>
    <t>no</t>
  </si>
  <si>
    <t>historical customer</t>
  </si>
  <si>
    <t>Service-Purpose</t>
  </si>
  <si>
    <t>BUDGET</t>
  </si>
  <si>
    <t>Forecast</t>
  </si>
  <si>
    <t>Water and Recycled Water Developer Reimbursement</t>
  </si>
  <si>
    <t>Key assumptions</t>
  </si>
  <si>
    <t>Opex per customer</t>
  </si>
  <si>
    <t>Summary of NCCs - 20 year model</t>
  </si>
  <si>
    <t>Include historical customer numbers from 2013-14</t>
  </si>
  <si>
    <t>No</t>
  </si>
  <si>
    <t>Per customer usage</t>
  </si>
  <si>
    <t>Opex per ML</t>
  </si>
  <si>
    <t>2023 Calculated $ per lot</t>
  </si>
  <si>
    <t>Bulk water LRMC</t>
  </si>
  <si>
    <t>Gifted Assets - per connection</t>
  </si>
  <si>
    <t>Cost per customer</t>
  </si>
  <si>
    <t>Potable water only</t>
  </si>
  <si>
    <t>2008-09 to 2012-13 capex</t>
  </si>
  <si>
    <t>Forecast old</t>
  </si>
  <si>
    <t>Forecast new</t>
  </si>
  <si>
    <t>Community Sewerage</t>
  </si>
  <si>
    <t>Growth portion</t>
  </si>
  <si>
    <t>Current charges - $2022-23</t>
  </si>
  <si>
    <t>Adjustment factor</t>
  </si>
  <si>
    <t>As at Apr 2022 - Adjusted CAPEX 26 April 2022 JANET</t>
  </si>
  <si>
    <t>A</t>
  </si>
  <si>
    <t xml:space="preserve">Water </t>
  </si>
  <si>
    <t xml:space="preserve">Nominal </t>
  </si>
  <si>
    <t>Portion of new infill customers over 20-year period</t>
  </si>
  <si>
    <t>Convert to $2022-23</t>
  </si>
  <si>
    <t>Inflation factor</t>
  </si>
  <si>
    <t>Real post-tax WACC</t>
  </si>
  <si>
    <t>Include sunk assets from 2005-06 to 2012-13</t>
  </si>
  <si>
    <t>Include sunk assets from 2013-14</t>
  </si>
  <si>
    <t>2018-23</t>
  </si>
  <si>
    <t>2013-18</t>
  </si>
  <si>
    <t>2005-12</t>
  </si>
  <si>
    <t>$2022-23</t>
  </si>
  <si>
    <t>Remaining value at start of 2023-24</t>
  </si>
  <si>
    <t>$k</t>
  </si>
  <si>
    <t>infil</t>
  </si>
  <si>
    <t>Water infill NCCs</t>
  </si>
  <si>
    <t>Real - $2022-23</t>
  </si>
  <si>
    <t>Net infill renewal Capex - real $2022-23</t>
  </si>
  <si>
    <t>Water - growth related renewal capex</t>
  </si>
  <si>
    <t>Water infill growth capex</t>
  </si>
  <si>
    <t>Net remaining value</t>
  </si>
  <si>
    <t>Sewerage - growth related renewal capex</t>
  </si>
  <si>
    <t>Net infill historical Capex - real $2022-23</t>
  </si>
  <si>
    <t>Sewerage infill NCCs</t>
  </si>
  <si>
    <t>Sewerage infill growth capex</t>
  </si>
  <si>
    <t>2024-25</t>
  </si>
  <si>
    <t>2026-27</t>
  </si>
  <si>
    <t>2027-28</t>
  </si>
  <si>
    <t>Residential water supply charges</t>
  </si>
  <si>
    <t>Residential water usage charges step 1</t>
  </si>
  <si>
    <t>Residential water usage charges step 2</t>
  </si>
  <si>
    <t>Residential water usage charges step 3</t>
  </si>
  <si>
    <t>Residential sewerage supply charges</t>
  </si>
  <si>
    <t>Residential SDC</t>
  </si>
  <si>
    <t>Residential recycled water supply charge</t>
  </si>
  <si>
    <t>Residential recycled water usage</t>
  </si>
  <si>
    <t>Non-residential water supply charges</t>
  </si>
  <si>
    <t>Non-residential water usage charges</t>
  </si>
  <si>
    <t>Non-residential sewerage supply charges</t>
  </si>
  <si>
    <t>Non-residential SDC</t>
  </si>
  <si>
    <t>Non-residential recycled water supply charge</t>
  </si>
  <si>
    <t>Non-residential recycled water usage</t>
  </si>
  <si>
    <t>Trade waste contract fees</t>
  </si>
  <si>
    <t>Trade waste volume</t>
  </si>
  <si>
    <t>Trade waste BOD</t>
  </si>
  <si>
    <t>Trade waste SS</t>
  </si>
  <si>
    <t>Trade waste TKN</t>
  </si>
  <si>
    <t>Trade waste ITDS</t>
  </si>
  <si>
    <t>Residential water usage charges step 1 - water only</t>
  </si>
  <si>
    <t>Residential water usage charges step 2 - water only</t>
  </si>
  <si>
    <t>Residential water usage charges step 3 - water only</t>
  </si>
  <si>
    <t>Estimated NCCs</t>
  </si>
  <si>
    <t xml:space="preserve">*infill scenario includes actual net capex from 2013-14 </t>
  </si>
  <si>
    <t>Customers -2022-23</t>
  </si>
  <si>
    <t>New infill</t>
  </si>
  <si>
    <t>Total infill customers 2043</t>
  </si>
  <si>
    <t>New infill customers as a proportion of total</t>
  </si>
  <si>
    <t>PD4</t>
  </si>
  <si>
    <t>PD5</t>
  </si>
  <si>
    <t>PD6</t>
  </si>
  <si>
    <t>Major Projects</t>
  </si>
  <si>
    <t>Actual</t>
  </si>
  <si>
    <t>Forecast as of May-22</t>
  </si>
  <si>
    <t>Proposed Budgets 
(30th May)</t>
  </si>
  <si>
    <t>Forecast - 2nd Cut</t>
  </si>
  <si>
    <t>CSA049B Park Orchards Stage 2</t>
  </si>
  <si>
    <t>Improvements / Compliance</t>
  </si>
  <si>
    <t>Aurora</t>
  </si>
  <si>
    <t>Growth</t>
  </si>
  <si>
    <t>Doncaster Hill</t>
  </si>
  <si>
    <t>CSTH - NGA Sewer Transfer</t>
  </si>
  <si>
    <t>Love BS - Stage 3</t>
  </si>
  <si>
    <t>Wallan East BS Stage 1</t>
  </si>
  <si>
    <t>Sewer Main Renewals</t>
  </si>
  <si>
    <t>Eltham Main Sewer Rehabilitation</t>
  </si>
  <si>
    <t>Renewals</t>
  </si>
  <si>
    <t>Sewage Treatment &amp; Recycling</t>
  </si>
  <si>
    <t xml:space="preserve">Primary &amp; Tertiary plant Upgrade - Healesville STP </t>
  </si>
  <si>
    <t>Water Distribution Main Renewals</t>
  </si>
  <si>
    <t>M4 Renewal Project</t>
  </si>
  <si>
    <t>Mt Fraser Transfer</t>
  </si>
  <si>
    <t>Regulated Water Services (EXCLUDING MAJOR PROJECTS)</t>
  </si>
  <si>
    <t>Water Improve Quality</t>
  </si>
  <si>
    <t>Improved Water Quality</t>
  </si>
  <si>
    <t>Water Main To Meter Renewals</t>
  </si>
  <si>
    <t>Water Main to Meter Renewals</t>
  </si>
  <si>
    <t>Water Reliability Civil</t>
  </si>
  <si>
    <t>Water Reliability M&amp;E</t>
  </si>
  <si>
    <t>Water Reticulation Main Renewals</t>
  </si>
  <si>
    <t>Water Customer Meter Replacements</t>
  </si>
  <si>
    <t>Customer Meter Replacements</t>
  </si>
  <si>
    <t>Water &amp; Recycled Water Developer Reimbursements</t>
  </si>
  <si>
    <t>Water Conservation</t>
  </si>
  <si>
    <t xml:space="preserve">Water Conservation </t>
  </si>
  <si>
    <t>Regulated Sewerage Services (EXCLUDING MAJOR PROJECTS)</t>
  </si>
  <si>
    <t>Sewer Reliability M&amp;E</t>
  </si>
  <si>
    <t>Sewer Reliability Civil</t>
  </si>
  <si>
    <t>Sewer Treatment and Recycling</t>
  </si>
  <si>
    <t>Sewer HCB Renewals</t>
  </si>
  <si>
    <t>Sewer PCB Renewals (prev. HCB)</t>
  </si>
  <si>
    <t>Sewer Improve System Capacity</t>
  </si>
  <si>
    <t>Sewer Improvement System Capacity</t>
  </si>
  <si>
    <t>Biodiversity and regenerative land use</t>
  </si>
  <si>
    <t>Regulated Other</t>
  </si>
  <si>
    <t>Motor Vehicles</t>
  </si>
  <si>
    <t>IT Infrastructure</t>
  </si>
  <si>
    <t>Digital Enablement</t>
  </si>
  <si>
    <t>Facilities</t>
  </si>
  <si>
    <t>Hazelwynde</t>
  </si>
  <si>
    <t>Energy generation and emissions</t>
  </si>
  <si>
    <t>other</t>
  </si>
  <si>
    <t>Customers TOTAL</t>
  </si>
  <si>
    <t>Others</t>
  </si>
  <si>
    <t>Financed</t>
  </si>
  <si>
    <t>Financed Works</t>
  </si>
  <si>
    <t>Authority Works</t>
  </si>
  <si>
    <t>New Meter Installations</t>
  </si>
  <si>
    <t>New Meter Installation</t>
  </si>
  <si>
    <t>Temporary assets (financed by others)</t>
  </si>
  <si>
    <t>Developer Funded YVW Delivered Temporary Assets</t>
  </si>
  <si>
    <t>Updated growth figures</t>
  </si>
  <si>
    <t>Water growth</t>
  </si>
  <si>
    <t>Sewer growth (excluding backlog)</t>
  </si>
  <si>
    <t>Total growth</t>
  </si>
  <si>
    <t>Growth area splits - based on earlier forecasts</t>
  </si>
  <si>
    <t>Standard</t>
  </si>
  <si>
    <t>Water - capex</t>
  </si>
  <si>
    <t>Sewerage - capex</t>
  </si>
  <si>
    <t>Recycled water - capex</t>
  </si>
  <si>
    <t>Infill incorporating Epping North + Greenvale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</si>
</sst>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6" formatCode="&quot;$&quot;#,##0_);[Red]\(&quot;$&quot;#,##0\)"/>
    <numFmt numFmtId="164" formatCode="&quot;$&quot;#,##0;[Red]\-&quot;$&quot;#,##0"/>
    <numFmt numFmtId="165" formatCode="&quot;$&quot;#,##0.00;[Red]\-&quot;$&quot;#,##0.00"/>
    <numFmt numFmtId="166" formatCode="_-&quot;$&quot;* #,##0.00_-;\-&quot;$&quot;* #,##0.00_-;_-&quot;$&quot;* &quot;-&quot;??_-;_-@_-"/>
    <numFmt numFmtId="167" formatCode="_-* #,##0.00_-;\-* #,##0.00_-;_-* &quot;-&quot;??_-;_-@_-"/>
    <numFmt numFmtId="168" formatCode="&quot;Note [&quot;0&quot;]&quot;"/>
    <numFmt numFmtId="169" formatCode="0.0%"/>
    <numFmt numFmtId="170" formatCode="0.000"/>
    <numFmt numFmtId="171" formatCode="_-* #,##0_-;\-* #,##0_-;_-* &quot;-&quot;??_-;_-@_-"/>
    <numFmt numFmtId="172" formatCode="_-&quot;$&quot;* #,##0_-;\-&quot;$&quot;* #,##0_-;_-&quot;$&quot;* &quot;-&quot;??_-;_-@_-"/>
    <numFmt numFmtId="173" formatCode="&quot;$&quot;#,##0.00"/>
    <numFmt numFmtId="174" formatCode="&quot;$&quot;#,##0"/>
    <numFmt numFmtId="175" formatCode="#,##0_ ;\-#,##0\ "/>
    <numFmt numFmtId="176" formatCode="0.0"/>
    <numFmt numFmtId="177" formatCode="0.00000%"/>
    <numFmt numFmtId="178" formatCode="_-&quot;$&quot;* #,##0.0_-;\-&quot;$&quot;* #,##0.0_-;_-&quot;$&quot;* &quot;-&quot;??_-;_-@_-"/>
  </numFmts>
  <fonts count="59" x14ac:knownFonts="1">
    <font>
      <sz val="12"/>
      <color theme="1"/>
      <name val="Calibri"/>
      <family val="2"/>
      <scheme val="minor"/>
    </font>
    <font>
      <sz val="11"/>
      <color theme="1"/>
      <name val="Calibri"/>
      <family val="2"/>
      <scheme val="minor"/>
    </font>
    <font>
      <sz val="12"/>
      <color theme="1"/>
      <name val="Calibri"/>
      <family val="2"/>
      <scheme val="minor"/>
    </font>
    <font>
      <sz val="12"/>
      <color rgb="FFFF0000"/>
      <name val="Calibri"/>
      <family val="2"/>
      <scheme val="minor"/>
    </font>
    <font>
      <b/>
      <sz val="12"/>
      <color theme="1"/>
      <name val="Calibri"/>
      <family val="2"/>
      <scheme val="minor"/>
    </font>
    <font>
      <u/>
      <sz val="12"/>
      <color theme="10"/>
      <name val="Calibri"/>
      <family val="2"/>
      <scheme val="minor"/>
    </font>
    <font>
      <u/>
      <sz val="12"/>
      <color theme="11"/>
      <name val="Calibri"/>
      <family val="2"/>
      <scheme val="minor"/>
    </font>
    <font>
      <sz val="10"/>
      <color rgb="FF0000FF"/>
      <name val="Calibri"/>
      <family val="2"/>
      <scheme val="minor"/>
    </font>
    <font>
      <sz val="12"/>
      <color rgb="FF0000FF"/>
      <name val="Calibri"/>
      <family val="2"/>
      <scheme val="minor"/>
    </font>
    <font>
      <sz val="12"/>
      <color rgb="FF008000"/>
      <name val="Calibri"/>
      <family val="2"/>
      <scheme val="minor"/>
    </font>
    <font>
      <sz val="12"/>
      <color theme="9" tint="-0.499984740745262"/>
      <name val="Calibri"/>
      <family val="2"/>
      <scheme val="minor"/>
    </font>
    <font>
      <sz val="10"/>
      <name val="Arial Narrow"/>
      <family val="2"/>
    </font>
    <font>
      <b/>
      <sz val="11"/>
      <color theme="1"/>
      <name val="Calibri"/>
      <family val="2"/>
      <scheme val="minor"/>
    </font>
    <font>
      <sz val="10"/>
      <color theme="1"/>
      <name val="Calibri"/>
      <family val="2"/>
      <scheme val="minor"/>
    </font>
    <font>
      <sz val="10"/>
      <color rgb="FFFF0000"/>
      <name val="Arial Narrow"/>
      <family val="2"/>
    </font>
    <font>
      <b/>
      <sz val="10"/>
      <color theme="1"/>
      <name val="Arial Narrow"/>
      <family val="2"/>
    </font>
    <font>
      <sz val="10"/>
      <color theme="1"/>
      <name val="Arial Narrow"/>
      <family val="2"/>
    </font>
    <font>
      <b/>
      <sz val="16"/>
      <color rgb="FFFF0000"/>
      <name val="Calibri"/>
      <family val="2"/>
      <scheme val="minor"/>
    </font>
    <font>
      <b/>
      <sz val="11"/>
      <color theme="1"/>
      <name val="Calibri"/>
      <family val="2"/>
    </font>
    <font>
      <b/>
      <sz val="11"/>
      <color theme="9" tint="-0.499984740745262"/>
      <name val="Calibri"/>
      <family val="2"/>
    </font>
    <font>
      <sz val="11"/>
      <color theme="1"/>
      <name val="Calibri"/>
      <family val="2"/>
    </font>
    <font>
      <sz val="11"/>
      <color theme="9" tint="-0.499984740745262"/>
      <name val="Calibri"/>
      <family val="2"/>
    </font>
    <font>
      <sz val="11"/>
      <color theme="7"/>
      <name val="Calibri"/>
      <family val="2"/>
    </font>
    <font>
      <b/>
      <sz val="11"/>
      <color rgb="FFFF0000"/>
      <name val="Calibri"/>
      <family val="2"/>
    </font>
    <font>
      <sz val="11"/>
      <color rgb="FFFF0000"/>
      <name val="Calibri"/>
      <family val="2"/>
    </font>
    <font>
      <b/>
      <sz val="11"/>
      <color theme="6"/>
      <name val="Calibri"/>
      <family val="2"/>
    </font>
    <font>
      <sz val="11"/>
      <color theme="6"/>
      <name val="Calibri"/>
      <family val="2"/>
    </font>
    <font>
      <sz val="11"/>
      <color rgb="FFC00000"/>
      <name val="Calibri"/>
      <family val="2"/>
    </font>
    <font>
      <sz val="11"/>
      <color theme="0" tint="-0.34998626667073579"/>
      <name val="Calibri"/>
      <family val="2"/>
    </font>
    <font>
      <sz val="11"/>
      <color rgb="FF7030A0"/>
      <name val="Calibri"/>
      <family val="2"/>
    </font>
    <font>
      <b/>
      <sz val="9"/>
      <color indexed="81"/>
      <name val="Tahoma"/>
      <family val="2"/>
    </font>
    <font>
      <sz val="9"/>
      <color indexed="81"/>
      <name val="Tahoma"/>
      <family val="2"/>
    </font>
    <font>
      <b/>
      <sz val="10"/>
      <name val="Calibri"/>
      <family val="2"/>
      <scheme val="minor"/>
    </font>
    <font>
      <sz val="10"/>
      <name val="Calibri"/>
      <family val="2"/>
      <scheme val="minor"/>
    </font>
    <font>
      <sz val="10"/>
      <color rgb="FF00B050"/>
      <name val="Calibri"/>
      <family val="2"/>
      <scheme val="minor"/>
    </font>
    <font>
      <b/>
      <sz val="10"/>
      <color rgb="FF00B050"/>
      <name val="Calibri"/>
      <family val="2"/>
      <scheme val="minor"/>
    </font>
    <font>
      <sz val="10"/>
      <color rgb="FFFF0000"/>
      <name val="Calibri"/>
      <family val="2"/>
      <scheme val="minor"/>
    </font>
    <font>
      <b/>
      <sz val="10"/>
      <color theme="1"/>
      <name val="Calibri"/>
      <family val="2"/>
      <scheme val="minor"/>
    </font>
    <font>
      <b/>
      <sz val="9"/>
      <color rgb="FFFFFFFF"/>
      <name val="Gravur-Condensed"/>
    </font>
    <font>
      <sz val="9"/>
      <color rgb="FFFFFFFF"/>
      <name val="Gravur-Condensed"/>
    </font>
    <font>
      <u/>
      <sz val="8"/>
      <color rgb="FF0000FF"/>
      <name val="Arial"/>
      <family val="2"/>
    </font>
    <font>
      <sz val="9"/>
      <color rgb="FF000000"/>
      <name val="Gravur-Condensed"/>
    </font>
    <font>
      <b/>
      <sz val="9"/>
      <color theme="1"/>
      <name val="Gravur-Condensed"/>
    </font>
    <font>
      <b/>
      <sz val="9"/>
      <color rgb="FF000000"/>
      <name val="Gravur-Condensed"/>
    </font>
    <font>
      <sz val="9"/>
      <color rgb="FF000000"/>
      <name val="Calibri"/>
      <family val="2"/>
    </font>
    <font>
      <sz val="8"/>
      <name val="Calibri"/>
      <family val="2"/>
      <scheme val="minor"/>
    </font>
    <font>
      <sz val="8"/>
      <name val="Arial"/>
      <family val="2"/>
    </font>
    <font>
      <b/>
      <sz val="10"/>
      <color rgb="FFFFFFFF"/>
      <name val="Gravur-Condensed"/>
    </font>
    <font>
      <b/>
      <sz val="9"/>
      <name val="Gravur-Condensed"/>
    </font>
    <font>
      <sz val="9"/>
      <name val="Gravur-Condensed"/>
    </font>
    <font>
      <b/>
      <sz val="13"/>
      <name val="Gravur-Condensed"/>
    </font>
    <font>
      <sz val="8"/>
      <color theme="1"/>
      <name val="Calibri"/>
      <family val="2"/>
    </font>
    <font>
      <b/>
      <sz val="8"/>
      <color theme="1"/>
      <name val="Calibri"/>
      <family val="2"/>
    </font>
    <font>
      <sz val="10"/>
      <color theme="1"/>
      <name val="Times New Roman"/>
      <family val="1"/>
    </font>
    <font>
      <b/>
      <sz val="9"/>
      <color theme="1"/>
      <name val="Calibri"/>
      <family val="2"/>
    </font>
    <font>
      <sz val="9"/>
      <name val="Calibri"/>
      <family val="2"/>
    </font>
    <font>
      <sz val="11"/>
      <color rgb="FF000000"/>
      <name val="Calibri"/>
      <family val="2"/>
      <scheme val="minor"/>
    </font>
    <font>
      <sz val="11"/>
      <color rgb="FF000000"/>
      <name val="Calibri"/>
      <family val="2"/>
    </font>
    <font>
      <b/>
      <sz val="11"/>
      <color rgb="FF000000"/>
      <name val="Calibri"/>
      <family val="2"/>
    </font>
  </fonts>
  <fills count="34">
    <fill>
      <patternFill patternType="none"/>
    </fill>
    <fill>
      <patternFill patternType="gray125"/>
    </fill>
    <fill>
      <patternFill patternType="solid">
        <fgColor theme="6"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rgb="FFFFFF00"/>
        <bgColor indexed="64"/>
      </patternFill>
    </fill>
    <fill>
      <patternFill patternType="solid">
        <fgColor theme="5" tint="0.59999389629810485"/>
        <bgColor indexed="64"/>
      </patternFill>
    </fill>
    <fill>
      <patternFill patternType="solid">
        <fgColor theme="5" tint="0.79998168889431442"/>
        <bgColor indexed="64"/>
      </patternFill>
    </fill>
    <fill>
      <patternFill patternType="solid">
        <fgColor theme="5" tint="0.39997558519241921"/>
        <bgColor indexed="64"/>
      </patternFill>
    </fill>
    <fill>
      <patternFill patternType="solid">
        <fgColor theme="4" tint="0.39997558519241921"/>
        <bgColor indexed="64"/>
      </patternFill>
    </fill>
    <fill>
      <patternFill patternType="solid">
        <fgColor theme="4" tint="0.79998168889431442"/>
        <bgColor indexed="64"/>
      </patternFill>
    </fill>
    <fill>
      <patternFill patternType="solid">
        <fgColor theme="6" tint="0.39997558519241921"/>
        <bgColor indexed="64"/>
      </patternFill>
    </fill>
    <fill>
      <patternFill patternType="solid">
        <fgColor theme="6" tint="0.79998168889431442"/>
        <bgColor indexed="64"/>
      </patternFill>
    </fill>
    <fill>
      <patternFill patternType="solid">
        <fgColor theme="3" tint="0.59999389629810485"/>
        <bgColor indexed="64"/>
      </patternFill>
    </fill>
    <fill>
      <patternFill patternType="solid">
        <fgColor theme="8" tint="0.79998168889431442"/>
        <bgColor indexed="64"/>
      </patternFill>
    </fill>
    <fill>
      <patternFill patternType="solid">
        <fgColor rgb="FF4F6228"/>
        <bgColor indexed="64"/>
      </patternFill>
    </fill>
    <fill>
      <patternFill patternType="solid">
        <fgColor rgb="FFE4DFEC"/>
        <bgColor indexed="64"/>
      </patternFill>
    </fill>
    <fill>
      <patternFill patternType="solid">
        <fgColor rgb="FF4F6228"/>
        <bgColor rgb="FF000000"/>
      </patternFill>
    </fill>
    <fill>
      <patternFill patternType="solid">
        <fgColor rgb="FFFCD5B4"/>
        <bgColor rgb="FF000000"/>
      </patternFill>
    </fill>
    <fill>
      <patternFill patternType="solid">
        <fgColor rgb="FFB7DEE8"/>
        <bgColor rgb="FF000000"/>
      </patternFill>
    </fill>
    <fill>
      <patternFill patternType="solid">
        <fgColor rgb="FFFFFF00"/>
        <bgColor rgb="FF000000"/>
      </patternFill>
    </fill>
    <fill>
      <patternFill patternType="solid">
        <fgColor rgb="FFEEECE1"/>
        <bgColor rgb="FF000000"/>
      </patternFill>
    </fill>
    <fill>
      <patternFill patternType="solid">
        <fgColor rgb="FFF79646"/>
        <bgColor rgb="FF000000"/>
      </patternFill>
    </fill>
    <fill>
      <patternFill patternType="solid">
        <fgColor rgb="FFFFFFFF"/>
        <bgColor rgb="FF000000"/>
      </patternFill>
    </fill>
    <fill>
      <patternFill patternType="solid">
        <fgColor rgb="FF244062"/>
        <bgColor rgb="FF000000"/>
      </patternFill>
    </fill>
    <fill>
      <patternFill patternType="solid">
        <fgColor rgb="FFF0F4FA"/>
      </patternFill>
    </fill>
    <fill>
      <patternFill patternType="solid">
        <fgColor rgb="FFFFFFFF"/>
      </patternFill>
    </fill>
    <fill>
      <patternFill patternType="solid">
        <fgColor rgb="FFFDE9D9"/>
        <bgColor indexed="64"/>
      </patternFill>
    </fill>
    <fill>
      <patternFill patternType="solid">
        <fgColor rgb="FFDCE6F1"/>
        <bgColor indexed="64"/>
      </patternFill>
    </fill>
    <fill>
      <patternFill patternType="solid">
        <fgColor rgb="FFD8E4BC"/>
        <bgColor indexed="64"/>
      </patternFill>
    </fill>
    <fill>
      <patternFill patternType="solid">
        <fgColor rgb="FFFDE9D9"/>
        <bgColor rgb="FF000000"/>
      </patternFill>
    </fill>
    <fill>
      <patternFill patternType="solid">
        <fgColor rgb="FFDAEEF3"/>
        <bgColor rgb="FF000000"/>
      </patternFill>
    </fill>
    <fill>
      <patternFill patternType="solid">
        <fgColor rgb="FFE4DFEC"/>
        <bgColor rgb="FF000000"/>
      </patternFill>
    </fill>
    <fill>
      <patternFill patternType="solid">
        <fgColor rgb="FFDDD9C4"/>
        <bgColor rgb="FF000000"/>
      </patternFill>
    </fill>
  </fills>
  <borders count="38">
    <border>
      <left/>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style="thin">
        <color indexed="64"/>
      </right>
      <top/>
      <bottom/>
      <diagonal/>
    </border>
    <border>
      <left style="thin">
        <color indexed="64"/>
      </left>
      <right style="thin">
        <color indexed="64"/>
      </right>
      <top/>
      <bottom/>
      <diagonal/>
    </border>
    <border>
      <left style="thin">
        <color indexed="64"/>
      </left>
      <right/>
      <top style="thin">
        <color theme="0" tint="-0.24994659260841701"/>
      </top>
      <bottom style="thin">
        <color theme="0" tint="-0.24994659260841701"/>
      </bottom>
      <diagonal/>
    </border>
    <border>
      <left/>
      <right style="medium">
        <color rgb="FFBFBFBF"/>
      </right>
      <top/>
      <bottom/>
      <diagonal/>
    </border>
    <border>
      <left/>
      <right/>
      <top/>
      <bottom style="medium">
        <color rgb="FFBFBFBF"/>
      </bottom>
      <diagonal/>
    </border>
    <border>
      <left/>
      <right style="medium">
        <color rgb="FFBFBFBF"/>
      </right>
      <top/>
      <bottom style="medium">
        <color rgb="FFBFBFBF"/>
      </bottom>
      <diagonal/>
    </border>
    <border>
      <left style="medium">
        <color rgb="FFBFBFBF"/>
      </left>
      <right style="medium">
        <color rgb="FFBFBFBF"/>
      </right>
      <top/>
      <bottom style="medium">
        <color rgb="FFBFBFBF"/>
      </bottom>
      <diagonal/>
    </border>
    <border>
      <left style="medium">
        <color rgb="FFBFBFBF"/>
      </left>
      <right style="medium">
        <color rgb="FFBFBFBF"/>
      </right>
      <top/>
      <bottom/>
      <diagonal/>
    </border>
    <border>
      <left style="medium">
        <color rgb="FFBFBFBF"/>
      </left>
      <right/>
      <top/>
      <bottom/>
      <diagonal/>
    </border>
    <border>
      <left style="medium">
        <color rgb="FFBFBFBF"/>
      </left>
      <right style="medium">
        <color rgb="FFBFBFBF"/>
      </right>
      <top style="medium">
        <color rgb="FFBFBFBF"/>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medium">
        <color rgb="FFBFBFBF"/>
      </right>
      <top style="medium">
        <color rgb="FFBFBFBF"/>
      </top>
      <bottom style="medium">
        <color rgb="FFBFBFBF"/>
      </bottom>
      <diagonal/>
    </border>
    <border>
      <left/>
      <right style="medium">
        <color rgb="FFBFBFBF"/>
      </right>
      <top style="medium">
        <color rgb="FFBFBFBF"/>
      </top>
      <bottom/>
      <diagonal/>
    </border>
    <border>
      <left style="thin">
        <color indexed="64"/>
      </left>
      <right/>
      <top style="thin">
        <color indexed="64"/>
      </top>
      <bottom/>
      <diagonal/>
    </border>
    <border>
      <left/>
      <right/>
      <top/>
      <bottom style="thin">
        <color indexed="64"/>
      </bottom>
      <diagonal/>
    </border>
    <border>
      <left style="medium">
        <color rgb="FFBFBFBF"/>
      </left>
      <right/>
      <top style="medium">
        <color rgb="FFBFBFBF"/>
      </top>
      <bottom style="medium">
        <color rgb="FFBFBFBF"/>
      </bottom>
      <diagonal/>
    </border>
    <border>
      <left/>
      <right/>
      <top style="medium">
        <color rgb="FFBFBFBF"/>
      </top>
      <bottom style="medium">
        <color rgb="FFBFBFBF"/>
      </bottom>
      <diagonal/>
    </border>
    <border>
      <left/>
      <right/>
      <top style="medium">
        <color rgb="FFBFBFBF"/>
      </top>
      <bottom/>
      <diagonal/>
    </border>
    <border>
      <left style="medium">
        <color rgb="FFBFBFBF"/>
      </left>
      <right/>
      <top style="medium">
        <color rgb="FFBFBFBF"/>
      </top>
      <bottom/>
      <diagonal/>
    </border>
    <border>
      <left style="medium">
        <color rgb="FFBFBFBF"/>
      </left>
      <right style="medium">
        <color rgb="FFBFBFBF"/>
      </right>
      <top style="medium">
        <color rgb="FFBFBFBF"/>
      </top>
      <bottom style="medium">
        <color rgb="FFBFBFBF"/>
      </bottom>
      <diagonal/>
    </border>
    <border>
      <left style="medium">
        <color rgb="FFBFBFBF"/>
      </left>
      <right/>
      <top style="thin">
        <color indexed="64"/>
      </top>
      <bottom/>
      <diagonal/>
    </border>
    <border>
      <left/>
      <right style="medium">
        <color rgb="FFBFBFBF"/>
      </right>
      <top style="thin">
        <color indexed="64"/>
      </top>
      <bottom/>
      <diagonal/>
    </border>
    <border>
      <left style="medium">
        <color rgb="FFBFBFBF"/>
      </left>
      <right/>
      <top/>
      <bottom style="medium">
        <color rgb="FFBFBFBF"/>
      </bottom>
      <diagonal/>
    </border>
    <border>
      <left style="thin">
        <color rgb="FF979991"/>
      </left>
      <right/>
      <top style="thin">
        <color rgb="FF979991"/>
      </top>
      <bottom style="thin">
        <color rgb="FF979991"/>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top style="thin">
        <color indexed="64"/>
      </top>
      <bottom style="thin">
        <color indexed="64"/>
      </bottom>
      <diagonal/>
    </border>
    <border>
      <left style="medium">
        <color indexed="64"/>
      </left>
      <right/>
      <top style="medium">
        <color indexed="64"/>
      </top>
      <bottom style="thin">
        <color indexed="64"/>
      </bottom>
      <diagonal/>
    </border>
  </borders>
  <cellStyleXfs count="866">
    <xf numFmtId="0" fontId="0" fillId="0" borderId="0"/>
    <xf numFmtId="9" fontId="2" fillId="0" borderId="0" applyFon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166" fontId="2" fillId="0" borderId="0" applyFont="0" applyFill="0" applyBorder="0" applyAlignment="0" applyProtection="0"/>
    <xf numFmtId="0" fontId="11" fillId="0" borderId="0"/>
    <xf numFmtId="167" fontId="2" fillId="0" borderId="0" applyFont="0" applyFill="0" applyBorder="0" applyAlignment="0" applyProtection="0"/>
    <xf numFmtId="0" fontId="46" fillId="0" borderId="0"/>
    <xf numFmtId="0" fontId="40" fillId="0" borderId="0" applyNumberFormat="0" applyFill="0" applyBorder="0" applyAlignment="0" applyProtection="0"/>
    <xf numFmtId="0" fontId="56" fillId="0" borderId="0"/>
    <xf numFmtId="167" fontId="1" fillId="0" borderId="0" applyFont="0" applyFill="0" applyBorder="0" applyAlignment="0" applyProtection="0"/>
    <xf numFmtId="0" fontId="46" fillId="0" borderId="0"/>
  </cellStyleXfs>
  <cellXfs count="369">
    <xf numFmtId="0" fontId="0" fillId="0" borderId="0" xfId="0"/>
    <xf numFmtId="0" fontId="4" fillId="0" borderId="0" xfId="0" applyFont="1"/>
    <xf numFmtId="3" fontId="0" fillId="0" borderId="0" xfId="0" applyNumberFormat="1"/>
    <xf numFmtId="0" fontId="7" fillId="0" borderId="0" xfId="0" applyFont="1"/>
    <xf numFmtId="3" fontId="7" fillId="0" borderId="0" xfId="0" applyNumberFormat="1" applyFont="1" applyAlignment="1">
      <alignment horizontal="right"/>
    </xf>
    <xf numFmtId="0" fontId="0" fillId="0" borderId="0" xfId="0" applyAlignment="1">
      <alignment horizontal="center"/>
    </xf>
    <xf numFmtId="0" fontId="8" fillId="0" borderId="0" xfId="0" applyFont="1" applyAlignment="1">
      <alignment horizontal="center"/>
    </xf>
    <xf numFmtId="0" fontId="9" fillId="2" borderId="0" xfId="0" applyFont="1" applyFill="1" applyAlignment="1">
      <alignment horizontal="center"/>
    </xf>
    <xf numFmtId="3" fontId="9" fillId="2" borderId="0" xfId="0" applyNumberFormat="1" applyFont="1" applyFill="1"/>
    <xf numFmtId="3" fontId="7" fillId="0" borderId="0" xfId="0" applyNumberFormat="1" applyFont="1"/>
    <xf numFmtId="3" fontId="3" fillId="3" borderId="0" xfId="0" applyNumberFormat="1" applyFont="1" applyFill="1"/>
    <xf numFmtId="9" fontId="3" fillId="3" borderId="0" xfId="0" applyNumberFormat="1" applyFont="1" applyFill="1"/>
    <xf numFmtId="3" fontId="3" fillId="3" borderId="0" xfId="0" applyNumberFormat="1" applyFont="1" applyFill="1" applyAlignment="1">
      <alignment horizontal="center"/>
    </xf>
    <xf numFmtId="0" fontId="0" fillId="0" borderId="0" xfId="0" applyAlignment="1">
      <alignment horizontal="left"/>
    </xf>
    <xf numFmtId="168" fontId="7" fillId="0" borderId="0" xfId="0" applyNumberFormat="1" applyFont="1" applyAlignment="1">
      <alignment horizontal="left"/>
    </xf>
    <xf numFmtId="168" fontId="7" fillId="0" borderId="0" xfId="0" applyNumberFormat="1" applyFont="1" applyAlignment="1">
      <alignment horizontal="left" vertical="top"/>
    </xf>
    <xf numFmtId="0" fontId="3" fillId="3" borderId="0" xfId="0" applyFont="1" applyFill="1" applyAlignment="1">
      <alignment horizontal="left" vertical="top" wrapText="1"/>
    </xf>
    <xf numFmtId="10" fontId="3" fillId="3" borderId="0" xfId="0" applyNumberFormat="1" applyFont="1" applyFill="1"/>
    <xf numFmtId="10" fontId="0" fillId="0" borderId="0" xfId="1" applyNumberFormat="1" applyFont="1"/>
    <xf numFmtId="0" fontId="3" fillId="3" borderId="0" xfId="0" applyFont="1" applyFill="1"/>
    <xf numFmtId="4" fontId="3" fillId="3" borderId="0" xfId="0" applyNumberFormat="1" applyFont="1" applyFill="1"/>
    <xf numFmtId="4" fontId="0" fillId="0" borderId="0" xfId="0" applyNumberFormat="1"/>
    <xf numFmtId="3" fontId="10" fillId="3" borderId="0" xfId="0" applyNumberFormat="1" applyFont="1" applyFill="1" applyAlignment="1">
      <alignment horizontal="center"/>
    </xf>
    <xf numFmtId="3" fontId="0" fillId="5" borderId="0" xfId="0" applyNumberFormat="1" applyFill="1"/>
    <xf numFmtId="166" fontId="0" fillId="6" borderId="0" xfId="858" applyFont="1" applyFill="1"/>
    <xf numFmtId="164" fontId="0" fillId="0" borderId="0" xfId="0" applyNumberFormat="1"/>
    <xf numFmtId="0" fontId="12" fillId="0" borderId="0" xfId="0" applyFont="1"/>
    <xf numFmtId="0" fontId="13" fillId="0" borderId="0" xfId="0" applyFont="1"/>
    <xf numFmtId="1" fontId="0" fillId="0" borderId="0" xfId="0" applyNumberFormat="1"/>
    <xf numFmtId="2" fontId="0" fillId="0" borderId="0" xfId="0" applyNumberFormat="1"/>
    <xf numFmtId="2" fontId="4" fillId="0" borderId="0" xfId="0" applyNumberFormat="1" applyFont="1"/>
    <xf numFmtId="0" fontId="15" fillId="0" borderId="0" xfId="0" applyFont="1"/>
    <xf numFmtId="167" fontId="15" fillId="0" borderId="0" xfId="0" applyNumberFormat="1" applyFont="1"/>
    <xf numFmtId="0" fontId="16" fillId="0" borderId="0" xfId="0" applyFont="1"/>
    <xf numFmtId="2" fontId="16" fillId="0" borderId="0" xfId="0" applyNumberFormat="1" applyFont="1"/>
    <xf numFmtId="10" fontId="16" fillId="0" borderId="0" xfId="0" applyNumberFormat="1" applyFont="1"/>
    <xf numFmtId="167" fontId="16" fillId="0" borderId="0" xfId="0" applyNumberFormat="1" applyFont="1"/>
    <xf numFmtId="9" fontId="15" fillId="0" borderId="0" xfId="0" applyNumberFormat="1" applyFont="1"/>
    <xf numFmtId="171" fontId="14" fillId="0" borderId="0" xfId="0" applyNumberFormat="1" applyFont="1"/>
    <xf numFmtId="171" fontId="0" fillId="0" borderId="0" xfId="860" applyNumberFormat="1" applyFont="1"/>
    <xf numFmtId="171" fontId="0" fillId="0" borderId="0" xfId="0" applyNumberFormat="1"/>
    <xf numFmtId="0" fontId="0" fillId="0" borderId="0" xfId="0" applyAlignment="1">
      <alignment horizontal="right"/>
    </xf>
    <xf numFmtId="0" fontId="17" fillId="0" borderId="0" xfId="0" applyFont="1"/>
    <xf numFmtId="3" fontId="3" fillId="5" borderId="0" xfId="0" applyNumberFormat="1" applyFont="1" applyFill="1"/>
    <xf numFmtId="3" fontId="9" fillId="0" borderId="0" xfId="0" applyNumberFormat="1" applyFont="1"/>
    <xf numFmtId="172" fontId="0" fillId="0" borderId="0" xfId="858" applyNumberFormat="1" applyFont="1"/>
    <xf numFmtId="164" fontId="4" fillId="0" borderId="0" xfId="0" applyNumberFormat="1" applyFont="1"/>
    <xf numFmtId="164" fontId="4" fillId="0" borderId="0" xfId="858" applyNumberFormat="1" applyFont="1" applyFill="1"/>
    <xf numFmtId="172" fontId="4" fillId="0" borderId="0" xfId="0" applyNumberFormat="1" applyFont="1"/>
    <xf numFmtId="10" fontId="0" fillId="0" borderId="0" xfId="0" applyNumberFormat="1"/>
    <xf numFmtId="167" fontId="0" fillId="0" borderId="0" xfId="0" applyNumberFormat="1"/>
    <xf numFmtId="165" fontId="0" fillId="0" borderId="0" xfId="0" applyNumberFormat="1"/>
    <xf numFmtId="0" fontId="4" fillId="0" borderId="0" xfId="0" applyFont="1" applyAlignment="1">
      <alignment wrapText="1"/>
    </xf>
    <xf numFmtId="9" fontId="0" fillId="0" borderId="0" xfId="1" applyFont="1"/>
    <xf numFmtId="9" fontId="0" fillId="0" borderId="0" xfId="0" applyNumberFormat="1"/>
    <xf numFmtId="2" fontId="3" fillId="3" borderId="0" xfId="0" applyNumberFormat="1" applyFont="1" applyFill="1"/>
    <xf numFmtId="0" fontId="18" fillId="0" borderId="0" xfId="0" quotePrefix="1" applyFont="1" applyAlignment="1">
      <alignment horizontal="center"/>
    </xf>
    <xf numFmtId="0" fontId="18" fillId="0" borderId="2" xfId="0" quotePrefix="1" applyFont="1" applyBorder="1" applyAlignment="1">
      <alignment horizontal="center"/>
    </xf>
    <xf numFmtId="0" fontId="18" fillId="0" borderId="0" xfId="0" applyFont="1"/>
    <xf numFmtId="0" fontId="19" fillId="0" borderId="0" xfId="0" applyFont="1" applyAlignment="1">
      <alignment horizontal="center" wrapText="1"/>
    </xf>
    <xf numFmtId="0" fontId="18" fillId="0" borderId="0" xfId="0" applyFont="1" applyAlignment="1">
      <alignment horizontal="center" wrapText="1"/>
    </xf>
    <xf numFmtId="0" fontId="18" fillId="0" borderId="0" xfId="0" applyFont="1" applyAlignment="1">
      <alignment horizontal="center"/>
    </xf>
    <xf numFmtId="3" fontId="0" fillId="0" borderId="0" xfId="0" applyNumberFormat="1" applyAlignment="1">
      <alignment horizontal="center"/>
    </xf>
    <xf numFmtId="3" fontId="0" fillId="0" borderId="2" xfId="0" applyNumberFormat="1" applyBorder="1" applyAlignment="1">
      <alignment horizontal="center"/>
    </xf>
    <xf numFmtId="169" fontId="21" fillId="0" borderId="0" xfId="1" applyNumberFormat="1" applyFont="1" applyAlignment="1">
      <alignment horizontal="center"/>
    </xf>
    <xf numFmtId="169" fontId="0" fillId="0" borderId="0" xfId="1" applyNumberFormat="1" applyFont="1" applyAlignment="1">
      <alignment horizontal="center"/>
    </xf>
    <xf numFmtId="3" fontId="22" fillId="0" borderId="0" xfId="0" applyNumberFormat="1" applyFont="1" applyAlignment="1">
      <alignment horizontal="center"/>
    </xf>
    <xf numFmtId="0" fontId="22" fillId="0" borderId="0" xfId="0" applyFont="1"/>
    <xf numFmtId="169" fontId="0" fillId="0" borderId="0" xfId="1" applyNumberFormat="1" applyFont="1" applyBorder="1"/>
    <xf numFmtId="0" fontId="0" fillId="0" borderId="2" xfId="0" applyBorder="1"/>
    <xf numFmtId="169" fontId="0" fillId="0" borderId="0" xfId="1" applyNumberFormat="1" applyFont="1"/>
    <xf numFmtId="0" fontId="21" fillId="0" borderId="0" xfId="0" applyFont="1" applyAlignment="1">
      <alignment horizontal="center"/>
    </xf>
    <xf numFmtId="0" fontId="23" fillId="0" borderId="0" xfId="0" applyFont="1" applyAlignment="1">
      <alignment horizontal="center"/>
    </xf>
    <xf numFmtId="3" fontId="24" fillId="0" borderId="0" xfId="0" applyNumberFormat="1" applyFont="1" applyAlignment="1">
      <alignment horizontal="center"/>
    </xf>
    <xf numFmtId="3" fontId="24" fillId="0" borderId="9" xfId="0" applyNumberFormat="1" applyFont="1" applyBorder="1" applyAlignment="1">
      <alignment horizontal="center"/>
    </xf>
    <xf numFmtId="3" fontId="24" fillId="0" borderId="2" xfId="0" applyNumberFormat="1" applyFont="1" applyBorder="1" applyAlignment="1">
      <alignment horizontal="center"/>
    </xf>
    <xf numFmtId="0" fontId="18" fillId="0" borderId="0" xfId="0" applyFont="1" applyAlignment="1">
      <alignment horizontal="center" vertical="center"/>
    </xf>
    <xf numFmtId="0" fontId="18" fillId="8" borderId="0" xfId="0" applyFont="1" applyFill="1" applyAlignment="1">
      <alignment horizontal="center"/>
    </xf>
    <xf numFmtId="3" fontId="0" fillId="8" borderId="0" xfId="0" applyNumberFormat="1" applyFill="1" applyAlignment="1">
      <alignment horizontal="center"/>
    </xf>
    <xf numFmtId="3" fontId="0" fillId="8" borderId="9" xfId="0" applyNumberFormat="1" applyFill="1" applyBorder="1" applyAlignment="1">
      <alignment horizontal="center"/>
    </xf>
    <xf numFmtId="3" fontId="0" fillId="8" borderId="2" xfId="0" applyNumberFormat="1" applyFill="1" applyBorder="1" applyAlignment="1">
      <alignment horizontal="center"/>
    </xf>
    <xf numFmtId="0" fontId="0" fillId="0" borderId="9" xfId="0" applyBorder="1"/>
    <xf numFmtId="0" fontId="20" fillId="0" borderId="0" xfId="0" applyFont="1"/>
    <xf numFmtId="0" fontId="22" fillId="0" borderId="0" xfId="0" applyFont="1" applyAlignment="1">
      <alignment horizontal="center"/>
    </xf>
    <xf numFmtId="169" fontId="22" fillId="0" borderId="0" xfId="1" applyNumberFormat="1" applyFont="1" applyAlignment="1">
      <alignment horizontal="center"/>
    </xf>
    <xf numFmtId="169" fontId="22" fillId="0" borderId="0" xfId="1" applyNumberFormat="1" applyFont="1" applyBorder="1" applyAlignment="1">
      <alignment horizontal="center"/>
    </xf>
    <xf numFmtId="169" fontId="22" fillId="0" borderId="2" xfId="1" applyNumberFormat="1" applyFont="1" applyBorder="1" applyAlignment="1">
      <alignment horizontal="center"/>
    </xf>
    <xf numFmtId="0" fontId="25" fillId="0" borderId="0" xfId="0" applyFont="1" applyAlignment="1">
      <alignment horizontal="left" vertical="center"/>
    </xf>
    <xf numFmtId="169" fontId="26" fillId="0" borderId="0" xfId="1" applyNumberFormat="1" applyFont="1" applyAlignment="1">
      <alignment horizontal="center"/>
    </xf>
    <xf numFmtId="169" fontId="26" fillId="0" borderId="0" xfId="1" applyNumberFormat="1" applyFont="1" applyBorder="1" applyAlignment="1">
      <alignment horizontal="center"/>
    </xf>
    <xf numFmtId="169" fontId="26" fillId="0" borderId="0" xfId="0" applyNumberFormat="1" applyFont="1" applyAlignment="1">
      <alignment horizontal="center"/>
    </xf>
    <xf numFmtId="169" fontId="26" fillId="0" borderId="9" xfId="0" applyNumberFormat="1" applyFont="1" applyBorder="1" applyAlignment="1">
      <alignment horizontal="center"/>
    </xf>
    <xf numFmtId="169" fontId="26" fillId="0" borderId="2" xfId="0" applyNumberFormat="1" applyFont="1" applyBorder="1" applyAlignment="1">
      <alignment horizontal="center"/>
    </xf>
    <xf numFmtId="3" fontId="0" fillId="0" borderId="9" xfId="0" applyNumberFormat="1" applyBorder="1" applyAlignment="1">
      <alignment horizontal="center"/>
    </xf>
    <xf numFmtId="175" fontId="24" fillId="0" borderId="0" xfId="860" applyNumberFormat="1" applyFont="1" applyAlignment="1">
      <alignment horizontal="center"/>
    </xf>
    <xf numFmtId="175" fontId="24" fillId="0" borderId="0" xfId="860" applyNumberFormat="1" applyFont="1" applyBorder="1" applyAlignment="1">
      <alignment horizontal="center"/>
    </xf>
    <xf numFmtId="0" fontId="27" fillId="0" borderId="0" xfId="0" applyFont="1"/>
    <xf numFmtId="169" fontId="28" fillId="0" borderId="0" xfId="1" applyNumberFormat="1" applyFont="1" applyBorder="1" applyAlignment="1">
      <alignment horizontal="center"/>
    </xf>
    <xf numFmtId="169" fontId="27" fillId="0" borderId="0" xfId="1" applyNumberFormat="1" applyFont="1" applyBorder="1" applyAlignment="1">
      <alignment horizontal="center"/>
    </xf>
    <xf numFmtId="169" fontId="27" fillId="0" borderId="9" xfId="1" applyNumberFormat="1" applyFont="1" applyBorder="1" applyAlignment="1">
      <alignment horizontal="center"/>
    </xf>
    <xf numFmtId="169" fontId="27" fillId="0" borderId="2" xfId="1" applyNumberFormat="1" applyFont="1" applyBorder="1" applyAlignment="1">
      <alignment horizontal="center"/>
    </xf>
    <xf numFmtId="169" fontId="27" fillId="0" borderId="0" xfId="1" applyNumberFormat="1" applyFont="1" applyAlignment="1">
      <alignment horizontal="center"/>
    </xf>
    <xf numFmtId="3" fontId="28" fillId="0" borderId="0" xfId="0" applyNumberFormat="1" applyFont="1" applyAlignment="1">
      <alignment horizontal="center"/>
    </xf>
    <xf numFmtId="3" fontId="27" fillId="0" borderId="0" xfId="0" applyNumberFormat="1" applyFont="1" applyAlignment="1">
      <alignment horizontal="center"/>
    </xf>
    <xf numFmtId="3" fontId="27" fillId="0" borderId="9" xfId="0" applyNumberFormat="1" applyFont="1" applyBorder="1" applyAlignment="1">
      <alignment horizontal="center"/>
    </xf>
    <xf numFmtId="3" fontId="27" fillId="0" borderId="2" xfId="0" applyNumberFormat="1" applyFont="1" applyBorder="1" applyAlignment="1">
      <alignment horizontal="center"/>
    </xf>
    <xf numFmtId="0" fontId="29" fillId="0" borderId="0" xfId="0" applyFont="1"/>
    <xf numFmtId="3" fontId="29" fillId="0" borderId="0" xfId="0" applyNumberFormat="1" applyFont="1" applyAlignment="1">
      <alignment horizontal="center"/>
    </xf>
    <xf numFmtId="3" fontId="29" fillId="0" borderId="9" xfId="0" applyNumberFormat="1" applyFont="1" applyBorder="1" applyAlignment="1">
      <alignment horizontal="center"/>
    </xf>
    <xf numFmtId="3" fontId="29" fillId="0" borderId="2" xfId="0" applyNumberFormat="1" applyFont="1" applyBorder="1" applyAlignment="1">
      <alignment horizontal="center"/>
    </xf>
    <xf numFmtId="0" fontId="28" fillId="0" borderId="0" xfId="0" applyFont="1"/>
    <xf numFmtId="169" fontId="29" fillId="0" borderId="0" xfId="1" applyNumberFormat="1" applyFont="1" applyBorder="1" applyAlignment="1">
      <alignment horizontal="center"/>
    </xf>
    <xf numFmtId="169" fontId="29" fillId="0" borderId="9" xfId="1" applyNumberFormat="1" applyFont="1" applyBorder="1" applyAlignment="1">
      <alignment horizontal="center"/>
    </xf>
    <xf numFmtId="169" fontId="29" fillId="0" borderId="2" xfId="1" applyNumberFormat="1" applyFont="1" applyBorder="1" applyAlignment="1">
      <alignment horizontal="center"/>
    </xf>
    <xf numFmtId="169" fontId="29" fillId="0" borderId="0" xfId="1" applyNumberFormat="1" applyFont="1" applyAlignment="1">
      <alignment horizontal="center"/>
    </xf>
    <xf numFmtId="3" fontId="20" fillId="0" borderId="0" xfId="0" applyNumberFormat="1" applyFont="1" applyAlignment="1">
      <alignment horizontal="center"/>
    </xf>
    <xf numFmtId="0" fontId="18" fillId="8" borderId="0" xfId="0" applyFont="1" applyFill="1"/>
    <xf numFmtId="3" fontId="0" fillId="8" borderId="0" xfId="0" applyNumberFormat="1" applyFill="1"/>
    <xf numFmtId="3" fontId="20" fillId="8" borderId="0" xfId="0" applyNumberFormat="1" applyFont="1" applyFill="1"/>
    <xf numFmtId="14" fontId="0" fillId="0" borderId="0" xfId="0" applyNumberFormat="1"/>
    <xf numFmtId="9" fontId="0" fillId="0" borderId="0" xfId="1" applyFont="1" applyAlignment="1">
      <alignment horizontal="right"/>
    </xf>
    <xf numFmtId="0" fontId="20" fillId="0" borderId="0" xfId="0" applyFont="1" applyAlignment="1">
      <alignment horizontal="center"/>
    </xf>
    <xf numFmtId="0" fontId="32" fillId="4" borderId="2" xfId="0" applyFont="1" applyFill="1" applyBorder="1" applyAlignment="1">
      <alignment vertical="center" wrapText="1"/>
    </xf>
    <xf numFmtId="0" fontId="33" fillId="4" borderId="0" xfId="0" applyFont="1" applyFill="1" applyAlignment="1">
      <alignment wrapText="1"/>
    </xf>
    <xf numFmtId="17" fontId="32" fillId="7" borderId="3" xfId="0" applyNumberFormat="1" applyFont="1" applyFill="1" applyBorder="1" applyAlignment="1">
      <alignment vertical="center" wrapText="1"/>
    </xf>
    <xf numFmtId="17" fontId="32" fillId="8" borderId="3" xfId="0" applyNumberFormat="1" applyFont="1" applyFill="1" applyBorder="1" applyAlignment="1">
      <alignment vertical="center" wrapText="1"/>
    </xf>
    <xf numFmtId="17" fontId="32" fillId="8" borderId="4" xfId="0" applyNumberFormat="1" applyFont="1" applyFill="1" applyBorder="1" applyAlignment="1">
      <alignment vertical="center" wrapText="1"/>
    </xf>
    <xf numFmtId="0" fontId="32" fillId="10" borderId="5" xfId="0" applyFont="1" applyFill="1" applyBorder="1" applyAlignment="1">
      <alignment horizontal="center" vertical="center" wrapText="1"/>
    </xf>
    <xf numFmtId="0" fontId="32" fillId="9" borderId="5" xfId="0" applyFont="1" applyFill="1" applyBorder="1" applyAlignment="1">
      <alignment horizontal="center" vertical="center" wrapText="1"/>
    </xf>
    <xf numFmtId="0" fontId="32" fillId="12" borderId="5" xfId="0" applyFont="1" applyFill="1" applyBorder="1" applyAlignment="1">
      <alignment horizontal="center" vertical="center" wrapText="1"/>
    </xf>
    <xf numFmtId="0" fontId="32" fillId="11" borderId="5" xfId="0" applyFont="1" applyFill="1" applyBorder="1" applyAlignment="1">
      <alignment horizontal="center" vertical="center" wrapText="1"/>
    </xf>
    <xf numFmtId="0" fontId="33" fillId="0" borderId="0" xfId="0" applyFont="1" applyAlignment="1">
      <alignment wrapText="1"/>
    </xf>
    <xf numFmtId="0" fontId="32" fillId="4" borderId="6" xfId="0" applyFont="1" applyFill="1" applyBorder="1" applyAlignment="1">
      <alignment vertical="center"/>
    </xf>
    <xf numFmtId="0" fontId="33" fillId="4" borderId="7" xfId="0" applyFont="1" applyFill="1" applyBorder="1" applyAlignment="1">
      <alignment vertical="center"/>
    </xf>
    <xf numFmtId="0" fontId="32" fillId="7" borderId="8" xfId="0" applyFont="1" applyFill="1" applyBorder="1" applyAlignment="1">
      <alignment horizontal="center" vertical="center" wrapText="1"/>
    </xf>
    <xf numFmtId="0" fontId="32" fillId="8" borderId="8" xfId="0" applyFont="1" applyFill="1" applyBorder="1" applyAlignment="1">
      <alignment horizontal="center" vertical="center" wrapText="1"/>
    </xf>
    <xf numFmtId="0" fontId="32" fillId="10" borderId="8" xfId="0" applyFont="1" applyFill="1" applyBorder="1" applyAlignment="1">
      <alignment horizontal="center" vertical="center" wrapText="1"/>
    </xf>
    <xf numFmtId="0" fontId="32" fillId="9" borderId="8" xfId="0" applyFont="1" applyFill="1" applyBorder="1" applyAlignment="1">
      <alignment horizontal="center" vertical="center" wrapText="1"/>
    </xf>
    <xf numFmtId="0" fontId="32" fillId="12" borderId="8" xfId="0" applyFont="1" applyFill="1" applyBorder="1" applyAlignment="1">
      <alignment horizontal="center" vertical="center" wrapText="1"/>
    </xf>
    <xf numFmtId="0" fontId="32" fillId="11" borderId="8" xfId="0" applyFont="1" applyFill="1" applyBorder="1" applyAlignment="1">
      <alignment horizontal="center" vertical="center" wrapText="1"/>
    </xf>
    <xf numFmtId="0" fontId="33" fillId="0" borderId="0" xfId="0" applyFont="1" applyAlignment="1">
      <alignment vertical="center"/>
    </xf>
    <xf numFmtId="0" fontId="32" fillId="0" borderId="2" xfId="0" applyFont="1" applyBorder="1" applyAlignment="1">
      <alignment horizontal="left" vertical="center"/>
    </xf>
    <xf numFmtId="0" fontId="33" fillId="0" borderId="0" xfId="0" applyFont="1"/>
    <xf numFmtId="0" fontId="32" fillId="7" borderId="0" xfId="0" applyFont="1" applyFill="1" applyAlignment="1">
      <alignment horizontal="center"/>
    </xf>
    <xf numFmtId="0" fontId="32" fillId="8" borderId="9" xfId="0" applyFont="1" applyFill="1" applyBorder="1" applyAlignment="1">
      <alignment horizontal="center"/>
    </xf>
    <xf numFmtId="0" fontId="32" fillId="8" borderId="10" xfId="0" applyFont="1" applyFill="1" applyBorder="1" applyAlignment="1">
      <alignment horizontal="center"/>
    </xf>
    <xf numFmtId="0" fontId="32" fillId="14" borderId="0" xfId="0" applyFont="1" applyFill="1" applyAlignment="1">
      <alignment horizontal="center"/>
    </xf>
    <xf numFmtId="0" fontId="32" fillId="13" borderId="10" xfId="0" applyFont="1" applyFill="1" applyBorder="1" applyAlignment="1">
      <alignment horizontal="center"/>
    </xf>
    <xf numFmtId="0" fontId="32" fillId="12" borderId="10" xfId="0" applyFont="1" applyFill="1" applyBorder="1" applyAlignment="1">
      <alignment horizontal="center"/>
    </xf>
    <xf numFmtId="0" fontId="32" fillId="11" borderId="0" xfId="0" applyFont="1" applyFill="1" applyAlignment="1">
      <alignment horizontal="center"/>
    </xf>
    <xf numFmtId="0" fontId="32" fillId="11" borderId="10" xfId="0" applyFont="1" applyFill="1" applyBorder="1" applyAlignment="1">
      <alignment horizontal="center"/>
    </xf>
    <xf numFmtId="0" fontId="33" fillId="0" borderId="11" xfId="0" applyFont="1" applyBorder="1" applyAlignment="1">
      <alignment vertical="center"/>
    </xf>
    <xf numFmtId="167" fontId="33" fillId="7" borderId="0" xfId="860" applyFont="1" applyFill="1" applyBorder="1" applyAlignment="1" applyProtection="1">
      <alignment vertical="center"/>
    </xf>
    <xf numFmtId="167" fontId="33" fillId="8" borderId="9" xfId="860" applyFont="1" applyFill="1" applyBorder="1" applyAlignment="1" applyProtection="1">
      <alignment vertical="center"/>
    </xf>
    <xf numFmtId="167" fontId="33" fillId="8" borderId="10" xfId="860" applyFont="1" applyFill="1" applyBorder="1" applyAlignment="1" applyProtection="1">
      <alignment vertical="center"/>
    </xf>
    <xf numFmtId="167" fontId="33" fillId="14" borderId="0" xfId="860" applyFont="1" applyFill="1" applyBorder="1" applyAlignment="1" applyProtection="1">
      <alignment vertical="center"/>
    </xf>
    <xf numFmtId="167" fontId="33" fillId="13" borderId="10" xfId="860" applyFont="1" applyFill="1" applyBorder="1" applyAlignment="1" applyProtection="1">
      <alignment vertical="center"/>
    </xf>
    <xf numFmtId="167" fontId="33" fillId="12" borderId="10" xfId="860" applyFont="1" applyFill="1" applyBorder="1" applyAlignment="1" applyProtection="1">
      <alignment vertical="center"/>
    </xf>
    <xf numFmtId="167" fontId="33" fillId="11" borderId="0" xfId="860" applyFont="1" applyFill="1" applyBorder="1" applyAlignment="1" applyProtection="1">
      <alignment vertical="center"/>
    </xf>
    <xf numFmtId="167" fontId="33" fillId="11" borderId="10" xfId="860" applyFont="1" applyFill="1" applyBorder="1" applyAlignment="1" applyProtection="1">
      <alignment vertical="center"/>
    </xf>
    <xf numFmtId="2" fontId="33" fillId="0" borderId="0" xfId="0" applyNumberFormat="1" applyFont="1" applyAlignment="1">
      <alignment vertical="center"/>
    </xf>
    <xf numFmtId="0" fontId="34" fillId="0" borderId="11" xfId="0" applyFont="1" applyBorder="1" applyAlignment="1">
      <alignment vertical="center"/>
    </xf>
    <xf numFmtId="0" fontId="35" fillId="0" borderId="11" xfId="0" applyFont="1" applyBorder="1" applyAlignment="1">
      <alignment vertical="center"/>
    </xf>
    <xf numFmtId="0" fontId="32" fillId="0" borderId="0" xfId="0" applyFont="1" applyAlignment="1">
      <alignment vertical="center"/>
    </xf>
    <xf numFmtId="167" fontId="32" fillId="7" borderId="0" xfId="860" applyFont="1" applyFill="1" applyBorder="1" applyAlignment="1" applyProtection="1">
      <alignment vertical="center"/>
    </xf>
    <xf numFmtId="167" fontId="32" fillId="8" borderId="9" xfId="860" applyFont="1" applyFill="1" applyBorder="1" applyAlignment="1" applyProtection="1">
      <alignment vertical="center"/>
    </xf>
    <xf numFmtId="167" fontId="32" fillId="8" borderId="10" xfId="860" applyFont="1" applyFill="1" applyBorder="1" applyAlignment="1" applyProtection="1">
      <alignment vertical="center"/>
    </xf>
    <xf numFmtId="167" fontId="32" fillId="14" borderId="0" xfId="860" applyFont="1" applyFill="1" applyBorder="1" applyAlignment="1" applyProtection="1">
      <alignment vertical="center"/>
    </xf>
    <xf numFmtId="167" fontId="32" fillId="13" borderId="10" xfId="860" applyFont="1" applyFill="1" applyBorder="1" applyAlignment="1" applyProtection="1">
      <alignment vertical="center"/>
    </xf>
    <xf numFmtId="167" fontId="32" fillId="12" borderId="10" xfId="860" applyFont="1" applyFill="1" applyBorder="1" applyAlignment="1" applyProtection="1">
      <alignment vertical="center"/>
    </xf>
    <xf numFmtId="167" fontId="32" fillId="11" borderId="0" xfId="860" applyFont="1" applyFill="1" applyBorder="1" applyAlignment="1" applyProtection="1">
      <alignment vertical="center"/>
    </xf>
    <xf numFmtId="167" fontId="32" fillId="11" borderId="10" xfId="860" applyFont="1" applyFill="1" applyBorder="1" applyAlignment="1" applyProtection="1">
      <alignment vertical="center"/>
    </xf>
    <xf numFmtId="167" fontId="32" fillId="0" borderId="0" xfId="0" applyNumberFormat="1" applyFont="1" applyAlignment="1">
      <alignment vertical="center"/>
    </xf>
    <xf numFmtId="0" fontId="36" fillId="0" borderId="11" xfId="0" applyFont="1" applyBorder="1" applyAlignment="1">
      <alignment vertical="center"/>
    </xf>
    <xf numFmtId="0" fontId="32" fillId="0" borderId="11" xfId="0" applyFont="1" applyBorder="1" applyAlignment="1">
      <alignment vertical="center"/>
    </xf>
    <xf numFmtId="2" fontId="32" fillId="0" borderId="0" xfId="0" applyNumberFormat="1" applyFont="1" applyAlignment="1">
      <alignment vertical="center"/>
    </xf>
    <xf numFmtId="0" fontId="37" fillId="0" borderId="0" xfId="0" applyFont="1"/>
    <xf numFmtId="167" fontId="37" fillId="0" borderId="0" xfId="0" applyNumberFormat="1" applyFont="1"/>
    <xf numFmtId="174" fontId="13" fillId="0" borderId="0" xfId="0" applyNumberFormat="1" applyFont="1"/>
    <xf numFmtId="171" fontId="13" fillId="0" borderId="0" xfId="0" applyNumberFormat="1" applyFont="1"/>
    <xf numFmtId="0" fontId="37" fillId="0" borderId="0" xfId="0" quotePrefix="1" applyFont="1" applyAlignment="1">
      <alignment horizontal="center"/>
    </xf>
    <xf numFmtId="0" fontId="37" fillId="0" borderId="2" xfId="0" quotePrefix="1" applyFont="1" applyBorder="1" applyAlignment="1">
      <alignment horizontal="center"/>
    </xf>
    <xf numFmtId="169" fontId="13" fillId="0" borderId="0" xfId="1" applyNumberFormat="1" applyFont="1"/>
    <xf numFmtId="169" fontId="13" fillId="0" borderId="0" xfId="0" applyNumberFormat="1" applyFont="1"/>
    <xf numFmtId="9" fontId="13" fillId="0" borderId="0" xfId="1" applyFont="1"/>
    <xf numFmtId="174" fontId="13" fillId="5" borderId="0" xfId="0" applyNumberFormat="1" applyFont="1" applyFill="1"/>
    <xf numFmtId="0" fontId="18" fillId="0" borderId="0" xfId="0" applyFont="1" applyAlignment="1">
      <alignment horizontal="left" vertical="center"/>
    </xf>
    <xf numFmtId="0" fontId="38" fillId="15" borderId="12" xfId="0" applyFont="1" applyFill="1" applyBorder="1" applyAlignment="1">
      <alignment vertical="center" wrapText="1"/>
    </xf>
    <xf numFmtId="0" fontId="38" fillId="15" borderId="0" xfId="0" applyFont="1" applyFill="1" applyAlignment="1">
      <alignment vertical="center" wrapText="1"/>
    </xf>
    <xf numFmtId="0" fontId="38" fillId="15" borderId="14" xfId="0" applyFont="1" applyFill="1" applyBorder="1" applyAlignment="1">
      <alignment horizontal="center" vertical="center" wrapText="1"/>
    </xf>
    <xf numFmtId="0" fontId="38" fillId="15" borderId="13" xfId="0" applyFont="1" applyFill="1" applyBorder="1" applyAlignment="1">
      <alignment vertical="center" wrapText="1"/>
    </xf>
    <xf numFmtId="0" fontId="40" fillId="0" borderId="15" xfId="0" applyFont="1" applyBorder="1" applyAlignment="1">
      <alignment vertical="center"/>
    </xf>
    <xf numFmtId="164" fontId="41" fillId="16" borderId="14" xfId="0" applyNumberFormat="1" applyFont="1" applyFill="1" applyBorder="1" applyAlignment="1">
      <alignment horizontal="center" vertical="center" wrapText="1"/>
    </xf>
    <xf numFmtId="0" fontId="40" fillId="0" borderId="15" xfId="0" applyFont="1" applyBorder="1" applyAlignment="1">
      <alignment vertical="center" wrapText="1"/>
    </xf>
    <xf numFmtId="0" fontId="40" fillId="0" borderId="16" xfId="0" applyFont="1" applyBorder="1" applyAlignment="1">
      <alignment vertical="center" wrapText="1"/>
    </xf>
    <xf numFmtId="164" fontId="41" fillId="16" borderId="12" xfId="0" applyNumberFormat="1" applyFont="1" applyFill="1" applyBorder="1" applyAlignment="1">
      <alignment horizontal="center" vertical="center" wrapText="1"/>
    </xf>
    <xf numFmtId="164" fontId="0" fillId="0" borderId="0" xfId="858" applyNumberFormat="1" applyFont="1" applyFill="1" applyBorder="1"/>
    <xf numFmtId="164" fontId="4" fillId="0" borderId="0" xfId="858" applyNumberFormat="1" applyFont="1" applyFill="1" applyBorder="1"/>
    <xf numFmtId="164" fontId="4" fillId="0" borderId="0" xfId="858" applyNumberFormat="1" applyFont="1" applyBorder="1"/>
    <xf numFmtId="173" fontId="13" fillId="0" borderId="0" xfId="0" applyNumberFormat="1" applyFont="1"/>
    <xf numFmtId="176" fontId="0" fillId="0" borderId="0" xfId="0" applyNumberFormat="1"/>
    <xf numFmtId="170" fontId="0" fillId="0" borderId="0" xfId="0" applyNumberFormat="1"/>
    <xf numFmtId="0" fontId="4" fillId="0" borderId="23" xfId="0" applyFont="1" applyBorder="1"/>
    <xf numFmtId="0" fontId="0" fillId="0" borderId="4" xfId="0" applyBorder="1"/>
    <xf numFmtId="0" fontId="4" fillId="0" borderId="2" xfId="0" applyFont="1" applyBorder="1"/>
    <xf numFmtId="0" fontId="0" fillId="0" borderId="6" xfId="0" applyBorder="1"/>
    <xf numFmtId="0" fontId="0" fillId="0" borderId="7" xfId="0" applyBorder="1"/>
    <xf numFmtId="10" fontId="0" fillId="0" borderId="4" xfId="0" applyNumberFormat="1" applyBorder="1"/>
    <xf numFmtId="0" fontId="4" fillId="0" borderId="6" xfId="0" applyFont="1" applyBorder="1"/>
    <xf numFmtId="10" fontId="0" fillId="0" borderId="7" xfId="0" applyNumberFormat="1" applyBorder="1"/>
    <xf numFmtId="0" fontId="0" fillId="0" borderId="23" xfId="0" applyBorder="1" applyAlignment="1">
      <alignment horizontal="right"/>
    </xf>
    <xf numFmtId="0" fontId="0" fillId="0" borderId="2" xfId="0" applyBorder="1" applyAlignment="1">
      <alignment horizontal="right"/>
    </xf>
    <xf numFmtId="0" fontId="0" fillId="0" borderId="6" xfId="0" applyBorder="1" applyAlignment="1">
      <alignment horizontal="right"/>
    </xf>
    <xf numFmtId="0" fontId="0" fillId="0" borderId="3" xfId="0" applyBorder="1"/>
    <xf numFmtId="176" fontId="4" fillId="0" borderId="0" xfId="0" applyNumberFormat="1" applyFont="1"/>
    <xf numFmtId="0" fontId="4" fillId="0" borderId="3" xfId="0" applyFont="1" applyBorder="1"/>
    <xf numFmtId="164" fontId="2" fillId="0" borderId="0" xfId="858" applyNumberFormat="1" applyFont="1" applyFill="1" applyBorder="1"/>
    <xf numFmtId="0" fontId="0" fillId="0" borderId="24" xfId="0" applyBorder="1"/>
    <xf numFmtId="174" fontId="0" fillId="0" borderId="0" xfId="858" applyNumberFormat="1" applyFont="1" applyBorder="1"/>
    <xf numFmtId="173" fontId="0" fillId="0" borderId="0" xfId="858" applyNumberFormat="1" applyFont="1" applyBorder="1"/>
    <xf numFmtId="173" fontId="0" fillId="0" borderId="0" xfId="0" applyNumberFormat="1"/>
    <xf numFmtId="171" fontId="0" fillId="0" borderId="0" xfId="860" applyNumberFormat="1" applyFont="1" applyBorder="1"/>
    <xf numFmtId="174" fontId="0" fillId="0" borderId="0" xfId="0" applyNumberFormat="1"/>
    <xf numFmtId="2" fontId="0" fillId="0" borderId="24" xfId="0" applyNumberFormat="1" applyBorder="1"/>
    <xf numFmtId="9" fontId="0" fillId="0" borderId="0" xfId="1" applyFont="1" applyBorder="1"/>
    <xf numFmtId="164" fontId="0" fillId="0" borderId="24" xfId="0" applyNumberFormat="1" applyBorder="1"/>
    <xf numFmtId="0" fontId="0" fillId="0" borderId="3" xfId="0" applyBorder="1" applyAlignment="1">
      <alignment horizontal="right"/>
    </xf>
    <xf numFmtId="166" fontId="4" fillId="0" borderId="0" xfId="0" applyNumberFormat="1" applyFont="1"/>
    <xf numFmtId="0" fontId="38" fillId="17" borderId="12" xfId="861" applyFont="1" applyFill="1" applyBorder="1" applyAlignment="1">
      <alignment vertical="center" wrapText="1"/>
    </xf>
    <xf numFmtId="0" fontId="38" fillId="17" borderId="27" xfId="861" applyFont="1" applyFill="1" applyBorder="1" applyAlignment="1">
      <alignment horizontal="center" vertical="center" wrapText="1" readingOrder="1"/>
    </xf>
    <xf numFmtId="0" fontId="38" fillId="17" borderId="0" xfId="861" applyFont="1" applyFill="1" applyAlignment="1">
      <alignment vertical="center" wrapText="1"/>
    </xf>
    <xf numFmtId="0" fontId="38" fillId="17" borderId="29" xfId="861" applyFont="1" applyFill="1" applyBorder="1" applyAlignment="1">
      <alignment horizontal="center" vertical="center" wrapText="1" readingOrder="1"/>
    </xf>
    <xf numFmtId="173" fontId="38" fillId="17" borderId="29" xfId="861" applyNumberFormat="1" applyFont="1" applyFill="1" applyBorder="1" applyAlignment="1">
      <alignment horizontal="center" vertical="center" wrapText="1" readingOrder="1"/>
    </xf>
    <xf numFmtId="0" fontId="48" fillId="18" borderId="22" xfId="861" applyFont="1" applyFill="1" applyBorder="1" applyAlignment="1">
      <alignment horizontal="center" vertical="center" wrapText="1" readingOrder="1"/>
    </xf>
    <xf numFmtId="0" fontId="48" fillId="19" borderId="18" xfId="861" applyFont="1" applyFill="1" applyBorder="1" applyAlignment="1">
      <alignment horizontal="center" vertical="center" wrapText="1" readingOrder="1"/>
    </xf>
    <xf numFmtId="0" fontId="38" fillId="17" borderId="13" xfId="861" applyFont="1" applyFill="1" applyBorder="1" applyAlignment="1">
      <alignment vertical="center" wrapText="1"/>
    </xf>
    <xf numFmtId="0" fontId="50" fillId="20" borderId="13" xfId="861" applyFont="1" applyFill="1" applyBorder="1" applyAlignment="1">
      <alignment vertical="center" wrapText="1"/>
    </xf>
    <xf numFmtId="0" fontId="43" fillId="0" borderId="29" xfId="861" applyFont="1" applyBorder="1" applyAlignment="1">
      <alignment vertical="center" wrapText="1"/>
    </xf>
    <xf numFmtId="0" fontId="40" fillId="20" borderId="29" xfId="862" applyFill="1" applyBorder="1" applyAlignment="1">
      <alignment vertical="center"/>
    </xf>
    <xf numFmtId="164" fontId="41" fillId="21" borderId="29" xfId="861" applyNumberFormat="1" applyFont="1" applyFill="1" applyBorder="1" applyAlignment="1">
      <alignment horizontal="center" vertical="center" wrapText="1" readingOrder="1"/>
    </xf>
    <xf numFmtId="164" fontId="49" fillId="18" borderId="29" xfId="861" applyNumberFormat="1" applyFont="1" applyFill="1" applyBorder="1" applyAlignment="1">
      <alignment horizontal="center" vertical="center" wrapText="1" readingOrder="1"/>
    </xf>
    <xf numFmtId="164" fontId="41" fillId="19" borderId="15" xfId="861" applyNumberFormat="1" applyFont="1" applyFill="1" applyBorder="1" applyAlignment="1">
      <alignment horizontal="center" vertical="center" wrapText="1" readingOrder="1"/>
    </xf>
    <xf numFmtId="0" fontId="40" fillId="0" borderId="29" xfId="862" applyFill="1" applyBorder="1" applyAlignment="1">
      <alignment vertical="center"/>
    </xf>
    <xf numFmtId="174" fontId="40" fillId="20" borderId="29" xfId="862" applyNumberFormat="1" applyFill="1" applyBorder="1" applyAlignment="1">
      <alignment horizontal="left" vertical="center"/>
    </xf>
    <xf numFmtId="0" fontId="40" fillId="0" borderId="15" xfId="862" applyFill="1" applyBorder="1" applyAlignment="1">
      <alignment vertical="center"/>
    </xf>
    <xf numFmtId="0" fontId="40" fillId="20" borderId="15" xfId="862" applyFill="1" applyBorder="1" applyAlignment="1">
      <alignment vertical="center"/>
    </xf>
    <xf numFmtId="0" fontId="43" fillId="0" borderId="15" xfId="861" applyFont="1" applyBorder="1" applyAlignment="1">
      <alignment horizontal="right" vertical="center"/>
    </xf>
    <xf numFmtId="164" fontId="43" fillId="0" borderId="29" xfId="861" applyNumberFormat="1" applyFont="1" applyBorder="1" applyAlignment="1">
      <alignment horizontal="center" vertical="center" wrapText="1" readingOrder="1"/>
    </xf>
    <xf numFmtId="164" fontId="12" fillId="0" borderId="0" xfId="0" applyNumberFormat="1" applyFont="1"/>
    <xf numFmtId="0" fontId="43" fillId="0" borderId="15" xfId="861" applyFont="1" applyBorder="1" applyAlignment="1">
      <alignment vertical="center" wrapText="1"/>
    </xf>
    <xf numFmtId="0" fontId="41" fillId="0" borderId="29" xfId="861" applyFont="1" applyBorder="1" applyAlignment="1">
      <alignment horizontal="center" vertical="center" wrapText="1" readingOrder="1"/>
    </xf>
    <xf numFmtId="173" fontId="41" fillId="0" borderId="29" xfId="861" applyNumberFormat="1" applyFont="1" applyBorder="1" applyAlignment="1">
      <alignment horizontal="center" vertical="center" wrapText="1" readingOrder="1"/>
    </xf>
    <xf numFmtId="164" fontId="41" fillId="0" borderId="29" xfId="861" applyNumberFormat="1" applyFont="1" applyBorder="1" applyAlignment="1">
      <alignment horizontal="center" vertical="center" wrapText="1" readingOrder="1"/>
    </xf>
    <xf numFmtId="164" fontId="41" fillId="19" borderId="14" xfId="861" applyNumberFormat="1" applyFont="1" applyFill="1" applyBorder="1" applyAlignment="1">
      <alignment horizontal="center" vertical="center" wrapText="1" readingOrder="1"/>
    </xf>
    <xf numFmtId="0" fontId="40" fillId="20" borderId="15" xfId="862" applyFill="1" applyBorder="1" applyAlignment="1">
      <alignment vertical="center" wrapText="1"/>
    </xf>
    <xf numFmtId="0" fontId="40" fillId="0" borderId="15" xfId="862" applyFill="1" applyBorder="1" applyAlignment="1">
      <alignment vertical="center" wrapText="1"/>
    </xf>
    <xf numFmtId="0" fontId="40" fillId="22" borderId="15" xfId="862" applyFill="1" applyBorder="1" applyAlignment="1">
      <alignment vertical="center" wrapText="1"/>
    </xf>
    <xf numFmtId="0" fontId="40" fillId="0" borderId="16" xfId="862" applyFill="1" applyBorder="1" applyAlignment="1">
      <alignment vertical="center" wrapText="1"/>
    </xf>
    <xf numFmtId="0" fontId="43" fillId="0" borderId="16" xfId="861" applyFont="1" applyBorder="1" applyAlignment="1">
      <alignment horizontal="right" vertical="center" wrapText="1"/>
    </xf>
    <xf numFmtId="174" fontId="41" fillId="23" borderId="14" xfId="860" applyNumberFormat="1" applyFont="1" applyFill="1" applyBorder="1" applyAlignment="1">
      <alignment horizontal="center" vertical="center"/>
    </xf>
    <xf numFmtId="173" fontId="41" fillId="23" borderId="0" xfId="861" applyNumberFormat="1" applyFont="1" applyFill="1" applyAlignment="1">
      <alignment horizontal="center" vertical="center" wrapText="1" readingOrder="1"/>
    </xf>
    <xf numFmtId="164" fontId="41" fillId="23" borderId="0" xfId="861" applyNumberFormat="1" applyFont="1" applyFill="1" applyAlignment="1">
      <alignment horizontal="center" vertical="center" wrapText="1" readingOrder="1"/>
    </xf>
    <xf numFmtId="164" fontId="49" fillId="18" borderId="0" xfId="861" applyNumberFormat="1" applyFont="1" applyFill="1" applyAlignment="1">
      <alignment horizontal="center" vertical="center" wrapText="1" readingOrder="1"/>
    </xf>
    <xf numFmtId="164" fontId="49" fillId="18" borderId="15" xfId="861" applyNumberFormat="1" applyFont="1" applyFill="1" applyBorder="1" applyAlignment="1">
      <alignment horizontal="center" vertical="center" wrapText="1" readingOrder="1"/>
    </xf>
    <xf numFmtId="0" fontId="43" fillId="0" borderId="15" xfId="861" applyFont="1" applyBorder="1" applyAlignment="1">
      <alignment horizontal="right" vertical="center" wrapText="1"/>
    </xf>
    <xf numFmtId="0" fontId="38" fillId="24" borderId="15" xfId="861" applyFont="1" applyFill="1" applyBorder="1" applyAlignment="1">
      <alignment horizontal="right" vertical="center" wrapText="1"/>
    </xf>
    <xf numFmtId="164" fontId="38" fillId="24" borderId="0" xfId="861" applyNumberFormat="1" applyFont="1" applyFill="1" applyAlignment="1">
      <alignment horizontal="center" vertical="center" wrapText="1" readingOrder="1"/>
    </xf>
    <xf numFmtId="9" fontId="13" fillId="0" borderId="0" xfId="0" applyNumberFormat="1" applyFont="1"/>
    <xf numFmtId="167" fontId="13" fillId="0" borderId="0" xfId="0" applyNumberFormat="1" applyFont="1"/>
    <xf numFmtId="177" fontId="0" fillId="0" borderId="0" xfId="0" applyNumberFormat="1" applyAlignment="1">
      <alignment horizontal="right"/>
    </xf>
    <xf numFmtId="167" fontId="0" fillId="0" borderId="0" xfId="860" applyFont="1"/>
    <xf numFmtId="1" fontId="4" fillId="0" borderId="0" xfId="0" applyNumberFormat="1" applyFont="1"/>
    <xf numFmtId="1" fontId="51" fillId="25" borderId="33" xfId="0" applyNumberFormat="1" applyFont="1" applyFill="1" applyBorder="1" applyAlignment="1">
      <alignment horizontal="right" vertical="top" wrapText="1"/>
    </xf>
    <xf numFmtId="0" fontId="51" fillId="25" borderId="33" xfId="0" applyFont="1" applyFill="1" applyBorder="1" applyAlignment="1">
      <alignment horizontal="left" vertical="top" wrapText="1"/>
    </xf>
    <xf numFmtId="39" fontId="51" fillId="26" borderId="33" xfId="0" applyNumberFormat="1" applyFont="1" applyFill="1" applyBorder="1" applyAlignment="1">
      <alignment horizontal="right" vertical="top" wrapText="1"/>
    </xf>
    <xf numFmtId="39" fontId="52" fillId="25" borderId="33" xfId="0" applyNumberFormat="1" applyFont="1" applyFill="1" applyBorder="1" applyAlignment="1">
      <alignment horizontal="right" vertical="top" wrapText="1"/>
    </xf>
    <xf numFmtId="1" fontId="16" fillId="0" borderId="0" xfId="0" applyNumberFormat="1" applyFont="1"/>
    <xf numFmtId="0" fontId="16" fillId="0" borderId="0" xfId="0" quotePrefix="1" applyFont="1"/>
    <xf numFmtId="178" fontId="0" fillId="0" borderId="0" xfId="858" applyNumberFormat="1" applyFont="1"/>
    <xf numFmtId="0" fontId="53" fillId="0" borderId="0" xfId="0" applyFont="1" applyAlignment="1">
      <alignment wrapText="1"/>
    </xf>
    <xf numFmtId="0" fontId="54" fillId="0" borderId="19" xfId="0" applyFont="1" applyBorder="1" applyAlignment="1">
      <alignment horizontal="center" vertical="center" wrapText="1"/>
    </xf>
    <xf numFmtId="0" fontId="44" fillId="27" borderId="0" xfId="0" applyFont="1" applyFill="1" applyAlignment="1">
      <alignment vertical="center"/>
    </xf>
    <xf numFmtId="10" fontId="44" fillId="28" borderId="34" xfId="0" applyNumberFormat="1" applyFont="1" applyFill="1" applyBorder="1" applyAlignment="1">
      <alignment horizontal="right" vertical="center"/>
    </xf>
    <xf numFmtId="10" fontId="44" fillId="29" borderId="34" xfId="0" applyNumberFormat="1" applyFont="1" applyFill="1" applyBorder="1" applyAlignment="1">
      <alignment horizontal="right" vertical="center"/>
    </xf>
    <xf numFmtId="0" fontId="53" fillId="0" borderId="0" xfId="0" applyFont="1"/>
    <xf numFmtId="10" fontId="44" fillId="28" borderId="19" xfId="0" applyNumberFormat="1" applyFont="1" applyFill="1" applyBorder="1" applyAlignment="1">
      <alignment horizontal="right" vertical="center"/>
    </xf>
    <xf numFmtId="10" fontId="44" fillId="29" borderId="19" xfId="0" applyNumberFormat="1" applyFont="1" applyFill="1" applyBorder="1" applyAlignment="1">
      <alignment horizontal="right" vertical="center"/>
    </xf>
    <xf numFmtId="0" fontId="44" fillId="28" borderId="0" xfId="0" applyFont="1" applyFill="1" applyAlignment="1">
      <alignment vertical="center"/>
    </xf>
    <xf numFmtId="0" fontId="44" fillId="29" borderId="0" xfId="0" applyFont="1" applyFill="1" applyAlignment="1">
      <alignment vertical="center"/>
    </xf>
    <xf numFmtId="10" fontId="44" fillId="28" borderId="20" xfId="0" applyNumberFormat="1" applyFont="1" applyFill="1" applyBorder="1" applyAlignment="1">
      <alignment horizontal="right" vertical="center"/>
    </xf>
    <xf numFmtId="10" fontId="44" fillId="28" borderId="35" xfId="0" applyNumberFormat="1" applyFont="1" applyFill="1" applyBorder="1" applyAlignment="1">
      <alignment horizontal="right" vertical="center"/>
    </xf>
    <xf numFmtId="10" fontId="55" fillId="28" borderId="35" xfId="0" applyNumberFormat="1" applyFont="1" applyFill="1" applyBorder="1" applyAlignment="1">
      <alignment horizontal="right" vertical="center"/>
    </xf>
    <xf numFmtId="3" fontId="4" fillId="0" borderId="24" xfId="0" applyNumberFormat="1" applyFont="1" applyBorder="1"/>
    <xf numFmtId="172" fontId="0" fillId="0" borderId="0" xfId="0" applyNumberFormat="1"/>
    <xf numFmtId="164" fontId="4" fillId="0" borderId="0" xfId="858" applyNumberFormat="1" applyFont="1" applyFill="1" applyBorder="1" applyAlignment="1">
      <alignment wrapText="1"/>
    </xf>
    <xf numFmtId="174" fontId="0" fillId="0" borderId="0" xfId="1" applyNumberFormat="1" applyFont="1" applyBorder="1"/>
    <xf numFmtId="167" fontId="0" fillId="0" borderId="0" xfId="860" applyFont="1" applyBorder="1"/>
    <xf numFmtId="0" fontId="42" fillId="0" borderId="0" xfId="0" applyFont="1" applyAlignment="1">
      <alignment horizontal="center" vertical="center" wrapText="1"/>
    </xf>
    <xf numFmtId="0" fontId="43" fillId="0" borderId="0" xfId="0" applyFont="1" applyAlignment="1">
      <alignment horizontal="center" vertical="center" wrapText="1"/>
    </xf>
    <xf numFmtId="0" fontId="44" fillId="0" borderId="0" xfId="0" applyFont="1" applyAlignment="1">
      <alignment vertical="center"/>
    </xf>
    <xf numFmtId="165" fontId="41" fillId="0" borderId="0" xfId="0" applyNumberFormat="1" applyFont="1" applyAlignment="1">
      <alignment horizontal="center" vertical="center" wrapText="1"/>
    </xf>
    <xf numFmtId="3" fontId="0" fillId="0" borderId="0" xfId="0" applyNumberFormat="1" applyAlignment="1">
      <alignment horizontal="right"/>
    </xf>
    <xf numFmtId="0" fontId="57" fillId="0" borderId="0" xfId="863" applyFont="1"/>
    <xf numFmtId="0" fontId="58" fillId="0" borderId="0" xfId="863" applyFont="1"/>
    <xf numFmtId="0" fontId="57" fillId="30" borderId="0" xfId="863" applyFont="1" applyFill="1"/>
    <xf numFmtId="0" fontId="57" fillId="31" borderId="0" xfId="863" applyFont="1" applyFill="1"/>
    <xf numFmtId="0" fontId="57" fillId="32" borderId="0" xfId="863" applyFont="1" applyFill="1"/>
    <xf numFmtId="171" fontId="46" fillId="30" borderId="0" xfId="864" applyNumberFormat="1" applyFont="1" applyFill="1" applyBorder="1"/>
    <xf numFmtId="171" fontId="46" fillId="31" borderId="0" xfId="864" applyNumberFormat="1" applyFont="1" applyFill="1" applyBorder="1"/>
    <xf numFmtId="171" fontId="46" fillId="32" borderId="0" xfId="864" applyNumberFormat="1" applyFont="1" applyFill="1" applyBorder="1"/>
    <xf numFmtId="0" fontId="55" fillId="31" borderId="36" xfId="865" applyFont="1" applyFill="1" applyBorder="1" applyProtection="1">
      <protection locked="0"/>
    </xf>
    <xf numFmtId="171" fontId="46" fillId="0" borderId="0" xfId="864" applyNumberFormat="1" applyFont="1" applyFill="1" applyBorder="1"/>
    <xf numFmtId="171" fontId="57" fillId="30" borderId="0" xfId="863" applyNumberFormat="1" applyFont="1" applyFill="1"/>
    <xf numFmtId="171" fontId="57" fillId="31" borderId="0" xfId="863" applyNumberFormat="1" applyFont="1" applyFill="1"/>
    <xf numFmtId="171" fontId="57" fillId="32" borderId="0" xfId="863" applyNumberFormat="1" applyFont="1" applyFill="1"/>
    <xf numFmtId="0" fontId="55" fillId="31" borderId="37" xfId="865" applyFont="1" applyFill="1" applyBorder="1" applyProtection="1">
      <protection locked="0"/>
    </xf>
    <xf numFmtId="6" fontId="43" fillId="19" borderId="15" xfId="861" applyNumberFormat="1" applyFont="1" applyFill="1" applyBorder="1" applyAlignment="1">
      <alignment horizontal="center" vertical="center" wrapText="1" readingOrder="1"/>
    </xf>
    <xf numFmtId="6" fontId="41" fillId="19" borderId="14" xfId="861" applyNumberFormat="1" applyFont="1" applyFill="1" applyBorder="1" applyAlignment="1">
      <alignment horizontal="center" vertical="center" wrapText="1" readingOrder="1"/>
    </xf>
    <xf numFmtId="0" fontId="27" fillId="0" borderId="0" xfId="863" applyFont="1"/>
    <xf numFmtId="6" fontId="43" fillId="19" borderId="14" xfId="861" applyNumberFormat="1" applyFont="1" applyFill="1" applyBorder="1" applyAlignment="1">
      <alignment horizontal="center" vertical="center" wrapText="1" readingOrder="1"/>
    </xf>
    <xf numFmtId="6" fontId="38" fillId="24" borderId="0" xfId="861" applyNumberFormat="1" applyFont="1" applyFill="1" applyAlignment="1">
      <alignment horizontal="center" vertical="center" wrapText="1" readingOrder="1"/>
    </xf>
    <xf numFmtId="6" fontId="38" fillId="0" borderId="14" xfId="861" applyNumberFormat="1" applyFont="1" applyBorder="1" applyAlignment="1">
      <alignment horizontal="center" vertical="center" wrapText="1" readingOrder="1"/>
    </xf>
    <xf numFmtId="0" fontId="46" fillId="33" borderId="0" xfId="0" applyFont="1" applyFill="1"/>
    <xf numFmtId="0" fontId="0" fillId="0" borderId="1" xfId="0" applyBorder="1" applyAlignment="1">
      <alignment horizontal="center"/>
    </xf>
    <xf numFmtId="0" fontId="4" fillId="0" borderId="0" xfId="0" applyFont="1" applyAlignment="1">
      <alignment horizontal="center"/>
    </xf>
    <xf numFmtId="0" fontId="0" fillId="0" borderId="0" xfId="0" applyAlignment="1">
      <alignment horizontal="left" wrapText="1"/>
    </xf>
    <xf numFmtId="0" fontId="18" fillId="0" borderId="0" xfId="0" applyFont="1" applyAlignment="1">
      <alignment horizontal="left" vertical="center"/>
    </xf>
    <xf numFmtId="0" fontId="18" fillId="8" borderId="0" xfId="0" applyFont="1" applyFill="1" applyAlignment="1">
      <alignment horizontal="center" wrapText="1"/>
    </xf>
    <xf numFmtId="0" fontId="20" fillId="0" borderId="17" xfId="0" applyFont="1" applyBorder="1" applyAlignment="1">
      <alignment vertical="center" wrapText="1"/>
    </xf>
    <xf numFmtId="0" fontId="20" fillId="0" borderId="0" xfId="0" applyFont="1" applyAlignment="1">
      <alignment vertical="center" wrapText="1"/>
    </xf>
    <xf numFmtId="0" fontId="20" fillId="0" borderId="13" xfId="0" applyFont="1" applyBorder="1" applyAlignment="1">
      <alignment vertical="center" wrapText="1"/>
    </xf>
    <xf numFmtId="0" fontId="39" fillId="15" borderId="18" xfId="0" applyFont="1" applyFill="1" applyBorder="1" applyAlignment="1">
      <alignment horizontal="center" vertical="center" wrapText="1"/>
    </xf>
    <xf numFmtId="0" fontId="39" fillId="15" borderId="15" xfId="0" applyFont="1" applyFill="1" applyBorder="1" applyAlignment="1">
      <alignment horizontal="center" vertical="center" wrapText="1"/>
    </xf>
    <xf numFmtId="0" fontId="38" fillId="0" borderId="27" xfId="861" applyFont="1" applyBorder="1" applyAlignment="1">
      <alignment horizontal="center" vertical="center" wrapText="1" readingOrder="1"/>
    </xf>
    <xf numFmtId="0" fontId="38" fillId="0" borderId="22" xfId="861" applyFont="1" applyBorder="1" applyAlignment="1">
      <alignment horizontal="center" vertical="center" wrapText="1" readingOrder="1"/>
    </xf>
    <xf numFmtId="0" fontId="38" fillId="0" borderId="13" xfId="861" applyFont="1" applyBorder="1" applyAlignment="1">
      <alignment horizontal="center" vertical="center" wrapText="1" readingOrder="1"/>
    </xf>
    <xf numFmtId="0" fontId="38" fillId="0" borderId="14" xfId="861" applyFont="1" applyBorder="1" applyAlignment="1">
      <alignment horizontal="center" vertical="center" wrapText="1" readingOrder="1"/>
    </xf>
    <xf numFmtId="164" fontId="49" fillId="18" borderId="28" xfId="861" applyNumberFormat="1" applyFont="1" applyFill="1" applyBorder="1" applyAlignment="1">
      <alignment horizontal="center" vertical="center" wrapText="1" readingOrder="1"/>
    </xf>
    <xf numFmtId="164" fontId="49" fillId="18" borderId="27" xfId="861" applyNumberFormat="1" applyFont="1" applyFill="1" applyBorder="1" applyAlignment="1">
      <alignment horizontal="center" vertical="center" wrapText="1" readingOrder="1"/>
    </xf>
    <xf numFmtId="164" fontId="49" fillId="18" borderId="22" xfId="861" applyNumberFormat="1" applyFont="1" applyFill="1" applyBorder="1" applyAlignment="1">
      <alignment horizontal="center" vertical="center" wrapText="1" readingOrder="1"/>
    </xf>
    <xf numFmtId="164" fontId="49" fillId="18" borderId="32" xfId="861" applyNumberFormat="1" applyFont="1" applyFill="1" applyBorder="1" applyAlignment="1">
      <alignment horizontal="center" vertical="center" wrapText="1" readingOrder="1"/>
    </xf>
    <xf numFmtId="164" fontId="49" fillId="18" borderId="13" xfId="861" applyNumberFormat="1" applyFont="1" applyFill="1" applyBorder="1" applyAlignment="1">
      <alignment horizontal="center" vertical="center" wrapText="1" readingOrder="1"/>
    </xf>
    <xf numFmtId="164" fontId="49" fillId="18" borderId="14" xfId="861" applyNumberFormat="1" applyFont="1" applyFill="1" applyBorder="1" applyAlignment="1">
      <alignment horizontal="center" vertical="center" wrapText="1" readingOrder="1"/>
    </xf>
    <xf numFmtId="164" fontId="41" fillId="19" borderId="30" xfId="861" applyNumberFormat="1" applyFont="1" applyFill="1" applyBorder="1" applyAlignment="1">
      <alignment horizontal="center" vertical="center" wrapText="1" readingOrder="1"/>
    </xf>
    <xf numFmtId="164" fontId="41" fillId="19" borderId="3" xfId="861" applyNumberFormat="1" applyFont="1" applyFill="1" applyBorder="1" applyAlignment="1">
      <alignment horizontal="center" vertical="center" wrapText="1" readingOrder="1"/>
    </xf>
    <xf numFmtId="164" fontId="41" fillId="19" borderId="31" xfId="861" applyNumberFormat="1" applyFont="1" applyFill="1" applyBorder="1" applyAlignment="1">
      <alignment horizontal="center" vertical="center" wrapText="1" readingOrder="1"/>
    </xf>
    <xf numFmtId="164" fontId="41" fillId="19" borderId="32" xfId="861" applyNumberFormat="1" applyFont="1" applyFill="1" applyBorder="1" applyAlignment="1">
      <alignment horizontal="center" vertical="center" wrapText="1" readingOrder="1"/>
    </xf>
    <xf numFmtId="164" fontId="41" fillId="19" borderId="13" xfId="861" applyNumberFormat="1" applyFont="1" applyFill="1" applyBorder="1" applyAlignment="1">
      <alignment horizontal="center" vertical="center" wrapText="1" readingOrder="1"/>
    </xf>
    <xf numFmtId="164" fontId="41" fillId="19" borderId="14" xfId="861" applyNumberFormat="1" applyFont="1" applyFill="1" applyBorder="1" applyAlignment="1">
      <alignment horizontal="center" vertical="center" wrapText="1" readingOrder="1"/>
    </xf>
    <xf numFmtId="0" fontId="49" fillId="18" borderId="1" xfId="861" applyFont="1" applyFill="1" applyBorder="1" applyAlignment="1">
      <alignment horizontal="center" vertical="center" wrapText="1"/>
    </xf>
    <xf numFmtId="0" fontId="49" fillId="19" borderId="1" xfId="861" applyFont="1" applyFill="1" applyBorder="1" applyAlignment="1">
      <alignment horizontal="center" vertical="center" wrapText="1"/>
    </xf>
    <xf numFmtId="0" fontId="39" fillId="17" borderId="18" xfId="861" applyFont="1" applyFill="1" applyBorder="1" applyAlignment="1">
      <alignment horizontal="center" vertical="center" wrapText="1"/>
    </xf>
    <xf numFmtId="0" fontId="39" fillId="17" borderId="15" xfId="861" applyFont="1" applyFill="1" applyBorder="1" applyAlignment="1">
      <alignment horizontal="center" vertical="center" wrapText="1"/>
    </xf>
    <xf numFmtId="0" fontId="47" fillId="17" borderId="25" xfId="861" applyFont="1" applyFill="1" applyBorder="1" applyAlignment="1">
      <alignment horizontal="center" vertical="center" wrapText="1" readingOrder="1"/>
    </xf>
    <xf numFmtId="0" fontId="47" fillId="17" borderId="26" xfId="861" applyFont="1" applyFill="1" applyBorder="1" applyAlignment="1">
      <alignment horizontal="center" vertical="center" wrapText="1" readingOrder="1"/>
    </xf>
    <xf numFmtId="0" fontId="47" fillId="17" borderId="21" xfId="861" applyFont="1" applyFill="1" applyBorder="1" applyAlignment="1">
      <alignment horizontal="center" vertical="center" wrapText="1" readingOrder="1"/>
    </xf>
    <xf numFmtId="0" fontId="38" fillId="17" borderId="25" xfId="861" applyFont="1" applyFill="1" applyBorder="1" applyAlignment="1">
      <alignment horizontal="center" vertical="center" wrapText="1" readingOrder="1"/>
    </xf>
    <xf numFmtId="0" fontId="38" fillId="17" borderId="26" xfId="861" applyFont="1" applyFill="1" applyBorder="1" applyAlignment="1">
      <alignment horizontal="center" vertical="center" wrapText="1" readingOrder="1"/>
    </xf>
    <xf numFmtId="0" fontId="38" fillId="17" borderId="21" xfId="861" applyFont="1" applyFill="1" applyBorder="1" applyAlignment="1">
      <alignment horizontal="center" vertical="center" wrapText="1" readingOrder="1"/>
    </xf>
    <xf numFmtId="0" fontId="38" fillId="17" borderId="28" xfId="861" applyFont="1" applyFill="1" applyBorder="1" applyAlignment="1">
      <alignment horizontal="center" vertical="center" wrapText="1" readingOrder="1"/>
    </xf>
    <xf numFmtId="0" fontId="38" fillId="17" borderId="27" xfId="861" applyFont="1" applyFill="1" applyBorder="1" applyAlignment="1">
      <alignment horizontal="center" vertical="center" wrapText="1" readingOrder="1"/>
    </xf>
    <xf numFmtId="0" fontId="38" fillId="17" borderId="22" xfId="861" applyFont="1" applyFill="1" applyBorder="1" applyAlignment="1">
      <alignment horizontal="center" vertical="center" wrapText="1" readingOrder="1"/>
    </xf>
    <xf numFmtId="0" fontId="48" fillId="18" borderId="28" xfId="861" applyFont="1" applyFill="1" applyBorder="1" applyAlignment="1">
      <alignment horizontal="center" vertical="center" wrapText="1" readingOrder="1"/>
    </xf>
    <xf numFmtId="0" fontId="48" fillId="18" borderId="27" xfId="861" applyFont="1" applyFill="1" applyBorder="1" applyAlignment="1">
      <alignment horizontal="center" vertical="center" wrapText="1" readingOrder="1"/>
    </xf>
    <xf numFmtId="0" fontId="48" fillId="18" borderId="22" xfId="861" applyFont="1" applyFill="1" applyBorder="1" applyAlignment="1">
      <alignment horizontal="center" vertical="center" wrapText="1" readingOrder="1"/>
    </xf>
    <xf numFmtId="0" fontId="48" fillId="19" borderId="25" xfId="861" applyFont="1" applyFill="1" applyBorder="1" applyAlignment="1">
      <alignment horizontal="center" vertical="center" wrapText="1" readingOrder="1"/>
    </xf>
    <xf numFmtId="0" fontId="48" fillId="19" borderId="26" xfId="861" applyFont="1" applyFill="1" applyBorder="1" applyAlignment="1">
      <alignment horizontal="center" vertical="center" wrapText="1" readingOrder="1"/>
    </xf>
    <xf numFmtId="0" fontId="48" fillId="19" borderId="21" xfId="861" applyFont="1" applyFill="1" applyBorder="1" applyAlignment="1">
      <alignment horizontal="center" vertical="center" wrapText="1" readingOrder="1"/>
    </xf>
    <xf numFmtId="0" fontId="10" fillId="3" borderId="0" xfId="0" applyFont="1" applyFill="1" applyAlignment="1">
      <alignment horizontal="center"/>
    </xf>
  </cellXfs>
  <cellStyles count="866">
    <cellStyle name="Comma" xfId="860" builtinId="3"/>
    <cellStyle name="Comma 10" xfId="864" xr:uid="{A0E463A5-7C16-4A5D-9760-8B7B8B4E5FFD}"/>
    <cellStyle name="Currency" xfId="858" builtinId="4"/>
    <cellStyle name="Followed Hyperlink" xfId="3" builtinId="9" hidden="1"/>
    <cellStyle name="Followed Hyperlink" xfId="5" builtinId="9" hidden="1"/>
    <cellStyle name="Followed Hyperlink" xfId="7" builtinId="9" hidden="1"/>
    <cellStyle name="Followed Hyperlink" xfId="9" builtinId="9" hidden="1"/>
    <cellStyle name="Followed Hyperlink" xfId="11" builtinId="9" hidden="1"/>
    <cellStyle name="Followed Hyperlink" xfId="13" builtinId="9" hidden="1"/>
    <cellStyle name="Followed Hyperlink" xfId="15" builtinId="9" hidden="1"/>
    <cellStyle name="Followed Hyperlink" xfId="17" builtinId="9" hidden="1"/>
    <cellStyle name="Followed Hyperlink" xfId="19" builtinId="9" hidden="1"/>
    <cellStyle name="Followed Hyperlink" xfId="21" builtinId="9" hidden="1"/>
    <cellStyle name="Followed Hyperlink" xfId="23" builtinId="9" hidden="1"/>
    <cellStyle name="Followed Hyperlink" xfId="25" builtinId="9" hidden="1"/>
    <cellStyle name="Followed Hyperlink" xfId="27" builtinId="9" hidden="1"/>
    <cellStyle name="Followed Hyperlink" xfId="29" builtinId="9" hidden="1"/>
    <cellStyle name="Followed Hyperlink" xfId="31" builtinId="9" hidden="1"/>
    <cellStyle name="Followed Hyperlink" xfId="33" builtinId="9" hidden="1"/>
    <cellStyle name="Followed Hyperlink" xfId="35" builtinId="9" hidden="1"/>
    <cellStyle name="Followed Hyperlink" xfId="37" builtinId="9" hidden="1"/>
    <cellStyle name="Followed Hyperlink" xfId="39" builtinId="9" hidden="1"/>
    <cellStyle name="Followed Hyperlink" xfId="41" builtinId="9" hidden="1"/>
    <cellStyle name="Followed Hyperlink" xfId="43" builtinId="9" hidden="1"/>
    <cellStyle name="Followed Hyperlink" xfId="45" builtinId="9" hidden="1"/>
    <cellStyle name="Followed Hyperlink" xfId="47" builtinId="9" hidden="1"/>
    <cellStyle name="Followed Hyperlink" xfId="49" builtinId="9" hidden="1"/>
    <cellStyle name="Followed Hyperlink" xfId="51" builtinId="9" hidden="1"/>
    <cellStyle name="Followed Hyperlink" xfId="53" builtinId="9" hidden="1"/>
    <cellStyle name="Followed Hyperlink" xfId="55" builtinId="9" hidden="1"/>
    <cellStyle name="Followed Hyperlink" xfId="57" builtinId="9" hidden="1"/>
    <cellStyle name="Followed Hyperlink" xfId="59" builtinId="9" hidden="1"/>
    <cellStyle name="Followed Hyperlink" xfId="61" builtinId="9" hidden="1"/>
    <cellStyle name="Followed Hyperlink" xfId="63" builtinId="9" hidden="1"/>
    <cellStyle name="Followed Hyperlink" xfId="65" builtinId="9" hidden="1"/>
    <cellStyle name="Followed Hyperlink" xfId="67" builtinId="9" hidden="1"/>
    <cellStyle name="Followed Hyperlink" xfId="69" builtinId="9" hidden="1"/>
    <cellStyle name="Followed Hyperlink" xfId="71" builtinId="9" hidden="1"/>
    <cellStyle name="Followed Hyperlink" xfId="73" builtinId="9" hidden="1"/>
    <cellStyle name="Followed Hyperlink" xfId="75" builtinId="9" hidden="1"/>
    <cellStyle name="Followed Hyperlink" xfId="77" builtinId="9" hidden="1"/>
    <cellStyle name="Followed Hyperlink" xfId="79" builtinId="9" hidden="1"/>
    <cellStyle name="Followed Hyperlink" xfId="81" builtinId="9" hidden="1"/>
    <cellStyle name="Followed Hyperlink" xfId="83" builtinId="9" hidden="1"/>
    <cellStyle name="Followed Hyperlink" xfId="85" builtinId="9" hidden="1"/>
    <cellStyle name="Followed Hyperlink" xfId="87" builtinId="9" hidden="1"/>
    <cellStyle name="Followed Hyperlink" xfId="89" builtinId="9" hidden="1"/>
    <cellStyle name="Followed Hyperlink" xfId="91" builtinId="9" hidden="1"/>
    <cellStyle name="Followed Hyperlink" xfId="93" builtinId="9" hidden="1"/>
    <cellStyle name="Followed Hyperlink" xfId="95" builtinId="9" hidden="1"/>
    <cellStyle name="Followed Hyperlink" xfId="97" builtinId="9" hidden="1"/>
    <cellStyle name="Followed Hyperlink" xfId="99" builtinId="9" hidden="1"/>
    <cellStyle name="Followed Hyperlink" xfId="101" builtinId="9" hidden="1"/>
    <cellStyle name="Followed Hyperlink" xfId="103" builtinId="9" hidden="1"/>
    <cellStyle name="Followed Hyperlink" xfId="105" builtinId="9" hidden="1"/>
    <cellStyle name="Followed Hyperlink" xfId="107" builtinId="9" hidden="1"/>
    <cellStyle name="Followed Hyperlink" xfId="109" builtinId="9" hidden="1"/>
    <cellStyle name="Followed Hyperlink" xfId="111" builtinId="9" hidden="1"/>
    <cellStyle name="Followed Hyperlink" xfId="113" builtinId="9" hidden="1"/>
    <cellStyle name="Followed Hyperlink" xfId="115" builtinId="9" hidden="1"/>
    <cellStyle name="Followed Hyperlink" xfId="117" builtinId="9" hidden="1"/>
    <cellStyle name="Followed Hyperlink" xfId="119" builtinId="9" hidden="1"/>
    <cellStyle name="Followed Hyperlink" xfId="121" builtinId="9" hidden="1"/>
    <cellStyle name="Followed Hyperlink" xfId="123" builtinId="9" hidden="1"/>
    <cellStyle name="Followed Hyperlink" xfId="125" builtinId="9" hidden="1"/>
    <cellStyle name="Followed Hyperlink" xfId="127" builtinId="9" hidden="1"/>
    <cellStyle name="Followed Hyperlink" xfId="129" builtinId="9" hidden="1"/>
    <cellStyle name="Followed Hyperlink" xfId="131" builtinId="9" hidden="1"/>
    <cellStyle name="Followed Hyperlink" xfId="133" builtinId="9" hidden="1"/>
    <cellStyle name="Followed Hyperlink" xfId="135" builtinId="9" hidden="1"/>
    <cellStyle name="Followed Hyperlink" xfId="137" builtinId="9" hidden="1"/>
    <cellStyle name="Followed Hyperlink" xfId="139" builtinId="9" hidden="1"/>
    <cellStyle name="Followed Hyperlink" xfId="141" builtinId="9" hidden="1"/>
    <cellStyle name="Followed Hyperlink" xfId="143" builtinId="9" hidden="1"/>
    <cellStyle name="Followed Hyperlink" xfId="145" builtinId="9" hidden="1"/>
    <cellStyle name="Followed Hyperlink" xfId="147" builtinId="9" hidden="1"/>
    <cellStyle name="Followed Hyperlink" xfId="149" builtinId="9" hidden="1"/>
    <cellStyle name="Followed Hyperlink" xfId="151" builtinId="9" hidden="1"/>
    <cellStyle name="Followed Hyperlink" xfId="153" builtinId="9" hidden="1"/>
    <cellStyle name="Followed Hyperlink" xfId="155" builtinId="9" hidden="1"/>
    <cellStyle name="Followed Hyperlink" xfId="157" builtinId="9" hidden="1"/>
    <cellStyle name="Followed Hyperlink" xfId="159" builtinId="9" hidden="1"/>
    <cellStyle name="Followed Hyperlink" xfId="161" builtinId="9" hidden="1"/>
    <cellStyle name="Followed Hyperlink" xfId="163" builtinId="9" hidden="1"/>
    <cellStyle name="Followed Hyperlink" xfId="165" builtinId="9" hidden="1"/>
    <cellStyle name="Followed Hyperlink" xfId="167" builtinId="9" hidden="1"/>
    <cellStyle name="Followed Hyperlink" xfId="169" builtinId="9" hidden="1"/>
    <cellStyle name="Followed Hyperlink" xfId="171" builtinId="9" hidden="1"/>
    <cellStyle name="Followed Hyperlink" xfId="173" builtinId="9" hidden="1"/>
    <cellStyle name="Followed Hyperlink" xfId="175" builtinId="9" hidden="1"/>
    <cellStyle name="Followed Hyperlink" xfId="177" builtinId="9" hidden="1"/>
    <cellStyle name="Followed Hyperlink" xfId="179" builtinId="9" hidden="1"/>
    <cellStyle name="Followed Hyperlink" xfId="181" builtinId="9" hidden="1"/>
    <cellStyle name="Followed Hyperlink" xfId="183" builtinId="9" hidden="1"/>
    <cellStyle name="Followed Hyperlink" xfId="185" builtinId="9" hidden="1"/>
    <cellStyle name="Followed Hyperlink" xfId="187" builtinId="9" hidden="1"/>
    <cellStyle name="Followed Hyperlink" xfId="189" builtinId="9" hidden="1"/>
    <cellStyle name="Followed Hyperlink" xfId="191" builtinId="9" hidden="1"/>
    <cellStyle name="Followed Hyperlink" xfId="193" builtinId="9" hidden="1"/>
    <cellStyle name="Followed Hyperlink" xfId="195" builtinId="9" hidden="1"/>
    <cellStyle name="Followed Hyperlink" xfId="197" builtinId="9" hidden="1"/>
    <cellStyle name="Followed Hyperlink" xfId="199" builtinId="9" hidden="1"/>
    <cellStyle name="Followed Hyperlink" xfId="201" builtinId="9" hidden="1"/>
    <cellStyle name="Followed Hyperlink" xfId="203" builtinId="9" hidden="1"/>
    <cellStyle name="Followed Hyperlink" xfId="205" builtinId="9" hidden="1"/>
    <cellStyle name="Followed Hyperlink" xfId="207" builtinId="9" hidden="1"/>
    <cellStyle name="Followed Hyperlink" xfId="209" builtinId="9" hidden="1"/>
    <cellStyle name="Followed Hyperlink" xfId="211" builtinId="9" hidden="1"/>
    <cellStyle name="Followed Hyperlink" xfId="213" builtinId="9" hidden="1"/>
    <cellStyle name="Followed Hyperlink" xfId="215" builtinId="9" hidden="1"/>
    <cellStyle name="Followed Hyperlink" xfId="217" builtinId="9" hidden="1"/>
    <cellStyle name="Followed Hyperlink" xfId="219" builtinId="9" hidden="1"/>
    <cellStyle name="Followed Hyperlink" xfId="221" builtinId="9" hidden="1"/>
    <cellStyle name="Followed Hyperlink" xfId="223" builtinId="9" hidden="1"/>
    <cellStyle name="Followed Hyperlink" xfId="225" builtinId="9" hidden="1"/>
    <cellStyle name="Followed Hyperlink" xfId="227" builtinId="9" hidden="1"/>
    <cellStyle name="Followed Hyperlink" xfId="229" builtinId="9" hidden="1"/>
    <cellStyle name="Followed Hyperlink" xfId="231" builtinId="9" hidden="1"/>
    <cellStyle name="Followed Hyperlink" xfId="233" builtinId="9" hidden="1"/>
    <cellStyle name="Followed Hyperlink" xfId="235" builtinId="9" hidden="1"/>
    <cellStyle name="Followed Hyperlink" xfId="237" builtinId="9" hidden="1"/>
    <cellStyle name="Followed Hyperlink" xfId="239" builtinId="9" hidden="1"/>
    <cellStyle name="Followed Hyperlink" xfId="241" builtinId="9" hidden="1"/>
    <cellStyle name="Followed Hyperlink" xfId="243" builtinId="9" hidden="1"/>
    <cellStyle name="Followed Hyperlink" xfId="245" builtinId="9" hidden="1"/>
    <cellStyle name="Followed Hyperlink" xfId="247" builtinId="9" hidden="1"/>
    <cellStyle name="Followed Hyperlink" xfId="249" builtinId="9" hidden="1"/>
    <cellStyle name="Followed Hyperlink" xfId="251" builtinId="9" hidden="1"/>
    <cellStyle name="Followed Hyperlink" xfId="253" builtinId="9" hidden="1"/>
    <cellStyle name="Followed Hyperlink" xfId="255" builtinId="9" hidden="1"/>
    <cellStyle name="Followed Hyperlink" xfId="257" builtinId="9" hidden="1"/>
    <cellStyle name="Followed Hyperlink" xfId="259" builtinId="9" hidden="1"/>
    <cellStyle name="Followed Hyperlink" xfId="261" builtinId="9" hidden="1"/>
    <cellStyle name="Followed Hyperlink" xfId="263" builtinId="9" hidden="1"/>
    <cellStyle name="Followed Hyperlink" xfId="265" builtinId="9" hidden="1"/>
    <cellStyle name="Followed Hyperlink" xfId="267" builtinId="9" hidden="1"/>
    <cellStyle name="Followed Hyperlink" xfId="269" builtinId="9" hidden="1"/>
    <cellStyle name="Followed Hyperlink" xfId="271" builtinId="9" hidden="1"/>
    <cellStyle name="Followed Hyperlink" xfId="273" builtinId="9" hidden="1"/>
    <cellStyle name="Followed Hyperlink" xfId="275" builtinId="9" hidden="1"/>
    <cellStyle name="Followed Hyperlink" xfId="277" builtinId="9" hidden="1"/>
    <cellStyle name="Followed Hyperlink" xfId="279" builtinId="9" hidden="1"/>
    <cellStyle name="Followed Hyperlink" xfId="281" builtinId="9" hidden="1"/>
    <cellStyle name="Followed Hyperlink" xfId="283" builtinId="9" hidden="1"/>
    <cellStyle name="Followed Hyperlink" xfId="285" builtinId="9" hidden="1"/>
    <cellStyle name="Followed Hyperlink" xfId="287" builtinId="9" hidden="1"/>
    <cellStyle name="Followed Hyperlink" xfId="289" builtinId="9" hidden="1"/>
    <cellStyle name="Followed Hyperlink" xfId="291" builtinId="9" hidden="1"/>
    <cellStyle name="Followed Hyperlink" xfId="293" builtinId="9" hidden="1"/>
    <cellStyle name="Followed Hyperlink" xfId="295" builtinId="9" hidden="1"/>
    <cellStyle name="Followed Hyperlink" xfId="297" builtinId="9" hidden="1"/>
    <cellStyle name="Followed Hyperlink" xfId="299" builtinId="9" hidden="1"/>
    <cellStyle name="Followed Hyperlink" xfId="301" builtinId="9" hidden="1"/>
    <cellStyle name="Followed Hyperlink" xfId="303" builtinId="9" hidden="1"/>
    <cellStyle name="Followed Hyperlink" xfId="305" builtinId="9" hidden="1"/>
    <cellStyle name="Followed Hyperlink" xfId="307" builtinId="9" hidden="1"/>
    <cellStyle name="Followed Hyperlink" xfId="309" builtinId="9" hidden="1"/>
    <cellStyle name="Followed Hyperlink" xfId="311" builtinId="9" hidden="1"/>
    <cellStyle name="Followed Hyperlink" xfId="313" builtinId="9" hidden="1"/>
    <cellStyle name="Followed Hyperlink" xfId="315" builtinId="9" hidden="1"/>
    <cellStyle name="Followed Hyperlink" xfId="317" builtinId="9" hidden="1"/>
    <cellStyle name="Followed Hyperlink" xfId="319" builtinId="9" hidden="1"/>
    <cellStyle name="Followed Hyperlink" xfId="321" builtinId="9" hidden="1"/>
    <cellStyle name="Followed Hyperlink" xfId="323" builtinId="9" hidden="1"/>
    <cellStyle name="Followed Hyperlink" xfId="325" builtinId="9" hidden="1"/>
    <cellStyle name="Followed Hyperlink" xfId="327" builtinId="9" hidden="1"/>
    <cellStyle name="Followed Hyperlink" xfId="329" builtinId="9" hidden="1"/>
    <cellStyle name="Followed Hyperlink" xfId="331" builtinId="9" hidden="1"/>
    <cellStyle name="Followed Hyperlink" xfId="333" builtinId="9" hidden="1"/>
    <cellStyle name="Followed Hyperlink" xfId="335" builtinId="9" hidden="1"/>
    <cellStyle name="Followed Hyperlink" xfId="337" builtinId="9" hidden="1"/>
    <cellStyle name="Followed Hyperlink" xfId="339" builtinId="9" hidden="1"/>
    <cellStyle name="Followed Hyperlink" xfId="341" builtinId="9" hidden="1"/>
    <cellStyle name="Followed Hyperlink" xfId="343" builtinId="9" hidden="1"/>
    <cellStyle name="Followed Hyperlink" xfId="345" builtinId="9" hidden="1"/>
    <cellStyle name="Followed Hyperlink" xfId="347" builtinId="9" hidden="1"/>
    <cellStyle name="Followed Hyperlink" xfId="349" builtinId="9" hidden="1"/>
    <cellStyle name="Followed Hyperlink" xfId="351" builtinId="9" hidden="1"/>
    <cellStyle name="Followed Hyperlink" xfId="353" builtinId="9" hidden="1"/>
    <cellStyle name="Followed Hyperlink" xfId="355" builtinId="9" hidden="1"/>
    <cellStyle name="Followed Hyperlink" xfId="357" builtinId="9" hidden="1"/>
    <cellStyle name="Followed Hyperlink" xfId="359" builtinId="9" hidden="1"/>
    <cellStyle name="Followed Hyperlink" xfId="361" builtinId="9" hidden="1"/>
    <cellStyle name="Followed Hyperlink" xfId="363" builtinId="9" hidden="1"/>
    <cellStyle name="Followed Hyperlink" xfId="365" builtinId="9" hidden="1"/>
    <cellStyle name="Followed Hyperlink" xfId="367" builtinId="9" hidden="1"/>
    <cellStyle name="Followed Hyperlink" xfId="369" builtinId="9" hidden="1"/>
    <cellStyle name="Followed Hyperlink" xfId="371" builtinId="9" hidden="1"/>
    <cellStyle name="Followed Hyperlink" xfId="373" builtinId="9" hidden="1"/>
    <cellStyle name="Followed Hyperlink" xfId="375" builtinId="9" hidden="1"/>
    <cellStyle name="Followed Hyperlink" xfId="377" builtinId="9" hidden="1"/>
    <cellStyle name="Followed Hyperlink" xfId="379" builtinId="9" hidden="1"/>
    <cellStyle name="Followed Hyperlink" xfId="381" builtinId="9" hidden="1"/>
    <cellStyle name="Followed Hyperlink" xfId="383" builtinId="9" hidden="1"/>
    <cellStyle name="Followed Hyperlink" xfId="385" builtinId="9" hidden="1"/>
    <cellStyle name="Followed Hyperlink" xfId="387" builtinId="9" hidden="1"/>
    <cellStyle name="Followed Hyperlink" xfId="389" builtinId="9" hidden="1"/>
    <cellStyle name="Followed Hyperlink" xfId="391" builtinId="9" hidden="1"/>
    <cellStyle name="Followed Hyperlink" xfId="393" builtinId="9" hidden="1"/>
    <cellStyle name="Followed Hyperlink" xfId="395" builtinId="9" hidden="1"/>
    <cellStyle name="Followed Hyperlink" xfId="397" builtinId="9" hidden="1"/>
    <cellStyle name="Followed Hyperlink" xfId="399" builtinId="9" hidden="1"/>
    <cellStyle name="Followed Hyperlink" xfId="401" builtinId="9" hidden="1"/>
    <cellStyle name="Followed Hyperlink" xfId="403" builtinId="9" hidden="1"/>
    <cellStyle name="Followed Hyperlink" xfId="405" builtinId="9" hidden="1"/>
    <cellStyle name="Followed Hyperlink" xfId="407" builtinId="9" hidden="1"/>
    <cellStyle name="Followed Hyperlink" xfId="409" builtinId="9" hidden="1"/>
    <cellStyle name="Followed Hyperlink" xfId="411" builtinId="9" hidden="1"/>
    <cellStyle name="Followed Hyperlink" xfId="413" builtinId="9" hidden="1"/>
    <cellStyle name="Followed Hyperlink" xfId="415" builtinId="9" hidden="1"/>
    <cellStyle name="Followed Hyperlink" xfId="417" builtinId="9" hidden="1"/>
    <cellStyle name="Followed Hyperlink" xfId="419" builtinId="9" hidden="1"/>
    <cellStyle name="Followed Hyperlink" xfId="421" builtinId="9" hidden="1"/>
    <cellStyle name="Followed Hyperlink" xfId="423" builtinId="9" hidden="1"/>
    <cellStyle name="Followed Hyperlink" xfId="425" builtinId="9" hidden="1"/>
    <cellStyle name="Followed Hyperlink" xfId="427" builtinId="9" hidden="1"/>
    <cellStyle name="Followed Hyperlink" xfId="429" builtinId="9" hidden="1"/>
    <cellStyle name="Followed Hyperlink" xfId="431" builtinId="9" hidden="1"/>
    <cellStyle name="Followed Hyperlink" xfId="433" builtinId="9" hidden="1"/>
    <cellStyle name="Followed Hyperlink" xfId="435" builtinId="9" hidden="1"/>
    <cellStyle name="Followed Hyperlink" xfId="437" builtinId="9" hidden="1"/>
    <cellStyle name="Followed Hyperlink" xfId="439" builtinId="9" hidden="1"/>
    <cellStyle name="Followed Hyperlink" xfId="441" builtinId="9" hidden="1"/>
    <cellStyle name="Followed Hyperlink" xfId="443" builtinId="9" hidden="1"/>
    <cellStyle name="Followed Hyperlink" xfId="445" builtinId="9" hidden="1"/>
    <cellStyle name="Followed Hyperlink" xfId="447" builtinId="9" hidden="1"/>
    <cellStyle name="Followed Hyperlink" xfId="449" builtinId="9" hidden="1"/>
    <cellStyle name="Followed Hyperlink" xfId="451" builtinId="9" hidden="1"/>
    <cellStyle name="Followed Hyperlink" xfId="453" builtinId="9" hidden="1"/>
    <cellStyle name="Followed Hyperlink" xfId="455" builtinId="9" hidden="1"/>
    <cellStyle name="Followed Hyperlink" xfId="457" builtinId="9" hidden="1"/>
    <cellStyle name="Followed Hyperlink" xfId="459" builtinId="9" hidden="1"/>
    <cellStyle name="Followed Hyperlink" xfId="461" builtinId="9" hidden="1"/>
    <cellStyle name="Followed Hyperlink" xfId="463" builtinId="9" hidden="1"/>
    <cellStyle name="Followed Hyperlink" xfId="465" builtinId="9" hidden="1"/>
    <cellStyle name="Followed Hyperlink" xfId="467" builtinId="9" hidden="1"/>
    <cellStyle name="Followed Hyperlink" xfId="469" builtinId="9" hidden="1"/>
    <cellStyle name="Followed Hyperlink" xfId="471" builtinId="9" hidden="1"/>
    <cellStyle name="Followed Hyperlink" xfId="473" builtinId="9" hidden="1"/>
    <cellStyle name="Followed Hyperlink" xfId="475" builtinId="9" hidden="1"/>
    <cellStyle name="Followed Hyperlink" xfId="477" builtinId="9" hidden="1"/>
    <cellStyle name="Followed Hyperlink" xfId="479" builtinId="9" hidden="1"/>
    <cellStyle name="Followed Hyperlink" xfId="481" builtinId="9" hidden="1"/>
    <cellStyle name="Followed Hyperlink" xfId="483" builtinId="9" hidden="1"/>
    <cellStyle name="Followed Hyperlink" xfId="485" builtinId="9" hidden="1"/>
    <cellStyle name="Followed Hyperlink" xfId="487" builtinId="9" hidden="1"/>
    <cellStyle name="Followed Hyperlink" xfId="489" builtinId="9" hidden="1"/>
    <cellStyle name="Followed Hyperlink" xfId="491" builtinId="9" hidden="1"/>
    <cellStyle name="Followed Hyperlink" xfId="493" builtinId="9" hidden="1"/>
    <cellStyle name="Followed Hyperlink" xfId="495" builtinId="9" hidden="1"/>
    <cellStyle name="Followed Hyperlink" xfId="497" builtinId="9" hidden="1"/>
    <cellStyle name="Followed Hyperlink" xfId="499" builtinId="9" hidden="1"/>
    <cellStyle name="Followed Hyperlink" xfId="501" builtinId="9" hidden="1"/>
    <cellStyle name="Followed Hyperlink" xfId="503" builtinId="9" hidden="1"/>
    <cellStyle name="Followed Hyperlink" xfId="505" builtinId="9" hidden="1"/>
    <cellStyle name="Followed Hyperlink" xfId="507" builtinId="9" hidden="1"/>
    <cellStyle name="Followed Hyperlink" xfId="509" builtinId="9" hidden="1"/>
    <cellStyle name="Followed Hyperlink" xfId="511" builtinId="9" hidden="1"/>
    <cellStyle name="Followed Hyperlink" xfId="513" builtinId="9" hidden="1"/>
    <cellStyle name="Followed Hyperlink" xfId="515" builtinId="9" hidden="1"/>
    <cellStyle name="Followed Hyperlink" xfId="517" builtinId="9" hidden="1"/>
    <cellStyle name="Followed Hyperlink" xfId="519" builtinId="9" hidden="1"/>
    <cellStyle name="Followed Hyperlink" xfId="521" builtinId="9" hidden="1"/>
    <cellStyle name="Followed Hyperlink" xfId="523" builtinId="9" hidden="1"/>
    <cellStyle name="Followed Hyperlink" xfId="525" builtinId="9" hidden="1"/>
    <cellStyle name="Followed Hyperlink" xfId="527" builtinId="9" hidden="1"/>
    <cellStyle name="Followed Hyperlink" xfId="529" builtinId="9" hidden="1"/>
    <cellStyle name="Followed Hyperlink" xfId="531" builtinId="9" hidden="1"/>
    <cellStyle name="Followed Hyperlink" xfId="533" builtinId="9" hidden="1"/>
    <cellStyle name="Followed Hyperlink" xfId="535" builtinId="9" hidden="1"/>
    <cellStyle name="Followed Hyperlink" xfId="537" builtinId="9" hidden="1"/>
    <cellStyle name="Followed Hyperlink" xfId="539" builtinId="9" hidden="1"/>
    <cellStyle name="Followed Hyperlink" xfId="541" builtinId="9" hidden="1"/>
    <cellStyle name="Followed Hyperlink" xfId="543" builtinId="9" hidden="1"/>
    <cellStyle name="Followed Hyperlink" xfId="545" builtinId="9" hidden="1"/>
    <cellStyle name="Followed Hyperlink" xfId="547" builtinId="9" hidden="1"/>
    <cellStyle name="Followed Hyperlink" xfId="549" builtinId="9" hidden="1"/>
    <cellStyle name="Followed Hyperlink" xfId="551" builtinId="9" hidden="1"/>
    <cellStyle name="Followed Hyperlink" xfId="553" builtinId="9" hidden="1"/>
    <cellStyle name="Followed Hyperlink" xfId="555" builtinId="9" hidden="1"/>
    <cellStyle name="Followed Hyperlink" xfId="557" builtinId="9" hidden="1"/>
    <cellStyle name="Followed Hyperlink" xfId="559" builtinId="9" hidden="1"/>
    <cellStyle name="Followed Hyperlink" xfId="561" builtinId="9" hidden="1"/>
    <cellStyle name="Followed Hyperlink" xfId="563" builtinId="9" hidden="1"/>
    <cellStyle name="Followed Hyperlink" xfId="565" builtinId="9" hidden="1"/>
    <cellStyle name="Followed Hyperlink" xfId="567" builtinId="9" hidden="1"/>
    <cellStyle name="Followed Hyperlink" xfId="569" builtinId="9" hidden="1"/>
    <cellStyle name="Followed Hyperlink" xfId="571" builtinId="9" hidden="1"/>
    <cellStyle name="Followed Hyperlink" xfId="573" builtinId="9" hidden="1"/>
    <cellStyle name="Followed Hyperlink" xfId="575" builtinId="9" hidden="1"/>
    <cellStyle name="Followed Hyperlink" xfId="577" builtinId="9" hidden="1"/>
    <cellStyle name="Followed Hyperlink" xfId="579" builtinId="9" hidden="1"/>
    <cellStyle name="Followed Hyperlink" xfId="581" builtinId="9" hidden="1"/>
    <cellStyle name="Followed Hyperlink" xfId="583" builtinId="9" hidden="1"/>
    <cellStyle name="Followed Hyperlink" xfId="585" builtinId="9" hidden="1"/>
    <cellStyle name="Followed Hyperlink" xfId="587" builtinId="9" hidden="1"/>
    <cellStyle name="Followed Hyperlink" xfId="589" builtinId="9" hidden="1"/>
    <cellStyle name="Followed Hyperlink" xfId="591" builtinId="9" hidden="1"/>
    <cellStyle name="Followed Hyperlink" xfId="593" builtinId="9" hidden="1"/>
    <cellStyle name="Followed Hyperlink" xfId="595" builtinId="9" hidden="1"/>
    <cellStyle name="Followed Hyperlink" xfId="597" builtinId="9" hidden="1"/>
    <cellStyle name="Followed Hyperlink" xfId="599" builtinId="9" hidden="1"/>
    <cellStyle name="Followed Hyperlink" xfId="601" builtinId="9" hidden="1"/>
    <cellStyle name="Followed Hyperlink" xfId="603" builtinId="9" hidden="1"/>
    <cellStyle name="Followed Hyperlink" xfId="605" builtinId="9" hidden="1"/>
    <cellStyle name="Followed Hyperlink" xfId="607" builtinId="9" hidden="1"/>
    <cellStyle name="Followed Hyperlink" xfId="609" builtinId="9" hidden="1"/>
    <cellStyle name="Followed Hyperlink" xfId="611" builtinId="9" hidden="1"/>
    <cellStyle name="Followed Hyperlink" xfId="613" builtinId="9" hidden="1"/>
    <cellStyle name="Followed Hyperlink" xfId="615" builtinId="9" hidden="1"/>
    <cellStyle name="Followed Hyperlink" xfId="617" builtinId="9" hidden="1"/>
    <cellStyle name="Followed Hyperlink" xfId="619" builtinId="9" hidden="1"/>
    <cellStyle name="Followed Hyperlink" xfId="621" builtinId="9" hidden="1"/>
    <cellStyle name="Followed Hyperlink" xfId="623" builtinId="9" hidden="1"/>
    <cellStyle name="Followed Hyperlink" xfId="625" builtinId="9" hidden="1"/>
    <cellStyle name="Followed Hyperlink" xfId="627" builtinId="9" hidden="1"/>
    <cellStyle name="Followed Hyperlink" xfId="629" builtinId="9" hidden="1"/>
    <cellStyle name="Followed Hyperlink" xfId="631" builtinId="9" hidden="1"/>
    <cellStyle name="Followed Hyperlink" xfId="633" builtinId="9" hidden="1"/>
    <cellStyle name="Followed Hyperlink" xfId="635" builtinId="9" hidden="1"/>
    <cellStyle name="Followed Hyperlink" xfId="637" builtinId="9" hidden="1"/>
    <cellStyle name="Followed Hyperlink" xfId="639" builtinId="9" hidden="1"/>
    <cellStyle name="Followed Hyperlink" xfId="641" builtinId="9" hidden="1"/>
    <cellStyle name="Followed Hyperlink" xfId="643" builtinId="9" hidden="1"/>
    <cellStyle name="Followed Hyperlink" xfId="645" builtinId="9" hidden="1"/>
    <cellStyle name="Followed Hyperlink" xfId="647" builtinId="9" hidden="1"/>
    <cellStyle name="Followed Hyperlink" xfId="649" builtinId="9" hidden="1"/>
    <cellStyle name="Followed Hyperlink" xfId="651" builtinId="9" hidden="1"/>
    <cellStyle name="Followed Hyperlink" xfId="653" builtinId="9" hidden="1"/>
    <cellStyle name="Followed Hyperlink" xfId="655" builtinId="9" hidden="1"/>
    <cellStyle name="Followed Hyperlink" xfId="657" builtinId="9" hidden="1"/>
    <cellStyle name="Followed Hyperlink" xfId="659" builtinId="9" hidden="1"/>
    <cellStyle name="Followed Hyperlink" xfId="661" builtinId="9" hidden="1"/>
    <cellStyle name="Followed Hyperlink" xfId="663" builtinId="9" hidden="1"/>
    <cellStyle name="Followed Hyperlink" xfId="665" builtinId="9" hidden="1"/>
    <cellStyle name="Followed Hyperlink" xfId="667" builtinId="9" hidden="1"/>
    <cellStyle name="Followed Hyperlink" xfId="669" builtinId="9" hidden="1"/>
    <cellStyle name="Followed Hyperlink" xfId="671" builtinId="9" hidden="1"/>
    <cellStyle name="Followed Hyperlink" xfId="673" builtinId="9" hidden="1"/>
    <cellStyle name="Followed Hyperlink" xfId="675" builtinId="9" hidden="1"/>
    <cellStyle name="Followed Hyperlink" xfId="677" builtinId="9" hidden="1"/>
    <cellStyle name="Followed Hyperlink" xfId="679" builtinId="9" hidden="1"/>
    <cellStyle name="Followed Hyperlink" xfId="681" builtinId="9" hidden="1"/>
    <cellStyle name="Followed Hyperlink" xfId="683" builtinId="9" hidden="1"/>
    <cellStyle name="Followed Hyperlink" xfId="685" builtinId="9" hidden="1"/>
    <cellStyle name="Followed Hyperlink" xfId="687" builtinId="9" hidden="1"/>
    <cellStyle name="Followed Hyperlink" xfId="689" builtinId="9" hidden="1"/>
    <cellStyle name="Followed Hyperlink" xfId="691" builtinId="9" hidden="1"/>
    <cellStyle name="Followed Hyperlink" xfId="693" builtinId="9" hidden="1"/>
    <cellStyle name="Followed Hyperlink" xfId="695" builtinId="9" hidden="1"/>
    <cellStyle name="Followed Hyperlink" xfId="697" builtinId="9" hidden="1"/>
    <cellStyle name="Followed Hyperlink" xfId="699" builtinId="9" hidden="1"/>
    <cellStyle name="Followed Hyperlink" xfId="701" builtinId="9" hidden="1"/>
    <cellStyle name="Followed Hyperlink" xfId="703" builtinId="9" hidden="1"/>
    <cellStyle name="Followed Hyperlink" xfId="705" builtinId="9" hidden="1"/>
    <cellStyle name="Followed Hyperlink" xfId="707" builtinId="9" hidden="1"/>
    <cellStyle name="Followed Hyperlink" xfId="709" builtinId="9" hidden="1"/>
    <cellStyle name="Followed Hyperlink" xfId="711" builtinId="9" hidden="1"/>
    <cellStyle name="Followed Hyperlink" xfId="713" builtinId="9" hidden="1"/>
    <cellStyle name="Followed Hyperlink" xfId="715" builtinId="9" hidden="1"/>
    <cellStyle name="Followed Hyperlink" xfId="717" builtinId="9" hidden="1"/>
    <cellStyle name="Followed Hyperlink" xfId="719" builtinId="9" hidden="1"/>
    <cellStyle name="Followed Hyperlink" xfId="721" builtinId="9" hidden="1"/>
    <cellStyle name="Followed Hyperlink" xfId="723" builtinId="9" hidden="1"/>
    <cellStyle name="Followed Hyperlink" xfId="725" builtinId="9" hidden="1"/>
    <cellStyle name="Followed Hyperlink" xfId="727" builtinId="9" hidden="1"/>
    <cellStyle name="Followed Hyperlink" xfId="729" builtinId="9" hidden="1"/>
    <cellStyle name="Followed Hyperlink" xfId="731" builtinId="9" hidden="1"/>
    <cellStyle name="Followed Hyperlink" xfId="733" builtinId="9" hidden="1"/>
    <cellStyle name="Followed Hyperlink" xfId="735" builtinId="9" hidden="1"/>
    <cellStyle name="Followed Hyperlink" xfId="737" builtinId="9" hidden="1"/>
    <cellStyle name="Followed Hyperlink" xfId="739" builtinId="9" hidden="1"/>
    <cellStyle name="Followed Hyperlink" xfId="741" builtinId="9" hidden="1"/>
    <cellStyle name="Followed Hyperlink" xfId="743" builtinId="9" hidden="1"/>
    <cellStyle name="Followed Hyperlink" xfId="745" builtinId="9" hidden="1"/>
    <cellStyle name="Followed Hyperlink" xfId="747" builtinId="9" hidden="1"/>
    <cellStyle name="Followed Hyperlink" xfId="749" builtinId="9" hidden="1"/>
    <cellStyle name="Followed Hyperlink" xfId="751" builtinId="9" hidden="1"/>
    <cellStyle name="Followed Hyperlink" xfId="753" builtinId="9" hidden="1"/>
    <cellStyle name="Followed Hyperlink" xfId="755" builtinId="9" hidden="1"/>
    <cellStyle name="Followed Hyperlink" xfId="757" builtinId="9" hidden="1"/>
    <cellStyle name="Followed Hyperlink" xfId="759" builtinId="9" hidden="1"/>
    <cellStyle name="Followed Hyperlink" xfId="761" builtinId="9" hidden="1"/>
    <cellStyle name="Followed Hyperlink" xfId="763" builtinId="9" hidden="1"/>
    <cellStyle name="Followed Hyperlink" xfId="765" builtinId="9" hidden="1"/>
    <cellStyle name="Followed Hyperlink" xfId="767" builtinId="9" hidden="1"/>
    <cellStyle name="Followed Hyperlink" xfId="769" builtinId="9" hidden="1"/>
    <cellStyle name="Followed Hyperlink" xfId="771" builtinId="9" hidden="1"/>
    <cellStyle name="Followed Hyperlink" xfId="773" builtinId="9" hidden="1"/>
    <cellStyle name="Followed Hyperlink" xfId="775" builtinId="9" hidden="1"/>
    <cellStyle name="Followed Hyperlink" xfId="777" builtinId="9" hidden="1"/>
    <cellStyle name="Followed Hyperlink" xfId="779" builtinId="9" hidden="1"/>
    <cellStyle name="Followed Hyperlink" xfId="781" builtinId="9" hidden="1"/>
    <cellStyle name="Followed Hyperlink" xfId="783" builtinId="9" hidden="1"/>
    <cellStyle name="Followed Hyperlink" xfId="785" builtinId="9" hidden="1"/>
    <cellStyle name="Followed Hyperlink" xfId="787" builtinId="9" hidden="1"/>
    <cellStyle name="Followed Hyperlink" xfId="789" builtinId="9" hidden="1"/>
    <cellStyle name="Followed Hyperlink" xfId="791" builtinId="9" hidden="1"/>
    <cellStyle name="Followed Hyperlink" xfId="793" builtinId="9" hidden="1"/>
    <cellStyle name="Followed Hyperlink" xfId="795" builtinId="9" hidden="1"/>
    <cellStyle name="Followed Hyperlink" xfId="797" builtinId="9" hidden="1"/>
    <cellStyle name="Followed Hyperlink" xfId="799" builtinId="9" hidden="1"/>
    <cellStyle name="Followed Hyperlink" xfId="801" builtinId="9" hidden="1"/>
    <cellStyle name="Followed Hyperlink" xfId="803" builtinId="9" hidden="1"/>
    <cellStyle name="Followed Hyperlink" xfId="805" builtinId="9" hidden="1"/>
    <cellStyle name="Followed Hyperlink" xfId="807" builtinId="9" hidden="1"/>
    <cellStyle name="Followed Hyperlink" xfId="809" builtinId="9" hidden="1"/>
    <cellStyle name="Followed Hyperlink" xfId="811" builtinId="9" hidden="1"/>
    <cellStyle name="Followed Hyperlink" xfId="813" builtinId="9" hidden="1"/>
    <cellStyle name="Followed Hyperlink" xfId="815" builtinId="9" hidden="1"/>
    <cellStyle name="Followed Hyperlink" xfId="817" builtinId="9" hidden="1"/>
    <cellStyle name="Followed Hyperlink" xfId="819" builtinId="9" hidden="1"/>
    <cellStyle name="Followed Hyperlink" xfId="821" builtinId="9" hidden="1"/>
    <cellStyle name="Followed Hyperlink" xfId="823" builtinId="9" hidden="1"/>
    <cellStyle name="Followed Hyperlink" xfId="825" builtinId="9" hidden="1"/>
    <cellStyle name="Followed Hyperlink" xfId="827" builtinId="9" hidden="1"/>
    <cellStyle name="Followed Hyperlink" xfId="829" builtinId="9" hidden="1"/>
    <cellStyle name="Followed Hyperlink" xfId="831" builtinId="9" hidden="1"/>
    <cellStyle name="Followed Hyperlink" xfId="833" builtinId="9" hidden="1"/>
    <cellStyle name="Followed Hyperlink" xfId="835" builtinId="9" hidden="1"/>
    <cellStyle name="Followed Hyperlink" xfId="837" builtinId="9" hidden="1"/>
    <cellStyle name="Followed Hyperlink" xfId="839" builtinId="9" hidden="1"/>
    <cellStyle name="Followed Hyperlink" xfId="841" builtinId="9" hidden="1"/>
    <cellStyle name="Followed Hyperlink" xfId="843" builtinId="9" hidden="1"/>
    <cellStyle name="Followed Hyperlink" xfId="845" builtinId="9" hidden="1"/>
    <cellStyle name="Followed Hyperlink" xfId="847" builtinId="9" hidden="1"/>
    <cellStyle name="Followed Hyperlink" xfId="849" builtinId="9" hidden="1"/>
    <cellStyle name="Followed Hyperlink" xfId="851" builtinId="9" hidden="1"/>
    <cellStyle name="Followed Hyperlink" xfId="853" builtinId="9" hidden="1"/>
    <cellStyle name="Followed Hyperlink" xfId="855" builtinId="9" hidden="1"/>
    <cellStyle name="Followed Hyperlink" xfId="857" builtinId="9" hidden="1"/>
    <cellStyle name="Hyperlink" xfId="2" builtinId="8" hidden="1"/>
    <cellStyle name="Hyperlink" xfId="4" builtinId="8" hidden="1"/>
    <cellStyle name="Hyperlink" xfId="6" builtinId="8" hidden="1"/>
    <cellStyle name="Hyperlink" xfId="8" builtinId="8" hidden="1"/>
    <cellStyle name="Hyperlink" xfId="10" builtinId="8" hidden="1"/>
    <cellStyle name="Hyperlink" xfId="12" builtinId="8" hidden="1"/>
    <cellStyle name="Hyperlink" xfId="14" builtinId="8" hidden="1"/>
    <cellStyle name="Hyperlink" xfId="16" builtinId="8" hidden="1"/>
    <cellStyle name="Hyperlink" xfId="18" builtinId="8" hidden="1"/>
    <cellStyle name="Hyperlink" xfId="20" builtinId="8" hidden="1"/>
    <cellStyle name="Hyperlink" xfId="22" builtinId="8" hidden="1"/>
    <cellStyle name="Hyperlink" xfId="24" builtinId="8" hidden="1"/>
    <cellStyle name="Hyperlink" xfId="26" builtinId="8" hidden="1"/>
    <cellStyle name="Hyperlink" xfId="28" builtinId="8" hidden="1"/>
    <cellStyle name="Hyperlink" xfId="30" builtinId="8" hidden="1"/>
    <cellStyle name="Hyperlink" xfId="32" builtinId="8" hidden="1"/>
    <cellStyle name="Hyperlink" xfId="34" builtinId="8" hidden="1"/>
    <cellStyle name="Hyperlink" xfId="36" builtinId="8" hidden="1"/>
    <cellStyle name="Hyperlink" xfId="38" builtinId="8" hidden="1"/>
    <cellStyle name="Hyperlink" xfId="40" builtinId="8" hidden="1"/>
    <cellStyle name="Hyperlink" xfId="42" builtinId="8" hidden="1"/>
    <cellStyle name="Hyperlink" xfId="44" builtinId="8" hidden="1"/>
    <cellStyle name="Hyperlink" xfId="46" builtinId="8" hidden="1"/>
    <cellStyle name="Hyperlink" xfId="48" builtinId="8" hidden="1"/>
    <cellStyle name="Hyperlink" xfId="50" builtinId="8" hidden="1"/>
    <cellStyle name="Hyperlink" xfId="52" builtinId="8" hidden="1"/>
    <cellStyle name="Hyperlink" xfId="54" builtinId="8" hidden="1"/>
    <cellStyle name="Hyperlink" xfId="56" builtinId="8" hidden="1"/>
    <cellStyle name="Hyperlink" xfId="58" builtinId="8" hidden="1"/>
    <cellStyle name="Hyperlink" xfId="60" builtinId="8" hidden="1"/>
    <cellStyle name="Hyperlink" xfId="62" builtinId="8" hidden="1"/>
    <cellStyle name="Hyperlink" xfId="64" builtinId="8" hidden="1"/>
    <cellStyle name="Hyperlink" xfId="66" builtinId="8" hidden="1"/>
    <cellStyle name="Hyperlink" xfId="68" builtinId="8" hidden="1"/>
    <cellStyle name="Hyperlink" xfId="70" builtinId="8" hidden="1"/>
    <cellStyle name="Hyperlink" xfId="72" builtinId="8" hidden="1"/>
    <cellStyle name="Hyperlink" xfId="74" builtinId="8" hidden="1"/>
    <cellStyle name="Hyperlink" xfId="76" builtinId="8" hidden="1"/>
    <cellStyle name="Hyperlink" xfId="78" builtinId="8" hidden="1"/>
    <cellStyle name="Hyperlink" xfId="80" builtinId="8" hidden="1"/>
    <cellStyle name="Hyperlink" xfId="82" builtinId="8" hidden="1"/>
    <cellStyle name="Hyperlink" xfId="84" builtinId="8" hidden="1"/>
    <cellStyle name="Hyperlink" xfId="86" builtinId="8" hidden="1"/>
    <cellStyle name="Hyperlink" xfId="88" builtinId="8" hidden="1"/>
    <cellStyle name="Hyperlink" xfId="90" builtinId="8" hidden="1"/>
    <cellStyle name="Hyperlink" xfId="92" builtinId="8" hidden="1"/>
    <cellStyle name="Hyperlink" xfId="94" builtinId="8" hidden="1"/>
    <cellStyle name="Hyperlink" xfId="96" builtinId="8" hidden="1"/>
    <cellStyle name="Hyperlink" xfId="98" builtinId="8" hidden="1"/>
    <cellStyle name="Hyperlink" xfId="100" builtinId="8" hidden="1"/>
    <cellStyle name="Hyperlink" xfId="102" builtinId="8" hidden="1"/>
    <cellStyle name="Hyperlink" xfId="104" builtinId="8" hidden="1"/>
    <cellStyle name="Hyperlink" xfId="106" builtinId="8" hidden="1"/>
    <cellStyle name="Hyperlink" xfId="108" builtinId="8" hidden="1"/>
    <cellStyle name="Hyperlink" xfId="110" builtinId="8" hidden="1"/>
    <cellStyle name="Hyperlink" xfId="112" builtinId="8" hidden="1"/>
    <cellStyle name="Hyperlink" xfId="114" builtinId="8" hidden="1"/>
    <cellStyle name="Hyperlink" xfId="116" builtinId="8" hidden="1"/>
    <cellStyle name="Hyperlink" xfId="118" builtinId="8" hidden="1"/>
    <cellStyle name="Hyperlink" xfId="120" builtinId="8" hidden="1"/>
    <cellStyle name="Hyperlink" xfId="122" builtinId="8" hidden="1"/>
    <cellStyle name="Hyperlink" xfId="124" builtinId="8" hidden="1"/>
    <cellStyle name="Hyperlink" xfId="126" builtinId="8" hidden="1"/>
    <cellStyle name="Hyperlink" xfId="128" builtinId="8" hidden="1"/>
    <cellStyle name="Hyperlink" xfId="130" builtinId="8" hidden="1"/>
    <cellStyle name="Hyperlink" xfId="132" builtinId="8" hidden="1"/>
    <cellStyle name="Hyperlink" xfId="134" builtinId="8" hidden="1"/>
    <cellStyle name="Hyperlink" xfId="136" builtinId="8" hidden="1"/>
    <cellStyle name="Hyperlink" xfId="138" builtinId="8" hidden="1"/>
    <cellStyle name="Hyperlink" xfId="140" builtinId="8" hidden="1"/>
    <cellStyle name="Hyperlink" xfId="142" builtinId="8" hidden="1"/>
    <cellStyle name="Hyperlink" xfId="144" builtinId="8" hidden="1"/>
    <cellStyle name="Hyperlink" xfId="146" builtinId="8" hidden="1"/>
    <cellStyle name="Hyperlink" xfId="148" builtinId="8" hidden="1"/>
    <cellStyle name="Hyperlink" xfId="150" builtinId="8" hidden="1"/>
    <cellStyle name="Hyperlink" xfId="152" builtinId="8" hidden="1"/>
    <cellStyle name="Hyperlink" xfId="154" builtinId="8" hidden="1"/>
    <cellStyle name="Hyperlink" xfId="156" builtinId="8" hidden="1"/>
    <cellStyle name="Hyperlink" xfId="158" builtinId="8" hidden="1"/>
    <cellStyle name="Hyperlink" xfId="160" builtinId="8" hidden="1"/>
    <cellStyle name="Hyperlink" xfId="162" builtinId="8" hidden="1"/>
    <cellStyle name="Hyperlink" xfId="164" builtinId="8" hidden="1"/>
    <cellStyle name="Hyperlink" xfId="166" builtinId="8" hidden="1"/>
    <cellStyle name="Hyperlink" xfId="168" builtinId="8" hidden="1"/>
    <cellStyle name="Hyperlink" xfId="170" builtinId="8" hidden="1"/>
    <cellStyle name="Hyperlink" xfId="172" builtinId="8" hidden="1"/>
    <cellStyle name="Hyperlink" xfId="174" builtinId="8" hidden="1"/>
    <cellStyle name="Hyperlink" xfId="176" builtinId="8" hidden="1"/>
    <cellStyle name="Hyperlink" xfId="178" builtinId="8" hidden="1"/>
    <cellStyle name="Hyperlink" xfId="180" builtinId="8" hidden="1"/>
    <cellStyle name="Hyperlink" xfId="182" builtinId="8" hidden="1"/>
    <cellStyle name="Hyperlink" xfId="184" builtinId="8" hidden="1"/>
    <cellStyle name="Hyperlink" xfId="186" builtinId="8" hidden="1"/>
    <cellStyle name="Hyperlink" xfId="188" builtinId="8" hidden="1"/>
    <cellStyle name="Hyperlink" xfId="190" builtinId="8" hidden="1"/>
    <cellStyle name="Hyperlink" xfId="192" builtinId="8" hidden="1"/>
    <cellStyle name="Hyperlink" xfId="194" builtinId="8" hidden="1"/>
    <cellStyle name="Hyperlink" xfId="196" builtinId="8" hidden="1"/>
    <cellStyle name="Hyperlink" xfId="198" builtinId="8" hidden="1"/>
    <cellStyle name="Hyperlink" xfId="200" builtinId="8" hidden="1"/>
    <cellStyle name="Hyperlink" xfId="202" builtinId="8" hidden="1"/>
    <cellStyle name="Hyperlink" xfId="204" builtinId="8" hidden="1"/>
    <cellStyle name="Hyperlink" xfId="206" builtinId="8" hidden="1"/>
    <cellStyle name="Hyperlink" xfId="208" builtinId="8" hidden="1"/>
    <cellStyle name="Hyperlink" xfId="210" builtinId="8" hidden="1"/>
    <cellStyle name="Hyperlink" xfId="212" builtinId="8" hidden="1"/>
    <cellStyle name="Hyperlink" xfId="214" builtinId="8" hidden="1"/>
    <cellStyle name="Hyperlink" xfId="216" builtinId="8" hidden="1"/>
    <cellStyle name="Hyperlink" xfId="218" builtinId="8" hidden="1"/>
    <cellStyle name="Hyperlink" xfId="220" builtinId="8" hidden="1"/>
    <cellStyle name="Hyperlink" xfId="222" builtinId="8" hidden="1"/>
    <cellStyle name="Hyperlink" xfId="224" builtinId="8" hidden="1"/>
    <cellStyle name="Hyperlink" xfId="226" builtinId="8" hidden="1"/>
    <cellStyle name="Hyperlink" xfId="228" builtinId="8" hidden="1"/>
    <cellStyle name="Hyperlink" xfId="230" builtinId="8" hidden="1"/>
    <cellStyle name="Hyperlink" xfId="232" builtinId="8" hidden="1"/>
    <cellStyle name="Hyperlink" xfId="234" builtinId="8" hidden="1"/>
    <cellStyle name="Hyperlink" xfId="236" builtinId="8" hidden="1"/>
    <cellStyle name="Hyperlink" xfId="238" builtinId="8" hidden="1"/>
    <cellStyle name="Hyperlink" xfId="240" builtinId="8" hidden="1"/>
    <cellStyle name="Hyperlink" xfId="242" builtinId="8" hidden="1"/>
    <cellStyle name="Hyperlink" xfId="244" builtinId="8" hidden="1"/>
    <cellStyle name="Hyperlink" xfId="246" builtinId="8" hidden="1"/>
    <cellStyle name="Hyperlink" xfId="248" builtinId="8" hidden="1"/>
    <cellStyle name="Hyperlink" xfId="250" builtinId="8" hidden="1"/>
    <cellStyle name="Hyperlink" xfId="252" builtinId="8" hidden="1"/>
    <cellStyle name="Hyperlink" xfId="254" builtinId="8" hidden="1"/>
    <cellStyle name="Hyperlink" xfId="256" builtinId="8" hidden="1"/>
    <cellStyle name="Hyperlink" xfId="258" builtinId="8" hidden="1"/>
    <cellStyle name="Hyperlink" xfId="260" builtinId="8" hidden="1"/>
    <cellStyle name="Hyperlink" xfId="262" builtinId="8" hidden="1"/>
    <cellStyle name="Hyperlink" xfId="264" builtinId="8" hidden="1"/>
    <cellStyle name="Hyperlink" xfId="266" builtinId="8" hidden="1"/>
    <cellStyle name="Hyperlink" xfId="268" builtinId="8" hidden="1"/>
    <cellStyle name="Hyperlink" xfId="270" builtinId="8" hidden="1"/>
    <cellStyle name="Hyperlink" xfId="272" builtinId="8" hidden="1"/>
    <cellStyle name="Hyperlink" xfId="274" builtinId="8" hidden="1"/>
    <cellStyle name="Hyperlink" xfId="276" builtinId="8" hidden="1"/>
    <cellStyle name="Hyperlink" xfId="278" builtinId="8" hidden="1"/>
    <cellStyle name="Hyperlink" xfId="280" builtinId="8" hidden="1"/>
    <cellStyle name="Hyperlink" xfId="282" builtinId="8" hidden="1"/>
    <cellStyle name="Hyperlink" xfId="284" builtinId="8" hidden="1"/>
    <cellStyle name="Hyperlink" xfId="286" builtinId="8" hidden="1"/>
    <cellStyle name="Hyperlink" xfId="288" builtinId="8" hidden="1"/>
    <cellStyle name="Hyperlink" xfId="290" builtinId="8" hidden="1"/>
    <cellStyle name="Hyperlink" xfId="292" builtinId="8" hidden="1"/>
    <cellStyle name="Hyperlink" xfId="294" builtinId="8" hidden="1"/>
    <cellStyle name="Hyperlink" xfId="296" builtinId="8" hidden="1"/>
    <cellStyle name="Hyperlink" xfId="298" builtinId="8" hidden="1"/>
    <cellStyle name="Hyperlink" xfId="300" builtinId="8" hidden="1"/>
    <cellStyle name="Hyperlink" xfId="302" builtinId="8" hidden="1"/>
    <cellStyle name="Hyperlink" xfId="304" builtinId="8" hidden="1"/>
    <cellStyle name="Hyperlink" xfId="306" builtinId="8" hidden="1"/>
    <cellStyle name="Hyperlink" xfId="308" builtinId="8" hidden="1"/>
    <cellStyle name="Hyperlink" xfId="310" builtinId="8" hidden="1"/>
    <cellStyle name="Hyperlink" xfId="312" builtinId="8" hidden="1"/>
    <cellStyle name="Hyperlink" xfId="314" builtinId="8" hidden="1"/>
    <cellStyle name="Hyperlink" xfId="316" builtinId="8" hidden="1"/>
    <cellStyle name="Hyperlink" xfId="318" builtinId="8" hidden="1"/>
    <cellStyle name="Hyperlink" xfId="320" builtinId="8" hidden="1"/>
    <cellStyle name="Hyperlink" xfId="322" builtinId="8" hidden="1"/>
    <cellStyle name="Hyperlink" xfId="324" builtinId="8" hidden="1"/>
    <cellStyle name="Hyperlink" xfId="326" builtinId="8" hidden="1"/>
    <cellStyle name="Hyperlink" xfId="328" builtinId="8" hidden="1"/>
    <cellStyle name="Hyperlink" xfId="330" builtinId="8" hidden="1"/>
    <cellStyle name="Hyperlink" xfId="332" builtinId="8" hidden="1"/>
    <cellStyle name="Hyperlink" xfId="334" builtinId="8" hidden="1"/>
    <cellStyle name="Hyperlink" xfId="336" builtinId="8" hidden="1"/>
    <cellStyle name="Hyperlink" xfId="338" builtinId="8" hidden="1"/>
    <cellStyle name="Hyperlink" xfId="340" builtinId="8" hidden="1"/>
    <cellStyle name="Hyperlink" xfId="342" builtinId="8" hidden="1"/>
    <cellStyle name="Hyperlink" xfId="344" builtinId="8" hidden="1"/>
    <cellStyle name="Hyperlink" xfId="346" builtinId="8" hidden="1"/>
    <cellStyle name="Hyperlink" xfId="348" builtinId="8" hidden="1"/>
    <cellStyle name="Hyperlink" xfId="350" builtinId="8" hidden="1"/>
    <cellStyle name="Hyperlink" xfId="352" builtinId="8" hidden="1"/>
    <cellStyle name="Hyperlink" xfId="354" builtinId="8" hidden="1"/>
    <cellStyle name="Hyperlink" xfId="356" builtinId="8" hidden="1"/>
    <cellStyle name="Hyperlink" xfId="358" builtinId="8" hidden="1"/>
    <cellStyle name="Hyperlink" xfId="360" builtinId="8" hidden="1"/>
    <cellStyle name="Hyperlink" xfId="362" builtinId="8" hidden="1"/>
    <cellStyle name="Hyperlink" xfId="364" builtinId="8" hidden="1"/>
    <cellStyle name="Hyperlink" xfId="366" builtinId="8" hidden="1"/>
    <cellStyle name="Hyperlink" xfId="368" builtinId="8" hidden="1"/>
    <cellStyle name="Hyperlink" xfId="370" builtinId="8" hidden="1"/>
    <cellStyle name="Hyperlink" xfId="372" builtinId="8" hidden="1"/>
    <cellStyle name="Hyperlink" xfId="374" builtinId="8" hidden="1"/>
    <cellStyle name="Hyperlink" xfId="376" builtinId="8" hidden="1"/>
    <cellStyle name="Hyperlink" xfId="378" builtinId="8" hidden="1"/>
    <cellStyle name="Hyperlink" xfId="380" builtinId="8" hidden="1"/>
    <cellStyle name="Hyperlink" xfId="382" builtinId="8" hidden="1"/>
    <cellStyle name="Hyperlink" xfId="384" builtinId="8" hidden="1"/>
    <cellStyle name="Hyperlink" xfId="386" builtinId="8" hidden="1"/>
    <cellStyle name="Hyperlink" xfId="388" builtinId="8" hidden="1"/>
    <cellStyle name="Hyperlink" xfId="390" builtinId="8" hidden="1"/>
    <cellStyle name="Hyperlink" xfId="392" builtinId="8" hidden="1"/>
    <cellStyle name="Hyperlink" xfId="394" builtinId="8" hidden="1"/>
    <cellStyle name="Hyperlink" xfId="396" builtinId="8" hidden="1"/>
    <cellStyle name="Hyperlink" xfId="398" builtinId="8" hidden="1"/>
    <cellStyle name="Hyperlink" xfId="400" builtinId="8" hidden="1"/>
    <cellStyle name="Hyperlink" xfId="402" builtinId="8" hidden="1"/>
    <cellStyle name="Hyperlink" xfId="404" builtinId="8" hidden="1"/>
    <cellStyle name="Hyperlink" xfId="406" builtinId="8" hidden="1"/>
    <cellStyle name="Hyperlink" xfId="408" builtinId="8" hidden="1"/>
    <cellStyle name="Hyperlink" xfId="410" builtinId="8" hidden="1"/>
    <cellStyle name="Hyperlink" xfId="412" builtinId="8" hidden="1"/>
    <cellStyle name="Hyperlink" xfId="414" builtinId="8" hidden="1"/>
    <cellStyle name="Hyperlink" xfId="416" builtinId="8" hidden="1"/>
    <cellStyle name="Hyperlink" xfId="418" builtinId="8" hidden="1"/>
    <cellStyle name="Hyperlink" xfId="420" builtinId="8" hidden="1"/>
    <cellStyle name="Hyperlink" xfId="422" builtinId="8" hidden="1"/>
    <cellStyle name="Hyperlink" xfId="424" builtinId="8" hidden="1"/>
    <cellStyle name="Hyperlink" xfId="426" builtinId="8" hidden="1"/>
    <cellStyle name="Hyperlink" xfId="428" builtinId="8" hidden="1"/>
    <cellStyle name="Hyperlink" xfId="430" builtinId="8" hidden="1"/>
    <cellStyle name="Hyperlink" xfId="432" builtinId="8" hidden="1"/>
    <cellStyle name="Hyperlink" xfId="434" builtinId="8" hidden="1"/>
    <cellStyle name="Hyperlink" xfId="436" builtinId="8" hidden="1"/>
    <cellStyle name="Hyperlink" xfId="438" builtinId="8" hidden="1"/>
    <cellStyle name="Hyperlink" xfId="440" builtinId="8" hidden="1"/>
    <cellStyle name="Hyperlink" xfId="442" builtinId="8" hidden="1"/>
    <cellStyle name="Hyperlink" xfId="444" builtinId="8" hidden="1"/>
    <cellStyle name="Hyperlink" xfId="446" builtinId="8" hidden="1"/>
    <cellStyle name="Hyperlink" xfId="448" builtinId="8" hidden="1"/>
    <cellStyle name="Hyperlink" xfId="450" builtinId="8" hidden="1"/>
    <cellStyle name="Hyperlink" xfId="452" builtinId="8" hidden="1"/>
    <cellStyle name="Hyperlink" xfId="454" builtinId="8" hidden="1"/>
    <cellStyle name="Hyperlink" xfId="456" builtinId="8" hidden="1"/>
    <cellStyle name="Hyperlink" xfId="458" builtinId="8" hidden="1"/>
    <cellStyle name="Hyperlink" xfId="460" builtinId="8" hidden="1"/>
    <cellStyle name="Hyperlink" xfId="462" builtinId="8" hidden="1"/>
    <cellStyle name="Hyperlink" xfId="464" builtinId="8" hidden="1"/>
    <cellStyle name="Hyperlink" xfId="466" builtinId="8" hidden="1"/>
    <cellStyle name="Hyperlink" xfId="468" builtinId="8" hidden="1"/>
    <cellStyle name="Hyperlink" xfId="470" builtinId="8" hidden="1"/>
    <cellStyle name="Hyperlink" xfId="472" builtinId="8" hidden="1"/>
    <cellStyle name="Hyperlink" xfId="474" builtinId="8" hidden="1"/>
    <cellStyle name="Hyperlink" xfId="476" builtinId="8" hidden="1"/>
    <cellStyle name="Hyperlink" xfId="478" builtinId="8" hidden="1"/>
    <cellStyle name="Hyperlink" xfId="480" builtinId="8" hidden="1"/>
    <cellStyle name="Hyperlink" xfId="482" builtinId="8" hidden="1"/>
    <cellStyle name="Hyperlink" xfId="484" builtinId="8" hidden="1"/>
    <cellStyle name="Hyperlink" xfId="486" builtinId="8" hidden="1"/>
    <cellStyle name="Hyperlink" xfId="488" builtinId="8" hidden="1"/>
    <cellStyle name="Hyperlink" xfId="490" builtinId="8" hidden="1"/>
    <cellStyle name="Hyperlink" xfId="492" builtinId="8" hidden="1"/>
    <cellStyle name="Hyperlink" xfId="494" builtinId="8" hidden="1"/>
    <cellStyle name="Hyperlink" xfId="496" builtinId="8" hidden="1"/>
    <cellStyle name="Hyperlink" xfId="498" builtinId="8" hidden="1"/>
    <cellStyle name="Hyperlink" xfId="500" builtinId="8" hidden="1"/>
    <cellStyle name="Hyperlink" xfId="502" builtinId="8" hidden="1"/>
    <cellStyle name="Hyperlink" xfId="504" builtinId="8" hidden="1"/>
    <cellStyle name="Hyperlink" xfId="506" builtinId="8" hidden="1"/>
    <cellStyle name="Hyperlink" xfId="508" builtinId="8" hidden="1"/>
    <cellStyle name="Hyperlink" xfId="510" builtinId="8" hidden="1"/>
    <cellStyle name="Hyperlink" xfId="512" builtinId="8" hidden="1"/>
    <cellStyle name="Hyperlink" xfId="514" builtinId="8" hidden="1"/>
    <cellStyle name="Hyperlink" xfId="516" builtinId="8" hidden="1"/>
    <cellStyle name="Hyperlink" xfId="518" builtinId="8" hidden="1"/>
    <cellStyle name="Hyperlink" xfId="520" builtinId="8" hidden="1"/>
    <cellStyle name="Hyperlink" xfId="522" builtinId="8" hidden="1"/>
    <cellStyle name="Hyperlink" xfId="524" builtinId="8" hidden="1"/>
    <cellStyle name="Hyperlink" xfId="526" builtinId="8" hidden="1"/>
    <cellStyle name="Hyperlink" xfId="528" builtinId="8" hidden="1"/>
    <cellStyle name="Hyperlink" xfId="530" builtinId="8" hidden="1"/>
    <cellStyle name="Hyperlink" xfId="532" builtinId="8" hidden="1"/>
    <cellStyle name="Hyperlink" xfId="534" builtinId="8" hidden="1"/>
    <cellStyle name="Hyperlink" xfId="536" builtinId="8" hidden="1"/>
    <cellStyle name="Hyperlink" xfId="538" builtinId="8" hidden="1"/>
    <cellStyle name="Hyperlink" xfId="540" builtinId="8" hidden="1"/>
    <cellStyle name="Hyperlink" xfId="542" builtinId="8" hidden="1"/>
    <cellStyle name="Hyperlink" xfId="544" builtinId="8" hidden="1"/>
    <cellStyle name="Hyperlink" xfId="546" builtinId="8" hidden="1"/>
    <cellStyle name="Hyperlink" xfId="548" builtinId="8" hidden="1"/>
    <cellStyle name="Hyperlink" xfId="550" builtinId="8" hidden="1"/>
    <cellStyle name="Hyperlink" xfId="552" builtinId="8" hidden="1"/>
    <cellStyle name="Hyperlink" xfId="554" builtinId="8" hidden="1"/>
    <cellStyle name="Hyperlink" xfId="556" builtinId="8" hidden="1"/>
    <cellStyle name="Hyperlink" xfId="558" builtinId="8" hidden="1"/>
    <cellStyle name="Hyperlink" xfId="560" builtinId="8" hidden="1"/>
    <cellStyle name="Hyperlink" xfId="562" builtinId="8" hidden="1"/>
    <cellStyle name="Hyperlink" xfId="564" builtinId="8" hidden="1"/>
    <cellStyle name="Hyperlink" xfId="566" builtinId="8" hidden="1"/>
    <cellStyle name="Hyperlink" xfId="568" builtinId="8" hidden="1"/>
    <cellStyle name="Hyperlink" xfId="570" builtinId="8" hidden="1"/>
    <cellStyle name="Hyperlink" xfId="572" builtinId="8" hidden="1"/>
    <cellStyle name="Hyperlink" xfId="574" builtinId="8" hidden="1"/>
    <cellStyle name="Hyperlink" xfId="576" builtinId="8" hidden="1"/>
    <cellStyle name="Hyperlink" xfId="578" builtinId="8" hidden="1"/>
    <cellStyle name="Hyperlink" xfId="580" builtinId="8" hidden="1"/>
    <cellStyle name="Hyperlink" xfId="582" builtinId="8" hidden="1"/>
    <cellStyle name="Hyperlink" xfId="584" builtinId="8" hidden="1"/>
    <cellStyle name="Hyperlink" xfId="586" builtinId="8" hidden="1"/>
    <cellStyle name="Hyperlink" xfId="588" builtinId="8" hidden="1"/>
    <cellStyle name="Hyperlink" xfId="590" builtinId="8" hidden="1"/>
    <cellStyle name="Hyperlink" xfId="592" builtinId="8" hidden="1"/>
    <cellStyle name="Hyperlink" xfId="594" builtinId="8" hidden="1"/>
    <cellStyle name="Hyperlink" xfId="596" builtinId="8" hidden="1"/>
    <cellStyle name="Hyperlink" xfId="598" builtinId="8" hidden="1"/>
    <cellStyle name="Hyperlink" xfId="600" builtinId="8" hidden="1"/>
    <cellStyle name="Hyperlink" xfId="602" builtinId="8" hidden="1"/>
    <cellStyle name="Hyperlink" xfId="604" builtinId="8" hidden="1"/>
    <cellStyle name="Hyperlink" xfId="606" builtinId="8" hidden="1"/>
    <cellStyle name="Hyperlink" xfId="608" builtinId="8" hidden="1"/>
    <cellStyle name="Hyperlink" xfId="610" builtinId="8" hidden="1"/>
    <cellStyle name="Hyperlink" xfId="612" builtinId="8" hidden="1"/>
    <cellStyle name="Hyperlink" xfId="614" builtinId="8" hidden="1"/>
    <cellStyle name="Hyperlink" xfId="616" builtinId="8" hidden="1"/>
    <cellStyle name="Hyperlink" xfId="618" builtinId="8" hidden="1"/>
    <cellStyle name="Hyperlink" xfId="620" builtinId="8" hidden="1"/>
    <cellStyle name="Hyperlink" xfId="622" builtinId="8" hidden="1"/>
    <cellStyle name="Hyperlink" xfId="624" builtinId="8" hidden="1"/>
    <cellStyle name="Hyperlink" xfId="626" builtinId="8" hidden="1"/>
    <cellStyle name="Hyperlink" xfId="628" builtinId="8" hidden="1"/>
    <cellStyle name="Hyperlink" xfId="630" builtinId="8" hidden="1"/>
    <cellStyle name="Hyperlink" xfId="632" builtinId="8" hidden="1"/>
    <cellStyle name="Hyperlink" xfId="634" builtinId="8" hidden="1"/>
    <cellStyle name="Hyperlink" xfId="636" builtinId="8" hidden="1"/>
    <cellStyle name="Hyperlink" xfId="638" builtinId="8" hidden="1"/>
    <cellStyle name="Hyperlink" xfId="640" builtinId="8" hidden="1"/>
    <cellStyle name="Hyperlink" xfId="642" builtinId="8" hidden="1"/>
    <cellStyle name="Hyperlink" xfId="644" builtinId="8" hidden="1"/>
    <cellStyle name="Hyperlink" xfId="646" builtinId="8" hidden="1"/>
    <cellStyle name="Hyperlink" xfId="648" builtinId="8" hidden="1"/>
    <cellStyle name="Hyperlink" xfId="650" builtinId="8" hidden="1"/>
    <cellStyle name="Hyperlink" xfId="652" builtinId="8" hidden="1"/>
    <cellStyle name="Hyperlink" xfId="654" builtinId="8" hidden="1"/>
    <cellStyle name="Hyperlink" xfId="656" builtinId="8" hidden="1"/>
    <cellStyle name="Hyperlink" xfId="658" builtinId="8" hidden="1"/>
    <cellStyle name="Hyperlink" xfId="660" builtinId="8" hidden="1"/>
    <cellStyle name="Hyperlink" xfId="662" builtinId="8" hidden="1"/>
    <cellStyle name="Hyperlink" xfId="664" builtinId="8" hidden="1"/>
    <cellStyle name="Hyperlink" xfId="666" builtinId="8" hidden="1"/>
    <cellStyle name="Hyperlink" xfId="668" builtinId="8" hidden="1"/>
    <cellStyle name="Hyperlink" xfId="670" builtinId="8" hidden="1"/>
    <cellStyle name="Hyperlink" xfId="672" builtinId="8" hidden="1"/>
    <cellStyle name="Hyperlink" xfId="674" builtinId="8" hidden="1"/>
    <cellStyle name="Hyperlink" xfId="676" builtinId="8" hidden="1"/>
    <cellStyle name="Hyperlink" xfId="678" builtinId="8" hidden="1"/>
    <cellStyle name="Hyperlink" xfId="680" builtinId="8" hidden="1"/>
    <cellStyle name="Hyperlink" xfId="682" builtinId="8" hidden="1"/>
    <cellStyle name="Hyperlink" xfId="684" builtinId="8" hidden="1"/>
    <cellStyle name="Hyperlink" xfId="686" builtinId="8" hidden="1"/>
    <cellStyle name="Hyperlink" xfId="688" builtinId="8" hidden="1"/>
    <cellStyle name="Hyperlink" xfId="690" builtinId="8" hidden="1"/>
    <cellStyle name="Hyperlink" xfId="692" builtinId="8" hidden="1"/>
    <cellStyle name="Hyperlink" xfId="694" builtinId="8" hidden="1"/>
    <cellStyle name="Hyperlink" xfId="696" builtinId="8" hidden="1"/>
    <cellStyle name="Hyperlink" xfId="698" builtinId="8" hidden="1"/>
    <cellStyle name="Hyperlink" xfId="700" builtinId="8" hidden="1"/>
    <cellStyle name="Hyperlink" xfId="702" builtinId="8" hidden="1"/>
    <cellStyle name="Hyperlink" xfId="704" builtinId="8" hidden="1"/>
    <cellStyle name="Hyperlink" xfId="706" builtinId="8" hidden="1"/>
    <cellStyle name="Hyperlink" xfId="708" builtinId="8" hidden="1"/>
    <cellStyle name="Hyperlink" xfId="710" builtinId="8" hidden="1"/>
    <cellStyle name="Hyperlink" xfId="712" builtinId="8" hidden="1"/>
    <cellStyle name="Hyperlink" xfId="714" builtinId="8" hidden="1"/>
    <cellStyle name="Hyperlink" xfId="716" builtinId="8" hidden="1"/>
    <cellStyle name="Hyperlink" xfId="718" builtinId="8" hidden="1"/>
    <cellStyle name="Hyperlink" xfId="720" builtinId="8" hidden="1"/>
    <cellStyle name="Hyperlink" xfId="722" builtinId="8" hidden="1"/>
    <cellStyle name="Hyperlink" xfId="724" builtinId="8" hidden="1"/>
    <cellStyle name="Hyperlink" xfId="726" builtinId="8" hidden="1"/>
    <cellStyle name="Hyperlink" xfId="728" builtinId="8" hidden="1"/>
    <cellStyle name="Hyperlink" xfId="730" builtinId="8" hidden="1"/>
    <cellStyle name="Hyperlink" xfId="732" builtinId="8" hidden="1"/>
    <cellStyle name="Hyperlink" xfId="734" builtinId="8" hidden="1"/>
    <cellStyle name="Hyperlink" xfId="736" builtinId="8" hidden="1"/>
    <cellStyle name="Hyperlink" xfId="738" builtinId="8" hidden="1"/>
    <cellStyle name="Hyperlink" xfId="740" builtinId="8" hidden="1"/>
    <cellStyle name="Hyperlink" xfId="742" builtinId="8" hidden="1"/>
    <cellStyle name="Hyperlink" xfId="744" builtinId="8" hidden="1"/>
    <cellStyle name="Hyperlink" xfId="746" builtinId="8" hidden="1"/>
    <cellStyle name="Hyperlink" xfId="748" builtinId="8" hidden="1"/>
    <cellStyle name="Hyperlink" xfId="750" builtinId="8" hidden="1"/>
    <cellStyle name="Hyperlink" xfId="752" builtinId="8" hidden="1"/>
    <cellStyle name="Hyperlink" xfId="754" builtinId="8" hidden="1"/>
    <cellStyle name="Hyperlink" xfId="756" builtinId="8" hidden="1"/>
    <cellStyle name="Hyperlink" xfId="758" builtinId="8" hidden="1"/>
    <cellStyle name="Hyperlink" xfId="760" builtinId="8" hidden="1"/>
    <cellStyle name="Hyperlink" xfId="762" builtinId="8" hidden="1"/>
    <cellStyle name="Hyperlink" xfId="764" builtinId="8" hidden="1"/>
    <cellStyle name="Hyperlink" xfId="766" builtinId="8" hidden="1"/>
    <cellStyle name="Hyperlink" xfId="768" builtinId="8" hidden="1"/>
    <cellStyle name="Hyperlink" xfId="770" builtinId="8" hidden="1"/>
    <cellStyle name="Hyperlink" xfId="772" builtinId="8" hidden="1"/>
    <cellStyle name="Hyperlink" xfId="774" builtinId="8" hidden="1"/>
    <cellStyle name="Hyperlink" xfId="776" builtinId="8" hidden="1"/>
    <cellStyle name="Hyperlink" xfId="778" builtinId="8" hidden="1"/>
    <cellStyle name="Hyperlink" xfId="780" builtinId="8" hidden="1"/>
    <cellStyle name="Hyperlink" xfId="782" builtinId="8" hidden="1"/>
    <cellStyle name="Hyperlink" xfId="784" builtinId="8" hidden="1"/>
    <cellStyle name="Hyperlink" xfId="786" builtinId="8" hidden="1"/>
    <cellStyle name="Hyperlink" xfId="788" builtinId="8" hidden="1"/>
    <cellStyle name="Hyperlink" xfId="790" builtinId="8" hidden="1"/>
    <cellStyle name="Hyperlink" xfId="792" builtinId="8" hidden="1"/>
    <cellStyle name="Hyperlink" xfId="794" builtinId="8" hidden="1"/>
    <cellStyle name="Hyperlink" xfId="796" builtinId="8" hidden="1"/>
    <cellStyle name="Hyperlink" xfId="798" builtinId="8" hidden="1"/>
    <cellStyle name="Hyperlink" xfId="800" builtinId="8" hidden="1"/>
    <cellStyle name="Hyperlink" xfId="802" builtinId="8" hidden="1"/>
    <cellStyle name="Hyperlink" xfId="804" builtinId="8" hidden="1"/>
    <cellStyle name="Hyperlink" xfId="806" builtinId="8" hidden="1"/>
    <cellStyle name="Hyperlink" xfId="808" builtinId="8" hidden="1"/>
    <cellStyle name="Hyperlink" xfId="810" builtinId="8" hidden="1"/>
    <cellStyle name="Hyperlink" xfId="812" builtinId="8" hidden="1"/>
    <cellStyle name="Hyperlink" xfId="814" builtinId="8" hidden="1"/>
    <cellStyle name="Hyperlink" xfId="816" builtinId="8" hidden="1"/>
    <cellStyle name="Hyperlink" xfId="818" builtinId="8" hidden="1"/>
    <cellStyle name="Hyperlink" xfId="820" builtinId="8" hidden="1"/>
    <cellStyle name="Hyperlink" xfId="822" builtinId="8" hidden="1"/>
    <cellStyle name="Hyperlink" xfId="824" builtinId="8" hidden="1"/>
    <cellStyle name="Hyperlink" xfId="826" builtinId="8" hidden="1"/>
    <cellStyle name="Hyperlink" xfId="828" builtinId="8" hidden="1"/>
    <cellStyle name="Hyperlink" xfId="830" builtinId="8" hidden="1"/>
    <cellStyle name="Hyperlink" xfId="832" builtinId="8" hidden="1"/>
    <cellStyle name="Hyperlink" xfId="834" builtinId="8" hidden="1"/>
    <cellStyle name="Hyperlink" xfId="836" builtinId="8" hidden="1"/>
    <cellStyle name="Hyperlink" xfId="838" builtinId="8" hidden="1"/>
    <cellStyle name="Hyperlink" xfId="840" builtinId="8" hidden="1"/>
    <cellStyle name="Hyperlink" xfId="842" builtinId="8" hidden="1"/>
    <cellStyle name="Hyperlink" xfId="844" builtinId="8" hidden="1"/>
    <cellStyle name="Hyperlink" xfId="846" builtinId="8" hidden="1"/>
    <cellStyle name="Hyperlink" xfId="848" builtinId="8" hidden="1"/>
    <cellStyle name="Hyperlink" xfId="850" builtinId="8" hidden="1"/>
    <cellStyle name="Hyperlink" xfId="852" builtinId="8" hidden="1"/>
    <cellStyle name="Hyperlink" xfId="854" builtinId="8" hidden="1"/>
    <cellStyle name="Hyperlink" xfId="856" builtinId="8" hidden="1"/>
    <cellStyle name="Hyperlink" xfId="862" builtinId="8"/>
    <cellStyle name="Normal" xfId="0" builtinId="0"/>
    <cellStyle name="Normal 10" xfId="861" xr:uid="{AD6E16C6-F85F-4E31-907E-3FDB6030CE20}"/>
    <cellStyle name="Normal 12 2" xfId="865" xr:uid="{DE936BAA-9B77-406D-98F0-6AB7AFC32308}"/>
    <cellStyle name="Normal 2" xfId="859" xr:uid="{00000000-0005-0000-0000-00005B030000}"/>
    <cellStyle name="Normal 20" xfId="863" xr:uid="{04C9968C-8233-46C1-8C4A-60E1CDB0EFC0}"/>
    <cellStyle name="Percent" xfId="1" builtinId="5"/>
  </cellStyles>
  <dxfs count="34">
    <dxf>
      <font>
        <color rgb="FF4BACC6"/>
      </font>
    </dxf>
    <dxf>
      <font>
        <color rgb="FF4BACC6"/>
      </font>
    </dxf>
    <dxf>
      <font>
        <color rgb="FF4BACC6"/>
      </font>
    </dxf>
    <dxf>
      <font>
        <color rgb="FF4BACC6"/>
      </font>
    </dxf>
    <dxf>
      <font>
        <color rgb="FF4BACC6"/>
      </font>
    </dxf>
    <dxf>
      <font>
        <color rgb="FF4BACC6"/>
      </font>
    </dxf>
    <dxf>
      <font>
        <color rgb="FF4BACC6"/>
      </font>
    </dxf>
    <dxf>
      <font>
        <color rgb="FF4BACC6"/>
      </font>
    </dxf>
    <dxf>
      <font>
        <color rgb="FF4BACC6"/>
      </font>
    </dxf>
    <dxf>
      <font>
        <color rgb="FF4BACC6"/>
      </font>
    </dxf>
    <dxf>
      <font>
        <color rgb="FF4BACC6"/>
      </font>
    </dxf>
    <dxf>
      <font>
        <color rgb="FF4BACC6"/>
      </font>
    </dxf>
    <dxf>
      <font>
        <color rgb="FF4BACC6"/>
      </font>
    </dxf>
    <dxf>
      <font>
        <color rgb="FF4BACC6"/>
      </font>
    </dxf>
    <dxf>
      <font>
        <color rgb="FF4BACC6"/>
      </font>
    </dxf>
    <dxf>
      <font>
        <color rgb="FF4BACC6"/>
      </font>
    </dxf>
    <dxf>
      <font>
        <color rgb="FF4BACC6"/>
      </font>
    </dxf>
    <dxf>
      <font>
        <color rgb="FF4BACC6"/>
      </font>
    </dxf>
    <dxf>
      <font>
        <color rgb="FF4BACC6"/>
      </font>
    </dxf>
    <dxf>
      <font>
        <color rgb="FF4BACC6"/>
      </font>
    </dxf>
    <dxf>
      <font>
        <color rgb="FF4BACC6"/>
      </font>
    </dxf>
    <dxf>
      <font>
        <color rgb="FF4BACC6"/>
      </font>
    </dxf>
    <dxf>
      <font>
        <color rgb="FF4BACC6"/>
      </font>
    </dxf>
    <dxf>
      <font>
        <color rgb="FF4BACC6"/>
      </font>
    </dxf>
    <dxf>
      <font>
        <color rgb="FF4BACC6"/>
      </font>
    </dxf>
    <dxf>
      <font>
        <color rgb="FF4BACC6"/>
      </font>
    </dxf>
    <dxf>
      <font>
        <color rgb="FF4BACC6"/>
      </font>
    </dxf>
    <dxf>
      <font>
        <color rgb="FF4BACC6"/>
      </font>
    </dxf>
    <dxf>
      <font>
        <color rgb="FF4BACC6"/>
      </font>
    </dxf>
    <dxf>
      <font>
        <color rgb="FF4BACC6"/>
      </font>
    </dxf>
    <dxf>
      <font>
        <color rgb="FF4BACC6"/>
      </font>
    </dxf>
    <dxf>
      <font>
        <color rgb="FF4BACC6"/>
      </font>
    </dxf>
    <dxf>
      <font>
        <color rgb="FF4BACC6"/>
      </font>
    </dxf>
    <dxf>
      <font>
        <color rgb="FF4BACC6"/>
      </font>
    </dxf>
  </dxfs>
  <tableStyles count="0" defaultTableStyle="TableStyleMedium9" defaultPivotStyle="PivotStyleMedium4"/>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6.xml"/><Relationship Id="rId21" Type="http://schemas.openxmlformats.org/officeDocument/2006/relationships/worksheet" Target="worksheets/sheet21.xml"/><Relationship Id="rId34" Type="http://schemas.openxmlformats.org/officeDocument/2006/relationships/externalLink" Target="externalLinks/externalLink1.xml"/><Relationship Id="rId42" Type="http://schemas.openxmlformats.org/officeDocument/2006/relationships/externalLink" Target="externalLinks/externalLink9.xml"/><Relationship Id="rId47" Type="http://schemas.openxmlformats.org/officeDocument/2006/relationships/externalLink" Target="externalLinks/externalLink14.xml"/><Relationship Id="rId50" Type="http://schemas.openxmlformats.org/officeDocument/2006/relationships/externalLink" Target="externalLinks/externalLink17.xml"/><Relationship Id="rId55"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4.xml"/><Relationship Id="rId40" Type="http://schemas.openxmlformats.org/officeDocument/2006/relationships/externalLink" Target="externalLinks/externalLink7.xml"/><Relationship Id="rId45" Type="http://schemas.openxmlformats.org/officeDocument/2006/relationships/externalLink" Target="externalLinks/externalLink12.xml"/><Relationship Id="rId53" Type="http://schemas.openxmlformats.org/officeDocument/2006/relationships/sharedStrings" Target="sharedStrings.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2.xml"/><Relationship Id="rId43" Type="http://schemas.openxmlformats.org/officeDocument/2006/relationships/externalLink" Target="externalLinks/externalLink10.xml"/><Relationship Id="rId48" Type="http://schemas.openxmlformats.org/officeDocument/2006/relationships/externalLink" Target="externalLinks/externalLink15.xml"/><Relationship Id="rId56"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5.xml"/><Relationship Id="rId46" Type="http://schemas.openxmlformats.org/officeDocument/2006/relationships/externalLink" Target="externalLinks/externalLink13.xml"/><Relationship Id="rId20" Type="http://schemas.openxmlformats.org/officeDocument/2006/relationships/worksheet" Target="worksheets/sheet20.xml"/><Relationship Id="rId41" Type="http://schemas.openxmlformats.org/officeDocument/2006/relationships/externalLink" Target="externalLinks/externalLink8.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3.xml"/><Relationship Id="rId49" Type="http://schemas.openxmlformats.org/officeDocument/2006/relationships/externalLink" Target="externalLinks/externalLink16.xml"/><Relationship Id="rId57" Type="http://schemas.openxmlformats.org/officeDocument/2006/relationships/customXml" Target="../customXml/item3.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11.xml"/><Relationship Id="rId52"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92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Residential Customer Numbers</a:t>
            </a:r>
          </a:p>
        </c:rich>
      </c:tx>
      <c:overlay val="0"/>
      <c:spPr>
        <a:noFill/>
        <a:ln>
          <a:noFill/>
        </a:ln>
        <a:effectLst/>
      </c:spPr>
      <c:txPr>
        <a:bodyPr rot="0" spcFirstLastPara="1" vertOverflow="ellipsis" vert="horz" wrap="square" anchor="ctr" anchorCtr="1"/>
        <a:lstStyle/>
        <a:p>
          <a:pPr>
            <a:defRPr sz="192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scatterChart>
        <c:scatterStyle val="lineMarker"/>
        <c:varyColors val="0"/>
        <c:ser>
          <c:idx val="0"/>
          <c:order val="0"/>
          <c:tx>
            <c:strRef>
              <c:f>[1]Forecast!$B$74</c:f>
              <c:strCache>
                <c:ptCount val="1"/>
                <c:pt idx="0">
                  <c:v>Historical Data</c:v>
                </c:pt>
              </c:strCache>
            </c:strRef>
          </c:tx>
          <c:spPr>
            <a:ln w="28575" cap="rnd">
              <a:solidFill>
                <a:schemeClr val="bg2"/>
              </a:solidFill>
              <a:round/>
            </a:ln>
            <a:effectLst/>
          </c:spPr>
          <c:marker>
            <c:symbol val="none"/>
          </c:marker>
          <c:xVal>
            <c:numRef>
              <c:f>[1]Forecast!$C$73:$BJ$73</c:f>
              <c:numCache>
                <c:formatCode>General</c:formatCode>
                <c:ptCount val="60"/>
                <c:pt idx="0">
                  <c:v>40724</c:v>
                </c:pt>
                <c:pt idx="1">
                  <c:v>41090</c:v>
                </c:pt>
                <c:pt idx="2">
                  <c:v>41455</c:v>
                </c:pt>
                <c:pt idx="3">
                  <c:v>41820</c:v>
                </c:pt>
                <c:pt idx="4">
                  <c:v>42185</c:v>
                </c:pt>
                <c:pt idx="5">
                  <c:v>42551</c:v>
                </c:pt>
                <c:pt idx="6">
                  <c:v>42916</c:v>
                </c:pt>
                <c:pt idx="7">
                  <c:v>43281</c:v>
                </c:pt>
                <c:pt idx="8">
                  <c:v>43646</c:v>
                </c:pt>
                <c:pt idx="9">
                  <c:v>44012</c:v>
                </c:pt>
                <c:pt idx="10">
                  <c:v>44377</c:v>
                </c:pt>
                <c:pt idx="11">
                  <c:v>44742</c:v>
                </c:pt>
                <c:pt idx="12">
                  <c:v>45107</c:v>
                </c:pt>
                <c:pt idx="13">
                  <c:v>45473</c:v>
                </c:pt>
                <c:pt idx="14">
                  <c:v>45838</c:v>
                </c:pt>
                <c:pt idx="15">
                  <c:v>46203</c:v>
                </c:pt>
                <c:pt idx="16">
                  <c:v>46568</c:v>
                </c:pt>
                <c:pt idx="17">
                  <c:v>46934</c:v>
                </c:pt>
                <c:pt idx="18">
                  <c:v>47299</c:v>
                </c:pt>
                <c:pt idx="19">
                  <c:v>47664</c:v>
                </c:pt>
                <c:pt idx="20">
                  <c:v>48029</c:v>
                </c:pt>
                <c:pt idx="21">
                  <c:v>48395</c:v>
                </c:pt>
                <c:pt idx="22">
                  <c:v>48760</c:v>
                </c:pt>
                <c:pt idx="23">
                  <c:v>49125</c:v>
                </c:pt>
                <c:pt idx="24">
                  <c:v>49490</c:v>
                </c:pt>
                <c:pt idx="25">
                  <c:v>49856</c:v>
                </c:pt>
                <c:pt idx="26">
                  <c:v>50221</c:v>
                </c:pt>
                <c:pt idx="27">
                  <c:v>50586</c:v>
                </c:pt>
                <c:pt idx="28">
                  <c:v>50951</c:v>
                </c:pt>
                <c:pt idx="29">
                  <c:v>51317</c:v>
                </c:pt>
                <c:pt idx="30">
                  <c:v>51682</c:v>
                </c:pt>
                <c:pt idx="31">
                  <c:v>52047</c:v>
                </c:pt>
                <c:pt idx="32">
                  <c:v>52412</c:v>
                </c:pt>
                <c:pt idx="33">
                  <c:v>52778</c:v>
                </c:pt>
                <c:pt idx="34">
                  <c:v>53143</c:v>
                </c:pt>
                <c:pt idx="35">
                  <c:v>53508</c:v>
                </c:pt>
                <c:pt idx="36">
                  <c:v>53873</c:v>
                </c:pt>
                <c:pt idx="37">
                  <c:v>54239</c:v>
                </c:pt>
                <c:pt idx="38">
                  <c:v>54604</c:v>
                </c:pt>
                <c:pt idx="39">
                  <c:v>54969</c:v>
                </c:pt>
                <c:pt idx="40">
                  <c:v>55334</c:v>
                </c:pt>
                <c:pt idx="41">
                  <c:v>55700</c:v>
                </c:pt>
                <c:pt idx="42">
                  <c:v>56065</c:v>
                </c:pt>
                <c:pt idx="43">
                  <c:v>56430</c:v>
                </c:pt>
                <c:pt idx="44">
                  <c:v>56795</c:v>
                </c:pt>
                <c:pt idx="45">
                  <c:v>57161</c:v>
                </c:pt>
                <c:pt idx="46">
                  <c:v>57526</c:v>
                </c:pt>
                <c:pt idx="47">
                  <c:v>57891</c:v>
                </c:pt>
                <c:pt idx="48">
                  <c:v>58256</c:v>
                </c:pt>
                <c:pt idx="49">
                  <c:v>58622</c:v>
                </c:pt>
                <c:pt idx="50">
                  <c:v>58987</c:v>
                </c:pt>
                <c:pt idx="51">
                  <c:v>59352</c:v>
                </c:pt>
                <c:pt idx="52">
                  <c:v>59717</c:v>
                </c:pt>
                <c:pt idx="53">
                  <c:v>60083</c:v>
                </c:pt>
                <c:pt idx="54">
                  <c:v>60448</c:v>
                </c:pt>
                <c:pt idx="55">
                  <c:v>60813</c:v>
                </c:pt>
                <c:pt idx="56">
                  <c:v>61178</c:v>
                </c:pt>
                <c:pt idx="57">
                  <c:v>61544</c:v>
                </c:pt>
                <c:pt idx="58">
                  <c:v>61909</c:v>
                </c:pt>
                <c:pt idx="59">
                  <c:v>62274</c:v>
                </c:pt>
              </c:numCache>
            </c:numRef>
          </c:xVal>
          <c:yVal>
            <c:numRef>
              <c:f>[1]Forecast!$C$74:$BJ$74</c:f>
              <c:numCache>
                <c:formatCode>General</c:formatCode>
                <c:ptCount val="60"/>
                <c:pt idx="0">
                  <c:v>647274</c:v>
                </c:pt>
                <c:pt idx="1">
                  <c:v>660986</c:v>
                </c:pt>
                <c:pt idx="2">
                  <c:v>670778</c:v>
                </c:pt>
                <c:pt idx="3">
                  <c:v>684741</c:v>
                </c:pt>
                <c:pt idx="4">
                  <c:v>698667</c:v>
                </c:pt>
                <c:pt idx="5">
                  <c:v>712451</c:v>
                </c:pt>
                <c:pt idx="6">
                  <c:v>730259</c:v>
                </c:pt>
                <c:pt idx="7">
                  <c:v>746925</c:v>
                </c:pt>
                <c:pt idx="8">
                  <c:v>764589</c:v>
                </c:pt>
                <c:pt idx="9">
                  <c:v>781288</c:v>
                </c:pt>
                <c:pt idx="10">
                  <c:v>796883</c:v>
                </c:pt>
              </c:numCache>
            </c:numRef>
          </c:yVal>
          <c:smooth val="0"/>
          <c:extLst>
            <c:ext xmlns:c16="http://schemas.microsoft.com/office/drawing/2014/chart" uri="{C3380CC4-5D6E-409C-BE32-E72D297353CC}">
              <c16:uniqueId val="{00000000-1D4E-4EFA-AEEB-E9C64C797A49}"/>
            </c:ext>
          </c:extLst>
        </c:ser>
        <c:ser>
          <c:idx val="1"/>
          <c:order val="1"/>
          <c:tx>
            <c:strRef>
              <c:f>[1]Forecast!$B$75</c:f>
              <c:strCache>
                <c:ptCount val="1"/>
                <c:pt idx="0">
                  <c:v>Projected Growth</c:v>
                </c:pt>
              </c:strCache>
            </c:strRef>
          </c:tx>
          <c:spPr>
            <a:ln w="28575" cap="rnd">
              <a:solidFill>
                <a:schemeClr val="accent2"/>
              </a:solidFill>
              <a:round/>
            </a:ln>
            <a:effectLst/>
          </c:spPr>
          <c:marker>
            <c:symbol val="none"/>
          </c:marker>
          <c:xVal>
            <c:numRef>
              <c:f>[1]Forecast!$C$73:$BJ$73</c:f>
              <c:numCache>
                <c:formatCode>General</c:formatCode>
                <c:ptCount val="60"/>
                <c:pt idx="0">
                  <c:v>40724</c:v>
                </c:pt>
                <c:pt idx="1">
                  <c:v>41090</c:v>
                </c:pt>
                <c:pt idx="2">
                  <c:v>41455</c:v>
                </c:pt>
                <c:pt idx="3">
                  <c:v>41820</c:v>
                </c:pt>
                <c:pt idx="4">
                  <c:v>42185</c:v>
                </c:pt>
                <c:pt idx="5">
                  <c:v>42551</c:v>
                </c:pt>
                <c:pt idx="6">
                  <c:v>42916</c:v>
                </c:pt>
                <c:pt idx="7">
                  <c:v>43281</c:v>
                </c:pt>
                <c:pt idx="8">
                  <c:v>43646</c:v>
                </c:pt>
                <c:pt idx="9">
                  <c:v>44012</c:v>
                </c:pt>
                <c:pt idx="10">
                  <c:v>44377</c:v>
                </c:pt>
                <c:pt idx="11">
                  <c:v>44742</c:v>
                </c:pt>
                <c:pt idx="12">
                  <c:v>45107</c:v>
                </c:pt>
                <c:pt idx="13">
                  <c:v>45473</c:v>
                </c:pt>
                <c:pt idx="14">
                  <c:v>45838</c:v>
                </c:pt>
                <c:pt idx="15">
                  <c:v>46203</c:v>
                </c:pt>
                <c:pt idx="16">
                  <c:v>46568</c:v>
                </c:pt>
                <c:pt idx="17">
                  <c:v>46934</c:v>
                </c:pt>
                <c:pt idx="18">
                  <c:v>47299</c:v>
                </c:pt>
                <c:pt idx="19">
                  <c:v>47664</c:v>
                </c:pt>
                <c:pt idx="20">
                  <c:v>48029</c:v>
                </c:pt>
                <c:pt idx="21">
                  <c:v>48395</c:v>
                </c:pt>
                <c:pt idx="22">
                  <c:v>48760</c:v>
                </c:pt>
                <c:pt idx="23">
                  <c:v>49125</c:v>
                </c:pt>
                <c:pt idx="24">
                  <c:v>49490</c:v>
                </c:pt>
                <c:pt idx="25">
                  <c:v>49856</c:v>
                </c:pt>
                <c:pt idx="26">
                  <c:v>50221</c:v>
                </c:pt>
                <c:pt idx="27">
                  <c:v>50586</c:v>
                </c:pt>
                <c:pt idx="28">
                  <c:v>50951</c:v>
                </c:pt>
                <c:pt idx="29">
                  <c:v>51317</c:v>
                </c:pt>
                <c:pt idx="30">
                  <c:v>51682</c:v>
                </c:pt>
                <c:pt idx="31">
                  <c:v>52047</c:v>
                </c:pt>
                <c:pt idx="32">
                  <c:v>52412</c:v>
                </c:pt>
                <c:pt idx="33">
                  <c:v>52778</c:v>
                </c:pt>
                <c:pt idx="34">
                  <c:v>53143</c:v>
                </c:pt>
                <c:pt idx="35">
                  <c:v>53508</c:v>
                </c:pt>
                <c:pt idx="36">
                  <c:v>53873</c:v>
                </c:pt>
                <c:pt idx="37">
                  <c:v>54239</c:v>
                </c:pt>
                <c:pt idx="38">
                  <c:v>54604</c:v>
                </c:pt>
                <c:pt idx="39">
                  <c:v>54969</c:v>
                </c:pt>
                <c:pt idx="40">
                  <c:v>55334</c:v>
                </c:pt>
                <c:pt idx="41">
                  <c:v>55700</c:v>
                </c:pt>
                <c:pt idx="42">
                  <c:v>56065</c:v>
                </c:pt>
                <c:pt idx="43">
                  <c:v>56430</c:v>
                </c:pt>
                <c:pt idx="44">
                  <c:v>56795</c:v>
                </c:pt>
                <c:pt idx="45">
                  <c:v>57161</c:v>
                </c:pt>
                <c:pt idx="46">
                  <c:v>57526</c:v>
                </c:pt>
                <c:pt idx="47">
                  <c:v>57891</c:v>
                </c:pt>
                <c:pt idx="48">
                  <c:v>58256</c:v>
                </c:pt>
                <c:pt idx="49">
                  <c:v>58622</c:v>
                </c:pt>
                <c:pt idx="50">
                  <c:v>58987</c:v>
                </c:pt>
                <c:pt idx="51">
                  <c:v>59352</c:v>
                </c:pt>
                <c:pt idx="52">
                  <c:v>59717</c:v>
                </c:pt>
                <c:pt idx="53">
                  <c:v>60083</c:v>
                </c:pt>
                <c:pt idx="54">
                  <c:v>60448</c:v>
                </c:pt>
                <c:pt idx="55">
                  <c:v>60813</c:v>
                </c:pt>
                <c:pt idx="56">
                  <c:v>61178</c:v>
                </c:pt>
                <c:pt idx="57">
                  <c:v>61544</c:v>
                </c:pt>
                <c:pt idx="58">
                  <c:v>61909</c:v>
                </c:pt>
                <c:pt idx="59">
                  <c:v>62274</c:v>
                </c:pt>
              </c:numCache>
            </c:numRef>
          </c:xVal>
          <c:yVal>
            <c:numRef>
              <c:f>[1]Forecast!$C$75:$BJ$75</c:f>
              <c:numCache>
                <c:formatCode>General</c:formatCode>
                <c:ptCount val="60"/>
                <c:pt idx="10">
                  <c:v>796883</c:v>
                </c:pt>
                <c:pt idx="11">
                  <c:v>805640</c:v>
                </c:pt>
                <c:pt idx="12">
                  <c:v>814500</c:v>
                </c:pt>
                <c:pt idx="13">
                  <c:v>826940</c:v>
                </c:pt>
                <c:pt idx="14">
                  <c:v>839340</c:v>
                </c:pt>
                <c:pt idx="15">
                  <c:v>851930</c:v>
                </c:pt>
                <c:pt idx="16">
                  <c:v>864070</c:v>
                </c:pt>
                <c:pt idx="17">
                  <c:v>875740</c:v>
                </c:pt>
                <c:pt idx="18">
                  <c:v>886960</c:v>
                </c:pt>
                <c:pt idx="19">
                  <c:v>897730</c:v>
                </c:pt>
                <c:pt idx="20">
                  <c:v>908060</c:v>
                </c:pt>
                <c:pt idx="21">
                  <c:v>918990</c:v>
                </c:pt>
                <c:pt idx="22">
                  <c:v>930560</c:v>
                </c:pt>
                <c:pt idx="23">
                  <c:v>942810</c:v>
                </c:pt>
                <c:pt idx="24">
                  <c:v>955790</c:v>
                </c:pt>
                <c:pt idx="25">
                  <c:v>969540</c:v>
                </c:pt>
                <c:pt idx="26">
                  <c:v>983200</c:v>
                </c:pt>
                <c:pt idx="27">
                  <c:v>996760</c:v>
                </c:pt>
                <c:pt idx="28">
                  <c:v>1010210</c:v>
                </c:pt>
                <c:pt idx="29">
                  <c:v>1023550</c:v>
                </c:pt>
                <c:pt idx="30">
                  <c:v>1036780</c:v>
                </c:pt>
                <c:pt idx="31">
                  <c:v>1050620</c:v>
                </c:pt>
                <c:pt idx="32">
                  <c:v>1065110</c:v>
                </c:pt>
                <c:pt idx="33">
                  <c:v>1080290</c:v>
                </c:pt>
                <c:pt idx="34">
                  <c:v>1096190</c:v>
                </c:pt>
                <c:pt idx="35">
                  <c:v>1112850</c:v>
                </c:pt>
                <c:pt idx="36">
                  <c:v>1129320</c:v>
                </c:pt>
                <c:pt idx="37">
                  <c:v>1145600</c:v>
                </c:pt>
                <c:pt idx="38">
                  <c:v>1161690</c:v>
                </c:pt>
                <c:pt idx="39">
                  <c:v>1177570</c:v>
                </c:pt>
                <c:pt idx="40">
                  <c:v>1193250</c:v>
                </c:pt>
                <c:pt idx="41">
                  <c:v>1209100</c:v>
                </c:pt>
                <c:pt idx="42">
                  <c:v>1225120</c:v>
                </c:pt>
                <c:pt idx="43">
                  <c:v>1241300</c:v>
                </c:pt>
                <c:pt idx="44">
                  <c:v>1257650</c:v>
                </c:pt>
                <c:pt idx="45">
                  <c:v>1274180</c:v>
                </c:pt>
                <c:pt idx="46">
                  <c:v>1290550</c:v>
                </c:pt>
                <c:pt idx="47">
                  <c:v>1306770</c:v>
                </c:pt>
                <c:pt idx="48">
                  <c:v>1322830</c:v>
                </c:pt>
                <c:pt idx="49">
                  <c:v>1338720</c:v>
                </c:pt>
                <c:pt idx="50">
                  <c:v>1354450</c:v>
                </c:pt>
                <c:pt idx="51">
                  <c:v>1370500</c:v>
                </c:pt>
                <c:pt idx="52">
                  <c:v>1386870</c:v>
                </c:pt>
                <c:pt idx="53">
                  <c:v>1403570</c:v>
                </c:pt>
                <c:pt idx="54">
                  <c:v>1420610</c:v>
                </c:pt>
                <c:pt idx="55">
                  <c:v>1437650</c:v>
                </c:pt>
                <c:pt idx="56">
                  <c:v>1454890</c:v>
                </c:pt>
                <c:pt idx="57">
                  <c:v>1472340</c:v>
                </c:pt>
                <c:pt idx="58">
                  <c:v>1490000</c:v>
                </c:pt>
                <c:pt idx="59">
                  <c:v>1507870</c:v>
                </c:pt>
              </c:numCache>
            </c:numRef>
          </c:yVal>
          <c:smooth val="0"/>
          <c:extLst>
            <c:ext xmlns:c16="http://schemas.microsoft.com/office/drawing/2014/chart" uri="{C3380CC4-5D6E-409C-BE32-E72D297353CC}">
              <c16:uniqueId val="{00000001-1D4E-4EFA-AEEB-E9C64C797A49}"/>
            </c:ext>
          </c:extLst>
        </c:ser>
        <c:dLbls>
          <c:showLegendKey val="0"/>
          <c:showVal val="0"/>
          <c:showCatName val="0"/>
          <c:showSerName val="0"/>
          <c:showPercent val="0"/>
          <c:showBubbleSize val="0"/>
        </c:dLbls>
        <c:axId val="963045176"/>
        <c:axId val="963045832"/>
      </c:scatterChart>
      <c:valAx>
        <c:axId val="963045176"/>
        <c:scaling>
          <c:orientation val="minMax"/>
          <c:max val="61909"/>
          <c:min val="40724"/>
        </c:scaling>
        <c:delete val="0"/>
        <c:axPos val="b"/>
        <c:majorGridlines>
          <c:spPr>
            <a:ln w="9525" cap="flat" cmpd="sng" algn="ctr">
              <a:solidFill>
                <a:schemeClr val="tx1">
                  <a:lumMod val="15000"/>
                  <a:lumOff val="85000"/>
                </a:schemeClr>
              </a:solidFill>
              <a:round/>
            </a:ln>
            <a:effectLst/>
          </c:spPr>
        </c:majorGridlines>
        <c:numFmt formatCode="yyyy"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963045832"/>
        <c:crosses val="autoZero"/>
        <c:crossBetween val="midCat"/>
        <c:majorUnit val="1461"/>
      </c:valAx>
      <c:valAx>
        <c:axId val="96304583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963045176"/>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6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2</xdr:col>
      <xdr:colOff>693963</xdr:colOff>
      <xdr:row>83</xdr:row>
      <xdr:rowOff>27213</xdr:rowOff>
    </xdr:from>
    <xdr:to>
      <xdr:col>26</xdr:col>
      <xdr:colOff>394606</xdr:colOff>
      <xdr:row>112</xdr:row>
      <xdr:rowOff>122462</xdr:rowOff>
    </xdr:to>
    <xdr:graphicFrame macro="">
      <xdr:nvGraphicFramePr>
        <xdr:cNvPr id="2" name="Chart 1">
          <a:extLst>
            <a:ext uri="{FF2B5EF4-FFF2-40B4-BE49-F238E27FC236}">
              <a16:creationId xmlns:a16="http://schemas.microsoft.com/office/drawing/2014/main" id="{17F9188C-424D-4C08-822F-AC171DE675E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marsdenjacob.sharepoint.com/Shared%20Documents/All/Clients/YVW/FY202200096%20YVW%20New%20Customer%20Contributions/Background%20docs/Customer%20Growth%20Forecast%20Rev%20Aug%202021.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marsdenjacob.sharepoint.com/Shared%20Documents/All/Clients/YVW/FY202200096%20YVW%20New%20Customer%20Contributions/Background%20docs/Copy%20of%202021_Oct_18%20WG%20and%20RWG%20NCCs.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marsdenjacob.sharepoint.com/Shared%20Documents/All/Clients/YVW/FY202200096%20YVW%20New%20Customer%20Contributions/Background%20docs/20211016_SGP_Opex%20and%20Capex%20Profiles.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yvw.com.au\dfs\SCArchive\S&amp;C%20Group\Library\Transfer%20from%20M%20drive%20Forecasting\Price%20Submission%202023\PS5%20Ground%20up%20capex%20list_17Nov_supporting%20SCAR%20paper.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Users\Rob%20Nolan\Marsden%20Jacob%20Associates\MJA%20-%20YVW\FY202200096%20YVW%20New%20Customer%20Contributions\Our%20assessment\Copy%20of%20CAPEX%20since%202004%20(002).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Users\Rob%20Nolan\Marsden%20Jacob%20Associates\MJA%20-%20YVW\FY202200096%20YVW%20New%20Customer%20Contributions\Our%20assessment\Copy%20of%20YVW%20CapEx%202013-2018%20.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s://marsdenjacob.sharepoint.com/Shared%20Documents/All/Clients/YVW/FY202200096%20YVW%20New%20Customer%20Contributions/Our%20assessment/Copy%20of%20CAPEX%20since%202004%20(002).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s://marsdenjacob.sharepoint.com/Shared%20Documents/All/Clients/YVW/FY202200096%20YVW%20New%20Customer%20Contributions/Our%20assessment/Copy%20of%20YVW%20CapEx%202013-2018%20.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marsdenjacob.sharepoint.com/S&amp;C%20Group/Library/Transfer%20from%20M%20drive%20Regulation/ESC%20Price%20Determinations/ESC%202013-18%20Price%20Review/NCCs/Current%20modelling/13-03-25%20Lot%20Forecast.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Rob%20Nolan\Marsden%20Jacob%20Associates\MJA%20-%20YVW\FY202200096%20YVW%20New%20Customer%20Contributions\Our%20assessment\YVW%20-%20revised%20customer%20number%20forecast%20allocation%20-%20May%20202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marsdenjacob.sharepoint.com/S&amp;C%20Group/Library/Transfer%20from%20M%20drive%20Historical%20Forecasting%20data/Population/Population/VIF%202019/VIF2019_CONFIDENTIAL_DISTRIBUTION_ASGS_2061_backup.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marsdenjacob.sharepoint.com/S&amp;C%20Group/Library/Transfer%20from%20M%20drive%20Historical%20Forecasting%20data/Population/Population/VIF%202016/VIF2016%20CONFIDENTIAL%20SA2%20Results_2051.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marsdenjacob.sharepoint.com/S&amp;C%20Group/Library/Transfer%20from%20M%20drive%20Historical%20Forecasting%20data/Population/Population/VIF%202018/CONFIDENTIAL_YARRA_VALLEY_WATER_VIF2018_SA2_ERPHHs_2018_RESULTS.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marsdenjacob.sharepoint.com/S&amp;C%20Group/Library/Transfer%20from%20M%20drive%20Historical%20Forecasting%20data/Population/Population/VIF%202021/CONFIDENTIAL_Pre-release_Draft_VIF2021_ASGS_2016_2061_(AUG_2021).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Regulation%20Planning%20and%20Performance/Forecasting/Technical/Population%20Data/Macroplan/4th%20December/SA1%20Data/YVW%20Melbourne%20Water%20Yearly%20Forecasts%202016-2056%20041220.xlsb"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marsdenjacob.sharepoint.com/Shared%20Documents/All/Clients/YVW/FY202200096%20YVW%20New%20Customer%20Contributions/Background%20docs/Copy%20of%20Actual%20CapEx%202017-21.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s://marsdenjacob.sharepoint.com/Shared%20Documents/All/Clients/YVW/FY202200096%20YVW%20New%20Customer%20Contributions/Background%20docs/12-02-26%20CAPEX%20Data%20For%20Steve%20Bumpstead%20Dec%20201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st Series"/>
      <sheetName val="Forecast"/>
      <sheetName val="Sheet1"/>
      <sheetName val="RegionSheet Data"/>
      <sheetName val="Recyc"/>
      <sheetName val="From WGP"/>
      <sheetName val="NDW Demands Raw"/>
      <sheetName val="comparison"/>
      <sheetName val="Comp Price Sub"/>
      <sheetName val="comp ps4"/>
    </sheetNames>
    <sheetDataSet>
      <sheetData sheetId="0">
        <row r="5">
          <cell r="M5">
            <v>52239</v>
          </cell>
          <cell r="N5">
            <v>45219</v>
          </cell>
          <cell r="O5">
            <v>40890</v>
          </cell>
          <cell r="P5">
            <v>37836</v>
          </cell>
          <cell r="S5">
            <v>647274</v>
          </cell>
          <cell r="T5">
            <v>601488</v>
          </cell>
          <cell r="Y5">
            <v>0.95511963663447985</v>
          </cell>
        </row>
        <row r="6">
          <cell r="M6">
            <v>52202</v>
          </cell>
          <cell r="N6">
            <v>46314</v>
          </cell>
          <cell r="O6">
            <v>41063</v>
          </cell>
          <cell r="P6">
            <v>38660</v>
          </cell>
          <cell r="S6">
            <v>660986</v>
          </cell>
          <cell r="T6">
            <v>620407</v>
          </cell>
          <cell r="Y6">
            <v>0.94962822792134838</v>
          </cell>
        </row>
        <row r="7">
          <cell r="M7">
            <v>52478</v>
          </cell>
          <cell r="N7">
            <v>47189</v>
          </cell>
          <cell r="O7">
            <v>41185</v>
          </cell>
          <cell r="P7">
            <v>39057</v>
          </cell>
          <cell r="S7">
            <v>670778</v>
          </cell>
          <cell r="T7">
            <v>632945</v>
          </cell>
          <cell r="Y7">
            <v>0.95143021905536818</v>
          </cell>
        </row>
        <row r="8">
          <cell r="M8">
            <v>52696</v>
          </cell>
          <cell r="N8">
            <v>47845</v>
          </cell>
          <cell r="O8">
            <v>42315</v>
          </cell>
          <cell r="P8">
            <v>39634</v>
          </cell>
          <cell r="S8">
            <v>684741</v>
          </cell>
          <cell r="T8">
            <v>646156</v>
          </cell>
          <cell r="Y8">
            <v>0.95201313614668903</v>
          </cell>
        </row>
        <row r="9">
          <cell r="M9">
            <v>53263</v>
          </cell>
          <cell r="N9">
            <v>48812</v>
          </cell>
          <cell r="O9">
            <v>41757</v>
          </cell>
          <cell r="P9">
            <v>39330</v>
          </cell>
          <cell r="S9">
            <v>698667</v>
          </cell>
          <cell r="T9">
            <v>660236</v>
          </cell>
          <cell r="Y9">
            <v>0.94503783495598548</v>
          </cell>
        </row>
        <row r="10">
          <cell r="M10">
            <v>52836</v>
          </cell>
          <cell r="N10">
            <v>48312</v>
          </cell>
          <cell r="O10">
            <v>41404</v>
          </cell>
          <cell r="P10">
            <v>39182</v>
          </cell>
          <cell r="S10">
            <v>712451</v>
          </cell>
          <cell r="T10">
            <v>674387</v>
          </cell>
          <cell r="Y10">
            <v>0.94434797823801464</v>
          </cell>
        </row>
        <row r="11">
          <cell r="M11">
            <v>53627</v>
          </cell>
          <cell r="N11">
            <v>47876</v>
          </cell>
          <cell r="O11">
            <v>41986</v>
          </cell>
          <cell r="P11">
            <v>39788</v>
          </cell>
          <cell r="S11">
            <v>730259</v>
          </cell>
          <cell r="T11">
            <v>678932</v>
          </cell>
          <cell r="Y11">
            <v>0.95901356836914453</v>
          </cell>
        </row>
        <row r="12">
          <cell r="M12">
            <v>55205</v>
          </cell>
          <cell r="N12">
            <v>49370</v>
          </cell>
          <cell r="O12">
            <v>43164</v>
          </cell>
          <cell r="P12">
            <v>40997</v>
          </cell>
          <cell r="S12">
            <v>746925</v>
          </cell>
          <cell r="T12">
            <v>695726</v>
          </cell>
          <cell r="Y12">
            <v>0.96061667955488228</v>
          </cell>
        </row>
        <row r="13">
          <cell r="M13">
            <v>57145</v>
          </cell>
          <cell r="N13">
            <v>50988</v>
          </cell>
          <cell r="O13">
            <v>44073</v>
          </cell>
          <cell r="P13">
            <v>41740</v>
          </cell>
          <cell r="S13">
            <v>764589</v>
          </cell>
          <cell r="T13">
            <v>714002</v>
          </cell>
          <cell r="Y13">
            <v>0.9568992803941726</v>
          </cell>
        </row>
        <row r="14">
          <cell r="M14">
            <v>58228</v>
          </cell>
          <cell r="N14">
            <v>52114</v>
          </cell>
          <cell r="O14">
            <v>44757</v>
          </cell>
          <cell r="P14">
            <v>42430</v>
          </cell>
          <cell r="S14">
            <v>781288</v>
          </cell>
          <cell r="T14">
            <v>730387</v>
          </cell>
          <cell r="Y14">
            <v>0.95740340394886547</v>
          </cell>
        </row>
        <row r="15">
          <cell r="M15">
            <v>59209</v>
          </cell>
          <cell r="N15">
            <v>52812</v>
          </cell>
          <cell r="O15">
            <v>44855</v>
          </cell>
          <cell r="P15">
            <v>42494</v>
          </cell>
          <cell r="S15">
            <v>796883</v>
          </cell>
          <cell r="T15">
            <v>745889</v>
          </cell>
          <cell r="Y15">
            <v>0.95711292162774886</v>
          </cell>
        </row>
        <row r="22">
          <cell r="T22">
            <v>0.81244344447680417</v>
          </cell>
        </row>
        <row r="32">
          <cell r="T32">
            <v>0.76621551506866925</v>
          </cell>
        </row>
        <row r="77">
          <cell r="H77">
            <v>0.89275924441046484</v>
          </cell>
        </row>
        <row r="89">
          <cell r="H89">
            <v>0.89430305225975903</v>
          </cell>
        </row>
        <row r="101">
          <cell r="H101">
            <v>0.89225654037973579</v>
          </cell>
        </row>
        <row r="113">
          <cell r="H113">
            <v>0.89499896956790548</v>
          </cell>
        </row>
        <row r="125">
          <cell r="H125">
            <v>0.89195899272070123</v>
          </cell>
        </row>
        <row r="185">
          <cell r="N185">
            <v>7.3435589290922809E-2</v>
          </cell>
        </row>
        <row r="186">
          <cell r="N186">
            <v>7.3909696421996851E-2</v>
          </cell>
        </row>
        <row r="187">
          <cell r="N187">
            <v>7.473950056827916E-2</v>
          </cell>
        </row>
        <row r="188">
          <cell r="N188">
            <v>7.4528214947624946E-2</v>
          </cell>
        </row>
        <row r="189">
          <cell r="N189">
            <v>7.4300744274881009E-2</v>
          </cell>
        </row>
        <row r="254">
          <cell r="H254">
            <v>1.1386363260169341E-3</v>
          </cell>
        </row>
      </sheetData>
      <sheetData sheetId="1">
        <row r="2">
          <cell r="N2">
            <v>805640</v>
          </cell>
          <cell r="O2">
            <v>814500</v>
          </cell>
          <cell r="P2">
            <v>826940</v>
          </cell>
          <cell r="Q2">
            <v>839340</v>
          </cell>
          <cell r="R2">
            <v>851930</v>
          </cell>
        </row>
        <row r="15">
          <cell r="N15">
            <v>59860</v>
          </cell>
          <cell r="O15">
            <v>60520</v>
          </cell>
          <cell r="P15">
            <v>61440</v>
          </cell>
          <cell r="Q15">
            <v>62360</v>
          </cell>
          <cell r="R15">
            <v>63300</v>
          </cell>
          <cell r="S15">
            <v>64200</v>
          </cell>
          <cell r="T15">
            <v>65070</v>
          </cell>
          <cell r="U15">
            <v>65900</v>
          </cell>
          <cell r="V15">
            <v>66700</v>
          </cell>
          <cell r="W15">
            <v>67470</v>
          </cell>
          <cell r="X15">
            <v>68280</v>
          </cell>
          <cell r="Y15">
            <v>69140</v>
          </cell>
          <cell r="Z15">
            <v>70050</v>
          </cell>
          <cell r="AA15">
            <v>71020</v>
          </cell>
          <cell r="AB15">
            <v>72040</v>
          </cell>
          <cell r="AC15">
            <v>73050</v>
          </cell>
          <cell r="AD15">
            <v>74060</v>
          </cell>
          <cell r="AE15">
            <v>75060</v>
          </cell>
          <cell r="AF15">
            <v>76050</v>
          </cell>
          <cell r="AG15">
            <v>77030</v>
          </cell>
          <cell r="AH15">
            <v>78060</v>
          </cell>
          <cell r="AI15">
            <v>79140</v>
          </cell>
        </row>
        <row r="16">
          <cell r="N16">
            <v>53390</v>
          </cell>
          <cell r="O16">
            <v>53980</v>
          </cell>
          <cell r="P16">
            <v>54800</v>
          </cell>
          <cell r="Q16">
            <v>55620</v>
          </cell>
          <cell r="R16">
            <v>56460</v>
          </cell>
          <cell r="S16">
            <v>57260</v>
          </cell>
          <cell r="T16">
            <v>58040</v>
          </cell>
          <cell r="U16">
            <v>58780</v>
          </cell>
          <cell r="V16">
            <v>59490</v>
          </cell>
          <cell r="W16">
            <v>60180</v>
          </cell>
          <cell r="X16">
            <v>60900</v>
          </cell>
          <cell r="Y16">
            <v>61670</v>
          </cell>
          <cell r="Z16">
            <v>62480</v>
          </cell>
          <cell r="AA16">
            <v>63350</v>
          </cell>
          <cell r="AB16">
            <v>64260</v>
          </cell>
          <cell r="AC16">
            <v>65160</v>
          </cell>
          <cell r="AD16">
            <v>66060</v>
          </cell>
          <cell r="AE16">
            <v>66950</v>
          </cell>
          <cell r="AF16">
            <v>67830</v>
          </cell>
          <cell r="AG16">
            <v>68710</v>
          </cell>
          <cell r="AH16">
            <v>69630</v>
          </cell>
          <cell r="AI16">
            <v>70590</v>
          </cell>
        </row>
        <row r="73">
          <cell r="C73">
            <v>40724</v>
          </cell>
          <cell r="D73">
            <v>41090</v>
          </cell>
          <cell r="E73">
            <v>41455</v>
          </cell>
          <cell r="F73">
            <v>41820</v>
          </cell>
          <cell r="G73">
            <v>42185</v>
          </cell>
          <cell r="H73">
            <v>42551</v>
          </cell>
          <cell r="I73">
            <v>42916</v>
          </cell>
          <cell r="J73">
            <v>43281</v>
          </cell>
          <cell r="K73">
            <v>43646</v>
          </cell>
          <cell r="L73">
            <v>44012</v>
          </cell>
          <cell r="M73">
            <v>44377</v>
          </cell>
          <cell r="N73">
            <v>44742</v>
          </cell>
          <cell r="O73">
            <v>45107</v>
          </cell>
          <cell r="P73">
            <v>45473</v>
          </cell>
          <cell r="Q73">
            <v>45838</v>
          </cell>
          <cell r="R73">
            <v>46203</v>
          </cell>
          <cell r="S73">
            <v>46568</v>
          </cell>
          <cell r="T73">
            <v>46934</v>
          </cell>
          <cell r="U73">
            <v>47299</v>
          </cell>
          <cell r="V73">
            <v>47664</v>
          </cell>
          <cell r="W73">
            <v>48029</v>
          </cell>
          <cell r="X73">
            <v>48395</v>
          </cell>
          <cell r="Y73">
            <v>48760</v>
          </cell>
          <cell r="Z73">
            <v>49125</v>
          </cell>
          <cell r="AA73">
            <v>49490</v>
          </cell>
          <cell r="AB73">
            <v>49856</v>
          </cell>
          <cell r="AC73">
            <v>50221</v>
          </cell>
          <cell r="AD73">
            <v>50586</v>
          </cell>
          <cell r="AE73">
            <v>50951</v>
          </cell>
          <cell r="AF73">
            <v>51317</v>
          </cell>
          <cell r="AG73">
            <v>51682</v>
          </cell>
          <cell r="AH73">
            <v>52047</v>
          </cell>
          <cell r="AI73">
            <v>52412</v>
          </cell>
          <cell r="AJ73">
            <v>52778</v>
          </cell>
          <cell r="AK73">
            <v>53143</v>
          </cell>
          <cell r="AL73">
            <v>53508</v>
          </cell>
          <cell r="AM73">
            <v>53873</v>
          </cell>
          <cell r="AN73">
            <v>54239</v>
          </cell>
          <cell r="AO73">
            <v>54604</v>
          </cell>
          <cell r="AP73">
            <v>54969</v>
          </cell>
          <cell r="AQ73">
            <v>55334</v>
          </cell>
          <cell r="AR73">
            <v>55700</v>
          </cell>
          <cell r="AS73">
            <v>56065</v>
          </cell>
          <cell r="AT73">
            <v>56430</v>
          </cell>
          <cell r="AU73">
            <v>56795</v>
          </cell>
          <cell r="AV73">
            <v>57161</v>
          </cell>
          <cell r="AW73">
            <v>57526</v>
          </cell>
          <cell r="AX73">
            <v>57891</v>
          </cell>
          <cell r="AY73">
            <v>58256</v>
          </cell>
          <cell r="AZ73">
            <v>58622</v>
          </cell>
          <cell r="BA73">
            <v>58987</v>
          </cell>
          <cell r="BB73">
            <v>59352</v>
          </cell>
          <cell r="BC73">
            <v>59717</v>
          </cell>
          <cell r="BD73">
            <v>60083</v>
          </cell>
          <cell r="BE73">
            <v>60448</v>
          </cell>
          <cell r="BF73">
            <v>60813</v>
          </cell>
          <cell r="BG73">
            <v>61178</v>
          </cell>
          <cell r="BH73">
            <v>61544</v>
          </cell>
          <cell r="BI73">
            <v>61909</v>
          </cell>
          <cell r="BJ73">
            <v>62274</v>
          </cell>
        </row>
        <row r="74">
          <cell r="B74" t="str">
            <v>Historical Data</v>
          </cell>
          <cell r="C74">
            <v>647274</v>
          </cell>
          <cell r="D74">
            <v>660986</v>
          </cell>
          <cell r="E74">
            <v>670778</v>
          </cell>
          <cell r="F74">
            <v>684741</v>
          </cell>
          <cell r="G74">
            <v>698667</v>
          </cell>
          <cell r="H74">
            <v>712451</v>
          </cell>
          <cell r="I74">
            <v>730259</v>
          </cell>
          <cell r="J74">
            <v>746925</v>
          </cell>
          <cell r="K74">
            <v>764589</v>
          </cell>
          <cell r="L74">
            <v>781288</v>
          </cell>
          <cell r="M74">
            <v>796883</v>
          </cell>
        </row>
        <row r="75">
          <cell r="B75" t="str">
            <v>Projected Growth</v>
          </cell>
          <cell r="K75"/>
          <cell r="L75"/>
          <cell r="M75">
            <v>796883</v>
          </cell>
          <cell r="N75">
            <v>805640</v>
          </cell>
          <cell r="O75">
            <v>814500</v>
          </cell>
          <cell r="P75">
            <v>826940</v>
          </cell>
          <cell r="Q75">
            <v>839340</v>
          </cell>
          <cell r="R75">
            <v>851930</v>
          </cell>
          <cell r="S75">
            <v>864070</v>
          </cell>
          <cell r="T75">
            <v>875740</v>
          </cell>
          <cell r="U75">
            <v>886960</v>
          </cell>
          <cell r="V75">
            <v>897730</v>
          </cell>
          <cell r="W75">
            <v>908060</v>
          </cell>
          <cell r="X75">
            <v>918990</v>
          </cell>
          <cell r="Y75">
            <v>930560</v>
          </cell>
          <cell r="Z75">
            <v>942810</v>
          </cell>
          <cell r="AA75">
            <v>955790</v>
          </cell>
          <cell r="AB75">
            <v>969540</v>
          </cell>
          <cell r="AC75">
            <v>983200</v>
          </cell>
          <cell r="AD75">
            <v>996760</v>
          </cell>
          <cell r="AE75">
            <v>1010210</v>
          </cell>
          <cell r="AF75">
            <v>1023550</v>
          </cell>
          <cell r="AG75">
            <v>1036780</v>
          </cell>
          <cell r="AH75">
            <v>1050620</v>
          </cell>
          <cell r="AI75">
            <v>1065110</v>
          </cell>
          <cell r="AJ75">
            <v>1080290</v>
          </cell>
          <cell r="AK75">
            <v>1096190</v>
          </cell>
          <cell r="AL75">
            <v>1112850</v>
          </cell>
          <cell r="AM75">
            <v>1129320</v>
          </cell>
          <cell r="AN75">
            <v>1145600</v>
          </cell>
          <cell r="AO75">
            <v>1161690</v>
          </cell>
          <cell r="AP75">
            <v>1177570</v>
          </cell>
          <cell r="AQ75">
            <v>1193250</v>
          </cell>
          <cell r="AR75">
            <v>1209100</v>
          </cell>
          <cell r="AS75">
            <v>1225120</v>
          </cell>
          <cell r="AT75">
            <v>1241300</v>
          </cell>
          <cell r="AU75">
            <v>1257650</v>
          </cell>
          <cell r="AV75">
            <v>1274180</v>
          </cell>
          <cell r="AW75">
            <v>1290550</v>
          </cell>
          <cell r="AX75">
            <v>1306770</v>
          </cell>
          <cell r="AY75">
            <v>1322830</v>
          </cell>
          <cell r="AZ75">
            <v>1338720</v>
          </cell>
          <cell r="BA75">
            <v>1354450</v>
          </cell>
          <cell r="BB75">
            <v>1370500</v>
          </cell>
          <cell r="BC75">
            <v>1386870</v>
          </cell>
          <cell r="BD75">
            <v>1403570</v>
          </cell>
          <cell r="BE75">
            <v>1420610</v>
          </cell>
          <cell r="BF75">
            <v>1437650</v>
          </cell>
          <cell r="BG75">
            <v>1454890</v>
          </cell>
          <cell r="BH75">
            <v>1472340</v>
          </cell>
          <cell r="BI75">
            <v>1490000</v>
          </cell>
          <cell r="BJ75">
            <v>1507870</v>
          </cell>
        </row>
      </sheetData>
      <sheetData sheetId="2"/>
      <sheetData sheetId="3"/>
      <sheetData sheetId="4">
        <row r="77">
          <cell r="Q77">
            <v>30000</v>
          </cell>
          <cell r="R77">
            <v>33500</v>
          </cell>
          <cell r="S77">
            <v>38300</v>
          </cell>
          <cell r="T77">
            <v>43200</v>
          </cell>
          <cell r="U77">
            <v>48000</v>
          </cell>
          <cell r="V77">
            <v>53000</v>
          </cell>
          <cell r="W77">
            <v>58000</v>
          </cell>
          <cell r="X77">
            <v>63000</v>
          </cell>
          <cell r="Y77">
            <v>68000</v>
          </cell>
          <cell r="Z77">
            <v>72900</v>
          </cell>
          <cell r="AA77">
            <v>77600</v>
          </cell>
          <cell r="AB77">
            <v>82300</v>
          </cell>
          <cell r="AC77">
            <v>95000</v>
          </cell>
          <cell r="AD77">
            <v>100100</v>
          </cell>
          <cell r="AE77">
            <v>105000</v>
          </cell>
        </row>
        <row r="79">
          <cell r="Q79">
            <v>141</v>
          </cell>
          <cell r="R79">
            <v>169</v>
          </cell>
          <cell r="S79">
            <v>173</v>
          </cell>
          <cell r="T79">
            <v>177</v>
          </cell>
          <cell r="U79">
            <v>181</v>
          </cell>
          <cell r="V79">
            <v>185</v>
          </cell>
          <cell r="W79">
            <v>189</v>
          </cell>
          <cell r="X79">
            <v>193</v>
          </cell>
          <cell r="Y79">
            <v>197</v>
          </cell>
          <cell r="Z79">
            <v>201</v>
          </cell>
          <cell r="AA79">
            <v>205</v>
          </cell>
          <cell r="AB79">
            <v>209</v>
          </cell>
          <cell r="AC79">
            <v>213</v>
          </cell>
          <cell r="AD79">
            <v>217</v>
          </cell>
          <cell r="AE79">
            <v>221</v>
          </cell>
        </row>
        <row r="87">
          <cell r="G87">
            <v>3651</v>
          </cell>
          <cell r="H87">
            <v>5657</v>
          </cell>
          <cell r="I87">
            <v>8522</v>
          </cell>
          <cell r="J87">
            <v>9714</v>
          </cell>
          <cell r="K87">
            <v>11633</v>
          </cell>
          <cell r="L87">
            <v>15111</v>
          </cell>
          <cell r="M87">
            <v>18062</v>
          </cell>
          <cell r="N87">
            <v>22244</v>
          </cell>
          <cell r="O87">
            <v>25643</v>
          </cell>
        </row>
        <row r="88">
          <cell r="G88">
            <v>9</v>
          </cell>
          <cell r="H88">
            <v>101</v>
          </cell>
          <cell r="I88">
            <v>51</v>
          </cell>
          <cell r="J88">
            <v>53</v>
          </cell>
          <cell r="K88">
            <v>60</v>
          </cell>
          <cell r="L88">
            <v>59</v>
          </cell>
          <cell r="M88">
            <v>69</v>
          </cell>
          <cell r="N88">
            <v>77</v>
          </cell>
          <cell r="O88">
            <v>92</v>
          </cell>
        </row>
        <row r="145">
          <cell r="G145">
            <v>1403</v>
          </cell>
          <cell r="H145">
            <v>2863</v>
          </cell>
          <cell r="I145">
            <v>4139</v>
          </cell>
          <cell r="J145">
            <v>5449</v>
          </cell>
          <cell r="K145">
            <v>6801</v>
          </cell>
          <cell r="L145">
            <v>8311</v>
          </cell>
          <cell r="M145">
            <v>9822</v>
          </cell>
          <cell r="N145">
            <v>12600</v>
          </cell>
          <cell r="O145">
            <v>15800</v>
          </cell>
        </row>
        <row r="146">
          <cell r="G146">
            <v>11</v>
          </cell>
          <cell r="H146">
            <v>30</v>
          </cell>
          <cell r="I146">
            <v>36</v>
          </cell>
          <cell r="J146">
            <v>33</v>
          </cell>
          <cell r="K146">
            <v>49</v>
          </cell>
          <cell r="L146">
            <v>58</v>
          </cell>
          <cell r="M146">
            <v>44</v>
          </cell>
          <cell r="N146">
            <v>46</v>
          </cell>
          <cell r="O146">
            <v>54</v>
          </cell>
        </row>
      </sheetData>
      <sheetData sheetId="5"/>
      <sheetData sheetId="6"/>
      <sheetData sheetId="7"/>
      <sheetData sheetId="8"/>
      <sheetData sheetId="9"/>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CCs"/>
      <sheetName val="potable water"/>
      <sheetName val="recycled water"/>
    </sheetNames>
    <sheetDataSet>
      <sheetData sheetId="0"/>
      <sheetData sheetId="1">
        <row r="189">
          <cell r="X189">
            <v>161177315.37028724</v>
          </cell>
        </row>
        <row r="190">
          <cell r="X190">
            <v>0</v>
          </cell>
        </row>
        <row r="191">
          <cell r="X191">
            <v>0</v>
          </cell>
        </row>
        <row r="195">
          <cell r="N195">
            <v>0.6990203414770767</v>
          </cell>
          <cell r="O195">
            <v>0.92766681819239416</v>
          </cell>
          <cell r="P195">
            <v>0.90351729317154506</v>
          </cell>
          <cell r="Q195">
            <v>0.91084219530288157</v>
          </cell>
          <cell r="R195">
            <v>0.91376953932568328</v>
          </cell>
          <cell r="S195">
            <v>0.85288038468670357</v>
          </cell>
          <cell r="T195">
            <v>1</v>
          </cell>
          <cell r="U195">
            <v>1</v>
          </cell>
          <cell r="V195">
            <v>1</v>
          </cell>
          <cell r="W195">
            <v>1</v>
          </cell>
        </row>
        <row r="196">
          <cell r="N196">
            <v>9.583580945729633E-3</v>
          </cell>
          <cell r="O196">
            <v>6.4647781643527052E-2</v>
          </cell>
          <cell r="P196">
            <v>7.7062585639509726E-2</v>
          </cell>
          <cell r="Q196">
            <v>0</v>
          </cell>
          <cell r="R196">
            <v>0</v>
          </cell>
          <cell r="S196">
            <v>0</v>
          </cell>
          <cell r="T196">
            <v>0</v>
          </cell>
          <cell r="U196">
            <v>0</v>
          </cell>
          <cell r="V196">
            <v>0</v>
          </cell>
          <cell r="W196">
            <v>0</v>
          </cell>
        </row>
        <row r="197">
          <cell r="N197">
            <v>6.0369668047251792E-3</v>
          </cell>
          <cell r="O197">
            <v>7.6854001640789052E-3</v>
          </cell>
          <cell r="P197">
            <v>0</v>
          </cell>
          <cell r="Q197">
            <v>0</v>
          </cell>
          <cell r="R197">
            <v>0</v>
          </cell>
          <cell r="S197">
            <v>0</v>
          </cell>
          <cell r="T197">
            <v>0</v>
          </cell>
          <cell r="U197">
            <v>0</v>
          </cell>
          <cell r="V197">
            <v>0</v>
          </cell>
          <cell r="W197">
            <v>0</v>
          </cell>
        </row>
        <row r="198">
          <cell r="N198">
            <v>0.2853591107724685</v>
          </cell>
          <cell r="O198">
            <v>0</v>
          </cell>
          <cell r="P198">
            <v>1.9420121188945278E-2</v>
          </cell>
          <cell r="Q198">
            <v>8.915780469711844E-2</v>
          </cell>
          <cell r="R198">
            <v>8.6230460674316708E-2</v>
          </cell>
          <cell r="S198">
            <v>0.14711961531329637</v>
          </cell>
          <cell r="T198">
            <v>0</v>
          </cell>
          <cell r="U198">
            <v>0</v>
          </cell>
          <cell r="V198">
            <v>0</v>
          </cell>
          <cell r="W198">
            <v>0</v>
          </cell>
        </row>
        <row r="199">
          <cell r="N199">
            <v>1</v>
          </cell>
          <cell r="O199">
            <v>1</v>
          </cell>
          <cell r="P199">
            <v>1</v>
          </cell>
          <cell r="Q199">
            <v>1</v>
          </cell>
          <cell r="R199">
            <v>1</v>
          </cell>
          <cell r="S199">
            <v>1</v>
          </cell>
          <cell r="T199">
            <v>1</v>
          </cell>
          <cell r="U199">
            <v>1</v>
          </cell>
          <cell r="V199">
            <v>1</v>
          </cell>
          <cell r="W199">
            <v>1</v>
          </cell>
        </row>
      </sheetData>
      <sheetData sheetId="2">
        <row r="158">
          <cell r="X158">
            <v>105850801.54804738</v>
          </cell>
        </row>
        <row r="159">
          <cell r="X159">
            <v>0</v>
          </cell>
        </row>
        <row r="160">
          <cell r="X160">
            <v>0</v>
          </cell>
        </row>
        <row r="161">
          <cell r="X161">
            <v>0</v>
          </cell>
        </row>
        <row r="164">
          <cell r="N164">
            <v>0.99087217652279147</v>
          </cell>
          <cell r="O164">
            <v>0.98028944232509529</v>
          </cell>
          <cell r="P164">
            <v>0.98513744328874764</v>
          </cell>
          <cell r="Q164">
            <v>1</v>
          </cell>
          <cell r="R164">
            <v>0.96516663838285588</v>
          </cell>
          <cell r="S164">
            <v>0.96645319120564954</v>
          </cell>
          <cell r="T164">
            <v>1</v>
          </cell>
          <cell r="U164">
            <v>1</v>
          </cell>
          <cell r="V164">
            <v>1</v>
          </cell>
          <cell r="W164">
            <v>1</v>
          </cell>
        </row>
        <row r="165">
          <cell r="N165">
            <v>3.3628823337083966E-3</v>
          </cell>
          <cell r="O165">
            <v>1.5425196206029328E-2</v>
          </cell>
          <cell r="P165">
            <v>8.8906656726087264E-3</v>
          </cell>
          <cell r="Q165">
            <v>0</v>
          </cell>
          <cell r="R165">
            <v>0</v>
          </cell>
          <cell r="S165">
            <v>0</v>
          </cell>
          <cell r="T165">
            <v>0</v>
          </cell>
          <cell r="U165">
            <v>0</v>
          </cell>
          <cell r="V165">
            <v>0</v>
          </cell>
          <cell r="W165">
            <v>0</v>
          </cell>
        </row>
        <row r="166">
          <cell r="N166">
            <v>5.7649411435001068E-3</v>
          </cell>
          <cell r="O166">
            <v>4.285361468875276E-3</v>
          </cell>
          <cell r="P166">
            <v>0</v>
          </cell>
          <cell r="Q166">
            <v>0</v>
          </cell>
          <cell r="R166">
            <v>0</v>
          </cell>
          <cell r="S166">
            <v>0</v>
          </cell>
          <cell r="T166">
            <v>0</v>
          </cell>
          <cell r="U166">
            <v>0</v>
          </cell>
          <cell r="V166">
            <v>0</v>
          </cell>
          <cell r="W166">
            <v>0</v>
          </cell>
        </row>
        <row r="167">
          <cell r="N167">
            <v>0</v>
          </cell>
          <cell r="O167">
            <v>0</v>
          </cell>
          <cell r="P167">
            <v>5.9718910386436092E-3</v>
          </cell>
          <cell r="Q167">
            <v>0</v>
          </cell>
          <cell r="R167">
            <v>3.48333616171441E-2</v>
          </cell>
          <cell r="S167">
            <v>3.354680879435043E-2</v>
          </cell>
          <cell r="T167">
            <v>0</v>
          </cell>
          <cell r="U167">
            <v>0</v>
          </cell>
          <cell r="V167">
            <v>0</v>
          </cell>
          <cell r="W167">
            <v>0</v>
          </cell>
        </row>
      </sheetData>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ex Profile"/>
      <sheetName val="Opex Profile"/>
    </sheetNames>
    <sheetDataSet>
      <sheetData sheetId="0">
        <row r="143">
          <cell r="X143">
            <v>138563248.83273038</v>
          </cell>
        </row>
        <row r="144">
          <cell r="X144">
            <v>0</v>
          </cell>
        </row>
        <row r="145">
          <cell r="X145">
            <v>0</v>
          </cell>
        </row>
        <row r="146">
          <cell r="X146">
            <v>0</v>
          </cell>
        </row>
        <row r="149">
          <cell r="N149">
            <v>0.72244198020167716</v>
          </cell>
          <cell r="O149">
            <v>0.68119439806753312</v>
          </cell>
          <cell r="P149">
            <v>0.99117701925189483</v>
          </cell>
          <cell r="Q149">
            <v>0.94937095816102635</v>
          </cell>
          <cell r="R149">
            <v>0.96727104544265663</v>
          </cell>
          <cell r="S149">
            <v>0.99088217839027448</v>
          </cell>
          <cell r="T149">
            <v>1</v>
          </cell>
          <cell r="U149">
            <v>1</v>
          </cell>
          <cell r="V149">
            <v>1</v>
          </cell>
          <cell r="W149">
            <v>1</v>
          </cell>
        </row>
        <row r="150">
          <cell r="N150">
            <v>7.3331244333618789E-2</v>
          </cell>
          <cell r="O150">
            <v>6.1847825813567445E-2</v>
          </cell>
          <cell r="P150">
            <v>8.8229807481051432E-3</v>
          </cell>
          <cell r="Q150">
            <v>2.4252984378948732E-2</v>
          </cell>
          <cell r="R150">
            <v>4.3915630712099982E-3</v>
          </cell>
          <cell r="S150">
            <v>0</v>
          </cell>
          <cell r="T150">
            <v>0</v>
          </cell>
          <cell r="U150">
            <v>0</v>
          </cell>
          <cell r="V150">
            <v>0</v>
          </cell>
          <cell r="W150">
            <v>0</v>
          </cell>
        </row>
        <row r="151">
          <cell r="N151">
            <v>4.9274222489145265E-2</v>
          </cell>
          <cell r="O151">
            <v>6.1190739849063369E-2</v>
          </cell>
          <cell r="P151">
            <v>0</v>
          </cell>
          <cell r="Q151">
            <v>0</v>
          </cell>
          <cell r="R151">
            <v>1.8109907170475458E-2</v>
          </cell>
          <cell r="S151">
            <v>9.1178216097255928E-3</v>
          </cell>
          <cell r="T151">
            <v>0</v>
          </cell>
          <cell r="U151">
            <v>0</v>
          </cell>
          <cell r="V151">
            <v>0</v>
          </cell>
          <cell r="W151">
            <v>0</v>
          </cell>
        </row>
        <row r="152">
          <cell r="N152">
            <v>0.15495255297555888</v>
          </cell>
          <cell r="O152">
            <v>0.19576703626983627</v>
          </cell>
          <cell r="P152">
            <v>0</v>
          </cell>
          <cell r="Q152">
            <v>2.637605746002495E-2</v>
          </cell>
          <cell r="R152">
            <v>1.0227484315657964E-2</v>
          </cell>
          <cell r="S152">
            <v>0</v>
          </cell>
          <cell r="T152">
            <v>0</v>
          </cell>
          <cell r="U152">
            <v>0</v>
          </cell>
          <cell r="V152">
            <v>0</v>
          </cell>
          <cell r="W152">
            <v>0</v>
          </cell>
        </row>
      </sheetData>
      <sheetData sheetId="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ex Summary"/>
      <sheetName val="Capex Summary - Worse Case"/>
      <sheetName val="21_22 Data"/>
      <sheetName val="CAPEX SUMMARY PD4-PS5-PS6"/>
      <sheetName val="Capex Summary - Best Case"/>
      <sheetName val="Bill Impact - All Scenarios"/>
      <sheetName val="Summary_original"/>
      <sheetName val="21_22 Data-Janet"/>
      <sheetName val="Summary_17th Nov"/>
      <sheetName val="Top 10"/>
      <sheetName val="Water Growth Works"/>
      <sheetName val="Water &amp; RW Developer Reimb"/>
      <sheetName val="RW Growth Works"/>
      <sheetName val="Improve Water Quality"/>
      <sheetName val="Water Reticulation Main Renewal"/>
      <sheetName val="Water Main to Meter Renewals"/>
      <sheetName val="Water Reliability Civil"/>
      <sheetName val="Water Reliability M&amp;E"/>
      <sheetName val="Customer Meter Replacements "/>
      <sheetName val="Community Sewerage"/>
      <sheetName val="Sewer Growth Works"/>
      <sheetName val="Sewer Developer Reimb "/>
      <sheetName val="HCB Renewals"/>
      <sheetName val="Sewer Main Renewals"/>
      <sheetName val="Sewer Reliability Civil"/>
      <sheetName val="Sewer Reliability M&amp;E"/>
      <sheetName val="Treatment Plants"/>
      <sheetName val="Facilities"/>
      <sheetName val="Motor Vehicles"/>
      <sheetName val="New Meter Installs"/>
      <sheetName val="Water Distribution Main Renewal"/>
      <sheetName val="Sewer Improve System Capacity"/>
      <sheetName val="Water Conservation (DMA’s)"/>
      <sheetName val="Digital Enablement"/>
      <sheetName val="Hazelwynde"/>
      <sheetName val="Sheet1"/>
      <sheetName val="Energy Generation"/>
      <sheetName val="Unregulated"/>
      <sheetName val="Authority Works"/>
      <sheetName val="Other"/>
      <sheetName val="210903_RBS_FINAL"/>
      <sheetName val="210903_RBS_FINAL_Sent to TLs"/>
      <sheetName val="Change Lo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1">
          <cell r="A1" t="str">
            <v>Service-Purpose</v>
          </cell>
        </row>
        <row r="2">
          <cell r="B2" t="str">
            <v>PD4</v>
          </cell>
          <cell r="G2" t="str">
            <v>PS5</v>
          </cell>
          <cell r="L2" t="str">
            <v>PS6</v>
          </cell>
        </row>
        <row r="3">
          <cell r="B3" t="str">
            <v>18/19</v>
          </cell>
          <cell r="C3" t="str">
            <v>19/20</v>
          </cell>
          <cell r="D3" t="str">
            <v>20/21</v>
          </cell>
          <cell r="E3" t="str">
            <v>21/22</v>
          </cell>
          <cell r="F3" t="str">
            <v>22/23</v>
          </cell>
          <cell r="G3" t="str">
            <v>23/24</v>
          </cell>
          <cell r="H3" t="str">
            <v>24/25</v>
          </cell>
          <cell r="I3" t="str">
            <v>25/26</v>
          </cell>
          <cell r="J3" t="str">
            <v>26/27</v>
          </cell>
          <cell r="K3" t="str">
            <v>27/28</v>
          </cell>
          <cell r="L3" t="str">
            <v>28/29</v>
          </cell>
          <cell r="M3" t="str">
            <v>29/30</v>
          </cell>
          <cell r="N3" t="str">
            <v>30/31</v>
          </cell>
          <cell r="O3" t="str">
            <v>31/32</v>
          </cell>
          <cell r="P3" t="str">
            <v>32/33</v>
          </cell>
        </row>
        <row r="4">
          <cell r="B4" t="str">
            <v>Actual</v>
          </cell>
          <cell r="C4" t="str">
            <v>Actual</v>
          </cell>
          <cell r="D4" t="str">
            <v>Actual</v>
          </cell>
          <cell r="E4" t="str">
            <v>BUDGET</v>
          </cell>
          <cell r="F4" t="str">
            <v>Forecast</v>
          </cell>
          <cell r="G4" t="str">
            <v>Forecast</v>
          </cell>
          <cell r="H4" t="str">
            <v>Forecast</v>
          </cell>
          <cell r="I4" t="str">
            <v>Forecast</v>
          </cell>
          <cell r="J4" t="str">
            <v>Forecast</v>
          </cell>
          <cell r="K4" t="str">
            <v>Forecast</v>
          </cell>
          <cell r="L4" t="str">
            <v>Forecast</v>
          </cell>
          <cell r="M4" t="str">
            <v>Forecast</v>
          </cell>
          <cell r="N4" t="str">
            <v>Forecast</v>
          </cell>
          <cell r="O4" t="str">
            <v>Forecast</v>
          </cell>
          <cell r="P4" t="str">
            <v>Forecast</v>
          </cell>
        </row>
        <row r="6">
          <cell r="A6" t="str">
            <v>Customers</v>
          </cell>
        </row>
        <row r="7">
          <cell r="A7" t="str">
            <v>Regulated Water Services</v>
          </cell>
        </row>
        <row r="8">
          <cell r="A8" t="str">
            <v>Improved Water Quality</v>
          </cell>
        </row>
        <row r="9">
          <cell r="A9" t="str">
            <v>Water Main to Meter Renewals</v>
          </cell>
        </row>
        <row r="10">
          <cell r="A10" t="str">
            <v>Water Reliability Civil</v>
          </cell>
        </row>
        <row r="11">
          <cell r="A11" t="str">
            <v>Water Reliability M&amp;E</v>
          </cell>
        </row>
        <row r="12">
          <cell r="A12" t="str">
            <v>Recycled Water Growth Works</v>
          </cell>
        </row>
        <row r="13">
          <cell r="A13" t="str">
            <v>Water Reticulation Main Renewals</v>
          </cell>
        </row>
        <row r="14">
          <cell r="A14" t="str">
            <v>Water Growth Works</v>
          </cell>
        </row>
        <row r="15">
          <cell r="A15" t="str">
            <v>Water Distribution Main Renewals</v>
          </cell>
        </row>
        <row r="16">
          <cell r="A16" t="str">
            <v>Customer Meter Replacements</v>
          </cell>
        </row>
        <row r="17">
          <cell r="A17" t="str">
            <v>Water and Recycled Water Developer Reimbursement</v>
          </cell>
        </row>
        <row r="18">
          <cell r="A18" t="str">
            <v xml:space="preserve">Water Conservation </v>
          </cell>
        </row>
        <row r="19">
          <cell r="A19" t="str">
            <v>Total</v>
          </cell>
        </row>
        <row r="20">
          <cell r="A20" t="str">
            <v>Regulated Sewerage Services</v>
          </cell>
        </row>
        <row r="21">
          <cell r="A21" t="str">
            <v>Sewer Reliability M&amp;E</v>
          </cell>
        </row>
        <row r="22">
          <cell r="A22" t="str">
            <v>Sewer Reliability Civil</v>
          </cell>
        </row>
        <row r="23">
          <cell r="A23" t="str">
            <v>Community Sewerage</v>
          </cell>
        </row>
        <row r="24">
          <cell r="A24" t="str">
            <v>Sewer Treatment and Recycling</v>
          </cell>
        </row>
        <row r="25">
          <cell r="A25" t="str">
            <v>Sewer Growth Works</v>
          </cell>
        </row>
        <row r="26">
          <cell r="A26" t="str">
            <v>Sewer Main Renewals</v>
          </cell>
        </row>
        <row r="27">
          <cell r="A27" t="str">
            <v>Sewer HCB Renewals</v>
          </cell>
        </row>
        <row r="28">
          <cell r="A28" t="str">
            <v>Sewer Improvement System Capacity</v>
          </cell>
        </row>
        <row r="29">
          <cell r="A29" t="str">
            <v>Sewer Developer Reimbursements</v>
          </cell>
        </row>
        <row r="30">
          <cell r="A30" t="str">
            <v>Total</v>
          </cell>
        </row>
        <row r="31">
          <cell r="A31" t="str">
            <v>Regulated Other</v>
          </cell>
          <cell r="B31"/>
          <cell r="C31"/>
          <cell r="D31"/>
        </row>
        <row r="32">
          <cell r="A32" t="str">
            <v>Motor Vehicles</v>
          </cell>
        </row>
        <row r="33">
          <cell r="A33" t="str">
            <v>Digital Enablement</v>
          </cell>
        </row>
        <row r="34">
          <cell r="A34" t="str">
            <v>Facilities</v>
          </cell>
        </row>
        <row r="35">
          <cell r="A35" t="str">
            <v>Hazelwynde</v>
          </cell>
        </row>
        <row r="36">
          <cell r="A36" t="str">
            <v>Energy generation and emissions</v>
          </cell>
        </row>
        <row r="37">
          <cell r="A37" t="str">
            <v>other</v>
          </cell>
        </row>
        <row r="38">
          <cell r="A38" t="str">
            <v>Total</v>
          </cell>
        </row>
        <row r="39">
          <cell r="A39" t="str">
            <v>Customers TOTAL</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EX"/>
      <sheetName val="OPEX"/>
      <sheetName val="OPEX per property"/>
      <sheetName val="Charge per property"/>
      <sheetName val="OPEX per property YVW calc"/>
    </sheetNames>
    <sheetDataSet>
      <sheetData sheetId="0">
        <row r="48">
          <cell r="D48">
            <v>344.30849999999998</v>
          </cell>
        </row>
        <row r="49">
          <cell r="D49">
            <v>468.108</v>
          </cell>
        </row>
      </sheetData>
      <sheetData sheetId="1"/>
      <sheetData sheetId="2"/>
      <sheetData sheetId="3"/>
      <sheetData sheetId="4"/>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CAPEX $1718"/>
    </sheetNames>
    <sheetDataSet>
      <sheetData sheetId="0">
        <row r="58">
          <cell r="K58">
            <v>214.55967004287294</v>
          </cell>
        </row>
        <row r="59">
          <cell r="K59">
            <v>250.63699616894723</v>
          </cell>
        </row>
        <row r="60">
          <cell r="K60">
            <v>92.610976960000002</v>
          </cell>
        </row>
      </sheetData>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EX"/>
      <sheetName val="OPEX"/>
      <sheetName val="OPEX per property"/>
      <sheetName val="Charge per property"/>
      <sheetName val="OPEX per property YVW calc"/>
    </sheetNames>
    <sheetDataSet>
      <sheetData sheetId="0">
        <row r="44">
          <cell r="D44">
            <v>33.879999999999995</v>
          </cell>
          <cell r="E44">
            <v>39.900000000000006</v>
          </cell>
          <cell r="F44">
            <v>31.509999999999998</v>
          </cell>
          <cell r="G44">
            <v>24.290000000000003</v>
          </cell>
          <cell r="H44">
            <v>31.400000000000002</v>
          </cell>
          <cell r="I44">
            <v>29.92</v>
          </cell>
          <cell r="J44">
            <v>37.01</v>
          </cell>
          <cell r="K44">
            <v>47.648499999999991</v>
          </cell>
        </row>
        <row r="45">
          <cell r="D45">
            <v>35.01</v>
          </cell>
          <cell r="E45">
            <v>45.57</v>
          </cell>
          <cell r="F45">
            <v>37.29</v>
          </cell>
          <cell r="G45">
            <v>37.4</v>
          </cell>
          <cell r="H45">
            <v>50.34</v>
          </cell>
          <cell r="I45">
            <v>55.339999999999989</v>
          </cell>
          <cell r="J45">
            <v>69.37</v>
          </cell>
          <cell r="K45">
            <v>69.037999999999997</v>
          </cell>
        </row>
        <row r="46">
          <cell r="D46">
            <v>10.72</v>
          </cell>
          <cell r="E46">
            <v>9.4</v>
          </cell>
          <cell r="F46">
            <v>9.86</v>
          </cell>
          <cell r="G46">
            <v>10.9</v>
          </cell>
          <cell r="H46">
            <v>11.64</v>
          </cell>
          <cell r="I46">
            <v>21</v>
          </cell>
          <cell r="J46">
            <v>43.980000000000004</v>
          </cell>
          <cell r="K46">
            <v>20</v>
          </cell>
        </row>
      </sheetData>
      <sheetData sheetId="1"/>
      <sheetData sheetId="2"/>
      <sheetData sheetId="3"/>
      <sheetData sheetId="4"/>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CAPEX $1718"/>
    </sheetNames>
    <sheetDataSet>
      <sheetData sheetId="0">
        <row r="58">
          <cell r="F58">
            <v>43.536208038740995</v>
          </cell>
          <cell r="G58">
            <v>40.08424235556091</v>
          </cell>
          <cell r="H58">
            <v>37.453678208134242</v>
          </cell>
          <cell r="I58">
            <v>45.05368412521026</v>
          </cell>
          <cell r="J58">
            <v>48.431857315226516</v>
          </cell>
        </row>
        <row r="59">
          <cell r="F59">
            <v>51.500263319999995</v>
          </cell>
          <cell r="G59">
            <v>49.147439011700001</v>
          </cell>
          <cell r="H59">
            <v>46.158055449999992</v>
          </cell>
          <cell r="I59">
            <v>44.361872194500009</v>
          </cell>
          <cell r="J59">
            <v>59.469366192747259</v>
          </cell>
        </row>
        <row r="60">
          <cell r="F60">
            <v>27.808407000000003</v>
          </cell>
          <cell r="G60">
            <v>16.554030730000001</v>
          </cell>
          <cell r="H60">
            <v>13.398639799999998</v>
          </cell>
          <cell r="I60">
            <v>16.329899430000005</v>
          </cell>
          <cell r="J60">
            <v>18.52</v>
          </cell>
        </row>
      </sheetData>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t Split"/>
      <sheetName val="Demand assumptions"/>
      <sheetName val="Past greenfield growth"/>
      <sheetName val="incremental opex"/>
    </sheetNames>
    <sheetDataSet>
      <sheetData sheetId="0" refreshError="1">
        <row r="25">
          <cell r="F25">
            <v>4790</v>
          </cell>
        </row>
        <row r="67">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row>
      </sheetData>
      <sheetData sheetId="1" refreshError="1">
        <row r="9">
          <cell r="U9">
            <v>43</v>
          </cell>
        </row>
        <row r="17">
          <cell r="T17">
            <v>305</v>
          </cell>
        </row>
        <row r="51">
          <cell r="E51">
            <v>0</v>
          </cell>
        </row>
      </sheetData>
      <sheetData sheetId="2" refreshError="1"/>
      <sheetData sheetId="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6">
          <cell r="P6">
            <v>9330</v>
          </cell>
          <cell r="Q6">
            <v>8804</v>
          </cell>
          <cell r="R6">
            <v>8435.2999999999993</v>
          </cell>
          <cell r="S6">
            <v>7648.1999999999989</v>
          </cell>
          <cell r="T6">
            <v>6885.2999999999984</v>
          </cell>
          <cell r="U6">
            <v>6170.9999999999982</v>
          </cell>
          <cell r="V6">
            <v>5492.699999999998</v>
          </cell>
          <cell r="W6">
            <v>4855.0999999999976</v>
          </cell>
          <cell r="X6">
            <v>4699.8999999999978</v>
          </cell>
          <cell r="Y6">
            <v>4512.2999999999984</v>
          </cell>
          <cell r="Z6">
            <v>4777.4999999999982</v>
          </cell>
          <cell r="AA6">
            <v>5062.199999999998</v>
          </cell>
          <cell r="AB6">
            <v>5362.4999999999982</v>
          </cell>
          <cell r="AC6">
            <v>5327.3999999999978</v>
          </cell>
          <cell r="AD6">
            <v>5288.3999999999978</v>
          </cell>
          <cell r="AE6">
            <v>5245.4999999999982</v>
          </cell>
          <cell r="AF6">
            <v>5202.5999999999976</v>
          </cell>
          <cell r="AG6">
            <v>5159.699999999998</v>
          </cell>
          <cell r="AH6">
            <v>5397.5999999999976</v>
          </cell>
          <cell r="AI6">
            <v>5651.0999999999976</v>
          </cell>
        </row>
        <row r="7">
          <cell r="P7">
            <v>1866</v>
          </cell>
          <cell r="Q7">
            <v>2356</v>
          </cell>
          <cell r="R7">
            <v>2895.7000000000003</v>
          </cell>
          <cell r="S7">
            <v>3277.8</v>
          </cell>
          <cell r="T7">
            <v>3617.7</v>
          </cell>
          <cell r="U7">
            <v>3926.9999999999995</v>
          </cell>
          <cell r="V7">
            <v>4200.2999999999993</v>
          </cell>
          <cell r="W7">
            <v>4441.8999999999996</v>
          </cell>
          <cell r="X7">
            <v>5137.0999999999995</v>
          </cell>
          <cell r="Y7">
            <v>5900.6999999999989</v>
          </cell>
          <cell r="Z7">
            <v>6247.4999999999991</v>
          </cell>
          <cell r="AA7">
            <v>6619.7999999999984</v>
          </cell>
          <cell r="AB7">
            <v>7012.4999999999982</v>
          </cell>
          <cell r="AC7">
            <v>6966.5999999999985</v>
          </cell>
          <cell r="AD7">
            <v>6915.5999999999985</v>
          </cell>
          <cell r="AE7">
            <v>6859.4999999999982</v>
          </cell>
          <cell r="AF7">
            <v>6803.3999999999987</v>
          </cell>
          <cell r="AG7">
            <v>6747.2999999999984</v>
          </cell>
          <cell r="AH7">
            <v>7058.3999999999987</v>
          </cell>
          <cell r="AI7">
            <v>7389.8999999999987</v>
          </cell>
        </row>
        <row r="8">
          <cell r="P8">
            <v>622</v>
          </cell>
          <cell r="Q8">
            <v>620</v>
          </cell>
          <cell r="R8">
            <v>629.5</v>
          </cell>
          <cell r="S8">
            <v>607</v>
          </cell>
          <cell r="T8">
            <v>583.5</v>
          </cell>
          <cell r="U8">
            <v>561</v>
          </cell>
          <cell r="V8">
            <v>538.5</v>
          </cell>
          <cell r="W8">
            <v>516.5</v>
          </cell>
          <cell r="X8">
            <v>546.5</v>
          </cell>
          <cell r="Y8">
            <v>578.5</v>
          </cell>
          <cell r="Z8">
            <v>612.5</v>
          </cell>
          <cell r="AA8">
            <v>649</v>
          </cell>
          <cell r="AB8">
            <v>687.5</v>
          </cell>
          <cell r="AC8">
            <v>683</v>
          </cell>
          <cell r="AD8">
            <v>678</v>
          </cell>
          <cell r="AE8">
            <v>672.5</v>
          </cell>
          <cell r="AF8">
            <v>667</v>
          </cell>
          <cell r="AG8">
            <v>661.5</v>
          </cell>
          <cell r="AH8">
            <v>692</v>
          </cell>
          <cell r="AI8">
            <v>724.5</v>
          </cell>
        </row>
        <row r="9">
          <cell r="P9">
            <v>622</v>
          </cell>
          <cell r="Q9">
            <v>620</v>
          </cell>
          <cell r="R9">
            <v>629.5</v>
          </cell>
          <cell r="S9">
            <v>607</v>
          </cell>
          <cell r="T9">
            <v>583.5</v>
          </cell>
          <cell r="U9">
            <v>561</v>
          </cell>
          <cell r="V9">
            <v>538.5</v>
          </cell>
          <cell r="W9">
            <v>516.5</v>
          </cell>
          <cell r="X9">
            <v>546.5</v>
          </cell>
          <cell r="Y9">
            <v>578.5</v>
          </cell>
          <cell r="Z9">
            <v>612.5</v>
          </cell>
          <cell r="AA9">
            <v>649</v>
          </cell>
          <cell r="AB9">
            <v>687.5</v>
          </cell>
          <cell r="AC9">
            <v>683</v>
          </cell>
          <cell r="AD9">
            <v>678</v>
          </cell>
          <cell r="AE9">
            <v>672.5</v>
          </cell>
          <cell r="AF9">
            <v>667</v>
          </cell>
          <cell r="AG9">
            <v>661.5</v>
          </cell>
          <cell r="AH9">
            <v>692</v>
          </cell>
          <cell r="AI9">
            <v>724.5</v>
          </cell>
        </row>
        <row r="12">
          <cell r="P12">
            <v>9465</v>
          </cell>
          <cell r="Q12">
            <v>8946</v>
          </cell>
          <cell r="R12">
            <v>8582.6999999999989</v>
          </cell>
          <cell r="S12">
            <v>7824.5999999999985</v>
          </cell>
          <cell r="T12">
            <v>7079.9999999999982</v>
          </cell>
          <cell r="U12">
            <v>6379.9999999999982</v>
          </cell>
          <cell r="V12">
            <v>5711.9999999999973</v>
          </cell>
          <cell r="W12">
            <v>5080.699999999998</v>
          </cell>
          <cell r="X12">
            <v>4901.9999999999982</v>
          </cell>
          <cell r="Y12">
            <v>4695.5999999999985</v>
          </cell>
          <cell r="Z12">
            <v>4952.9999999999982</v>
          </cell>
          <cell r="AA12">
            <v>5237.699999999998</v>
          </cell>
          <cell r="AB12">
            <v>5537.9999999999982</v>
          </cell>
          <cell r="AC12">
            <v>5514.5999999999976</v>
          </cell>
          <cell r="AD12">
            <v>5487.2999999999975</v>
          </cell>
          <cell r="AE12">
            <v>5459.9999999999982</v>
          </cell>
          <cell r="AF12">
            <v>5428.7999999999975</v>
          </cell>
          <cell r="AG12">
            <v>5401.4999999999982</v>
          </cell>
          <cell r="AH12">
            <v>5643.2999999999975</v>
          </cell>
          <cell r="AI12">
            <v>5896.7999999999975</v>
          </cell>
        </row>
        <row r="13">
          <cell r="P13">
            <v>1893</v>
          </cell>
          <cell r="Q13">
            <v>2394</v>
          </cell>
          <cell r="R13">
            <v>2946.3</v>
          </cell>
          <cell r="S13">
            <v>3353.4</v>
          </cell>
          <cell r="T13">
            <v>3720</v>
          </cell>
          <cell r="U13">
            <v>4059.9999999999995</v>
          </cell>
          <cell r="V13">
            <v>4367.9999999999991</v>
          </cell>
          <cell r="W13">
            <v>4648.2999999999993</v>
          </cell>
          <cell r="X13">
            <v>5357.9999999999991</v>
          </cell>
          <cell r="Y13">
            <v>6140.3999999999987</v>
          </cell>
          <cell r="Z13">
            <v>6476.9999999999991</v>
          </cell>
          <cell r="AA13">
            <v>6849.2999999999984</v>
          </cell>
          <cell r="AB13">
            <v>7241.9999999999982</v>
          </cell>
          <cell r="AC13">
            <v>7211.3999999999987</v>
          </cell>
          <cell r="AD13">
            <v>7175.6999999999989</v>
          </cell>
          <cell r="AE13">
            <v>7139.9999999999982</v>
          </cell>
          <cell r="AF13">
            <v>7099.1999999999989</v>
          </cell>
          <cell r="AG13">
            <v>7063.4999999999982</v>
          </cell>
          <cell r="AH13">
            <v>7379.6999999999989</v>
          </cell>
          <cell r="AI13">
            <v>7711.1999999999989</v>
          </cell>
        </row>
        <row r="14">
          <cell r="P14">
            <v>631</v>
          </cell>
          <cell r="Q14">
            <v>630</v>
          </cell>
          <cell r="R14">
            <v>640.5</v>
          </cell>
          <cell r="S14">
            <v>621</v>
          </cell>
          <cell r="T14">
            <v>600</v>
          </cell>
          <cell r="U14">
            <v>580</v>
          </cell>
          <cell r="V14">
            <v>560</v>
          </cell>
          <cell r="W14">
            <v>540.5</v>
          </cell>
          <cell r="X14">
            <v>570</v>
          </cell>
          <cell r="Y14">
            <v>602</v>
          </cell>
          <cell r="Z14">
            <v>635</v>
          </cell>
          <cell r="AA14">
            <v>671.5</v>
          </cell>
          <cell r="AB14">
            <v>710</v>
          </cell>
          <cell r="AC14">
            <v>707</v>
          </cell>
          <cell r="AD14">
            <v>703.5</v>
          </cell>
          <cell r="AE14">
            <v>700</v>
          </cell>
          <cell r="AF14">
            <v>696</v>
          </cell>
          <cell r="AG14">
            <v>692.5</v>
          </cell>
          <cell r="AH14">
            <v>723.5</v>
          </cell>
          <cell r="AI14">
            <v>756</v>
          </cell>
        </row>
        <row r="15">
          <cell r="P15">
            <v>631</v>
          </cell>
          <cell r="Q15">
            <v>630</v>
          </cell>
          <cell r="R15">
            <v>640.5</v>
          </cell>
          <cell r="S15">
            <v>621</v>
          </cell>
          <cell r="T15">
            <v>600</v>
          </cell>
          <cell r="U15">
            <v>580</v>
          </cell>
          <cell r="V15">
            <v>560</v>
          </cell>
          <cell r="W15">
            <v>540.5</v>
          </cell>
          <cell r="X15">
            <v>570</v>
          </cell>
          <cell r="Y15">
            <v>602</v>
          </cell>
          <cell r="Z15">
            <v>635</v>
          </cell>
          <cell r="AA15">
            <v>671.5</v>
          </cell>
          <cell r="AB15">
            <v>710</v>
          </cell>
          <cell r="AC15">
            <v>707</v>
          </cell>
          <cell r="AD15">
            <v>703.5</v>
          </cell>
          <cell r="AE15">
            <v>700</v>
          </cell>
          <cell r="AF15">
            <v>696</v>
          </cell>
          <cell r="AG15">
            <v>692.5</v>
          </cell>
          <cell r="AH15">
            <v>723.5</v>
          </cell>
          <cell r="AI15">
            <v>756</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Explanatory Notes"/>
      <sheetName val="SA2Geomedia extract"/>
      <sheetName val="YVW-Population"/>
      <sheetName val="YVW-OPD"/>
      <sheetName val="YVW-SPD"/>
      <sheetName val="YVW-Forecast"/>
      <sheetName val="1_ERP"/>
      <sheetName val="2_SPD"/>
      <sheetName val="3_OPD"/>
      <sheetName val="4_Hholds by Type"/>
      <sheetName val="5_Dwellings_Hholds"/>
      <sheetName val="6_ERP Age Sex 2016"/>
      <sheetName val="7_ERP Age Sex 2021"/>
      <sheetName val="8_ERP Age Sex 2026"/>
      <sheetName val="9_ERP Age Sex 2031"/>
      <sheetName val="10_ERP Age Sex 2036"/>
      <sheetName val="11_ERP Age Sex 2041"/>
      <sheetName val="12_ERP Age Sex 2046"/>
      <sheetName val="13_ERP Age Sex 2051"/>
      <sheetName val="14_ERP Age Sex 2056"/>
      <sheetName val="15_ERP Age Sex 2061"/>
    </sheetNames>
    <sheetDataSet>
      <sheetData sheetId="0" refreshError="1"/>
      <sheetData sheetId="1" refreshError="1"/>
      <sheetData sheetId="2" refreshError="1"/>
      <sheetData sheetId="3" refreshError="1"/>
      <sheetData sheetId="4" refreshError="1"/>
      <sheetData sheetId="5" refreshError="1"/>
      <sheetData sheetId="6" refreshError="1">
        <row r="13">
          <cell r="E13">
            <v>2.2822039851614351E-2</v>
          </cell>
          <cell r="F13">
            <v>2.3648960739030001E-2</v>
          </cell>
          <cell r="G13">
            <v>2.0768517321016144E-2</v>
          </cell>
          <cell r="H13">
            <v>1.8238911911316377E-2</v>
          </cell>
          <cell r="I13">
            <v>1.8084306246392432E-2</v>
          </cell>
          <cell r="J13">
            <v>1.7931011126293903E-2</v>
          </cell>
          <cell r="K13">
            <v>1.7779015441934068E-2</v>
          </cell>
          <cell r="L13">
            <v>1.7628308178394524E-2</v>
          </cell>
          <cell r="M13">
            <v>1.7478878414126958E-2</v>
          </cell>
          <cell r="N13">
            <v>1.6721533267595658E-2</v>
          </cell>
          <cell r="O13">
            <v>1.5997003251268075E-2</v>
          </cell>
          <cell r="P13">
            <v>1.5303866513066306E-2</v>
          </cell>
          <cell r="Q13">
            <v>1.4640762808570826E-2</v>
          </cell>
          <cell r="R13">
            <v>1.4006390831612321E-2</v>
          </cell>
          <cell r="S13">
            <v>1.4344224978470809E-2</v>
          </cell>
          <cell r="T13">
            <v>1.4690207684951523E-2</v>
          </cell>
          <cell r="U13">
            <v>1.5044535494312552E-2</v>
          </cell>
          <cell r="V13">
            <v>1.5407409690435369E-2</v>
          </cell>
          <cell r="W13">
            <v>1.577903641216867E-2</v>
          </cell>
          <cell r="X13">
            <v>1.5421534756082544E-2</v>
          </cell>
          <cell r="Y13">
            <v>1.5072132925027923E-2</v>
          </cell>
          <cell r="Z13">
            <v>1.4730647403307959E-2</v>
          </cell>
          <cell r="AA13">
            <v>1.4396898833094755E-2</v>
          </cell>
          <cell r="AB13">
            <v>1.4070711920225567E-2</v>
          </cell>
          <cell r="AC13">
            <v>1.4080207160218339E-2</v>
          </cell>
          <cell r="AD13">
            <v>1.4089708807817423E-2</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1_ERP"/>
      <sheetName val="2_SPD"/>
      <sheetName val="3_OPD"/>
      <sheetName val="13_Hholds by Type"/>
      <sheetName val="16_Dwellings_Hholds"/>
      <sheetName val="YVW-ERP"/>
      <sheetName val="YVW-SPD"/>
      <sheetName val="YVW HholdSize"/>
      <sheetName val="Recycle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2">
          <cell r="P2">
            <v>727060</v>
          </cell>
        </row>
        <row r="3">
          <cell r="Q3">
            <v>1.9863272063090281E-2</v>
          </cell>
          <cell r="R3">
            <v>1.9246320831821602E-2</v>
          </cell>
          <cell r="S3">
            <v>1.8648532043707051E-2</v>
          </cell>
          <cell r="T3">
            <v>1.8069310515190739E-2</v>
          </cell>
          <cell r="U3">
            <v>1.7000000000000001E-2</v>
          </cell>
          <cell r="V3">
            <v>1.636180954308666E-2</v>
          </cell>
          <cell r="W3">
            <v>1.5747577148484806E-2</v>
          </cell>
          <cell r="X3">
            <v>1.515640341579836E-2</v>
          </cell>
          <cell r="Y3">
            <v>1.4587422708675343E-2</v>
          </cell>
          <cell r="Z3">
            <v>1.4652673841108955E-2</v>
          </cell>
          <cell r="AA3">
            <v>1.4718216848973127E-2</v>
          </cell>
          <cell r="AB3">
            <v>1.4784053037858489E-2</v>
          </cell>
          <cell r="AC3">
            <v>1.4850183719195716E-2</v>
          </cell>
          <cell r="AD3">
            <v>1.4916610210281659E-2</v>
          </cell>
          <cell r="AE3">
            <v>1.4538422799924372E-2</v>
          </cell>
          <cell r="AF3">
            <v>1.4466450409825735E-2</v>
          </cell>
          <cell r="AG3">
            <v>1.4394478019727101E-2</v>
          </cell>
          <cell r="AH3">
            <v>1.4322505629628465E-2</v>
          </cell>
          <cell r="AI3">
            <v>1.4250533239529829E-2</v>
          </cell>
          <cell r="AJ3">
            <v>1.3925428209727732E-2</v>
          </cell>
          <cell r="AK3">
            <v>1.3856490446313235E-2</v>
          </cell>
          <cell r="AL3">
            <v>1.3787552682898743E-2</v>
          </cell>
          <cell r="AM3">
            <v>1.371861491948425E-2</v>
          </cell>
          <cell r="AN3">
            <v>1.3649677156069755E-2</v>
          </cell>
          <cell r="AO3">
            <v>1.3621611681913089E-2</v>
          </cell>
          <cell r="AP3">
            <v>1.3554177960715497E-2</v>
          </cell>
        </row>
      </sheetData>
      <sheetData sheetId="8" refreshError="1"/>
      <sheetData sheetId="9"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RP_HHs 5 Year"/>
      <sheetName val="ERP SY"/>
      <sheetName val="SA2Geomedia extract"/>
      <sheetName val="YVW-ERP"/>
      <sheetName val="YVW-HHs"/>
      <sheetName val="YVW-Forecast"/>
    </sheetNames>
    <sheetDataSet>
      <sheetData sheetId="0" refreshError="1"/>
      <sheetData sheetId="1" refreshError="1"/>
      <sheetData sheetId="2" refreshError="1"/>
      <sheetData sheetId="3" refreshError="1"/>
      <sheetData sheetId="4" refreshError="1"/>
      <sheetData sheetId="5" refreshError="1">
        <row r="13">
          <cell r="E13">
            <v>2.2822039851614351E-2</v>
          </cell>
          <cell r="F13">
            <v>2.2397093469577294E-2</v>
          </cell>
          <cell r="G13">
            <v>2.1980059589173765E-2</v>
          </cell>
          <cell r="H13">
            <v>2.1570790879623349E-2</v>
          </cell>
          <cell r="I13">
            <v>2.0734147405241727E-2</v>
          </cell>
          <cell r="J13">
            <v>1.9929953937312422E-2</v>
          </cell>
          <cell r="K13">
            <v>1.9156951871721496E-2</v>
          </cell>
          <cell r="L13">
            <v>1.8413931420502953E-2</v>
          </cell>
          <cell r="M13">
            <v>1.7699729718458384E-2</v>
          </cell>
          <cell r="N13">
            <v>1.7313874765815231E-2</v>
          </cell>
          <cell r="O13">
            <v>1.6936431469555958E-2</v>
          </cell>
          <cell r="P13">
            <v>1.6567216455169925E-2</v>
          </cell>
          <cell r="Q13">
            <v>1.6206050345719567E-2</v>
          </cell>
          <cell r="R13">
            <v>1.6078736507131319E-2</v>
          </cell>
          <cell r="S13">
            <v>1.5364619870020357E-2</v>
          </cell>
          <cell r="T13">
            <v>1.5132120589337772E-2</v>
          </cell>
          <cell r="U13">
            <v>1.4906552834278219E-2</v>
          </cell>
          <cell r="V13">
            <v>1.4687611182181648E-2</v>
          </cell>
          <cell r="W13">
            <v>1.4475007894370284E-2</v>
          </cell>
          <cell r="X13">
            <v>1.4348740417543082E-2</v>
          </cell>
          <cell r="Y13">
            <v>1.4145766486225009E-2</v>
          </cell>
          <cell r="Z13">
            <v>1.3948454900361007E-2</v>
          </cell>
          <cell r="AA13">
            <v>1.3756571976562215E-2</v>
          </cell>
          <cell r="AB13">
            <v>1.3569896715678542E-2</v>
          </cell>
          <cell r="AC13">
            <v>1.4394129839421455E-2</v>
          </cell>
          <cell r="AD13">
            <v>1.4189878880411344E-2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2Geomedia extract"/>
      <sheetName val="YVW-Population"/>
      <sheetName val="YVW-OPD"/>
      <sheetName val="YVW-SPD"/>
      <sheetName val="YVW-Forecast"/>
      <sheetName val="DETAILS_CAVEATS"/>
      <sheetName val="1_Population"/>
      <sheetName val="2a_Households"/>
      <sheetName val="2b_Dwellings"/>
      <sheetName val="2c_Households_by_Type"/>
      <sheetName val="2d_Dwellings_by_Occupancy"/>
      <sheetName val="3.01_AgeSex2016"/>
      <sheetName val="3.02_AgeSex2021"/>
      <sheetName val="3.03_AgeSex2026"/>
      <sheetName val="3.04_AgeSex2031"/>
      <sheetName val="3.05_AgeSex2036"/>
      <sheetName val="3.06_AgeSex2041"/>
      <sheetName val="3.07_AgeSex2046"/>
      <sheetName val="3.08_AgeSex2051"/>
      <sheetName val="3.09_AgeSex2056"/>
      <sheetName val="3.10_AgeSex2061"/>
    </sheetNames>
    <sheetDataSet>
      <sheetData sheetId="0" refreshError="1"/>
      <sheetData sheetId="1" refreshError="1"/>
      <sheetData sheetId="2" refreshError="1"/>
      <sheetData sheetId="3" refreshError="1"/>
      <sheetData sheetId="4" refreshError="1">
        <row r="4">
          <cell r="C4">
            <v>1845367.9121067461</v>
          </cell>
        </row>
        <row r="13">
          <cell r="E13">
            <v>2.2822039851614351E-2</v>
          </cell>
          <cell r="F13">
            <v>2.3648960739030001E-2</v>
          </cell>
          <cell r="G13">
            <v>2.1840492081366625E-2</v>
          </cell>
          <cell r="H13">
            <v>1.996062911499985E-2</v>
          </cell>
          <cell r="I13">
            <v>1.0993111105263157E-2</v>
          </cell>
          <cell r="J13">
            <v>1.0993111105263157E-2</v>
          </cell>
          <cell r="K13">
            <v>1.5275E-2</v>
          </cell>
          <cell r="L13">
            <v>1.4999999999999999E-2</v>
          </cell>
          <cell r="M13">
            <v>1.4999999999999999E-2</v>
          </cell>
          <cell r="N13">
            <v>1.4249999999999999E-2</v>
          </cell>
          <cell r="O13">
            <v>1.3509011136554326E-2</v>
          </cell>
          <cell r="P13">
            <v>1.2806553114915707E-2</v>
          </cell>
          <cell r="Q13">
            <v>1.2140622361422512E-2</v>
          </cell>
          <cell r="R13">
            <v>1.1509319486677699E-2</v>
          </cell>
          <cell r="S13">
            <v>1.203535961136603E-2</v>
          </cell>
          <cell r="T13">
            <v>1.2585442705154524E-2</v>
          </cell>
          <cell r="U13">
            <v>1.3160667665895309E-2</v>
          </cell>
          <cell r="V13">
            <v>1.3762183617204405E-2</v>
          </cell>
          <cell r="W13">
            <v>1.4391192204059409E-2</v>
          </cell>
          <cell r="X13">
            <v>1.4085909616201235E-2</v>
          </cell>
          <cell r="Y13">
            <v>1.378710303513443E-2</v>
          </cell>
          <cell r="Z13">
            <v>1.3494635084324498E-2</v>
          </cell>
          <cell r="AA13">
            <v>1.3208371301426635E-2</v>
          </cell>
          <cell r="AB13">
            <v>1.292818007646657E-2</v>
          </cell>
          <cell r="AC13">
            <v>1.3353820411604926E-2</v>
          </cell>
          <cell r="AD13">
            <v>1.3793474296510158E-2</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Contents"/>
      <sheetName val="Population Forecast"/>
      <sheetName val="Occupied Dwelling Forecast"/>
      <sheetName val="Total Dwelling Forecast"/>
      <sheetName val="HHS Summary"/>
      <sheetName val="Population Growth"/>
      <sheetName val="Occupied Dwelling Growth"/>
      <sheetName val="Total Dwelling Growth"/>
    </sheetNames>
    <sheetDataSet>
      <sheetData sheetId="0" refreshError="1">
        <row r="29">
          <cell r="H29">
            <v>753810.22540628409</v>
          </cell>
        </row>
        <row r="49">
          <cell r="J49">
            <v>2.3905787277886059E-2</v>
          </cell>
          <cell r="K49">
            <v>2.3256425792499646E-2</v>
          </cell>
          <cell r="L49">
            <v>2.2892840929948921E-2</v>
          </cell>
          <cell r="M49">
            <v>2.2481629540359371E-2</v>
          </cell>
          <cell r="N49">
            <v>2.0665876737067324E-2</v>
          </cell>
          <cell r="O49">
            <v>1.9988198452603578E-2</v>
          </cell>
          <cell r="P49">
            <v>1.9573282573323025E-2</v>
          </cell>
          <cell r="Q49">
            <v>1.917954655702081E-2</v>
          </cell>
          <cell r="R49">
            <v>1.8925289846709603E-2</v>
          </cell>
          <cell r="S49">
            <v>1.8343284324663367E-2</v>
          </cell>
          <cell r="T49">
            <v>1.757881045045151E-2</v>
          </cell>
          <cell r="U49">
            <v>1.743439815980663E-2</v>
          </cell>
          <cell r="V49">
            <v>1.724839737465178E-2</v>
          </cell>
          <cell r="W49">
            <v>1.7007255637069507E-2</v>
          </cell>
          <cell r="X49">
            <v>1.7862738659350397E-2</v>
          </cell>
          <cell r="Y49">
            <v>1.7093948856500729E-2</v>
          </cell>
          <cell r="Z49">
            <v>1.7114294993705759E-2</v>
          </cell>
          <cell r="AA49">
            <v>1.6883601143775406E-2</v>
          </cell>
          <cell r="AB49">
            <v>1.6635923265911234E-2</v>
          </cell>
          <cell r="AC49">
            <v>1.6738856064110408E-2</v>
          </cell>
          <cell r="AD49">
            <v>1.6085659514103678E-2</v>
          </cell>
          <cell r="AE49">
            <v>1.6102917525955496E-2</v>
          </cell>
          <cell r="AF49">
            <v>1.5829203846660089E-2</v>
          </cell>
          <cell r="AG49">
            <v>1.5731034666694121E-2</v>
          </cell>
          <cell r="AH49">
            <v>1.5994525390524705E-2</v>
          </cell>
          <cell r="AI49">
            <v>1.543976234068456E-2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7">
          <cell r="C7">
            <v>10010.24</v>
          </cell>
          <cell r="D7">
            <v>91459.32</v>
          </cell>
          <cell r="E7">
            <v>16971.2</v>
          </cell>
          <cell r="I7">
            <v>31234.521508666166</v>
          </cell>
          <cell r="J7">
            <v>97766.714060101702</v>
          </cell>
          <cell r="K7">
            <v>10668.347313800001</v>
          </cell>
          <cell r="O7">
            <v>37049.116580484886</v>
          </cell>
          <cell r="P7">
            <v>102345.22186659811</v>
          </cell>
          <cell r="Q7">
            <v>6240.8648303999998</v>
          </cell>
          <cell r="U7">
            <v>25488.490509488882</v>
          </cell>
          <cell r="V7">
            <v>109743.32920521764</v>
          </cell>
          <cell r="W7">
            <v>5631.0463372000004</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CAPEX"/>
      <sheetName val="OPEX"/>
      <sheetName val="Past Capex"/>
    </sheetNames>
    <sheetDataSet>
      <sheetData sheetId="0"/>
      <sheetData sheetId="1"/>
      <sheetData sheetId="2"/>
      <sheetData sheetId="3">
        <row r="60">
          <cell r="Q60">
            <v>12671147.500000002</v>
          </cell>
          <cell r="R60">
            <v>28510081.875</v>
          </cell>
          <cell r="S60">
            <v>6335573.7500000009</v>
          </cell>
          <cell r="T60">
            <v>6335573.7500000009</v>
          </cell>
          <cell r="U60">
            <v>6335573.7500000009</v>
          </cell>
          <cell r="V60">
            <v>3167786.8750000005</v>
          </cell>
        </row>
        <row r="72">
          <cell r="Q72">
            <v>15083296.875000002</v>
          </cell>
          <cell r="R72">
            <v>7541648.4375000009</v>
          </cell>
          <cell r="S72">
            <v>0</v>
          </cell>
          <cell r="T72">
            <v>4524989.0625</v>
          </cell>
          <cell r="U72">
            <v>0</v>
          </cell>
          <cell r="V72">
            <v>3016659.3749999995</v>
          </cell>
        </row>
        <row r="84">
          <cell r="Q84">
            <v>17565390</v>
          </cell>
          <cell r="R84">
            <v>17565390</v>
          </cell>
          <cell r="S84">
            <v>8782695</v>
          </cell>
          <cell r="T84">
            <v>17565390</v>
          </cell>
          <cell r="U84">
            <v>17565390</v>
          </cell>
          <cell r="V84">
            <v>8782695.0000000075</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M18" dT="2021-07-28T11:37:35.29" personId="{00000000-0000-0000-0000-000000000000}" id="{CDA72921-6E9F-4101-B5DE-660EFA4E46CF}">
    <text>736390</text>
  </threadedComment>
  <threadedComment ref="M19" dT="2021-07-28T11:37:45.64" personId="{00000000-0000-0000-0000-000000000000}" id="{835C032C-0C26-4E8F-892E-0A0E512CCAB4}">
    <text>713,900</text>
  </threadedComment>
  <threadedComment ref="M42" dT="2021-07-28T11:36:40.86" personId="{00000000-0000-0000-0000-000000000000}" id="{F7177673-3D2B-485A-9054-7BC3ABF036F1}">
    <text>44855</text>
  </threadedComment>
  <threadedComment ref="M43" dT="2021-07-28T11:37:11.24" personId="{00000000-0000-0000-0000-000000000000}" id="{C4805025-D54B-4E79-9E78-177690A0446C}">
    <text>42494</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 Id="rId4" Type="http://schemas.microsoft.com/office/2017/10/relationships/threadedComment" Target="../threadedComments/threadedComment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M80"/>
  <sheetViews>
    <sheetView tabSelected="1" zoomScaleNormal="100" workbookViewId="0">
      <selection activeCell="A11" sqref="A11"/>
    </sheetView>
  </sheetViews>
  <sheetFormatPr defaultRowHeight="15.75" x14ac:dyDescent="0.25"/>
  <cols>
    <col min="1" max="1" width="39.625" customWidth="1"/>
    <col min="2" max="2" width="14.75" customWidth="1"/>
    <col min="3" max="3" width="13.75" customWidth="1"/>
    <col min="4" max="6" width="12.75" customWidth="1"/>
    <col min="7" max="7" width="13.625" customWidth="1"/>
    <col min="8" max="8" width="15.375" customWidth="1"/>
    <col min="9" max="12" width="10.625" customWidth="1"/>
  </cols>
  <sheetData>
    <row r="1" spans="1:13" s="42" customFormat="1" ht="21" x14ac:dyDescent="0.35"/>
    <row r="2" spans="1:13" ht="17.25" customHeight="1" x14ac:dyDescent="0.25">
      <c r="A2" s="215" t="s">
        <v>334</v>
      </c>
      <c r="B2" s="213"/>
      <c r="C2" s="226"/>
      <c r="D2" s="213"/>
      <c r="E2" s="213"/>
    </row>
    <row r="3" spans="1:13" s="52" customFormat="1" ht="63" customHeight="1" x14ac:dyDescent="0.25">
      <c r="C3" s="52" t="s">
        <v>339</v>
      </c>
      <c r="D3" s="52" t="s">
        <v>349</v>
      </c>
    </row>
    <row r="4" spans="1:13" x14ac:dyDescent="0.25">
      <c r="A4" s="1" t="s">
        <v>227</v>
      </c>
      <c r="B4" t="s">
        <v>176</v>
      </c>
      <c r="C4" s="196">
        <f ca="1">'20 New UGB Water'!$G$220</f>
        <v>11815.466967771375</v>
      </c>
      <c r="D4" s="25">
        <v>2985</v>
      </c>
      <c r="E4" s="25"/>
      <c r="F4" s="28"/>
      <c r="G4" s="25"/>
    </row>
    <row r="5" spans="1:13" x14ac:dyDescent="0.25">
      <c r="A5" s="1"/>
      <c r="B5" t="s">
        <v>175</v>
      </c>
      <c r="C5" s="196">
        <f ca="1">'20 New UGB Sewer'!$G$220</f>
        <v>11517.047021077384</v>
      </c>
      <c r="D5" s="25">
        <v>2985</v>
      </c>
      <c r="E5" s="25"/>
      <c r="F5" s="28"/>
      <c r="G5" s="25"/>
    </row>
    <row r="6" spans="1:13" x14ac:dyDescent="0.25">
      <c r="A6" s="1"/>
      <c r="B6" t="s">
        <v>113</v>
      </c>
      <c r="C6" s="196">
        <f ca="1">'20 New UGB RW'!$G$220</f>
        <v>16534.945140988184</v>
      </c>
      <c r="D6" s="25">
        <v>775</v>
      </c>
      <c r="E6" s="25"/>
      <c r="F6" s="28"/>
      <c r="G6" s="25"/>
    </row>
    <row r="7" spans="1:13" s="1" customFormat="1" x14ac:dyDescent="0.25">
      <c r="B7" s="1" t="s">
        <v>17</v>
      </c>
      <c r="C7" s="197">
        <f t="shared" ref="C7" ca="1" si="0">SUM(C4:C6)</f>
        <v>39867.459129836949</v>
      </c>
      <c r="D7" s="25">
        <f>SUM(D4:D6)</f>
        <v>6745</v>
      </c>
      <c r="E7" s="25"/>
      <c r="F7" s="271"/>
      <c r="G7" s="25"/>
    </row>
    <row r="8" spans="1:13" x14ac:dyDescent="0.25">
      <c r="B8" s="1"/>
      <c r="C8" s="46"/>
      <c r="D8" s="47"/>
      <c r="K8" s="51"/>
    </row>
    <row r="9" spans="1:13" x14ac:dyDescent="0.25">
      <c r="A9" s="204"/>
      <c r="B9" s="1"/>
      <c r="C9" s="214"/>
      <c r="D9" s="214"/>
      <c r="E9" s="214"/>
      <c r="F9" s="214"/>
      <c r="G9" s="214"/>
      <c r="H9" s="227"/>
      <c r="I9" s="214"/>
      <c r="J9" s="214"/>
      <c r="K9" s="214"/>
      <c r="L9" s="214"/>
      <c r="M9" s="214"/>
    </row>
    <row r="10" spans="1:13" x14ac:dyDescent="0.25">
      <c r="A10" s="202" t="s">
        <v>482</v>
      </c>
      <c r="B10" s="213"/>
      <c r="C10" s="200"/>
      <c r="D10" s="200"/>
      <c r="E10" s="200"/>
      <c r="F10" s="200"/>
      <c r="G10" s="200"/>
      <c r="H10" s="227"/>
      <c r="I10" s="214"/>
      <c r="J10" s="214"/>
      <c r="K10" s="214"/>
      <c r="L10" s="214"/>
      <c r="M10" s="214"/>
    </row>
    <row r="11" spans="1:13" x14ac:dyDescent="0.25">
      <c r="B11" s="69" t="s">
        <v>353</v>
      </c>
      <c r="C11" s="2">
        <f ca="1">'Infill+EN+G - water'!G218</f>
        <v>1969.0282224998796</v>
      </c>
      <c r="D11" s="25">
        <v>775</v>
      </c>
      <c r="E11" s="200"/>
      <c r="F11" s="200"/>
      <c r="G11" s="200"/>
      <c r="H11" s="227"/>
      <c r="I11" s="214"/>
      <c r="J11" s="214"/>
      <c r="K11" s="214"/>
      <c r="L11" s="214"/>
      <c r="M11" s="214"/>
    </row>
    <row r="12" spans="1:13" x14ac:dyDescent="0.25">
      <c r="B12" s="69" t="s">
        <v>308</v>
      </c>
      <c r="C12" s="2">
        <f ca="1">'Infill+EN+G - sewerage'!G220</f>
        <v>3608.1999781813183</v>
      </c>
      <c r="D12" s="25">
        <v>775</v>
      </c>
      <c r="E12" s="200"/>
      <c r="F12" s="200"/>
      <c r="G12" s="200"/>
      <c r="H12" s="227"/>
      <c r="I12" s="214"/>
      <c r="J12" s="214"/>
      <c r="K12" s="214"/>
      <c r="L12" s="214"/>
      <c r="M12" s="214"/>
    </row>
    <row r="13" spans="1:13" x14ac:dyDescent="0.25">
      <c r="B13" s="69" t="s">
        <v>310</v>
      </c>
      <c r="C13" s="2">
        <f ca="1">'Infill+EN+G - recycled water'!G218</f>
        <v>5926.810145610687</v>
      </c>
      <c r="D13" s="25">
        <v>775</v>
      </c>
      <c r="E13" s="200"/>
      <c r="F13" s="200"/>
      <c r="G13" s="200"/>
      <c r="H13" s="227"/>
      <c r="I13" s="214"/>
      <c r="J13" s="214"/>
      <c r="K13" s="214"/>
      <c r="L13" s="214"/>
      <c r="M13" s="214"/>
    </row>
    <row r="14" spans="1:13" x14ac:dyDescent="0.25">
      <c r="B14" s="208" t="s">
        <v>17</v>
      </c>
      <c r="C14" s="292">
        <f ca="1">SUM(C11:C13)</f>
        <v>11504.038346291885</v>
      </c>
      <c r="D14" s="225">
        <f>SUM(D11:D13)</f>
        <v>2325</v>
      </c>
      <c r="E14" s="214"/>
      <c r="F14" s="214"/>
      <c r="G14" s="214"/>
      <c r="H14" s="227"/>
      <c r="I14" s="214"/>
      <c r="J14" s="214"/>
      <c r="K14" s="214"/>
      <c r="L14" s="214"/>
      <c r="M14" s="214"/>
    </row>
    <row r="15" spans="1:13" x14ac:dyDescent="0.25">
      <c r="B15" s="69" t="s">
        <v>405</v>
      </c>
      <c r="D15" s="200"/>
      <c r="E15" s="200"/>
      <c r="F15" s="200"/>
      <c r="G15" s="200"/>
      <c r="H15" s="227"/>
      <c r="I15" s="214"/>
      <c r="J15" s="214"/>
      <c r="K15" s="214"/>
      <c r="L15" s="214"/>
      <c r="M15" s="214"/>
    </row>
    <row r="16" spans="1:13" x14ac:dyDescent="0.25">
      <c r="A16" s="69"/>
      <c r="C16" s="200"/>
      <c r="D16" s="200"/>
      <c r="E16" s="200"/>
      <c r="F16" s="200"/>
      <c r="G16" s="200"/>
      <c r="H16" s="227"/>
      <c r="I16" s="214"/>
      <c r="J16" s="214"/>
      <c r="K16" s="214"/>
      <c r="L16" s="214"/>
      <c r="M16" s="214"/>
    </row>
    <row r="17" spans="1:13" x14ac:dyDescent="0.25">
      <c r="A17" s="69"/>
      <c r="C17" s="200"/>
      <c r="D17" s="200"/>
      <c r="E17" s="200"/>
      <c r="F17" s="200"/>
      <c r="G17" s="200"/>
      <c r="H17" s="227"/>
      <c r="I17" s="214"/>
      <c r="J17" s="214"/>
      <c r="K17" s="214"/>
      <c r="L17" s="214"/>
      <c r="M17" s="214"/>
    </row>
    <row r="18" spans="1:13" x14ac:dyDescent="0.25">
      <c r="A18" s="69"/>
      <c r="B18" s="1"/>
      <c r="C18" s="214"/>
      <c r="D18" s="214"/>
      <c r="E18" s="214"/>
      <c r="F18" s="214"/>
      <c r="G18" s="214"/>
      <c r="H18" s="227"/>
      <c r="I18" s="214"/>
      <c r="J18" s="214"/>
      <c r="K18" s="214"/>
      <c r="L18" s="214"/>
      <c r="M18" s="214"/>
    </row>
    <row r="19" spans="1:13" x14ac:dyDescent="0.25">
      <c r="A19" s="204"/>
      <c r="C19" s="200"/>
      <c r="D19" s="200"/>
      <c r="E19" s="200"/>
      <c r="F19" s="200"/>
      <c r="G19" s="200"/>
      <c r="H19" s="227"/>
      <c r="I19" s="214"/>
      <c r="J19" s="214"/>
      <c r="K19" s="214"/>
      <c r="L19" s="214"/>
      <c r="M19" s="214"/>
    </row>
    <row r="20" spans="1:13" x14ac:dyDescent="0.25">
      <c r="A20" s="69"/>
      <c r="C20" s="200"/>
      <c r="D20" s="200"/>
      <c r="E20" s="200"/>
      <c r="F20" s="200"/>
      <c r="G20" s="200"/>
      <c r="H20" s="227"/>
      <c r="I20" s="214"/>
      <c r="J20" s="214"/>
      <c r="K20" s="214"/>
      <c r="L20" s="214"/>
      <c r="M20" s="214"/>
    </row>
    <row r="21" spans="1:13" x14ac:dyDescent="0.25">
      <c r="C21" s="200"/>
      <c r="D21" s="200"/>
      <c r="E21" s="200"/>
      <c r="F21" s="200"/>
      <c r="G21" s="200"/>
      <c r="H21" s="227"/>
      <c r="I21" s="214"/>
      <c r="J21" s="214"/>
      <c r="K21" s="214"/>
      <c r="L21" s="214"/>
      <c r="M21" s="214"/>
    </row>
    <row r="22" spans="1:13" x14ac:dyDescent="0.25">
      <c r="B22" s="1"/>
      <c r="C22" s="214"/>
      <c r="D22" s="214"/>
      <c r="E22" s="214"/>
      <c r="F22" s="214"/>
      <c r="G22" s="200"/>
      <c r="H22" s="227"/>
      <c r="I22" s="214"/>
      <c r="J22" s="214"/>
      <c r="K22" s="214"/>
      <c r="L22" s="214"/>
      <c r="M22" s="214"/>
    </row>
    <row r="23" spans="1:13" x14ac:dyDescent="0.25">
      <c r="A23" s="293"/>
      <c r="B23" s="1"/>
      <c r="C23" s="214"/>
      <c r="D23" s="214"/>
      <c r="E23" s="214"/>
      <c r="F23" s="214"/>
      <c r="G23" s="214"/>
      <c r="H23" s="227"/>
      <c r="I23" s="214"/>
      <c r="J23" s="214"/>
      <c r="K23" s="214"/>
      <c r="L23" s="214"/>
      <c r="M23" s="214"/>
    </row>
    <row r="24" spans="1:13" x14ac:dyDescent="0.25">
      <c r="A24" s="293"/>
      <c r="B24" s="48"/>
      <c r="C24" s="30"/>
      <c r="D24" s="30"/>
      <c r="E24" s="30"/>
      <c r="F24" s="30"/>
      <c r="G24" s="29"/>
      <c r="H24" s="48"/>
      <c r="I24" s="214"/>
      <c r="J24" s="214"/>
      <c r="K24" s="214"/>
      <c r="L24" s="214"/>
      <c r="M24" s="214"/>
    </row>
    <row r="25" spans="1:13" x14ac:dyDescent="0.25">
      <c r="B25" s="1"/>
      <c r="C25" s="46"/>
      <c r="D25" s="197"/>
      <c r="G25" s="293"/>
      <c r="H25" s="48"/>
      <c r="I25" s="214"/>
      <c r="J25" s="214"/>
      <c r="K25" s="214"/>
      <c r="L25" s="214"/>
      <c r="M25" s="214"/>
    </row>
    <row r="26" spans="1:13" x14ac:dyDescent="0.25">
      <c r="A26" s="1"/>
      <c r="B26" s="1"/>
      <c r="C26" s="46"/>
      <c r="D26" s="197"/>
      <c r="G26" s="293"/>
      <c r="H26" s="48"/>
      <c r="I26" s="214"/>
      <c r="J26" s="214"/>
      <c r="K26" s="214"/>
      <c r="L26" s="214"/>
      <c r="M26" s="214"/>
    </row>
    <row r="27" spans="1:13" x14ac:dyDescent="0.25">
      <c r="B27" s="1"/>
      <c r="C27" s="52"/>
      <c r="D27" s="197"/>
      <c r="G27" s="293"/>
      <c r="H27" s="293"/>
    </row>
    <row r="28" spans="1:13" x14ac:dyDescent="0.25">
      <c r="A28" s="1"/>
      <c r="C28" s="25"/>
      <c r="D28" s="197"/>
      <c r="G28" s="293"/>
      <c r="H28" s="293"/>
    </row>
    <row r="29" spans="1:13" x14ac:dyDescent="0.25">
      <c r="C29" s="25"/>
      <c r="D29" s="197"/>
      <c r="G29" s="293"/>
      <c r="H29" s="293"/>
    </row>
    <row r="30" spans="1:13" x14ac:dyDescent="0.25">
      <c r="C30" s="2"/>
      <c r="D30" s="216"/>
      <c r="G30" s="293"/>
      <c r="H30" s="293"/>
    </row>
    <row r="31" spans="1:13" x14ac:dyDescent="0.25">
      <c r="B31" s="1"/>
      <c r="C31" s="46"/>
      <c r="D31" s="216"/>
      <c r="G31" s="293"/>
      <c r="H31" s="293"/>
    </row>
    <row r="32" spans="1:13" x14ac:dyDescent="0.25">
      <c r="B32" s="1"/>
      <c r="C32" s="25"/>
      <c r="D32" s="216"/>
      <c r="G32" s="293"/>
      <c r="H32" s="293"/>
    </row>
    <row r="33" spans="1:9" x14ac:dyDescent="0.25">
      <c r="C33" s="52"/>
      <c r="D33" s="294"/>
      <c r="G33" s="293"/>
      <c r="H33" s="293"/>
    </row>
    <row r="34" spans="1:9" x14ac:dyDescent="0.25">
      <c r="A34" s="1"/>
      <c r="C34" s="25"/>
      <c r="D34" s="216"/>
      <c r="G34" s="293"/>
      <c r="H34" s="293"/>
    </row>
    <row r="35" spans="1:9" x14ac:dyDescent="0.25">
      <c r="C35" s="25"/>
      <c r="D35" s="216"/>
      <c r="G35" s="293"/>
      <c r="H35" s="293"/>
    </row>
    <row r="36" spans="1:9" x14ac:dyDescent="0.25">
      <c r="C36" s="25"/>
      <c r="D36" s="216"/>
      <c r="G36" s="293"/>
      <c r="H36" s="293"/>
    </row>
    <row r="37" spans="1:9" x14ac:dyDescent="0.25">
      <c r="A37" s="1"/>
      <c r="B37" s="1"/>
      <c r="C37" s="46"/>
      <c r="D37" s="46"/>
      <c r="E37" s="25"/>
      <c r="F37" s="25"/>
      <c r="G37" s="25"/>
      <c r="H37" s="25"/>
      <c r="I37" s="25"/>
    </row>
    <row r="38" spans="1:9" x14ac:dyDescent="0.25">
      <c r="A38" s="1"/>
      <c r="B38" s="1"/>
      <c r="C38" s="46"/>
      <c r="D38" s="197"/>
      <c r="E38" s="25"/>
      <c r="F38" s="25"/>
      <c r="G38" s="25"/>
      <c r="H38" s="25"/>
      <c r="I38" s="25"/>
    </row>
    <row r="39" spans="1:9" x14ac:dyDescent="0.25">
      <c r="A39" s="1"/>
      <c r="B39" s="1"/>
      <c r="C39" s="52"/>
      <c r="D39" s="197"/>
      <c r="G39" s="293"/>
      <c r="H39" s="293"/>
    </row>
    <row r="40" spans="1:9" x14ac:dyDescent="0.25">
      <c r="A40" s="52"/>
      <c r="C40" s="25"/>
      <c r="D40" s="197"/>
      <c r="G40" s="293"/>
      <c r="H40" s="293"/>
    </row>
    <row r="41" spans="1:9" x14ac:dyDescent="0.25">
      <c r="C41" s="25"/>
      <c r="D41" s="197"/>
      <c r="G41" s="293"/>
      <c r="H41" s="293"/>
    </row>
    <row r="42" spans="1:9" x14ac:dyDescent="0.25">
      <c r="C42" s="25"/>
      <c r="D42" s="197"/>
      <c r="G42" s="293"/>
      <c r="H42" s="293"/>
    </row>
    <row r="43" spans="1:9" x14ac:dyDescent="0.25">
      <c r="B43" s="1"/>
      <c r="C43" s="46"/>
      <c r="D43" s="197"/>
      <c r="G43" s="293"/>
      <c r="H43" s="293"/>
    </row>
    <row r="44" spans="1:9" s="1" customFormat="1" x14ac:dyDescent="0.25">
      <c r="A44"/>
      <c r="C44" s="46"/>
      <c r="D44" s="197"/>
      <c r="E44"/>
      <c r="G44" s="48"/>
      <c r="H44" s="48"/>
    </row>
    <row r="45" spans="1:9" x14ac:dyDescent="0.25">
      <c r="A45" s="1"/>
      <c r="B45" s="1"/>
      <c r="C45" s="52"/>
      <c r="D45" s="198"/>
      <c r="E45" s="1"/>
    </row>
    <row r="46" spans="1:9" x14ac:dyDescent="0.25">
      <c r="A46" s="52"/>
      <c r="C46" s="25"/>
      <c r="D46" s="25"/>
      <c r="G46" s="293"/>
      <c r="H46" s="293"/>
    </row>
    <row r="47" spans="1:9" x14ac:dyDescent="0.25">
      <c r="C47" s="25"/>
      <c r="D47" s="2"/>
      <c r="G47" s="293"/>
      <c r="H47" s="293"/>
    </row>
    <row r="48" spans="1:9" x14ac:dyDescent="0.25">
      <c r="C48" s="25"/>
      <c r="G48" s="293"/>
      <c r="H48" s="293"/>
    </row>
    <row r="49" spans="1:8" x14ac:dyDescent="0.25">
      <c r="B49" s="1"/>
      <c r="C49" s="46"/>
      <c r="G49" s="293"/>
      <c r="H49" s="293"/>
    </row>
    <row r="50" spans="1:8" x14ac:dyDescent="0.25">
      <c r="G50" s="293"/>
      <c r="H50" s="293"/>
    </row>
    <row r="51" spans="1:8" x14ac:dyDescent="0.25">
      <c r="A51" s="1"/>
      <c r="B51" s="1"/>
      <c r="C51" s="52"/>
      <c r="D51" s="52"/>
    </row>
    <row r="52" spans="1:8" x14ac:dyDescent="0.25">
      <c r="A52" s="52"/>
      <c r="C52" s="25"/>
      <c r="D52" s="2"/>
    </row>
    <row r="53" spans="1:8" x14ac:dyDescent="0.25">
      <c r="C53" s="25"/>
      <c r="D53" s="2"/>
    </row>
    <row r="54" spans="1:8" x14ac:dyDescent="0.25">
      <c r="C54" s="25"/>
    </row>
    <row r="55" spans="1:8" x14ac:dyDescent="0.25">
      <c r="B55" s="1"/>
      <c r="C55" s="46"/>
      <c r="D55" s="2"/>
    </row>
    <row r="59" spans="1:8" x14ac:dyDescent="0.25">
      <c r="B59" s="222"/>
      <c r="C59" s="222"/>
      <c r="D59" s="222"/>
      <c r="E59" s="222"/>
      <c r="F59" s="222"/>
      <c r="G59" s="2"/>
    </row>
    <row r="60" spans="1:8" x14ac:dyDescent="0.25">
      <c r="B60" s="222"/>
      <c r="C60" s="222"/>
      <c r="D60" s="222"/>
      <c r="E60" s="222"/>
      <c r="F60" s="222"/>
      <c r="G60" s="2"/>
    </row>
    <row r="61" spans="1:8" x14ac:dyDescent="0.25">
      <c r="B61" s="222"/>
      <c r="C61" s="222"/>
      <c r="D61" s="222"/>
      <c r="E61" s="222"/>
      <c r="F61" s="222"/>
      <c r="G61" s="2"/>
    </row>
    <row r="62" spans="1:8" x14ac:dyDescent="0.25">
      <c r="B62" s="221"/>
      <c r="C62" s="2"/>
      <c r="D62" s="2"/>
      <c r="E62" s="2"/>
      <c r="F62" s="2"/>
    </row>
    <row r="63" spans="1:8" x14ac:dyDescent="0.25">
      <c r="B63" s="222"/>
      <c r="C63" s="222"/>
      <c r="D63" s="222"/>
      <c r="E63" s="222"/>
      <c r="F63" s="222"/>
    </row>
    <row r="64" spans="1:8" x14ac:dyDescent="0.25">
      <c r="B64" s="222"/>
      <c r="C64" s="222"/>
      <c r="D64" s="222"/>
      <c r="E64" s="222"/>
      <c r="F64" s="222"/>
    </row>
    <row r="65" spans="1:12" x14ac:dyDescent="0.25">
      <c r="B65" s="222"/>
      <c r="C65" s="222"/>
      <c r="D65" s="222"/>
      <c r="E65" s="222"/>
      <c r="F65" s="295"/>
    </row>
    <row r="66" spans="1:12" x14ac:dyDescent="0.25">
      <c r="C66" s="2"/>
      <c r="D66" s="224"/>
      <c r="E66" s="224"/>
      <c r="F66" s="224"/>
    </row>
    <row r="67" spans="1:12" x14ac:dyDescent="0.25">
      <c r="B67" s="222"/>
      <c r="C67" s="222"/>
      <c r="D67" s="222"/>
      <c r="E67" s="222"/>
      <c r="F67" s="222"/>
    </row>
    <row r="68" spans="1:12" x14ac:dyDescent="0.25">
      <c r="C68" s="224"/>
      <c r="D68" s="224"/>
      <c r="E68" s="224"/>
      <c r="F68" s="224"/>
    </row>
    <row r="73" spans="1:12" x14ac:dyDescent="0.25">
      <c r="C73" s="224"/>
      <c r="D73" s="224"/>
      <c r="E73" s="224"/>
      <c r="F73" s="224"/>
    </row>
    <row r="74" spans="1:12" x14ac:dyDescent="0.25">
      <c r="C74" s="296"/>
      <c r="D74" s="296"/>
      <c r="E74" s="296"/>
      <c r="F74" s="296"/>
      <c r="G74" s="296"/>
      <c r="H74" s="296"/>
      <c r="I74" s="270"/>
      <c r="J74" s="270"/>
      <c r="K74" s="270"/>
    </row>
    <row r="75" spans="1:12" x14ac:dyDescent="0.25">
      <c r="C75" s="224"/>
      <c r="D75" s="224"/>
      <c r="E75" s="224"/>
    </row>
    <row r="76" spans="1:12" x14ac:dyDescent="0.25">
      <c r="A76" s="33"/>
      <c r="C76" s="53"/>
    </row>
    <row r="78" spans="1:12" x14ac:dyDescent="0.25">
      <c r="C78" s="54"/>
    </row>
    <row r="79" spans="1:12" x14ac:dyDescent="0.25">
      <c r="B79" s="25"/>
      <c r="C79" s="51"/>
      <c r="D79" s="51"/>
      <c r="E79" s="51"/>
      <c r="F79" s="51"/>
      <c r="G79" s="51"/>
      <c r="H79" s="51"/>
      <c r="I79" s="51"/>
      <c r="J79" s="51"/>
      <c r="K79" s="51"/>
      <c r="L79" s="51"/>
    </row>
    <row r="80" spans="1:12" x14ac:dyDescent="0.25">
      <c r="D80" s="45"/>
      <c r="E80" s="45"/>
      <c r="F80" s="45"/>
      <c r="G80" s="45"/>
      <c r="H80" s="45"/>
      <c r="I80" s="45"/>
      <c r="J80" s="45"/>
      <c r="K80" s="45"/>
      <c r="L80" s="45"/>
    </row>
  </sheetData>
  <phoneticPr fontId="45" type="noConversion"/>
  <pageMargins left="0.23622047244094491" right="0.23622047244094491" top="0.74803149606299213" bottom="0.74803149606299213" header="0.31496062992125984" footer="0.31496062992125984"/>
  <pageSetup paperSize="8" scale="60"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50F082-9ED2-4DAB-8990-8CE9369F70CC}">
  <dimension ref="C2:AT70"/>
  <sheetViews>
    <sheetView workbookViewId="0">
      <selection activeCell="F5" sqref="F5"/>
    </sheetView>
  </sheetViews>
  <sheetFormatPr defaultColWidth="7.5" defaultRowHeight="12.75" x14ac:dyDescent="0.2"/>
  <cols>
    <col min="1" max="2" width="7.5" style="33"/>
    <col min="3" max="3" width="33.25" style="33" bestFit="1" customWidth="1"/>
    <col min="4" max="4" width="7.25" style="33" customWidth="1"/>
    <col min="5" max="5" width="7.875" style="33" bestFit="1" customWidth="1"/>
    <col min="6" max="16" width="7.5" style="33"/>
    <col min="17" max="17" width="9.5" style="33" bestFit="1" customWidth="1"/>
    <col min="18" max="18" width="10.875" style="33" bestFit="1" customWidth="1"/>
    <col min="19" max="20" width="9.25" style="33" bestFit="1" customWidth="1"/>
    <col min="21" max="21" width="11.25" style="33" bestFit="1" customWidth="1"/>
    <col min="22" max="22" width="11.75" style="33" bestFit="1" customWidth="1"/>
    <col min="23" max="16384" width="7.5" style="33"/>
  </cols>
  <sheetData>
    <row r="2" spans="3:46" x14ac:dyDescent="0.2">
      <c r="C2" s="33" t="s">
        <v>369</v>
      </c>
    </row>
    <row r="3" spans="3:46" x14ac:dyDescent="0.2">
      <c r="D3" s="35"/>
      <c r="E3" s="31" t="s">
        <v>177</v>
      </c>
      <c r="F3" s="31" t="s">
        <v>178</v>
      </c>
      <c r="G3" s="31" t="s">
        <v>179</v>
      </c>
      <c r="H3" s="31" t="s">
        <v>180</v>
      </c>
      <c r="I3" s="31" t="s">
        <v>181</v>
      </c>
      <c r="J3" s="31" t="s">
        <v>182</v>
      </c>
      <c r="K3" s="31" t="s">
        <v>189</v>
      </c>
      <c r="L3" s="31" t="s">
        <v>190</v>
      </c>
      <c r="M3" s="31" t="s">
        <v>191</v>
      </c>
      <c r="N3" s="31" t="s">
        <v>192</v>
      </c>
      <c r="O3" s="31" t="s">
        <v>193</v>
      </c>
      <c r="P3" s="31" t="s">
        <v>194</v>
      </c>
      <c r="Q3" s="31" t="s">
        <v>195</v>
      </c>
      <c r="R3" s="31" t="s">
        <v>183</v>
      </c>
      <c r="S3" s="37" t="s">
        <v>196</v>
      </c>
      <c r="T3" s="37" t="s">
        <v>197</v>
      </c>
      <c r="U3" s="37" t="s">
        <v>198</v>
      </c>
      <c r="V3" s="37" t="s">
        <v>199</v>
      </c>
    </row>
    <row r="4" spans="3:46" x14ac:dyDescent="0.2">
      <c r="C4" s="33" t="s">
        <v>377</v>
      </c>
      <c r="D4" s="35"/>
      <c r="E4" s="34">
        <f>'Historical growth capex'!E89/1000000</f>
        <v>8.1560507510863847</v>
      </c>
      <c r="F4" s="34">
        <f>'Historical growth capex'!F89/1000000</f>
        <v>6.7589467600087669</v>
      </c>
      <c r="G4" s="34">
        <f>'Historical growth capex'!G89/1000000</f>
        <v>4.2664541061964858</v>
      </c>
      <c r="H4" s="34">
        <f>'Historical growth capex'!H89/1000000</f>
        <v>6.8967913213982062</v>
      </c>
      <c r="I4" s="34">
        <f>'Historical growth capex'!I89/1000000</f>
        <v>4.968742000434335</v>
      </c>
      <c r="J4" s="34">
        <f>'Historical growth capex'!J89/1000000</f>
        <v>4.6230305607263409</v>
      </c>
      <c r="K4" s="34">
        <f>'Historical growth capex'!K89/1000000</f>
        <v>2.5530931362165576</v>
      </c>
      <c r="L4" s="34">
        <f>'Historical growth capex'!L89/1000000</f>
        <v>2.6609742631679536</v>
      </c>
      <c r="M4" s="34">
        <f>'Historical growth capex'!M89/1000000</f>
        <v>3.6380778685704174</v>
      </c>
      <c r="N4" s="34">
        <f>'Historical growth capex'!N89/1000000</f>
        <v>3.8112104147929391</v>
      </c>
      <c r="O4" s="34">
        <f>'Historical growth capex'!O89/1000000</f>
        <v>8.954403021352217</v>
      </c>
      <c r="P4" s="34">
        <f>'Historical growth capex'!P89/1000000</f>
        <v>5.8044275354444324</v>
      </c>
      <c r="Q4" s="34">
        <f>'Historical growth capex'!Q89/1000000</f>
        <v>10.997123251174955</v>
      </c>
      <c r="R4" s="34">
        <f>'Historical growth capex'!R89/1000000</f>
        <v>18.399444983319395</v>
      </c>
      <c r="S4" s="34">
        <f>'Historical growth capex'!S89/1000000</f>
        <v>24.142938895063484</v>
      </c>
      <c r="T4" s="34">
        <f>'Historical growth capex'!T89/1000000</f>
        <v>34.1811413039771</v>
      </c>
      <c r="U4" s="34">
        <f>'Historical growth capex'!U89/1000000</f>
        <v>4.7735179096363911</v>
      </c>
      <c r="V4" s="34">
        <f>'Historical growth capex'!V89/1000000</f>
        <v>8.129742085871035</v>
      </c>
    </row>
    <row r="5" spans="3:46" x14ac:dyDescent="0.2">
      <c r="C5" s="33" t="s">
        <v>374</v>
      </c>
      <c r="E5" s="36">
        <f>SUM([15]CAPEX!D$45,0.5*[15]CAPEX!D$46)/'Historical growth capex'!E77*'Renewal capex'!$H54</f>
        <v>6.8217787375583443</v>
      </c>
      <c r="F5" s="36">
        <f>SUM([15]CAPEX!E$45,0.5*[15]CAPEX!E$46)/'Historical growth capex'!F77*'Renewal capex'!$H54</f>
        <v>8.2486335706296838</v>
      </c>
      <c r="G5" s="36">
        <f>SUM([15]CAPEX!F$45,0.5*[15]CAPEX!F$46)/'Historical growth capex'!G77*'Renewal capex'!$H54</f>
        <v>6.7630023184017825</v>
      </c>
      <c r="H5" s="36">
        <f>SUM([15]CAPEX!G$45,0.5*[15]CAPEX!G$46)/'Historical growth capex'!H77*'Renewal capex'!$H54</f>
        <v>6.5846224196214802</v>
      </c>
      <c r="I5" s="36">
        <f>SUM([15]CAPEX!H$45,0.5*[15]CAPEX!H$46)/'Historical growth capex'!I77*'Renewal capex'!$H54</f>
        <v>8.4222277194730815</v>
      </c>
      <c r="J5" s="36">
        <f>SUM([15]CAPEX!I$45,0.5*[15]CAPEX!I$46)/'Historical growth capex'!J77*'Renewal capex'!$H54</f>
        <v>9.5967595113510136</v>
      </c>
      <c r="K5" s="36">
        <f>SUM([15]CAPEX!J$45,0.5*[15]CAPEX!J$46)/'Historical growth capex'!K77*'Renewal capex'!$H54</f>
        <v>12.88695883897957</v>
      </c>
      <c r="L5" s="36">
        <f>SUM([15]CAPEX!K$45,0.5*[15]CAPEX!K$46)/'Historical growth capex'!L77*'Renewal capex'!$H54</f>
        <v>13.224414351750728</v>
      </c>
      <c r="M5" s="36">
        <f>SUM('[16]Summary CAPEX $1718'!F$59,0.5*'[16]Summary CAPEX $1718'!F$60)/'Historical growth capex'!M77*'Renewal capex'!$H54</f>
        <v>10.67612001497363</v>
      </c>
      <c r="N5" s="36">
        <f>SUM('[16]Summary CAPEX $1718'!G$59,0.5*'[16]Summary CAPEX $1718'!G$60)/'Historical growth capex'!N77*'Renewal capex'!$H54</f>
        <v>9.1067258093335877</v>
      </c>
      <c r="O5" s="36">
        <f>SUM('[16]Summary CAPEX $1718'!H$59,0.5*'[16]Summary CAPEX $1718'!H$60)/'Historical growth capex'!O77*'Renewal capex'!$H54</f>
        <v>8.2725678121788189</v>
      </c>
      <c r="P5" s="36">
        <f>SUM('[16]Summary CAPEX $1718'!I$59,0.5*'[16]Summary CAPEX $1718'!I$60)/'Historical growth capex'!P77*'Renewal capex'!$H54</f>
        <v>8.1144643854168805</v>
      </c>
      <c r="Q5" s="36">
        <f>SUM('[16]Summary CAPEX $1718'!J$59,0.5*'[16]Summary CAPEX $1718'!J$60)/'Historical growth capex'!Q77*'Renewal capex'!$H54</f>
        <v>10.396473602415567</v>
      </c>
      <c r="R5" s="36">
        <f>'Renewal capex'!C58/'Historical growth capex'!R77/1000000</f>
        <v>11.517795524321834</v>
      </c>
      <c r="S5" s="36">
        <f>'Renewal capex'!D58/'Historical growth capex'!S77/1000000</f>
        <v>10.55436097296654</v>
      </c>
      <c r="T5" s="36">
        <f>'Renewal capex'!E58/'Historical growth capex'!T77/1000000</f>
        <v>11.841000322969609</v>
      </c>
      <c r="U5" s="36">
        <f>'Renewal capex'!F58/'Historical growth capex'!U77/1000000</f>
        <v>13.102033037998002</v>
      </c>
      <c r="V5" s="36">
        <f>'Renewal capex'!G58/'Historical growth capex'!V77/1000000</f>
        <v>13.8690335664114</v>
      </c>
      <c r="W5" s="36"/>
      <c r="X5" s="36"/>
      <c r="Y5" s="36"/>
      <c r="Z5" s="36"/>
      <c r="AA5" s="36"/>
      <c r="AB5" s="36"/>
      <c r="AC5" s="36"/>
      <c r="AD5" s="36"/>
      <c r="AE5" s="36"/>
      <c r="AF5" s="36"/>
      <c r="AG5" s="36"/>
      <c r="AH5" s="36"/>
      <c r="AI5" s="36"/>
      <c r="AJ5" s="36"/>
      <c r="AK5" s="36"/>
      <c r="AL5" s="36"/>
      <c r="AM5" s="36"/>
      <c r="AN5" s="36"/>
      <c r="AO5" s="36"/>
      <c r="AP5" s="36"/>
      <c r="AQ5" s="36"/>
      <c r="AR5" s="36"/>
      <c r="AS5" s="36"/>
      <c r="AT5" s="36"/>
    </row>
    <row r="6" spans="3:46" x14ac:dyDescent="0.2">
      <c r="C6" s="33" t="s">
        <v>376</v>
      </c>
      <c r="E6" s="34">
        <f>D70/1000</f>
        <v>7.954966087499999</v>
      </c>
      <c r="F6" s="34">
        <f t="shared" ref="F6:V6" si="0">E70/1000</f>
        <v>1.74121413375</v>
      </c>
      <c r="G6" s="34">
        <f t="shared" si="0"/>
        <v>1.39822426125</v>
      </c>
      <c r="H6" s="34">
        <f t="shared" si="0"/>
        <v>3.4187451037499996</v>
      </c>
      <c r="I6" s="34">
        <f t="shared" si="0"/>
        <v>2.7695143687499999</v>
      </c>
      <c r="J6" s="34">
        <f t="shared" si="0"/>
        <v>4.8525547424999997</v>
      </c>
      <c r="K6" s="34">
        <f t="shared" si="0"/>
        <v>7.4517382087499993</v>
      </c>
      <c r="L6" s="34">
        <f t="shared" si="0"/>
        <v>8.310047141250001</v>
      </c>
      <c r="M6" s="34">
        <f t="shared" si="0"/>
        <v>5.8766309737499993</v>
      </c>
      <c r="N6" s="34">
        <f t="shared" si="0"/>
        <v>5.2735196662500003</v>
      </c>
      <c r="O6" s="34">
        <f t="shared" si="0"/>
        <v>5.6684111137500004</v>
      </c>
      <c r="P6" s="34">
        <f t="shared" si="0"/>
        <v>7.4683219237500005</v>
      </c>
      <c r="Q6" s="34">
        <f t="shared" si="0"/>
        <v>8.1732875287500022</v>
      </c>
      <c r="R6" s="34">
        <f t="shared" si="0"/>
        <v>7.5000609000000003</v>
      </c>
      <c r="S6" s="34">
        <f t="shared" si="0"/>
        <v>8.9361234824999993</v>
      </c>
      <c r="T6" s="34">
        <f t="shared" si="0"/>
        <v>10.61305864875</v>
      </c>
      <c r="U6" s="34">
        <f t="shared" si="0"/>
        <v>11.578030713750001</v>
      </c>
      <c r="V6" s="34">
        <f t="shared" si="0"/>
        <v>10.25273713875</v>
      </c>
    </row>
    <row r="7" spans="3:46" x14ac:dyDescent="0.2">
      <c r="C7" s="33" t="s">
        <v>375</v>
      </c>
      <c r="E7" s="36">
        <f>E5+E4-E6</f>
        <v>7.0228634011447308</v>
      </c>
      <c r="F7" s="36">
        <f t="shared" ref="F7:V7" si="1">F5+F4-F6</f>
        <v>13.26636619688845</v>
      </c>
      <c r="G7" s="36">
        <f t="shared" si="1"/>
        <v>9.6312321633482689</v>
      </c>
      <c r="H7" s="36">
        <f t="shared" si="1"/>
        <v>10.062668637269686</v>
      </c>
      <c r="I7" s="36">
        <f t="shared" si="1"/>
        <v>10.621455351157417</v>
      </c>
      <c r="J7" s="36">
        <f t="shared" si="1"/>
        <v>9.3672353295773547</v>
      </c>
      <c r="K7" s="36">
        <f t="shared" si="1"/>
        <v>7.9883137664461277</v>
      </c>
      <c r="L7" s="36">
        <f t="shared" si="1"/>
        <v>7.575341473668681</v>
      </c>
      <c r="M7" s="36">
        <f t="shared" si="1"/>
        <v>8.4375669097940467</v>
      </c>
      <c r="N7" s="36">
        <f t="shared" si="1"/>
        <v>7.644416557876526</v>
      </c>
      <c r="O7" s="36">
        <f t="shared" si="1"/>
        <v>11.558559719781034</v>
      </c>
      <c r="P7" s="36">
        <f t="shared" si="1"/>
        <v>6.4505699971113124</v>
      </c>
      <c r="Q7" s="36">
        <f t="shared" si="1"/>
        <v>13.220309324840521</v>
      </c>
      <c r="R7" s="36">
        <f t="shared" si="1"/>
        <v>22.417179607641227</v>
      </c>
      <c r="S7" s="36">
        <f t="shared" si="1"/>
        <v>25.761176385530021</v>
      </c>
      <c r="T7" s="36">
        <f t="shared" si="1"/>
        <v>35.409082978196707</v>
      </c>
      <c r="U7" s="36">
        <f t="shared" si="1"/>
        <v>6.2975202338843932</v>
      </c>
      <c r="V7" s="36">
        <f t="shared" si="1"/>
        <v>11.746038513532433</v>
      </c>
      <c r="W7" s="36">
        <f>SUM(E7:V7)</f>
        <v>224.47789654768891</v>
      </c>
    </row>
    <row r="8" spans="3:46" x14ac:dyDescent="0.2">
      <c r="W8" s="36"/>
    </row>
    <row r="9" spans="3:46" x14ac:dyDescent="0.2">
      <c r="E9" s="36"/>
      <c r="F9" s="36"/>
      <c r="G9" s="36"/>
      <c r="H9" s="36"/>
      <c r="I9" s="36"/>
      <c r="J9" s="36"/>
      <c r="K9" s="36"/>
      <c r="L9" s="36"/>
      <c r="M9" s="36"/>
      <c r="N9" s="36"/>
      <c r="O9" s="36"/>
      <c r="P9" s="36"/>
      <c r="Q9" s="36"/>
      <c r="R9" s="36"/>
      <c r="S9" s="36"/>
      <c r="T9" s="36"/>
      <c r="U9" s="36"/>
    </row>
    <row r="10" spans="3:46" x14ac:dyDescent="0.2">
      <c r="E10" s="36"/>
      <c r="F10" s="36"/>
      <c r="G10" s="36"/>
      <c r="H10" s="36"/>
      <c r="I10" s="36"/>
      <c r="J10" s="36"/>
      <c r="K10" s="36"/>
      <c r="L10" s="36"/>
      <c r="M10" s="36"/>
      <c r="N10" s="36"/>
      <c r="O10" s="36"/>
      <c r="P10" s="36"/>
      <c r="Q10" s="36"/>
      <c r="R10" s="36"/>
      <c r="S10" s="36"/>
      <c r="T10" s="36"/>
      <c r="U10" s="36"/>
    </row>
    <row r="12" spans="3:46" ht="15.75" x14ac:dyDescent="0.25">
      <c r="Q12"/>
      <c r="R12"/>
      <c r="S12"/>
      <c r="T12"/>
      <c r="U12"/>
      <c r="V12"/>
    </row>
    <row r="13" spans="3:46" s="31" customFormat="1" x14ac:dyDescent="0.2">
      <c r="C13" s="31" t="s">
        <v>220</v>
      </c>
      <c r="D13" s="31" t="s">
        <v>221</v>
      </c>
      <c r="E13" s="31" t="s">
        <v>177</v>
      </c>
      <c r="F13" s="31" t="s">
        <v>178</v>
      </c>
      <c r="G13" s="31" t="s">
        <v>179</v>
      </c>
      <c r="H13" s="31" t="s">
        <v>180</v>
      </c>
      <c r="I13" s="31" t="s">
        <v>181</v>
      </c>
      <c r="J13" s="31" t="s">
        <v>182</v>
      </c>
      <c r="K13" s="31" t="s">
        <v>189</v>
      </c>
      <c r="L13" s="31" t="s">
        <v>190</v>
      </c>
      <c r="M13" s="31" t="s">
        <v>191</v>
      </c>
      <c r="N13" s="31" t="s">
        <v>192</v>
      </c>
      <c r="O13" s="31" t="s">
        <v>193</v>
      </c>
      <c r="P13" s="31" t="s">
        <v>194</v>
      </c>
      <c r="Q13" s="31" t="s">
        <v>195</v>
      </c>
      <c r="R13" s="31" t="s">
        <v>183</v>
      </c>
      <c r="S13" s="37" t="s">
        <v>196</v>
      </c>
      <c r="T13" s="37" t="s">
        <v>197</v>
      </c>
      <c r="U13" s="37" t="s">
        <v>198</v>
      </c>
      <c r="V13" s="37" t="s">
        <v>199</v>
      </c>
      <c r="W13" s="31" t="s">
        <v>365</v>
      </c>
      <c r="X13" s="37"/>
    </row>
    <row r="14" spans="3:46" x14ac:dyDescent="0.2">
      <c r="C14" s="33" t="s">
        <v>177</v>
      </c>
      <c r="D14" s="33">
        <v>80</v>
      </c>
      <c r="E14" s="36">
        <f>$E$7/$D$14/2</f>
        <v>4.3892896257154569E-2</v>
      </c>
      <c r="F14" s="36">
        <f t="shared" ref="F14:V14" si="2">$E$7/$D$14</f>
        <v>8.7785792514309138E-2</v>
      </c>
      <c r="G14" s="36">
        <f t="shared" si="2"/>
        <v>8.7785792514309138E-2</v>
      </c>
      <c r="H14" s="36">
        <f t="shared" si="2"/>
        <v>8.7785792514309138E-2</v>
      </c>
      <c r="I14" s="36">
        <f t="shared" si="2"/>
        <v>8.7785792514309138E-2</v>
      </c>
      <c r="J14" s="36">
        <f t="shared" si="2"/>
        <v>8.7785792514309138E-2</v>
      </c>
      <c r="K14" s="36">
        <f t="shared" si="2"/>
        <v>8.7785792514309138E-2</v>
      </c>
      <c r="L14" s="36">
        <f t="shared" si="2"/>
        <v>8.7785792514309138E-2</v>
      </c>
      <c r="M14" s="36">
        <f t="shared" si="2"/>
        <v>8.7785792514309138E-2</v>
      </c>
      <c r="N14" s="36">
        <f t="shared" si="2"/>
        <v>8.7785792514309138E-2</v>
      </c>
      <c r="O14" s="36">
        <f t="shared" si="2"/>
        <v>8.7785792514309138E-2</v>
      </c>
      <c r="P14" s="36">
        <f t="shared" si="2"/>
        <v>8.7785792514309138E-2</v>
      </c>
      <c r="Q14" s="36">
        <f t="shared" si="2"/>
        <v>8.7785792514309138E-2</v>
      </c>
      <c r="R14" s="36">
        <f t="shared" si="2"/>
        <v>8.7785792514309138E-2</v>
      </c>
      <c r="S14" s="36">
        <f t="shared" si="2"/>
        <v>8.7785792514309138E-2</v>
      </c>
      <c r="T14" s="36">
        <f t="shared" si="2"/>
        <v>8.7785792514309138E-2</v>
      </c>
      <c r="U14" s="36">
        <f t="shared" si="2"/>
        <v>8.7785792514309138E-2</v>
      </c>
      <c r="V14" s="36">
        <f t="shared" si="2"/>
        <v>8.7785792514309138E-2</v>
      </c>
      <c r="W14" s="36"/>
    </row>
    <row r="15" spans="3:46" x14ac:dyDescent="0.2">
      <c r="C15" s="33" t="s">
        <v>178</v>
      </c>
      <c r="D15" s="33">
        <v>80</v>
      </c>
      <c r="E15" s="36"/>
      <c r="F15" s="36">
        <f>$F$7/$D$15/2</f>
        <v>8.2914788730552816E-2</v>
      </c>
      <c r="G15" s="36">
        <f t="shared" ref="G15:V15" si="3">$F$7/$D$15</f>
        <v>0.16582957746110563</v>
      </c>
      <c r="H15" s="36">
        <f t="shared" si="3"/>
        <v>0.16582957746110563</v>
      </c>
      <c r="I15" s="36">
        <f t="shared" si="3"/>
        <v>0.16582957746110563</v>
      </c>
      <c r="J15" s="36">
        <f t="shared" si="3"/>
        <v>0.16582957746110563</v>
      </c>
      <c r="K15" s="36">
        <f t="shared" si="3"/>
        <v>0.16582957746110563</v>
      </c>
      <c r="L15" s="36">
        <f t="shared" si="3"/>
        <v>0.16582957746110563</v>
      </c>
      <c r="M15" s="36">
        <f t="shared" si="3"/>
        <v>0.16582957746110563</v>
      </c>
      <c r="N15" s="36">
        <f t="shared" si="3"/>
        <v>0.16582957746110563</v>
      </c>
      <c r="O15" s="36">
        <f t="shared" si="3"/>
        <v>0.16582957746110563</v>
      </c>
      <c r="P15" s="36">
        <f t="shared" si="3"/>
        <v>0.16582957746110563</v>
      </c>
      <c r="Q15" s="36">
        <f t="shared" si="3"/>
        <v>0.16582957746110563</v>
      </c>
      <c r="R15" s="36">
        <f t="shared" si="3"/>
        <v>0.16582957746110563</v>
      </c>
      <c r="S15" s="36">
        <f t="shared" si="3"/>
        <v>0.16582957746110563</v>
      </c>
      <c r="T15" s="36">
        <f t="shared" si="3"/>
        <v>0.16582957746110563</v>
      </c>
      <c r="U15" s="36">
        <f t="shared" si="3"/>
        <v>0.16582957746110563</v>
      </c>
      <c r="V15" s="36">
        <f t="shared" si="3"/>
        <v>0.16582957746110563</v>
      </c>
      <c r="W15" s="36"/>
    </row>
    <row r="16" spans="3:46" x14ac:dyDescent="0.2">
      <c r="C16" s="33" t="s">
        <v>179</v>
      </c>
      <c r="D16" s="33">
        <v>80</v>
      </c>
      <c r="E16" s="36"/>
      <c r="F16" s="36"/>
      <c r="G16" s="36">
        <f>$G$7/$D$16/2</f>
        <v>6.0195201020926681E-2</v>
      </c>
      <c r="H16" s="36">
        <f t="shared" ref="H16:V16" si="4">$G$7/$D$16</f>
        <v>0.12039040204185336</v>
      </c>
      <c r="I16" s="36">
        <f t="shared" si="4"/>
        <v>0.12039040204185336</v>
      </c>
      <c r="J16" s="36">
        <f t="shared" si="4"/>
        <v>0.12039040204185336</v>
      </c>
      <c r="K16" s="36">
        <f t="shared" si="4"/>
        <v>0.12039040204185336</v>
      </c>
      <c r="L16" s="36">
        <f t="shared" si="4"/>
        <v>0.12039040204185336</v>
      </c>
      <c r="M16" s="36">
        <f t="shared" si="4"/>
        <v>0.12039040204185336</v>
      </c>
      <c r="N16" s="36">
        <f t="shared" si="4"/>
        <v>0.12039040204185336</v>
      </c>
      <c r="O16" s="36">
        <f t="shared" si="4"/>
        <v>0.12039040204185336</v>
      </c>
      <c r="P16" s="36">
        <f t="shared" si="4"/>
        <v>0.12039040204185336</v>
      </c>
      <c r="Q16" s="36">
        <f t="shared" si="4"/>
        <v>0.12039040204185336</v>
      </c>
      <c r="R16" s="36">
        <f t="shared" si="4"/>
        <v>0.12039040204185336</v>
      </c>
      <c r="S16" s="36">
        <f t="shared" si="4"/>
        <v>0.12039040204185336</v>
      </c>
      <c r="T16" s="36">
        <f t="shared" si="4"/>
        <v>0.12039040204185336</v>
      </c>
      <c r="U16" s="36">
        <f t="shared" si="4"/>
        <v>0.12039040204185336</v>
      </c>
      <c r="V16" s="36">
        <f t="shared" si="4"/>
        <v>0.12039040204185336</v>
      </c>
      <c r="W16" s="36"/>
    </row>
    <row r="17" spans="3:24" x14ac:dyDescent="0.2">
      <c r="C17" s="33" t="s">
        <v>180</v>
      </c>
      <c r="D17" s="33">
        <v>80</v>
      </c>
      <c r="E17" s="36"/>
      <c r="F17" s="36"/>
      <c r="G17" s="36"/>
      <c r="H17" s="36">
        <f>$H$7/$D$17/2</f>
        <v>6.2891678982935545E-2</v>
      </c>
      <c r="I17" s="36">
        <f t="shared" ref="I17:V17" si="5">$H$7/$D$17</f>
        <v>0.12578335796587109</v>
      </c>
      <c r="J17" s="36">
        <f t="shared" si="5"/>
        <v>0.12578335796587109</v>
      </c>
      <c r="K17" s="36">
        <f t="shared" si="5"/>
        <v>0.12578335796587109</v>
      </c>
      <c r="L17" s="36">
        <f t="shared" si="5"/>
        <v>0.12578335796587109</v>
      </c>
      <c r="M17" s="36">
        <f t="shared" si="5"/>
        <v>0.12578335796587109</v>
      </c>
      <c r="N17" s="36">
        <f t="shared" si="5"/>
        <v>0.12578335796587109</v>
      </c>
      <c r="O17" s="36">
        <f t="shared" si="5"/>
        <v>0.12578335796587109</v>
      </c>
      <c r="P17" s="36">
        <f t="shared" si="5"/>
        <v>0.12578335796587109</v>
      </c>
      <c r="Q17" s="36">
        <f t="shared" si="5"/>
        <v>0.12578335796587109</v>
      </c>
      <c r="R17" s="36">
        <f t="shared" si="5"/>
        <v>0.12578335796587109</v>
      </c>
      <c r="S17" s="36">
        <f t="shared" si="5"/>
        <v>0.12578335796587109</v>
      </c>
      <c r="T17" s="36">
        <f t="shared" si="5"/>
        <v>0.12578335796587109</v>
      </c>
      <c r="U17" s="36">
        <f t="shared" si="5"/>
        <v>0.12578335796587109</v>
      </c>
      <c r="V17" s="36">
        <f t="shared" si="5"/>
        <v>0.12578335796587109</v>
      </c>
      <c r="W17" s="36"/>
    </row>
    <row r="18" spans="3:24" x14ac:dyDescent="0.2">
      <c r="C18" s="33" t="s">
        <v>181</v>
      </c>
      <c r="D18" s="33">
        <v>80</v>
      </c>
      <c r="E18" s="36"/>
      <c r="F18" s="36"/>
      <c r="G18" s="36"/>
      <c r="H18" s="36"/>
      <c r="I18" s="36">
        <f>$I$7/$D$18/2</f>
        <v>6.6384095944733851E-2</v>
      </c>
      <c r="J18" s="36">
        <f t="shared" ref="J18:V18" si="6">$I$7/$D$18</f>
        <v>0.1327681918894677</v>
      </c>
      <c r="K18" s="36">
        <f t="shared" si="6"/>
        <v>0.1327681918894677</v>
      </c>
      <c r="L18" s="36">
        <f t="shared" si="6"/>
        <v>0.1327681918894677</v>
      </c>
      <c r="M18" s="36">
        <f t="shared" si="6"/>
        <v>0.1327681918894677</v>
      </c>
      <c r="N18" s="36">
        <f t="shared" si="6"/>
        <v>0.1327681918894677</v>
      </c>
      <c r="O18" s="36">
        <f t="shared" si="6"/>
        <v>0.1327681918894677</v>
      </c>
      <c r="P18" s="36">
        <f t="shared" si="6"/>
        <v>0.1327681918894677</v>
      </c>
      <c r="Q18" s="36">
        <f t="shared" si="6"/>
        <v>0.1327681918894677</v>
      </c>
      <c r="R18" s="36">
        <f t="shared" si="6"/>
        <v>0.1327681918894677</v>
      </c>
      <c r="S18" s="36">
        <f t="shared" si="6"/>
        <v>0.1327681918894677</v>
      </c>
      <c r="T18" s="36">
        <f t="shared" si="6"/>
        <v>0.1327681918894677</v>
      </c>
      <c r="U18" s="36">
        <f t="shared" si="6"/>
        <v>0.1327681918894677</v>
      </c>
      <c r="V18" s="36">
        <f t="shared" si="6"/>
        <v>0.1327681918894677</v>
      </c>
      <c r="W18" s="36"/>
    </row>
    <row r="19" spans="3:24" x14ac:dyDescent="0.2">
      <c r="C19" s="33" t="s">
        <v>182</v>
      </c>
      <c r="D19" s="33">
        <v>80</v>
      </c>
      <c r="E19" s="36"/>
      <c r="F19" s="36"/>
      <c r="G19" s="36"/>
      <c r="H19" s="36"/>
      <c r="I19" s="36"/>
      <c r="J19" s="36">
        <f t="shared" ref="J19:V19" si="7">$J$7/$D$19/2</f>
        <v>5.8545220809858467E-2</v>
      </c>
      <c r="K19" s="36">
        <f t="shared" si="7"/>
        <v>5.8545220809858467E-2</v>
      </c>
      <c r="L19" s="36">
        <f t="shared" si="7"/>
        <v>5.8545220809858467E-2</v>
      </c>
      <c r="M19" s="36">
        <f t="shared" si="7"/>
        <v>5.8545220809858467E-2</v>
      </c>
      <c r="N19" s="36">
        <f t="shared" si="7"/>
        <v>5.8545220809858467E-2</v>
      </c>
      <c r="O19" s="36">
        <f t="shared" si="7"/>
        <v>5.8545220809858467E-2</v>
      </c>
      <c r="P19" s="36">
        <f t="shared" si="7"/>
        <v>5.8545220809858467E-2</v>
      </c>
      <c r="Q19" s="36">
        <f t="shared" si="7"/>
        <v>5.8545220809858467E-2</v>
      </c>
      <c r="R19" s="36">
        <f t="shared" si="7"/>
        <v>5.8545220809858467E-2</v>
      </c>
      <c r="S19" s="36">
        <f t="shared" si="7"/>
        <v>5.8545220809858467E-2</v>
      </c>
      <c r="T19" s="36">
        <f t="shared" si="7"/>
        <v>5.8545220809858467E-2</v>
      </c>
      <c r="U19" s="36">
        <f t="shared" si="7"/>
        <v>5.8545220809858467E-2</v>
      </c>
      <c r="V19" s="36">
        <f t="shared" si="7"/>
        <v>5.8545220809858467E-2</v>
      </c>
      <c r="W19" s="36"/>
    </row>
    <row r="20" spans="3:24" x14ac:dyDescent="0.2">
      <c r="C20" s="33" t="s">
        <v>189</v>
      </c>
      <c r="D20" s="33">
        <v>80</v>
      </c>
      <c r="E20" s="36"/>
      <c r="F20" s="36"/>
      <c r="G20" s="36"/>
      <c r="H20" s="36"/>
      <c r="I20" s="36"/>
      <c r="J20" s="36"/>
      <c r="K20" s="36">
        <f>$K$7/$D$20/2</f>
        <v>4.9926961040288299E-2</v>
      </c>
      <c r="L20" s="36">
        <f t="shared" ref="L20:V20" si="8">$K$7/$D$20</f>
        <v>9.9853922080576599E-2</v>
      </c>
      <c r="M20" s="36">
        <f t="shared" si="8"/>
        <v>9.9853922080576599E-2</v>
      </c>
      <c r="N20" s="36">
        <f t="shared" si="8"/>
        <v>9.9853922080576599E-2</v>
      </c>
      <c r="O20" s="36">
        <f t="shared" si="8"/>
        <v>9.9853922080576599E-2</v>
      </c>
      <c r="P20" s="36">
        <f t="shared" si="8"/>
        <v>9.9853922080576599E-2</v>
      </c>
      <c r="Q20" s="36">
        <f t="shared" si="8"/>
        <v>9.9853922080576599E-2</v>
      </c>
      <c r="R20" s="36">
        <f t="shared" si="8"/>
        <v>9.9853922080576599E-2</v>
      </c>
      <c r="S20" s="36">
        <f t="shared" si="8"/>
        <v>9.9853922080576599E-2</v>
      </c>
      <c r="T20" s="36">
        <f t="shared" si="8"/>
        <v>9.9853922080576599E-2</v>
      </c>
      <c r="U20" s="36">
        <f t="shared" si="8"/>
        <v>9.9853922080576599E-2</v>
      </c>
      <c r="V20" s="36">
        <f t="shared" si="8"/>
        <v>9.9853922080576599E-2</v>
      </c>
      <c r="W20" s="36"/>
    </row>
    <row r="21" spans="3:24" x14ac:dyDescent="0.2">
      <c r="C21" s="33" t="s">
        <v>190</v>
      </c>
      <c r="D21" s="33">
        <v>80</v>
      </c>
      <c r="E21" s="36"/>
      <c r="F21" s="36"/>
      <c r="G21" s="36"/>
      <c r="H21" s="36"/>
      <c r="I21" s="36"/>
      <c r="J21" s="36"/>
      <c r="K21" s="36"/>
      <c r="L21" s="36">
        <f>$L$7/$D$21/2</f>
        <v>4.7345884210429255E-2</v>
      </c>
      <c r="M21" s="36">
        <f t="shared" ref="M21:V21" si="9">$L$7/$D$21</f>
        <v>9.469176842085851E-2</v>
      </c>
      <c r="N21" s="36">
        <f t="shared" si="9"/>
        <v>9.469176842085851E-2</v>
      </c>
      <c r="O21" s="36">
        <f t="shared" si="9"/>
        <v>9.469176842085851E-2</v>
      </c>
      <c r="P21" s="36">
        <f t="shared" si="9"/>
        <v>9.469176842085851E-2</v>
      </c>
      <c r="Q21" s="36">
        <f t="shared" si="9"/>
        <v>9.469176842085851E-2</v>
      </c>
      <c r="R21" s="36">
        <f t="shared" si="9"/>
        <v>9.469176842085851E-2</v>
      </c>
      <c r="S21" s="36">
        <f t="shared" si="9"/>
        <v>9.469176842085851E-2</v>
      </c>
      <c r="T21" s="36">
        <f t="shared" si="9"/>
        <v>9.469176842085851E-2</v>
      </c>
      <c r="U21" s="36">
        <f t="shared" si="9"/>
        <v>9.469176842085851E-2</v>
      </c>
      <c r="V21" s="36">
        <f t="shared" si="9"/>
        <v>9.469176842085851E-2</v>
      </c>
      <c r="W21" s="36"/>
    </row>
    <row r="22" spans="3:24" x14ac:dyDescent="0.2">
      <c r="C22" s="33" t="s">
        <v>191</v>
      </c>
      <c r="D22" s="33">
        <v>80</v>
      </c>
      <c r="E22" s="36"/>
      <c r="F22" s="36"/>
      <c r="G22" s="36"/>
      <c r="H22" s="36"/>
      <c r="I22" s="36"/>
      <c r="J22" s="36"/>
      <c r="K22" s="36"/>
      <c r="L22" s="36"/>
      <c r="M22" s="36">
        <f>$M$7/$D$22/2</f>
        <v>5.273479318621279E-2</v>
      </c>
      <c r="N22" s="36">
        <f t="shared" ref="N22:V22" si="10">$M$7/$D$22</f>
        <v>0.10546958637242558</v>
      </c>
      <c r="O22" s="36">
        <f t="shared" si="10"/>
        <v>0.10546958637242558</v>
      </c>
      <c r="P22" s="36">
        <f t="shared" si="10"/>
        <v>0.10546958637242558</v>
      </c>
      <c r="Q22" s="36">
        <f t="shared" si="10"/>
        <v>0.10546958637242558</v>
      </c>
      <c r="R22" s="36">
        <f t="shared" si="10"/>
        <v>0.10546958637242558</v>
      </c>
      <c r="S22" s="36">
        <f t="shared" si="10"/>
        <v>0.10546958637242558</v>
      </c>
      <c r="T22" s="36">
        <f t="shared" si="10"/>
        <v>0.10546958637242558</v>
      </c>
      <c r="U22" s="36">
        <f t="shared" si="10"/>
        <v>0.10546958637242558</v>
      </c>
      <c r="V22" s="36">
        <f t="shared" si="10"/>
        <v>0.10546958637242558</v>
      </c>
      <c r="W22" s="36"/>
    </row>
    <row r="23" spans="3:24" x14ac:dyDescent="0.2">
      <c r="C23" s="33" t="s">
        <v>192</v>
      </c>
      <c r="D23" s="33">
        <v>80</v>
      </c>
      <c r="E23" s="36"/>
      <c r="F23" s="36"/>
      <c r="G23" s="36"/>
      <c r="H23" s="36"/>
      <c r="I23" s="36"/>
      <c r="J23" s="36"/>
      <c r="K23" s="36"/>
      <c r="L23" s="36"/>
      <c r="M23" s="36"/>
      <c r="N23" s="36">
        <f>$N$7/$D$23</f>
        <v>9.5555206973456569E-2</v>
      </c>
      <c r="O23" s="36">
        <f t="shared" ref="O23:V23" si="11">$N$7/$D$23/2</f>
        <v>4.7777603486728284E-2</v>
      </c>
      <c r="P23" s="36">
        <f t="shared" si="11"/>
        <v>4.7777603486728284E-2</v>
      </c>
      <c r="Q23" s="36">
        <f t="shared" si="11"/>
        <v>4.7777603486728284E-2</v>
      </c>
      <c r="R23" s="36">
        <f t="shared" si="11"/>
        <v>4.7777603486728284E-2</v>
      </c>
      <c r="S23" s="36">
        <f t="shared" si="11"/>
        <v>4.7777603486728284E-2</v>
      </c>
      <c r="T23" s="36">
        <f t="shared" si="11"/>
        <v>4.7777603486728284E-2</v>
      </c>
      <c r="U23" s="36">
        <f t="shared" si="11"/>
        <v>4.7777603486728284E-2</v>
      </c>
      <c r="V23" s="36">
        <f t="shared" si="11"/>
        <v>4.7777603486728284E-2</v>
      </c>
      <c r="W23" s="36"/>
    </row>
    <row r="24" spans="3:24" x14ac:dyDescent="0.2">
      <c r="C24" s="33" t="s">
        <v>193</v>
      </c>
      <c r="D24" s="33">
        <v>80</v>
      </c>
      <c r="E24" s="36"/>
      <c r="F24" s="36"/>
      <c r="G24" s="36"/>
      <c r="H24" s="36"/>
      <c r="I24" s="36"/>
      <c r="J24" s="36"/>
      <c r="K24" s="36"/>
      <c r="L24" s="36"/>
      <c r="M24" s="36"/>
      <c r="O24" s="36">
        <f>$O$7/$D$23/2</f>
        <v>7.2240998248631463E-2</v>
      </c>
      <c r="P24" s="36">
        <f t="shared" ref="P24:V24" si="12">$O$7/$D$23</f>
        <v>0.14448199649726293</v>
      </c>
      <c r="Q24" s="36">
        <f t="shared" si="12"/>
        <v>0.14448199649726293</v>
      </c>
      <c r="R24" s="36">
        <f t="shared" si="12"/>
        <v>0.14448199649726293</v>
      </c>
      <c r="S24" s="36">
        <f t="shared" si="12"/>
        <v>0.14448199649726293</v>
      </c>
      <c r="T24" s="36">
        <f t="shared" si="12"/>
        <v>0.14448199649726293</v>
      </c>
      <c r="U24" s="36">
        <f t="shared" si="12"/>
        <v>0.14448199649726293</v>
      </c>
      <c r="V24" s="36">
        <f t="shared" si="12"/>
        <v>0.14448199649726293</v>
      </c>
      <c r="W24" s="36"/>
    </row>
    <row r="25" spans="3:24" x14ac:dyDescent="0.2">
      <c r="C25" s="33" t="s">
        <v>194</v>
      </c>
      <c r="D25" s="33">
        <v>80</v>
      </c>
      <c r="E25" s="36"/>
      <c r="F25" s="36"/>
      <c r="G25" s="36"/>
      <c r="H25" s="36"/>
      <c r="I25" s="36"/>
      <c r="J25" s="36"/>
      <c r="K25" s="36"/>
      <c r="L25" s="36"/>
      <c r="M25" s="36"/>
      <c r="P25" s="36">
        <f>$P$7/$D$25/2</f>
        <v>4.0316062481945705E-2</v>
      </c>
      <c r="Q25" s="36">
        <f t="shared" ref="Q25:V25" si="13">$P$7/$D$25</f>
        <v>8.0632124963891411E-2</v>
      </c>
      <c r="R25" s="36">
        <f t="shared" si="13"/>
        <v>8.0632124963891411E-2</v>
      </c>
      <c r="S25" s="36">
        <f t="shared" si="13"/>
        <v>8.0632124963891411E-2</v>
      </c>
      <c r="T25" s="36">
        <f t="shared" si="13"/>
        <v>8.0632124963891411E-2</v>
      </c>
      <c r="U25" s="36">
        <f t="shared" si="13"/>
        <v>8.0632124963891411E-2</v>
      </c>
      <c r="V25" s="36">
        <f t="shared" si="13"/>
        <v>8.0632124963891411E-2</v>
      </c>
      <c r="W25" s="36"/>
    </row>
    <row r="26" spans="3:24" x14ac:dyDescent="0.2">
      <c r="C26" s="33" t="s">
        <v>195</v>
      </c>
      <c r="D26" s="33">
        <v>80</v>
      </c>
      <c r="E26" s="36"/>
      <c r="F26" s="36"/>
      <c r="G26" s="36"/>
      <c r="H26" s="36"/>
      <c r="I26" s="36"/>
      <c r="J26" s="36"/>
      <c r="K26" s="36"/>
      <c r="L26" s="36"/>
      <c r="M26" s="36"/>
      <c r="Q26" s="36">
        <f>$Q$7/$D$26/2</f>
        <v>8.2626933280253251E-2</v>
      </c>
      <c r="R26" s="36">
        <f>$Q$7/$D$26/2</f>
        <v>8.2626933280253251E-2</v>
      </c>
      <c r="S26" s="36">
        <f>$Q$7/$D$26</f>
        <v>0.1652538665605065</v>
      </c>
      <c r="T26" s="36">
        <f>$Q$7/$D$26</f>
        <v>0.1652538665605065</v>
      </c>
      <c r="U26" s="36">
        <f>$Q$7/$D$26</f>
        <v>0.1652538665605065</v>
      </c>
      <c r="V26" s="36">
        <f>$Q$7/$D$26</f>
        <v>0.1652538665605065</v>
      </c>
      <c r="W26" s="36"/>
    </row>
    <row r="27" spans="3:24" x14ac:dyDescent="0.2">
      <c r="C27" s="33" t="s">
        <v>183</v>
      </c>
      <c r="D27" s="33">
        <v>80</v>
      </c>
      <c r="E27" s="36"/>
      <c r="F27" s="36"/>
      <c r="G27" s="36"/>
      <c r="H27" s="36"/>
      <c r="I27" s="36"/>
      <c r="J27" s="36"/>
      <c r="K27" s="36"/>
      <c r="L27" s="36"/>
      <c r="M27" s="36"/>
      <c r="Q27" s="36"/>
      <c r="R27" s="36">
        <f>$R$7/$D$27/2</f>
        <v>0.14010737254775768</v>
      </c>
      <c r="S27" s="36">
        <f>$R$7/$D$27</f>
        <v>0.28021474509551536</v>
      </c>
      <c r="T27" s="36">
        <f>$R$7/$D$27</f>
        <v>0.28021474509551536</v>
      </c>
      <c r="U27" s="36">
        <f>$R$7/$D$27</f>
        <v>0.28021474509551536</v>
      </c>
      <c r="V27" s="36">
        <f>$R$7/$D$27</f>
        <v>0.28021474509551536</v>
      </c>
      <c r="W27" s="36"/>
    </row>
    <row r="28" spans="3:24" x14ac:dyDescent="0.2">
      <c r="C28" s="33" t="s">
        <v>196</v>
      </c>
      <c r="D28" s="33">
        <v>80</v>
      </c>
      <c r="S28" s="36">
        <f>$R$7/$D$28/2</f>
        <v>0.14010737254775768</v>
      </c>
      <c r="T28" s="36">
        <f>$R$7/$D$28</f>
        <v>0.28021474509551536</v>
      </c>
      <c r="U28" s="36">
        <f>$R$7/$D$28</f>
        <v>0.28021474509551536</v>
      </c>
      <c r="V28" s="36">
        <f>$R$7/$D$28</f>
        <v>0.28021474509551536</v>
      </c>
      <c r="W28" s="36"/>
    </row>
    <row r="29" spans="3:24" x14ac:dyDescent="0.2">
      <c r="C29" s="33" t="s">
        <v>197</v>
      </c>
      <c r="D29" s="33">
        <v>80</v>
      </c>
      <c r="S29" s="38"/>
      <c r="T29" s="36">
        <f>$T$7/$D$29/2</f>
        <v>0.22130676861372942</v>
      </c>
      <c r="U29" s="36">
        <f>$T$7/$D$29</f>
        <v>0.44261353722745883</v>
      </c>
      <c r="V29" s="36">
        <f>$T$7/$D$29</f>
        <v>0.44261353722745883</v>
      </c>
      <c r="W29" s="36"/>
      <c r="X29" s="38"/>
    </row>
    <row r="30" spans="3:24" x14ac:dyDescent="0.2">
      <c r="C30" s="33" t="s">
        <v>198</v>
      </c>
      <c r="D30" s="33">
        <v>80</v>
      </c>
      <c r="U30" s="36">
        <f>$U$7/$D$30/2</f>
        <v>3.9359501461777455E-2</v>
      </c>
      <c r="V30" s="36">
        <f>$U$7/$D$30</f>
        <v>7.8719002923554909E-2</v>
      </c>
      <c r="W30" s="36"/>
    </row>
    <row r="31" spans="3:24" x14ac:dyDescent="0.2">
      <c r="C31" s="33" t="s">
        <v>199</v>
      </c>
      <c r="D31" s="33">
        <v>80</v>
      </c>
      <c r="V31" s="36">
        <f>$V$7/$D$31/2</f>
        <v>7.3412740709577706E-2</v>
      </c>
      <c r="W31" s="36"/>
    </row>
    <row r="32" spans="3:24" x14ac:dyDescent="0.2">
      <c r="D32" s="31" t="s">
        <v>221</v>
      </c>
      <c r="E32" s="32">
        <f t="shared" ref="E32:V32" si="14">SUM(E14:E31)</f>
        <v>4.3892896257154569E-2</v>
      </c>
      <c r="F32" s="32">
        <f t="shared" si="14"/>
        <v>0.17070058124486195</v>
      </c>
      <c r="G32" s="32">
        <f t="shared" si="14"/>
        <v>0.31381057099634146</v>
      </c>
      <c r="H32" s="32">
        <f t="shared" si="14"/>
        <v>0.43689745100020372</v>
      </c>
      <c r="I32" s="32">
        <f t="shared" si="14"/>
        <v>0.56617322592787311</v>
      </c>
      <c r="J32" s="32">
        <f t="shared" si="14"/>
        <v>0.6911025426824654</v>
      </c>
      <c r="K32" s="32">
        <f t="shared" si="14"/>
        <v>0.74102950372275367</v>
      </c>
      <c r="L32" s="32">
        <f t="shared" si="14"/>
        <v>0.83830234897347133</v>
      </c>
      <c r="M32" s="32">
        <f t="shared" si="14"/>
        <v>0.93838302637011328</v>
      </c>
      <c r="N32" s="36">
        <f t="shared" si="14"/>
        <v>1.0866730265297826</v>
      </c>
      <c r="O32" s="36">
        <f t="shared" si="14"/>
        <v>1.1111364212916857</v>
      </c>
      <c r="P32" s="36">
        <f t="shared" si="14"/>
        <v>1.2236934820222629</v>
      </c>
      <c r="Q32" s="32">
        <f t="shared" si="14"/>
        <v>1.3466364777844619</v>
      </c>
      <c r="R32" s="32">
        <f t="shared" si="14"/>
        <v>1.4867438503322197</v>
      </c>
      <c r="S32" s="32">
        <f t="shared" si="14"/>
        <v>1.8495855287079885</v>
      </c>
      <c r="T32" s="32">
        <f t="shared" si="14"/>
        <v>2.2109996698694756</v>
      </c>
      <c r="U32" s="32">
        <f t="shared" si="14"/>
        <v>2.4716659399449825</v>
      </c>
      <c r="V32" s="32">
        <f t="shared" si="14"/>
        <v>2.5844381821163376</v>
      </c>
      <c r="W32" s="32">
        <f>SUM(E32:V32)</f>
        <v>20.111864725774439</v>
      </c>
    </row>
    <row r="33" spans="3:23" x14ac:dyDescent="0.2">
      <c r="D33" s="31"/>
      <c r="E33" s="31"/>
      <c r="F33" s="31"/>
      <c r="G33" s="31"/>
      <c r="H33" s="31"/>
      <c r="I33" s="31"/>
      <c r="J33" s="31"/>
      <c r="K33" s="31"/>
      <c r="L33" s="31"/>
      <c r="M33" s="31"/>
      <c r="Q33" s="37"/>
      <c r="R33" s="37"/>
      <c r="S33" s="37"/>
      <c r="T33" s="37"/>
      <c r="U33" s="37"/>
      <c r="V33" s="37" t="s">
        <v>373</v>
      </c>
      <c r="W33" s="36">
        <f>W7-W32</f>
        <v>204.36603182191448</v>
      </c>
    </row>
    <row r="34" spans="3:23" x14ac:dyDescent="0.2">
      <c r="E34" s="36"/>
      <c r="F34" s="36"/>
      <c r="G34" s="36"/>
      <c r="H34" s="36"/>
      <c r="I34" s="36"/>
      <c r="J34" s="36"/>
      <c r="K34" s="36"/>
      <c r="L34" s="36"/>
      <c r="M34" s="36"/>
      <c r="V34" s="277"/>
    </row>
    <row r="35" spans="3:23" x14ac:dyDescent="0.2">
      <c r="E35" s="36"/>
      <c r="F35" s="36"/>
      <c r="G35" s="36"/>
      <c r="H35" s="36"/>
      <c r="I35" s="36"/>
      <c r="J35" s="36"/>
      <c r="K35" s="36"/>
      <c r="L35" s="36"/>
      <c r="M35" s="36"/>
    </row>
    <row r="36" spans="3:23" x14ac:dyDescent="0.2">
      <c r="E36" s="36"/>
      <c r="F36" s="36"/>
      <c r="G36" s="36"/>
      <c r="H36" s="36"/>
      <c r="I36" s="36"/>
      <c r="J36" s="36"/>
      <c r="K36" s="36"/>
      <c r="L36" s="36"/>
      <c r="M36" s="36"/>
    </row>
    <row r="37" spans="3:23" x14ac:dyDescent="0.2">
      <c r="E37" s="36"/>
      <c r="F37" s="36"/>
      <c r="G37" s="36"/>
      <c r="H37" s="36"/>
      <c r="I37" s="36"/>
      <c r="J37" s="36"/>
      <c r="K37" s="36"/>
      <c r="L37" s="36"/>
      <c r="M37" s="36"/>
    </row>
    <row r="38" spans="3:23" x14ac:dyDescent="0.2">
      <c r="E38" s="36"/>
      <c r="F38" s="36"/>
      <c r="G38" s="36"/>
      <c r="H38" s="36"/>
      <c r="I38" s="36"/>
      <c r="J38" s="36"/>
      <c r="K38" s="36"/>
      <c r="L38" s="36"/>
      <c r="M38" s="36"/>
    </row>
    <row r="39" spans="3:23" x14ac:dyDescent="0.2">
      <c r="E39" s="36"/>
      <c r="F39" s="36"/>
      <c r="G39" s="36"/>
      <c r="H39" s="36"/>
      <c r="I39" s="36"/>
      <c r="J39" s="36"/>
      <c r="K39" s="36"/>
      <c r="L39" s="36"/>
      <c r="M39" s="36"/>
    </row>
    <row r="40" spans="3:23" x14ac:dyDescent="0.2">
      <c r="E40" s="36"/>
      <c r="F40" s="36"/>
      <c r="G40" s="36"/>
      <c r="H40" s="36"/>
      <c r="I40" s="36"/>
      <c r="J40" s="36"/>
      <c r="K40" s="36"/>
      <c r="L40" s="36"/>
      <c r="M40" s="36"/>
    </row>
    <row r="41" spans="3:23" x14ac:dyDescent="0.2">
      <c r="E41" s="36"/>
      <c r="F41" s="36"/>
      <c r="G41" s="36"/>
      <c r="H41" s="36"/>
      <c r="I41" s="36"/>
      <c r="J41" s="36"/>
      <c r="K41" s="36"/>
      <c r="L41" s="36"/>
      <c r="M41" s="36"/>
    </row>
    <row r="42" spans="3:23" x14ac:dyDescent="0.2">
      <c r="M42" s="32"/>
    </row>
    <row r="43" spans="3:23" x14ac:dyDescent="0.2">
      <c r="M43" s="32"/>
      <c r="Q43" s="38"/>
      <c r="R43" s="38"/>
      <c r="S43" s="38"/>
      <c r="T43" s="38"/>
      <c r="U43" s="38"/>
      <c r="V43" s="38"/>
    </row>
    <row r="45" spans="3:23" x14ac:dyDescent="0.2">
      <c r="C45" s="31"/>
      <c r="D45" s="31"/>
      <c r="E45" s="31"/>
      <c r="F45" s="31"/>
      <c r="G45" s="31"/>
      <c r="H45" s="31"/>
      <c r="I45" s="31"/>
      <c r="J45" s="31"/>
      <c r="K45" s="31"/>
      <c r="L45" s="31"/>
      <c r="M45" s="31"/>
      <c r="Q45" s="37"/>
      <c r="R45" s="37"/>
      <c r="S45" s="37"/>
      <c r="T45" s="37"/>
      <c r="U45" s="37"/>
      <c r="V45" s="37"/>
    </row>
    <row r="46" spans="3:23" x14ac:dyDescent="0.2">
      <c r="E46" s="36"/>
      <c r="F46" s="36"/>
      <c r="G46" s="36"/>
      <c r="H46" s="36"/>
      <c r="I46" s="36"/>
      <c r="J46" s="36"/>
      <c r="K46" s="36"/>
      <c r="L46" s="36"/>
      <c r="M46" s="36"/>
    </row>
    <row r="47" spans="3:23" x14ac:dyDescent="0.2">
      <c r="E47" s="36"/>
      <c r="F47" s="36"/>
      <c r="G47" s="36"/>
      <c r="H47" s="36"/>
      <c r="I47" s="36"/>
      <c r="J47" s="36"/>
      <c r="K47" s="36"/>
      <c r="L47" s="36"/>
      <c r="M47" s="36"/>
    </row>
    <row r="48" spans="3:23" x14ac:dyDescent="0.2">
      <c r="E48" s="36"/>
      <c r="F48" s="36"/>
      <c r="G48" s="36"/>
      <c r="H48" s="36"/>
      <c r="I48" s="36"/>
      <c r="J48" s="36"/>
      <c r="K48" s="36"/>
      <c r="L48" s="36"/>
      <c r="M48" s="36"/>
    </row>
    <row r="49" spans="3:22" x14ac:dyDescent="0.2">
      <c r="E49" s="36"/>
      <c r="F49" s="36"/>
      <c r="G49" s="36"/>
      <c r="H49" s="36"/>
      <c r="I49" s="36"/>
      <c r="J49" s="36"/>
      <c r="K49" s="36"/>
      <c r="L49" s="36"/>
      <c r="M49" s="36"/>
    </row>
    <row r="50" spans="3:22" x14ac:dyDescent="0.2">
      <c r="E50" s="36"/>
      <c r="F50" s="36"/>
      <c r="G50" s="36"/>
      <c r="H50" s="36"/>
      <c r="I50" s="36"/>
      <c r="J50" s="36"/>
      <c r="K50" s="36"/>
      <c r="L50" s="36"/>
      <c r="M50" s="36"/>
    </row>
    <row r="51" spans="3:22" x14ac:dyDescent="0.2">
      <c r="E51" s="36"/>
      <c r="F51" s="36"/>
      <c r="G51" s="36"/>
      <c r="H51" s="36"/>
      <c r="I51" s="36"/>
      <c r="J51" s="36"/>
      <c r="K51" s="36"/>
      <c r="L51" s="36"/>
      <c r="M51" s="36"/>
    </row>
    <row r="52" spans="3:22" x14ac:dyDescent="0.2">
      <c r="E52" s="36"/>
      <c r="F52" s="36"/>
      <c r="G52" s="36"/>
      <c r="H52" s="36"/>
      <c r="I52" s="36"/>
      <c r="J52" s="36"/>
      <c r="K52" s="36"/>
      <c r="L52" s="36"/>
      <c r="M52" s="36"/>
    </row>
    <row r="53" spans="3:22" x14ac:dyDescent="0.2">
      <c r="E53" s="36"/>
      <c r="F53" s="36"/>
      <c r="G53" s="36"/>
      <c r="H53" s="36"/>
      <c r="I53" s="36"/>
      <c r="J53" s="36"/>
      <c r="K53" s="36"/>
      <c r="L53" s="36"/>
      <c r="M53" s="36"/>
    </row>
    <row r="54" spans="3:22" x14ac:dyDescent="0.2">
      <c r="M54" s="32"/>
      <c r="Q54" s="38"/>
      <c r="R54" s="38"/>
      <c r="S54" s="38"/>
      <c r="T54" s="38"/>
    </row>
    <row r="55" spans="3:22" x14ac:dyDescent="0.2">
      <c r="M55" s="32"/>
      <c r="Q55" s="38"/>
      <c r="R55" s="38"/>
      <c r="S55" s="38"/>
      <c r="T55" s="38"/>
      <c r="U55" s="38"/>
      <c r="V55" s="38"/>
    </row>
    <row r="63" spans="3:22" ht="15" x14ac:dyDescent="0.25">
      <c r="C63" s="82" t="s">
        <v>366</v>
      </c>
      <c r="D63" s="272">
        <v>2005</v>
      </c>
      <c r="E63" s="272">
        <v>2006</v>
      </c>
      <c r="F63" s="272">
        <v>2007</v>
      </c>
      <c r="G63" s="272">
        <v>2008</v>
      </c>
      <c r="H63" s="272">
        <v>2009</v>
      </c>
      <c r="I63" s="272">
        <v>2010</v>
      </c>
      <c r="J63" s="272">
        <v>2011</v>
      </c>
      <c r="K63" s="272">
        <v>2012</v>
      </c>
      <c r="L63" s="272">
        <v>2013</v>
      </c>
      <c r="M63" s="272">
        <v>2014</v>
      </c>
      <c r="N63" s="272">
        <v>2015</v>
      </c>
      <c r="O63" s="272">
        <v>2016</v>
      </c>
      <c r="P63" s="272">
        <v>2017</v>
      </c>
      <c r="Q63" s="272">
        <v>2018</v>
      </c>
      <c r="R63" s="272">
        <v>2019</v>
      </c>
      <c r="S63" s="272">
        <v>2020</v>
      </c>
      <c r="T63" s="272">
        <v>2021</v>
      </c>
      <c r="U63" s="272">
        <v>2022</v>
      </c>
    </row>
    <row r="64" spans="3:22" x14ac:dyDescent="0.2">
      <c r="C64" s="273" t="s">
        <v>113</v>
      </c>
      <c r="D64" s="274">
        <v>246.95</v>
      </c>
      <c r="E64" s="274">
        <v>0</v>
      </c>
      <c r="F64" s="274">
        <v>0</v>
      </c>
      <c r="G64" s="274">
        <v>192.92746</v>
      </c>
      <c r="H64" s="274">
        <v>192.92240000000001</v>
      </c>
      <c r="I64" s="274">
        <v>599.30989999999997</v>
      </c>
      <c r="J64" s="274">
        <v>0</v>
      </c>
      <c r="K64" s="274">
        <v>0</v>
      </c>
      <c r="L64" s="274">
        <v>110.16424000000001</v>
      </c>
      <c r="M64" s="274">
        <v>6723.5544600000003</v>
      </c>
      <c r="N64" s="274">
        <v>10870.617249999999</v>
      </c>
      <c r="O64" s="274">
        <v>15371.69522</v>
      </c>
      <c r="P64" s="274">
        <v>12093.44147</v>
      </c>
      <c r="Q64" s="274">
        <v>12100.69436</v>
      </c>
      <c r="R64" s="274">
        <v>8373.5663999999997</v>
      </c>
      <c r="S64" s="274">
        <v>8203.9765900000002</v>
      </c>
      <c r="T64" s="274">
        <v>4201.4417299999996</v>
      </c>
      <c r="U64" s="274">
        <v>3012.6699199999998</v>
      </c>
    </row>
    <row r="65" spans="3:21" x14ac:dyDescent="0.2">
      <c r="C65" s="273" t="s">
        <v>188</v>
      </c>
      <c r="D65" s="274">
        <v>21213.242899999997</v>
      </c>
      <c r="E65" s="274">
        <v>4643.2376899999999</v>
      </c>
      <c r="F65" s="274">
        <v>3728.5980300000001</v>
      </c>
      <c r="G65" s="274">
        <v>9116.6536099999994</v>
      </c>
      <c r="H65" s="274">
        <v>7385.37165</v>
      </c>
      <c r="I65" s="274">
        <v>12940.145979999999</v>
      </c>
      <c r="J65" s="274">
        <v>19871.301889999999</v>
      </c>
      <c r="K65" s="274">
        <v>22160.12571</v>
      </c>
      <c r="L65" s="274">
        <v>15671.01593</v>
      </c>
      <c r="M65" s="274">
        <v>14062.719110000002</v>
      </c>
      <c r="N65" s="274">
        <v>15115.76297</v>
      </c>
      <c r="O65" s="274">
        <v>19915.525130000002</v>
      </c>
      <c r="P65" s="274">
        <v>21795.433410000005</v>
      </c>
      <c r="Q65" s="274">
        <v>20000.162400000001</v>
      </c>
      <c r="R65" s="274">
        <v>23829.662619999999</v>
      </c>
      <c r="S65" s="274">
        <v>28301.489730000001</v>
      </c>
      <c r="T65" s="274">
        <v>30874.748570000003</v>
      </c>
      <c r="U65" s="274">
        <v>27340.632369999999</v>
      </c>
    </row>
    <row r="66" spans="3:21" ht="15.75" x14ac:dyDescent="0.25">
      <c r="C66"/>
      <c r="D66" s="275">
        <v>21460.192899999998</v>
      </c>
      <c r="E66" s="275">
        <v>4643.2376899999999</v>
      </c>
      <c r="F66" s="275">
        <v>3728.5980300000001</v>
      </c>
      <c r="G66" s="275">
        <v>9309.5810700000002</v>
      </c>
      <c r="H66" s="275">
        <v>7578.2940500000004</v>
      </c>
      <c r="I66" s="275">
        <v>13539.45588</v>
      </c>
      <c r="J66" s="275">
        <v>19871.301889999999</v>
      </c>
      <c r="K66" s="275">
        <v>22160.12571</v>
      </c>
      <c r="L66" s="275">
        <v>15781.18017</v>
      </c>
      <c r="M66" s="275">
        <v>20786.273570000001</v>
      </c>
      <c r="N66" s="275">
        <v>25986.380219999999</v>
      </c>
      <c r="O66" s="275">
        <v>35287.220350000003</v>
      </c>
      <c r="P66" s="275">
        <v>33888.874880000003</v>
      </c>
      <c r="Q66" s="275">
        <v>32100.856760000002</v>
      </c>
      <c r="R66" s="275">
        <v>32203.229019999999</v>
      </c>
      <c r="S66" s="275">
        <v>36505.46632</v>
      </c>
      <c r="T66" s="275">
        <v>35076.190300000002</v>
      </c>
      <c r="U66" s="275">
        <v>30353.30229</v>
      </c>
    </row>
    <row r="68" spans="3:21" x14ac:dyDescent="0.2">
      <c r="C68" s="33" t="s">
        <v>367</v>
      </c>
      <c r="D68" s="33">
        <v>0.75</v>
      </c>
    </row>
    <row r="69" spans="3:21" x14ac:dyDescent="0.2">
      <c r="C69" s="33" t="s">
        <v>176</v>
      </c>
      <c r="D69" s="276">
        <f>0.5*D$65*$D$68</f>
        <v>7954.966087499999</v>
      </c>
      <c r="E69" s="276">
        <f t="shared" ref="E69:U70" si="15">0.5*E$65*$D$68</f>
        <v>1741.21413375</v>
      </c>
      <c r="F69" s="276">
        <f t="shared" si="15"/>
        <v>1398.2242612499999</v>
      </c>
      <c r="G69" s="276">
        <f t="shared" si="15"/>
        <v>3418.7451037499995</v>
      </c>
      <c r="H69" s="276">
        <f t="shared" si="15"/>
        <v>2769.5143687499999</v>
      </c>
      <c r="I69" s="276">
        <f t="shared" si="15"/>
        <v>4852.5547424999995</v>
      </c>
      <c r="J69" s="276">
        <f t="shared" si="15"/>
        <v>7451.7382087499991</v>
      </c>
      <c r="K69" s="276">
        <f t="shared" si="15"/>
        <v>8310.047141250001</v>
      </c>
      <c r="L69" s="276">
        <f t="shared" si="15"/>
        <v>5876.6309737499996</v>
      </c>
      <c r="M69" s="276">
        <f t="shared" si="15"/>
        <v>5273.5196662500002</v>
      </c>
      <c r="N69" s="276">
        <f t="shared" si="15"/>
        <v>5668.4111137500004</v>
      </c>
      <c r="O69" s="276">
        <f t="shared" si="15"/>
        <v>7468.3219237500007</v>
      </c>
      <c r="P69" s="276">
        <f t="shared" si="15"/>
        <v>8173.2875287500019</v>
      </c>
      <c r="Q69" s="276">
        <f t="shared" si="15"/>
        <v>7500.0609000000004</v>
      </c>
      <c r="R69" s="276">
        <f t="shared" si="15"/>
        <v>8936.1234824999992</v>
      </c>
      <c r="S69" s="276">
        <f t="shared" si="15"/>
        <v>10613.05864875</v>
      </c>
      <c r="T69" s="276">
        <f t="shared" si="15"/>
        <v>11578.030713750002</v>
      </c>
      <c r="U69" s="276">
        <f t="shared" si="15"/>
        <v>10252.737138749999</v>
      </c>
    </row>
    <row r="70" spans="3:21" x14ac:dyDescent="0.2">
      <c r="C70" s="33" t="s">
        <v>308</v>
      </c>
      <c r="D70" s="276">
        <f>0.5*D$65*$D$68</f>
        <v>7954.966087499999</v>
      </c>
      <c r="E70" s="276">
        <f t="shared" si="15"/>
        <v>1741.21413375</v>
      </c>
      <c r="F70" s="276">
        <f t="shared" si="15"/>
        <v>1398.2242612499999</v>
      </c>
      <c r="G70" s="276">
        <f t="shared" si="15"/>
        <v>3418.7451037499995</v>
      </c>
      <c r="H70" s="276">
        <f t="shared" si="15"/>
        <v>2769.5143687499999</v>
      </c>
      <c r="I70" s="276">
        <f t="shared" si="15"/>
        <v>4852.5547424999995</v>
      </c>
      <c r="J70" s="276">
        <f t="shared" si="15"/>
        <v>7451.7382087499991</v>
      </c>
      <c r="K70" s="276">
        <f t="shared" si="15"/>
        <v>8310.047141250001</v>
      </c>
      <c r="L70" s="276">
        <f t="shared" si="15"/>
        <v>5876.6309737499996</v>
      </c>
      <c r="M70" s="276">
        <f t="shared" si="15"/>
        <v>5273.5196662500002</v>
      </c>
      <c r="N70" s="276">
        <f t="shared" si="15"/>
        <v>5668.4111137500004</v>
      </c>
      <c r="O70" s="276">
        <f t="shared" si="15"/>
        <v>7468.3219237500007</v>
      </c>
      <c r="P70" s="276">
        <f t="shared" si="15"/>
        <v>8173.2875287500019</v>
      </c>
      <c r="Q70" s="276">
        <f t="shared" si="15"/>
        <v>7500.0609000000004</v>
      </c>
      <c r="R70" s="276">
        <f t="shared" si="15"/>
        <v>8936.1234824999992</v>
      </c>
      <c r="S70" s="276">
        <f t="shared" si="15"/>
        <v>10613.05864875</v>
      </c>
      <c r="T70" s="276">
        <f t="shared" si="15"/>
        <v>11578.030713750002</v>
      </c>
      <c r="U70" s="276">
        <f t="shared" si="15"/>
        <v>10252.737138749999</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ACAF54-9ED5-4F6F-B779-B7D9E5B5DC18}">
  <dimension ref="C2:AT70"/>
  <sheetViews>
    <sheetView workbookViewId="0">
      <selection activeCell="M4" sqref="M4:V4"/>
    </sheetView>
  </sheetViews>
  <sheetFormatPr defaultColWidth="7.5" defaultRowHeight="12.75" x14ac:dyDescent="0.2"/>
  <cols>
    <col min="1" max="2" width="7.5" style="33"/>
    <col min="3" max="3" width="33.25" style="33" bestFit="1" customWidth="1"/>
    <col min="4" max="4" width="7.25" style="33" customWidth="1"/>
    <col min="5" max="5" width="7.875" style="33" bestFit="1" customWidth="1"/>
    <col min="6" max="16" width="7.5" style="33"/>
    <col min="17" max="17" width="9.5" style="33" bestFit="1" customWidth="1"/>
    <col min="18" max="18" width="10.875" style="33" bestFit="1" customWidth="1"/>
    <col min="19" max="20" width="9.25" style="33" bestFit="1" customWidth="1"/>
    <col min="21" max="21" width="11.25" style="33" bestFit="1" customWidth="1"/>
    <col min="22" max="22" width="11.75" style="33" bestFit="1" customWidth="1"/>
    <col min="23" max="16384" width="7.5" style="33"/>
  </cols>
  <sheetData>
    <row r="2" spans="3:46" x14ac:dyDescent="0.2">
      <c r="C2" s="33" t="s">
        <v>369</v>
      </c>
    </row>
    <row r="3" spans="3:46" x14ac:dyDescent="0.2">
      <c r="D3" s="35"/>
      <c r="E3" s="31" t="s">
        <v>177</v>
      </c>
      <c r="F3" s="31" t="s">
        <v>178</v>
      </c>
      <c r="G3" s="31" t="s">
        <v>179</v>
      </c>
      <c r="H3" s="31" t="s">
        <v>180</v>
      </c>
      <c r="I3" s="31" t="s">
        <v>181</v>
      </c>
      <c r="J3" s="31" t="s">
        <v>182</v>
      </c>
      <c r="K3" s="31" t="s">
        <v>189</v>
      </c>
      <c r="L3" s="31" t="s">
        <v>190</v>
      </c>
      <c r="M3" s="31" t="s">
        <v>191</v>
      </c>
      <c r="N3" s="31" t="s">
        <v>192</v>
      </c>
      <c r="O3" s="31" t="s">
        <v>193</v>
      </c>
      <c r="P3" s="31" t="s">
        <v>194</v>
      </c>
      <c r="Q3" s="31" t="s">
        <v>195</v>
      </c>
      <c r="R3" s="31" t="s">
        <v>183</v>
      </c>
      <c r="S3" s="37" t="s">
        <v>196</v>
      </c>
      <c r="T3" s="37" t="s">
        <v>197</v>
      </c>
      <c r="U3" s="37" t="s">
        <v>198</v>
      </c>
      <c r="V3" s="37" t="s">
        <v>199</v>
      </c>
    </row>
    <row r="4" spans="3:46" x14ac:dyDescent="0.2">
      <c r="C4" s="33" t="s">
        <v>377</v>
      </c>
      <c r="D4" s="35"/>
      <c r="E4" s="31"/>
      <c r="F4" s="31"/>
      <c r="G4" s="31"/>
      <c r="H4" s="31"/>
      <c r="I4" s="31"/>
      <c r="J4" s="31"/>
      <c r="K4" s="31"/>
      <c r="L4" s="31"/>
      <c r="M4" s="34">
        <f>'Historical growth capex'!M89/1000000</f>
        <v>3.6380778685704174</v>
      </c>
      <c r="N4" s="34">
        <f>'Historical growth capex'!N89/1000000</f>
        <v>3.8112104147929391</v>
      </c>
      <c r="O4" s="34">
        <f>'Historical growth capex'!O89/1000000</f>
        <v>8.954403021352217</v>
      </c>
      <c r="P4" s="34">
        <f>'Historical growth capex'!P89/1000000</f>
        <v>5.8044275354444324</v>
      </c>
      <c r="Q4" s="34">
        <f>'Historical growth capex'!Q89/1000000</f>
        <v>10.997123251174955</v>
      </c>
      <c r="R4" s="34">
        <f>'Historical growth capex'!R89/1000000</f>
        <v>18.399444983319395</v>
      </c>
      <c r="S4" s="34">
        <f>'Historical growth capex'!S89/1000000</f>
        <v>24.142938895063484</v>
      </c>
      <c r="T4" s="34">
        <f>'Historical growth capex'!T89/1000000</f>
        <v>34.1811413039771</v>
      </c>
      <c r="U4" s="34">
        <f>'Historical growth capex'!U89/1000000</f>
        <v>4.7735179096363911</v>
      </c>
      <c r="V4" s="34">
        <f>'Historical growth capex'!V89/1000000</f>
        <v>8.129742085871035</v>
      </c>
    </row>
    <row r="5" spans="3:46" x14ac:dyDescent="0.2">
      <c r="C5" s="33" t="s">
        <v>374</v>
      </c>
      <c r="E5" s="36"/>
      <c r="F5" s="36"/>
      <c r="G5" s="36"/>
      <c r="H5" s="36"/>
      <c r="I5" s="36"/>
      <c r="J5" s="36"/>
      <c r="K5" s="36"/>
      <c r="L5" s="36"/>
      <c r="M5" s="36">
        <f>SUM('[16]Summary CAPEX $1718'!F$59,0.5*'[16]Summary CAPEX $1718'!F$60)/'Historical growth capex'!M77*'Renewal capex'!$H54</f>
        <v>10.67612001497363</v>
      </c>
      <c r="N5" s="36">
        <f>SUM('[16]Summary CAPEX $1718'!G$59,0.5*'[16]Summary CAPEX $1718'!G$60)/'Historical growth capex'!N77*'Renewal capex'!$H54</f>
        <v>9.1067258093335877</v>
      </c>
      <c r="O5" s="36">
        <f>SUM('[16]Summary CAPEX $1718'!H$59,0.5*'[16]Summary CAPEX $1718'!H$60)/'Historical growth capex'!O77*'Renewal capex'!$H54</f>
        <v>8.2725678121788189</v>
      </c>
      <c r="P5" s="36">
        <f>SUM('[16]Summary CAPEX $1718'!I$59,0.5*'[16]Summary CAPEX $1718'!I$60)/'Historical growth capex'!P77*'Renewal capex'!$H54</f>
        <v>8.1144643854168805</v>
      </c>
      <c r="Q5" s="36">
        <f>SUM('[16]Summary CAPEX $1718'!J$59,0.5*'[16]Summary CAPEX $1718'!J$60)/'Historical growth capex'!Q77*'Renewal capex'!$H54</f>
        <v>10.396473602415567</v>
      </c>
      <c r="R5" s="36">
        <f>'Renewal capex'!C58/'Historical growth capex'!R77/1000000</f>
        <v>11.517795524321834</v>
      </c>
      <c r="S5" s="36">
        <f>'Renewal capex'!D58/'Historical growth capex'!S77/1000000</f>
        <v>10.55436097296654</v>
      </c>
      <c r="T5" s="36">
        <f>'Renewal capex'!E58/'Historical growth capex'!T77/1000000</f>
        <v>11.841000322969609</v>
      </c>
      <c r="U5" s="36">
        <f>'Renewal capex'!F58/'Historical growth capex'!U77/1000000</f>
        <v>13.102033037998002</v>
      </c>
      <c r="V5" s="36">
        <f>'Renewal capex'!G58/'Historical growth capex'!V77/1000000</f>
        <v>13.8690335664114</v>
      </c>
      <c r="W5" s="36"/>
      <c r="X5" s="36"/>
      <c r="Y5" s="36"/>
      <c r="Z5" s="36"/>
      <c r="AA5" s="36"/>
      <c r="AB5" s="36"/>
      <c r="AC5" s="36"/>
      <c r="AD5" s="36"/>
      <c r="AE5" s="36"/>
      <c r="AF5" s="36"/>
      <c r="AG5" s="36"/>
      <c r="AH5" s="36"/>
      <c r="AI5" s="36"/>
      <c r="AJ5" s="36"/>
      <c r="AK5" s="36"/>
      <c r="AL5" s="36"/>
      <c r="AM5" s="36"/>
      <c r="AN5" s="36"/>
      <c r="AO5" s="36"/>
      <c r="AP5" s="36"/>
      <c r="AQ5" s="36"/>
      <c r="AR5" s="36"/>
      <c r="AS5" s="36"/>
      <c r="AT5" s="36"/>
    </row>
    <row r="6" spans="3:46" x14ac:dyDescent="0.2">
      <c r="C6" s="33" t="s">
        <v>376</v>
      </c>
      <c r="E6" s="34"/>
      <c r="F6" s="34"/>
      <c r="G6" s="34"/>
      <c r="H6" s="34"/>
      <c r="I6" s="34"/>
      <c r="J6" s="34"/>
      <c r="K6" s="34"/>
      <c r="L6" s="34"/>
      <c r="M6" s="34">
        <f>L70/1000</f>
        <v>5.8766309737499993</v>
      </c>
      <c r="N6" s="34">
        <f t="shared" ref="N6:V6" si="0">M70/1000</f>
        <v>5.2735196662500003</v>
      </c>
      <c r="O6" s="34">
        <f t="shared" si="0"/>
        <v>5.6684111137500004</v>
      </c>
      <c r="P6" s="34">
        <f t="shared" si="0"/>
        <v>7.4683219237500005</v>
      </c>
      <c r="Q6" s="34">
        <f t="shared" si="0"/>
        <v>8.1732875287500022</v>
      </c>
      <c r="R6" s="34">
        <f t="shared" si="0"/>
        <v>7.5000609000000003</v>
      </c>
      <c r="S6" s="34">
        <f t="shared" si="0"/>
        <v>8.9361234824999993</v>
      </c>
      <c r="T6" s="34">
        <f t="shared" si="0"/>
        <v>10.61305864875</v>
      </c>
      <c r="U6" s="34">
        <f t="shared" si="0"/>
        <v>11.578030713750001</v>
      </c>
      <c r="V6" s="34">
        <f t="shared" si="0"/>
        <v>10.25273713875</v>
      </c>
    </row>
    <row r="7" spans="3:46" x14ac:dyDescent="0.2">
      <c r="C7" s="33" t="s">
        <v>375</v>
      </c>
      <c r="E7" s="36"/>
      <c r="F7" s="36"/>
      <c r="G7" s="36"/>
      <c r="H7" s="36"/>
      <c r="I7" s="36"/>
      <c r="J7" s="36"/>
      <c r="K7" s="36"/>
      <c r="L7" s="36"/>
      <c r="M7" s="36">
        <f t="shared" ref="M7:V7" si="1">M5+M4-M6</f>
        <v>8.4375669097940467</v>
      </c>
      <c r="N7" s="36">
        <f t="shared" si="1"/>
        <v>7.644416557876526</v>
      </c>
      <c r="O7" s="36">
        <f t="shared" si="1"/>
        <v>11.558559719781034</v>
      </c>
      <c r="P7" s="36">
        <f t="shared" si="1"/>
        <v>6.4505699971113124</v>
      </c>
      <c r="Q7" s="36">
        <f t="shared" si="1"/>
        <v>13.220309324840521</v>
      </c>
      <c r="R7" s="36">
        <f t="shared" si="1"/>
        <v>22.417179607641227</v>
      </c>
      <c r="S7" s="36">
        <f t="shared" si="1"/>
        <v>25.761176385530021</v>
      </c>
      <c r="T7" s="36">
        <f t="shared" si="1"/>
        <v>35.409082978196707</v>
      </c>
      <c r="U7" s="36">
        <f t="shared" si="1"/>
        <v>6.2975202338843932</v>
      </c>
      <c r="V7" s="36">
        <f t="shared" si="1"/>
        <v>11.746038513532433</v>
      </c>
      <c r="W7" s="36">
        <f>SUM(E7:V7)</f>
        <v>148.94242022818821</v>
      </c>
    </row>
    <row r="8" spans="3:46" x14ac:dyDescent="0.2">
      <c r="W8" s="36"/>
    </row>
    <row r="9" spans="3:46" x14ac:dyDescent="0.2">
      <c r="E9" s="36"/>
      <c r="F9" s="36"/>
      <c r="G9" s="36"/>
      <c r="H9" s="36"/>
      <c r="I9" s="36"/>
      <c r="J9" s="36"/>
      <c r="K9" s="36"/>
      <c r="L9" s="36"/>
      <c r="M9" s="36"/>
      <c r="N9" s="36"/>
      <c r="O9" s="36"/>
      <c r="P9" s="36"/>
      <c r="Q9" s="36"/>
      <c r="R9" s="36"/>
      <c r="S9" s="36"/>
      <c r="T9" s="36"/>
      <c r="U9" s="36"/>
    </row>
    <row r="10" spans="3:46" x14ac:dyDescent="0.2">
      <c r="E10" s="36"/>
      <c r="F10" s="36"/>
      <c r="G10" s="36"/>
      <c r="H10" s="36"/>
      <c r="I10" s="36"/>
      <c r="J10" s="36"/>
      <c r="K10" s="36"/>
      <c r="L10" s="36"/>
      <c r="M10" s="36"/>
      <c r="N10" s="36"/>
      <c r="O10" s="36"/>
      <c r="P10" s="36"/>
      <c r="Q10" s="36"/>
      <c r="R10" s="36"/>
      <c r="S10" s="36"/>
      <c r="T10" s="36"/>
      <c r="U10" s="36"/>
    </row>
    <row r="12" spans="3:46" ht="15.75" x14ac:dyDescent="0.25">
      <c r="Q12"/>
      <c r="R12"/>
      <c r="S12"/>
      <c r="T12"/>
      <c r="U12"/>
      <c r="V12"/>
    </row>
    <row r="13" spans="3:46" s="31" customFormat="1" x14ac:dyDescent="0.2">
      <c r="C13" s="31" t="s">
        <v>220</v>
      </c>
      <c r="D13" s="31" t="s">
        <v>221</v>
      </c>
      <c r="E13" s="31" t="s">
        <v>177</v>
      </c>
      <c r="F13" s="31" t="s">
        <v>178</v>
      </c>
      <c r="G13" s="31" t="s">
        <v>179</v>
      </c>
      <c r="H13" s="31" t="s">
        <v>180</v>
      </c>
      <c r="I13" s="31" t="s">
        <v>181</v>
      </c>
      <c r="J13" s="31" t="s">
        <v>182</v>
      </c>
      <c r="K13" s="31" t="s">
        <v>189</v>
      </c>
      <c r="L13" s="31" t="s">
        <v>190</v>
      </c>
      <c r="M13" s="31" t="s">
        <v>191</v>
      </c>
      <c r="N13" s="31" t="s">
        <v>192</v>
      </c>
      <c r="O13" s="31" t="s">
        <v>193</v>
      </c>
      <c r="P13" s="31" t="s">
        <v>194</v>
      </c>
      <c r="Q13" s="31" t="s">
        <v>195</v>
      </c>
      <c r="R13" s="31" t="s">
        <v>183</v>
      </c>
      <c r="S13" s="37" t="s">
        <v>196</v>
      </c>
      <c r="T13" s="37" t="s">
        <v>197</v>
      </c>
      <c r="U13" s="37" t="s">
        <v>198</v>
      </c>
      <c r="V13" s="37" t="s">
        <v>199</v>
      </c>
      <c r="W13" s="31" t="s">
        <v>365</v>
      </c>
      <c r="X13" s="37"/>
    </row>
    <row r="14" spans="3:46" x14ac:dyDescent="0.2">
      <c r="C14" s="33" t="s">
        <v>177</v>
      </c>
      <c r="D14" s="33">
        <v>80</v>
      </c>
      <c r="E14" s="36">
        <f>$E$7/$D$14/2</f>
        <v>0</v>
      </c>
      <c r="F14" s="36">
        <f t="shared" ref="F14:V14" si="2">$E$7/$D$14</f>
        <v>0</v>
      </c>
      <c r="G14" s="36">
        <f t="shared" si="2"/>
        <v>0</v>
      </c>
      <c r="H14" s="36">
        <f t="shared" si="2"/>
        <v>0</v>
      </c>
      <c r="I14" s="36">
        <f t="shared" si="2"/>
        <v>0</v>
      </c>
      <c r="J14" s="36">
        <f t="shared" si="2"/>
        <v>0</v>
      </c>
      <c r="K14" s="36">
        <f t="shared" si="2"/>
        <v>0</v>
      </c>
      <c r="L14" s="36">
        <f t="shared" si="2"/>
        <v>0</v>
      </c>
      <c r="M14" s="36">
        <f t="shared" si="2"/>
        <v>0</v>
      </c>
      <c r="N14" s="36">
        <f t="shared" si="2"/>
        <v>0</v>
      </c>
      <c r="O14" s="36">
        <f t="shared" si="2"/>
        <v>0</v>
      </c>
      <c r="P14" s="36">
        <f t="shared" si="2"/>
        <v>0</v>
      </c>
      <c r="Q14" s="36">
        <f t="shared" si="2"/>
        <v>0</v>
      </c>
      <c r="R14" s="36">
        <f t="shared" si="2"/>
        <v>0</v>
      </c>
      <c r="S14" s="36">
        <f t="shared" si="2"/>
        <v>0</v>
      </c>
      <c r="T14" s="36">
        <f t="shared" si="2"/>
        <v>0</v>
      </c>
      <c r="U14" s="36">
        <f t="shared" si="2"/>
        <v>0</v>
      </c>
      <c r="V14" s="36">
        <f t="shared" si="2"/>
        <v>0</v>
      </c>
      <c r="W14" s="36"/>
    </row>
    <row r="15" spans="3:46" x14ac:dyDescent="0.2">
      <c r="C15" s="33" t="s">
        <v>178</v>
      </c>
      <c r="D15" s="33">
        <v>80</v>
      </c>
      <c r="E15" s="36"/>
      <c r="F15" s="36">
        <f>$F$7/$D$15/2</f>
        <v>0</v>
      </c>
      <c r="G15" s="36">
        <f t="shared" ref="G15:V15" si="3">$F$7/$D$15</f>
        <v>0</v>
      </c>
      <c r="H15" s="36">
        <f t="shared" si="3"/>
        <v>0</v>
      </c>
      <c r="I15" s="36">
        <f t="shared" si="3"/>
        <v>0</v>
      </c>
      <c r="J15" s="36">
        <f t="shared" si="3"/>
        <v>0</v>
      </c>
      <c r="K15" s="36">
        <f t="shared" si="3"/>
        <v>0</v>
      </c>
      <c r="L15" s="36">
        <f t="shared" si="3"/>
        <v>0</v>
      </c>
      <c r="M15" s="36">
        <f t="shared" si="3"/>
        <v>0</v>
      </c>
      <c r="N15" s="36">
        <f t="shared" si="3"/>
        <v>0</v>
      </c>
      <c r="O15" s="36">
        <f t="shared" si="3"/>
        <v>0</v>
      </c>
      <c r="P15" s="36">
        <f t="shared" si="3"/>
        <v>0</v>
      </c>
      <c r="Q15" s="36">
        <f t="shared" si="3"/>
        <v>0</v>
      </c>
      <c r="R15" s="36">
        <f t="shared" si="3"/>
        <v>0</v>
      </c>
      <c r="S15" s="36">
        <f t="shared" si="3"/>
        <v>0</v>
      </c>
      <c r="T15" s="36">
        <f t="shared" si="3"/>
        <v>0</v>
      </c>
      <c r="U15" s="36">
        <f t="shared" si="3"/>
        <v>0</v>
      </c>
      <c r="V15" s="36">
        <f t="shared" si="3"/>
        <v>0</v>
      </c>
      <c r="W15" s="36"/>
    </row>
    <row r="16" spans="3:46" x14ac:dyDescent="0.2">
      <c r="C16" s="33" t="s">
        <v>179</v>
      </c>
      <c r="D16" s="33">
        <v>80</v>
      </c>
      <c r="E16" s="36"/>
      <c r="F16" s="36"/>
      <c r="G16" s="36">
        <f>$G$7/$D$16/2</f>
        <v>0</v>
      </c>
      <c r="H16" s="36">
        <f t="shared" ref="H16:V16" si="4">$G$7/$D$16</f>
        <v>0</v>
      </c>
      <c r="I16" s="36">
        <f t="shared" si="4"/>
        <v>0</v>
      </c>
      <c r="J16" s="36">
        <f t="shared" si="4"/>
        <v>0</v>
      </c>
      <c r="K16" s="36">
        <f t="shared" si="4"/>
        <v>0</v>
      </c>
      <c r="L16" s="36">
        <f t="shared" si="4"/>
        <v>0</v>
      </c>
      <c r="M16" s="36">
        <f t="shared" si="4"/>
        <v>0</v>
      </c>
      <c r="N16" s="36">
        <f t="shared" si="4"/>
        <v>0</v>
      </c>
      <c r="O16" s="36">
        <f t="shared" si="4"/>
        <v>0</v>
      </c>
      <c r="P16" s="36">
        <f t="shared" si="4"/>
        <v>0</v>
      </c>
      <c r="Q16" s="36">
        <f t="shared" si="4"/>
        <v>0</v>
      </c>
      <c r="R16" s="36">
        <f t="shared" si="4"/>
        <v>0</v>
      </c>
      <c r="S16" s="36">
        <f t="shared" si="4"/>
        <v>0</v>
      </c>
      <c r="T16" s="36">
        <f t="shared" si="4"/>
        <v>0</v>
      </c>
      <c r="U16" s="36">
        <f t="shared" si="4"/>
        <v>0</v>
      </c>
      <c r="V16" s="36">
        <f t="shared" si="4"/>
        <v>0</v>
      </c>
      <c r="W16" s="36"/>
    </row>
    <row r="17" spans="3:24" x14ac:dyDescent="0.2">
      <c r="C17" s="33" t="s">
        <v>180</v>
      </c>
      <c r="D17" s="33">
        <v>80</v>
      </c>
      <c r="E17" s="36"/>
      <c r="F17" s="36"/>
      <c r="G17" s="36"/>
      <c r="H17" s="36">
        <f>$H$7/$D$17/2</f>
        <v>0</v>
      </c>
      <c r="I17" s="36">
        <f t="shared" ref="I17:V17" si="5">$H$7/$D$17</f>
        <v>0</v>
      </c>
      <c r="J17" s="36">
        <f t="shared" si="5"/>
        <v>0</v>
      </c>
      <c r="K17" s="36">
        <f t="shared" si="5"/>
        <v>0</v>
      </c>
      <c r="L17" s="36">
        <f t="shared" si="5"/>
        <v>0</v>
      </c>
      <c r="M17" s="36">
        <f t="shared" si="5"/>
        <v>0</v>
      </c>
      <c r="N17" s="36">
        <f t="shared" si="5"/>
        <v>0</v>
      </c>
      <c r="O17" s="36">
        <f t="shared" si="5"/>
        <v>0</v>
      </c>
      <c r="P17" s="36">
        <f t="shared" si="5"/>
        <v>0</v>
      </c>
      <c r="Q17" s="36">
        <f t="shared" si="5"/>
        <v>0</v>
      </c>
      <c r="R17" s="36">
        <f t="shared" si="5"/>
        <v>0</v>
      </c>
      <c r="S17" s="36">
        <f t="shared" si="5"/>
        <v>0</v>
      </c>
      <c r="T17" s="36">
        <f t="shared" si="5"/>
        <v>0</v>
      </c>
      <c r="U17" s="36">
        <f t="shared" si="5"/>
        <v>0</v>
      </c>
      <c r="V17" s="36">
        <f t="shared" si="5"/>
        <v>0</v>
      </c>
      <c r="W17" s="36"/>
    </row>
    <row r="18" spans="3:24" x14ac:dyDescent="0.2">
      <c r="C18" s="33" t="s">
        <v>181</v>
      </c>
      <c r="D18" s="33">
        <v>80</v>
      </c>
      <c r="E18" s="36"/>
      <c r="F18" s="36"/>
      <c r="G18" s="36"/>
      <c r="H18" s="36"/>
      <c r="I18" s="36">
        <f>$I$7/$D$18/2</f>
        <v>0</v>
      </c>
      <c r="J18" s="36">
        <f t="shared" ref="J18:V18" si="6">$I$7/$D$18</f>
        <v>0</v>
      </c>
      <c r="K18" s="36">
        <f t="shared" si="6"/>
        <v>0</v>
      </c>
      <c r="L18" s="36">
        <f t="shared" si="6"/>
        <v>0</v>
      </c>
      <c r="M18" s="36">
        <f t="shared" si="6"/>
        <v>0</v>
      </c>
      <c r="N18" s="36">
        <f t="shared" si="6"/>
        <v>0</v>
      </c>
      <c r="O18" s="36">
        <f t="shared" si="6"/>
        <v>0</v>
      </c>
      <c r="P18" s="36">
        <f t="shared" si="6"/>
        <v>0</v>
      </c>
      <c r="Q18" s="36">
        <f t="shared" si="6"/>
        <v>0</v>
      </c>
      <c r="R18" s="36">
        <f t="shared" si="6"/>
        <v>0</v>
      </c>
      <c r="S18" s="36">
        <f t="shared" si="6"/>
        <v>0</v>
      </c>
      <c r="T18" s="36">
        <f t="shared" si="6"/>
        <v>0</v>
      </c>
      <c r="U18" s="36">
        <f t="shared" si="6"/>
        <v>0</v>
      </c>
      <c r="V18" s="36">
        <f t="shared" si="6"/>
        <v>0</v>
      </c>
      <c r="W18" s="36"/>
    </row>
    <row r="19" spans="3:24" x14ac:dyDescent="0.2">
      <c r="C19" s="33" t="s">
        <v>182</v>
      </c>
      <c r="D19" s="33">
        <v>80</v>
      </c>
      <c r="E19" s="36"/>
      <c r="F19" s="36"/>
      <c r="G19" s="36"/>
      <c r="H19" s="36"/>
      <c r="I19" s="36"/>
      <c r="J19" s="36">
        <f t="shared" ref="J19:V19" si="7">$J$7/$D$19/2</f>
        <v>0</v>
      </c>
      <c r="K19" s="36">
        <f t="shared" si="7"/>
        <v>0</v>
      </c>
      <c r="L19" s="36">
        <f t="shared" si="7"/>
        <v>0</v>
      </c>
      <c r="M19" s="36">
        <f t="shared" si="7"/>
        <v>0</v>
      </c>
      <c r="N19" s="36">
        <f t="shared" si="7"/>
        <v>0</v>
      </c>
      <c r="O19" s="36">
        <f t="shared" si="7"/>
        <v>0</v>
      </c>
      <c r="P19" s="36">
        <f t="shared" si="7"/>
        <v>0</v>
      </c>
      <c r="Q19" s="36">
        <f t="shared" si="7"/>
        <v>0</v>
      </c>
      <c r="R19" s="36">
        <f t="shared" si="7"/>
        <v>0</v>
      </c>
      <c r="S19" s="36">
        <f t="shared" si="7"/>
        <v>0</v>
      </c>
      <c r="T19" s="36">
        <f t="shared" si="7"/>
        <v>0</v>
      </c>
      <c r="U19" s="36">
        <f t="shared" si="7"/>
        <v>0</v>
      </c>
      <c r="V19" s="36">
        <f t="shared" si="7"/>
        <v>0</v>
      </c>
      <c r="W19" s="36"/>
    </row>
    <row r="20" spans="3:24" x14ac:dyDescent="0.2">
      <c r="C20" s="33" t="s">
        <v>189</v>
      </c>
      <c r="D20" s="33">
        <v>80</v>
      </c>
      <c r="E20" s="36"/>
      <c r="F20" s="36"/>
      <c r="G20" s="36"/>
      <c r="H20" s="36"/>
      <c r="I20" s="36"/>
      <c r="J20" s="36"/>
      <c r="K20" s="36">
        <f>$K$7/$D$20/2</f>
        <v>0</v>
      </c>
      <c r="L20" s="36">
        <f t="shared" ref="L20:V20" si="8">$K$7/$D$20</f>
        <v>0</v>
      </c>
      <c r="M20" s="36">
        <f t="shared" si="8"/>
        <v>0</v>
      </c>
      <c r="N20" s="36">
        <f t="shared" si="8"/>
        <v>0</v>
      </c>
      <c r="O20" s="36">
        <f t="shared" si="8"/>
        <v>0</v>
      </c>
      <c r="P20" s="36">
        <f t="shared" si="8"/>
        <v>0</v>
      </c>
      <c r="Q20" s="36">
        <f t="shared" si="8"/>
        <v>0</v>
      </c>
      <c r="R20" s="36">
        <f t="shared" si="8"/>
        <v>0</v>
      </c>
      <c r="S20" s="36">
        <f t="shared" si="8"/>
        <v>0</v>
      </c>
      <c r="T20" s="36">
        <f t="shared" si="8"/>
        <v>0</v>
      </c>
      <c r="U20" s="36">
        <f t="shared" si="8"/>
        <v>0</v>
      </c>
      <c r="V20" s="36">
        <f t="shared" si="8"/>
        <v>0</v>
      </c>
      <c r="W20" s="36"/>
    </row>
    <row r="21" spans="3:24" x14ac:dyDescent="0.2">
      <c r="C21" s="33" t="s">
        <v>190</v>
      </c>
      <c r="D21" s="33">
        <v>80</v>
      </c>
      <c r="E21" s="36"/>
      <c r="F21" s="36"/>
      <c r="G21" s="36"/>
      <c r="H21" s="36"/>
      <c r="I21" s="36"/>
      <c r="J21" s="36"/>
      <c r="K21" s="36"/>
      <c r="L21" s="36">
        <f>$L$7/$D$21/2</f>
        <v>0</v>
      </c>
      <c r="M21" s="36">
        <f t="shared" ref="M21:V21" si="9">$L$7/$D$21</f>
        <v>0</v>
      </c>
      <c r="N21" s="36">
        <f t="shared" si="9"/>
        <v>0</v>
      </c>
      <c r="O21" s="36">
        <f t="shared" si="9"/>
        <v>0</v>
      </c>
      <c r="P21" s="36">
        <f t="shared" si="9"/>
        <v>0</v>
      </c>
      <c r="Q21" s="36">
        <f t="shared" si="9"/>
        <v>0</v>
      </c>
      <c r="R21" s="36">
        <f t="shared" si="9"/>
        <v>0</v>
      </c>
      <c r="S21" s="36">
        <f t="shared" si="9"/>
        <v>0</v>
      </c>
      <c r="T21" s="36">
        <f t="shared" si="9"/>
        <v>0</v>
      </c>
      <c r="U21" s="36">
        <f t="shared" si="9"/>
        <v>0</v>
      </c>
      <c r="V21" s="36">
        <f t="shared" si="9"/>
        <v>0</v>
      </c>
      <c r="W21" s="36"/>
    </row>
    <row r="22" spans="3:24" x14ac:dyDescent="0.2">
      <c r="C22" s="33" t="s">
        <v>191</v>
      </c>
      <c r="D22" s="33">
        <v>80</v>
      </c>
      <c r="E22" s="36"/>
      <c r="F22" s="36"/>
      <c r="G22" s="36"/>
      <c r="H22" s="36"/>
      <c r="I22" s="36"/>
      <c r="J22" s="36"/>
      <c r="K22" s="36"/>
      <c r="L22" s="36"/>
      <c r="M22" s="36">
        <f>$M$7/$D$22/2</f>
        <v>5.273479318621279E-2</v>
      </c>
      <c r="N22" s="36">
        <f t="shared" ref="N22:V22" si="10">$M$7/$D$22</f>
        <v>0.10546958637242558</v>
      </c>
      <c r="O22" s="36">
        <f t="shared" si="10"/>
        <v>0.10546958637242558</v>
      </c>
      <c r="P22" s="36">
        <f t="shared" si="10"/>
        <v>0.10546958637242558</v>
      </c>
      <c r="Q22" s="36">
        <f t="shared" si="10"/>
        <v>0.10546958637242558</v>
      </c>
      <c r="R22" s="36">
        <f t="shared" si="10"/>
        <v>0.10546958637242558</v>
      </c>
      <c r="S22" s="36">
        <f t="shared" si="10"/>
        <v>0.10546958637242558</v>
      </c>
      <c r="T22" s="36">
        <f t="shared" si="10"/>
        <v>0.10546958637242558</v>
      </c>
      <c r="U22" s="36">
        <f t="shared" si="10"/>
        <v>0.10546958637242558</v>
      </c>
      <c r="V22" s="36">
        <f t="shared" si="10"/>
        <v>0.10546958637242558</v>
      </c>
      <c r="W22" s="36"/>
    </row>
    <row r="23" spans="3:24" x14ac:dyDescent="0.2">
      <c r="C23" s="33" t="s">
        <v>192</v>
      </c>
      <c r="D23" s="33">
        <v>80</v>
      </c>
      <c r="E23" s="36"/>
      <c r="F23" s="36"/>
      <c r="G23" s="36"/>
      <c r="H23" s="36"/>
      <c r="I23" s="36"/>
      <c r="J23" s="36"/>
      <c r="K23" s="36"/>
      <c r="L23" s="36"/>
      <c r="M23" s="36"/>
      <c r="N23" s="36">
        <f>$N$7/$D$23</f>
        <v>9.5555206973456569E-2</v>
      </c>
      <c r="O23" s="36">
        <f t="shared" ref="O23:V23" si="11">$N$7/$D$23/2</f>
        <v>4.7777603486728284E-2</v>
      </c>
      <c r="P23" s="36">
        <f t="shared" si="11"/>
        <v>4.7777603486728284E-2</v>
      </c>
      <c r="Q23" s="36">
        <f t="shared" si="11"/>
        <v>4.7777603486728284E-2</v>
      </c>
      <c r="R23" s="36">
        <f t="shared" si="11"/>
        <v>4.7777603486728284E-2</v>
      </c>
      <c r="S23" s="36">
        <f t="shared" si="11"/>
        <v>4.7777603486728284E-2</v>
      </c>
      <c r="T23" s="36">
        <f t="shared" si="11"/>
        <v>4.7777603486728284E-2</v>
      </c>
      <c r="U23" s="36">
        <f t="shared" si="11"/>
        <v>4.7777603486728284E-2</v>
      </c>
      <c r="V23" s="36">
        <f t="shared" si="11"/>
        <v>4.7777603486728284E-2</v>
      </c>
      <c r="W23" s="36"/>
    </row>
    <row r="24" spans="3:24" x14ac:dyDescent="0.2">
      <c r="C24" s="33" t="s">
        <v>193</v>
      </c>
      <c r="D24" s="33">
        <v>80</v>
      </c>
      <c r="E24" s="36"/>
      <c r="F24" s="36"/>
      <c r="G24" s="36"/>
      <c r="H24" s="36"/>
      <c r="I24" s="36"/>
      <c r="J24" s="36"/>
      <c r="K24" s="36"/>
      <c r="L24" s="36"/>
      <c r="M24" s="36"/>
      <c r="O24" s="36">
        <f>$O$7/$D$23/2</f>
        <v>7.2240998248631463E-2</v>
      </c>
      <c r="P24" s="36">
        <f t="shared" ref="P24:V24" si="12">$O$7/$D$23</f>
        <v>0.14448199649726293</v>
      </c>
      <c r="Q24" s="36">
        <f t="shared" si="12"/>
        <v>0.14448199649726293</v>
      </c>
      <c r="R24" s="36">
        <f t="shared" si="12"/>
        <v>0.14448199649726293</v>
      </c>
      <c r="S24" s="36">
        <f t="shared" si="12"/>
        <v>0.14448199649726293</v>
      </c>
      <c r="T24" s="36">
        <f t="shared" si="12"/>
        <v>0.14448199649726293</v>
      </c>
      <c r="U24" s="36">
        <f t="shared" si="12"/>
        <v>0.14448199649726293</v>
      </c>
      <c r="V24" s="36">
        <f t="shared" si="12"/>
        <v>0.14448199649726293</v>
      </c>
      <c r="W24" s="36"/>
    </row>
    <row r="25" spans="3:24" x14ac:dyDescent="0.2">
      <c r="C25" s="33" t="s">
        <v>194</v>
      </c>
      <c r="D25" s="33">
        <v>80</v>
      </c>
      <c r="E25" s="36"/>
      <c r="F25" s="36"/>
      <c r="G25" s="36"/>
      <c r="H25" s="36"/>
      <c r="I25" s="36"/>
      <c r="J25" s="36"/>
      <c r="K25" s="36"/>
      <c r="L25" s="36"/>
      <c r="M25" s="36"/>
      <c r="P25" s="36">
        <f>$P$7/$D$25/2</f>
        <v>4.0316062481945705E-2</v>
      </c>
      <c r="Q25" s="36">
        <f t="shared" ref="Q25:V25" si="13">$P$7/$D$25</f>
        <v>8.0632124963891411E-2</v>
      </c>
      <c r="R25" s="36">
        <f t="shared" si="13"/>
        <v>8.0632124963891411E-2</v>
      </c>
      <c r="S25" s="36">
        <f t="shared" si="13"/>
        <v>8.0632124963891411E-2</v>
      </c>
      <c r="T25" s="36">
        <f t="shared" si="13"/>
        <v>8.0632124963891411E-2</v>
      </c>
      <c r="U25" s="36">
        <f t="shared" si="13"/>
        <v>8.0632124963891411E-2</v>
      </c>
      <c r="V25" s="36">
        <f t="shared" si="13"/>
        <v>8.0632124963891411E-2</v>
      </c>
      <c r="W25" s="36"/>
    </row>
    <row r="26" spans="3:24" x14ac:dyDescent="0.2">
      <c r="C26" s="33" t="s">
        <v>195</v>
      </c>
      <c r="D26" s="33">
        <v>80</v>
      </c>
      <c r="E26" s="36"/>
      <c r="F26" s="36"/>
      <c r="G26" s="36"/>
      <c r="H26" s="36"/>
      <c r="I26" s="36"/>
      <c r="J26" s="36"/>
      <c r="K26" s="36"/>
      <c r="L26" s="36"/>
      <c r="M26" s="36"/>
      <c r="Q26" s="36">
        <f>$Q$7/$D$26/2</f>
        <v>8.2626933280253251E-2</v>
      </c>
      <c r="R26" s="36">
        <f>$Q$7/$D$26/2</f>
        <v>8.2626933280253251E-2</v>
      </c>
      <c r="S26" s="36">
        <f>$Q$7/$D$26</f>
        <v>0.1652538665605065</v>
      </c>
      <c r="T26" s="36">
        <f>$Q$7/$D$26</f>
        <v>0.1652538665605065</v>
      </c>
      <c r="U26" s="36">
        <f>$Q$7/$D$26</f>
        <v>0.1652538665605065</v>
      </c>
      <c r="V26" s="36">
        <f>$Q$7/$D$26</f>
        <v>0.1652538665605065</v>
      </c>
      <c r="W26" s="36"/>
    </row>
    <row r="27" spans="3:24" x14ac:dyDescent="0.2">
      <c r="C27" s="33" t="s">
        <v>183</v>
      </c>
      <c r="D27" s="33">
        <v>80</v>
      </c>
      <c r="E27" s="36"/>
      <c r="F27" s="36"/>
      <c r="G27" s="36"/>
      <c r="H27" s="36"/>
      <c r="I27" s="36"/>
      <c r="J27" s="36"/>
      <c r="K27" s="36"/>
      <c r="L27" s="36"/>
      <c r="M27" s="36"/>
      <c r="Q27" s="36"/>
      <c r="R27" s="36">
        <f>$R$7/$D$27/2</f>
        <v>0.14010737254775768</v>
      </c>
      <c r="S27" s="36">
        <f>$R$7/$D$27</f>
        <v>0.28021474509551536</v>
      </c>
      <c r="T27" s="36">
        <f>$R$7/$D$27</f>
        <v>0.28021474509551536</v>
      </c>
      <c r="U27" s="36">
        <f>$R$7/$D$27</f>
        <v>0.28021474509551536</v>
      </c>
      <c r="V27" s="36">
        <f>$R$7/$D$27</f>
        <v>0.28021474509551536</v>
      </c>
      <c r="W27" s="36"/>
    </row>
    <row r="28" spans="3:24" x14ac:dyDescent="0.2">
      <c r="C28" s="33" t="s">
        <v>196</v>
      </c>
      <c r="D28" s="33">
        <v>80</v>
      </c>
      <c r="S28" s="36">
        <f>$R$7/$D$28/2</f>
        <v>0.14010737254775768</v>
      </c>
      <c r="T28" s="36">
        <f>$R$7/$D$28</f>
        <v>0.28021474509551536</v>
      </c>
      <c r="U28" s="36">
        <f>$R$7/$D$28</f>
        <v>0.28021474509551536</v>
      </c>
      <c r="V28" s="36">
        <f>$R$7/$D$28</f>
        <v>0.28021474509551536</v>
      </c>
      <c r="W28" s="36"/>
    </row>
    <row r="29" spans="3:24" x14ac:dyDescent="0.2">
      <c r="C29" s="33" t="s">
        <v>197</v>
      </c>
      <c r="D29" s="33">
        <v>80</v>
      </c>
      <c r="S29" s="38"/>
      <c r="T29" s="36">
        <f>$T$7/$D$29/2</f>
        <v>0.22130676861372942</v>
      </c>
      <c r="U29" s="36">
        <f>$T$7/$D$29</f>
        <v>0.44261353722745883</v>
      </c>
      <c r="V29" s="36">
        <f>$T$7/$D$29</f>
        <v>0.44261353722745883</v>
      </c>
      <c r="W29" s="36"/>
      <c r="X29" s="38"/>
    </row>
    <row r="30" spans="3:24" x14ac:dyDescent="0.2">
      <c r="C30" s="33" t="s">
        <v>198</v>
      </c>
      <c r="D30" s="33">
        <v>80</v>
      </c>
      <c r="U30" s="36">
        <f>$U$7/$D$30/2</f>
        <v>3.9359501461777455E-2</v>
      </c>
      <c r="V30" s="36">
        <f>$U$7/$D$30</f>
        <v>7.8719002923554909E-2</v>
      </c>
      <c r="W30" s="36"/>
    </row>
    <row r="31" spans="3:24" x14ac:dyDescent="0.2">
      <c r="C31" s="33" t="s">
        <v>199</v>
      </c>
      <c r="D31" s="33">
        <v>80</v>
      </c>
      <c r="V31" s="36">
        <f>$V$7/$D$31/2</f>
        <v>7.3412740709577706E-2</v>
      </c>
      <c r="W31" s="36"/>
    </row>
    <row r="32" spans="3:24" x14ac:dyDescent="0.2">
      <c r="D32" s="31" t="s">
        <v>221</v>
      </c>
      <c r="E32" s="32">
        <f t="shared" ref="E32:V32" si="14">SUM(E14:E31)</f>
        <v>0</v>
      </c>
      <c r="F32" s="32">
        <f t="shared" si="14"/>
        <v>0</v>
      </c>
      <c r="G32" s="32">
        <f t="shared" si="14"/>
        <v>0</v>
      </c>
      <c r="H32" s="32">
        <f t="shared" si="14"/>
        <v>0</v>
      </c>
      <c r="I32" s="32">
        <f t="shared" si="14"/>
        <v>0</v>
      </c>
      <c r="J32" s="32">
        <f t="shared" si="14"/>
        <v>0</v>
      </c>
      <c r="K32" s="32">
        <f t="shared" si="14"/>
        <v>0</v>
      </c>
      <c r="L32" s="32">
        <f t="shared" si="14"/>
        <v>0</v>
      </c>
      <c r="M32" s="32">
        <f t="shared" si="14"/>
        <v>5.273479318621279E-2</v>
      </c>
      <c r="N32" s="36">
        <f t="shared" si="14"/>
        <v>0.20102479334588214</v>
      </c>
      <c r="O32" s="36">
        <f t="shared" si="14"/>
        <v>0.22548818810778531</v>
      </c>
      <c r="P32" s="36">
        <f t="shared" si="14"/>
        <v>0.33804524883836246</v>
      </c>
      <c r="Q32" s="32">
        <f t="shared" si="14"/>
        <v>0.46098824460056143</v>
      </c>
      <c r="R32" s="32">
        <f t="shared" si="14"/>
        <v>0.60109561714831905</v>
      </c>
      <c r="S32" s="32">
        <f t="shared" si="14"/>
        <v>0.96393729552408769</v>
      </c>
      <c r="T32" s="32">
        <f t="shared" si="14"/>
        <v>1.3253514366855748</v>
      </c>
      <c r="U32" s="32">
        <f t="shared" si="14"/>
        <v>1.5860177067610817</v>
      </c>
      <c r="V32" s="32">
        <f t="shared" si="14"/>
        <v>1.698789948932437</v>
      </c>
      <c r="W32" s="32">
        <f>SUM(E32:V32)</f>
        <v>7.4534732731303039</v>
      </c>
    </row>
    <row r="33" spans="3:23" x14ac:dyDescent="0.2">
      <c r="D33" s="31"/>
      <c r="E33" s="31"/>
      <c r="F33" s="31"/>
      <c r="G33" s="31"/>
      <c r="H33" s="31"/>
      <c r="I33" s="31"/>
      <c r="J33" s="31"/>
      <c r="K33" s="31"/>
      <c r="L33" s="31"/>
      <c r="M33" s="31"/>
      <c r="Q33" s="37"/>
      <c r="R33" s="37"/>
      <c r="S33" s="37"/>
      <c r="T33" s="37"/>
      <c r="U33" s="37"/>
      <c r="V33" s="37" t="s">
        <v>373</v>
      </c>
      <c r="W33" s="36">
        <f>W7-W32</f>
        <v>141.48894695505791</v>
      </c>
    </row>
    <row r="34" spans="3:23" x14ac:dyDescent="0.2">
      <c r="E34" s="36"/>
      <c r="F34" s="36"/>
      <c r="G34" s="36"/>
      <c r="H34" s="36"/>
      <c r="I34" s="36"/>
      <c r="J34" s="36"/>
      <c r="K34" s="36"/>
      <c r="L34" s="36"/>
      <c r="M34" s="36"/>
      <c r="V34" s="277"/>
    </row>
    <row r="35" spans="3:23" x14ac:dyDescent="0.2">
      <c r="E35" s="36"/>
      <c r="F35" s="36"/>
      <c r="G35" s="36"/>
      <c r="H35" s="36"/>
      <c r="I35" s="36"/>
      <c r="J35" s="36"/>
      <c r="K35" s="36"/>
      <c r="L35" s="36"/>
      <c r="M35" s="36"/>
    </row>
    <row r="36" spans="3:23" x14ac:dyDescent="0.2">
      <c r="E36" s="36"/>
      <c r="F36" s="36"/>
      <c r="G36" s="36"/>
      <c r="H36" s="36"/>
      <c r="I36" s="36"/>
      <c r="J36" s="36"/>
      <c r="K36" s="36"/>
      <c r="L36" s="36"/>
      <c r="M36" s="36"/>
    </row>
    <row r="37" spans="3:23" x14ac:dyDescent="0.2">
      <c r="E37" s="36"/>
      <c r="F37" s="36"/>
      <c r="G37" s="36"/>
      <c r="H37" s="36"/>
      <c r="I37" s="36"/>
      <c r="J37" s="36"/>
      <c r="K37" s="36"/>
      <c r="L37" s="36"/>
      <c r="M37" s="36"/>
    </row>
    <row r="38" spans="3:23" x14ac:dyDescent="0.2">
      <c r="E38" s="36"/>
      <c r="F38" s="36"/>
      <c r="G38" s="36"/>
      <c r="H38" s="36"/>
      <c r="I38" s="36"/>
      <c r="J38" s="36"/>
      <c r="K38" s="36"/>
      <c r="L38" s="36"/>
      <c r="M38" s="36"/>
    </row>
    <row r="39" spans="3:23" x14ac:dyDescent="0.2">
      <c r="E39" s="36"/>
      <c r="F39" s="36"/>
      <c r="G39" s="36"/>
      <c r="H39" s="36"/>
      <c r="I39" s="36"/>
      <c r="J39" s="36"/>
      <c r="K39" s="36"/>
      <c r="L39" s="36"/>
      <c r="M39" s="36"/>
    </row>
    <row r="40" spans="3:23" x14ac:dyDescent="0.2">
      <c r="E40" s="36"/>
      <c r="F40" s="36"/>
      <c r="G40" s="36"/>
      <c r="H40" s="36"/>
      <c r="I40" s="36"/>
      <c r="J40" s="36"/>
      <c r="K40" s="36"/>
      <c r="L40" s="36"/>
      <c r="M40" s="36"/>
    </row>
    <row r="41" spans="3:23" x14ac:dyDescent="0.2">
      <c r="E41" s="36"/>
      <c r="F41" s="36"/>
      <c r="G41" s="36"/>
      <c r="H41" s="36"/>
      <c r="I41" s="36"/>
      <c r="J41" s="36"/>
      <c r="K41" s="36"/>
      <c r="L41" s="36"/>
      <c r="M41" s="36"/>
    </row>
    <row r="42" spans="3:23" x14ac:dyDescent="0.2">
      <c r="M42" s="32"/>
    </row>
    <row r="43" spans="3:23" x14ac:dyDescent="0.2">
      <c r="M43" s="32"/>
      <c r="Q43" s="38"/>
      <c r="R43" s="38"/>
      <c r="S43" s="38"/>
      <c r="T43" s="38"/>
      <c r="U43" s="38"/>
      <c r="V43" s="38"/>
    </row>
    <row r="45" spans="3:23" x14ac:dyDescent="0.2">
      <c r="C45" s="31"/>
      <c r="D45" s="31"/>
      <c r="E45" s="31"/>
      <c r="F45" s="31"/>
      <c r="G45" s="31"/>
      <c r="H45" s="31"/>
      <c r="I45" s="31"/>
      <c r="J45" s="31"/>
      <c r="K45" s="31"/>
      <c r="L45" s="31"/>
      <c r="M45" s="31"/>
      <c r="Q45" s="37"/>
      <c r="R45" s="37"/>
      <c r="S45" s="37"/>
      <c r="T45" s="37"/>
      <c r="U45" s="37"/>
      <c r="V45" s="37"/>
    </row>
    <row r="46" spans="3:23" x14ac:dyDescent="0.2">
      <c r="E46" s="36"/>
      <c r="F46" s="36"/>
      <c r="G46" s="36"/>
      <c r="H46" s="36"/>
      <c r="I46" s="36"/>
      <c r="J46" s="36"/>
      <c r="K46" s="36"/>
      <c r="L46" s="36"/>
      <c r="M46" s="36"/>
    </row>
    <row r="47" spans="3:23" x14ac:dyDescent="0.2">
      <c r="E47" s="36"/>
      <c r="F47" s="36"/>
      <c r="G47" s="36"/>
      <c r="H47" s="36"/>
      <c r="I47" s="36"/>
      <c r="J47" s="36"/>
      <c r="K47" s="36"/>
      <c r="L47" s="36"/>
      <c r="M47" s="36"/>
    </row>
    <row r="48" spans="3:23" x14ac:dyDescent="0.2">
      <c r="E48" s="36"/>
      <c r="F48" s="36"/>
      <c r="G48" s="36"/>
      <c r="H48" s="36"/>
      <c r="I48" s="36"/>
      <c r="J48" s="36"/>
      <c r="K48" s="36"/>
      <c r="L48" s="36"/>
      <c r="M48" s="36"/>
    </row>
    <row r="49" spans="3:22" x14ac:dyDescent="0.2">
      <c r="E49" s="36"/>
      <c r="F49" s="36"/>
      <c r="G49" s="36"/>
      <c r="H49" s="36"/>
      <c r="I49" s="36"/>
      <c r="J49" s="36"/>
      <c r="K49" s="36"/>
      <c r="L49" s="36"/>
      <c r="M49" s="36"/>
    </row>
    <row r="50" spans="3:22" x14ac:dyDescent="0.2">
      <c r="E50" s="36"/>
      <c r="F50" s="36"/>
      <c r="G50" s="36"/>
      <c r="H50" s="36"/>
      <c r="I50" s="36"/>
      <c r="J50" s="36"/>
      <c r="K50" s="36"/>
      <c r="L50" s="36"/>
      <c r="M50" s="36"/>
    </row>
    <row r="51" spans="3:22" x14ac:dyDescent="0.2">
      <c r="E51" s="36"/>
      <c r="F51" s="36"/>
      <c r="G51" s="36"/>
      <c r="H51" s="36"/>
      <c r="I51" s="36"/>
      <c r="J51" s="36"/>
      <c r="K51" s="36"/>
      <c r="L51" s="36"/>
      <c r="M51" s="36"/>
    </row>
    <row r="52" spans="3:22" x14ac:dyDescent="0.2">
      <c r="E52" s="36"/>
      <c r="F52" s="36"/>
      <c r="G52" s="36"/>
      <c r="H52" s="36"/>
      <c r="I52" s="36"/>
      <c r="J52" s="36"/>
      <c r="K52" s="36"/>
      <c r="L52" s="36"/>
      <c r="M52" s="36"/>
    </row>
    <row r="53" spans="3:22" x14ac:dyDescent="0.2">
      <c r="E53" s="36"/>
      <c r="F53" s="36"/>
      <c r="G53" s="36"/>
      <c r="H53" s="36"/>
      <c r="I53" s="36"/>
      <c r="J53" s="36"/>
      <c r="K53" s="36"/>
      <c r="L53" s="36"/>
      <c r="M53" s="36"/>
    </row>
    <row r="54" spans="3:22" x14ac:dyDescent="0.2">
      <c r="M54" s="32"/>
      <c r="Q54" s="38"/>
      <c r="R54" s="38"/>
      <c r="S54" s="38"/>
      <c r="T54" s="38"/>
    </row>
    <row r="55" spans="3:22" x14ac:dyDescent="0.2">
      <c r="M55" s="32"/>
      <c r="Q55" s="38"/>
      <c r="R55" s="38"/>
      <c r="S55" s="38"/>
      <c r="T55" s="38"/>
      <c r="U55" s="38"/>
      <c r="V55" s="38"/>
    </row>
    <row r="63" spans="3:22" ht="15" x14ac:dyDescent="0.25">
      <c r="C63" s="82" t="s">
        <v>366</v>
      </c>
      <c r="D63" s="272">
        <v>2005</v>
      </c>
      <c r="E63" s="272">
        <v>2006</v>
      </c>
      <c r="F63" s="272">
        <v>2007</v>
      </c>
      <c r="G63" s="272">
        <v>2008</v>
      </c>
      <c r="H63" s="272">
        <v>2009</v>
      </c>
      <c r="I63" s="272">
        <v>2010</v>
      </c>
      <c r="J63" s="272">
        <v>2011</v>
      </c>
      <c r="K63" s="272">
        <v>2012</v>
      </c>
      <c r="L63" s="272">
        <v>2013</v>
      </c>
      <c r="M63" s="272">
        <v>2014</v>
      </c>
      <c r="N63" s="272">
        <v>2015</v>
      </c>
      <c r="O63" s="272">
        <v>2016</v>
      </c>
      <c r="P63" s="272">
        <v>2017</v>
      </c>
      <c r="Q63" s="272">
        <v>2018</v>
      </c>
      <c r="R63" s="272">
        <v>2019</v>
      </c>
      <c r="S63" s="272">
        <v>2020</v>
      </c>
      <c r="T63" s="272">
        <v>2021</v>
      </c>
      <c r="U63" s="272">
        <v>2022</v>
      </c>
    </row>
    <row r="64" spans="3:22" x14ac:dyDescent="0.2">
      <c r="C64" s="273" t="s">
        <v>113</v>
      </c>
      <c r="D64" s="274">
        <v>246.95</v>
      </c>
      <c r="E64" s="274">
        <v>0</v>
      </c>
      <c r="F64" s="274">
        <v>0</v>
      </c>
      <c r="G64" s="274">
        <v>192.92746</v>
      </c>
      <c r="H64" s="274">
        <v>192.92240000000001</v>
      </c>
      <c r="I64" s="274">
        <v>599.30989999999997</v>
      </c>
      <c r="J64" s="274">
        <v>0</v>
      </c>
      <c r="K64" s="274">
        <v>0</v>
      </c>
      <c r="L64" s="274">
        <v>110.16424000000001</v>
      </c>
      <c r="M64" s="274">
        <v>6723.5544600000003</v>
      </c>
      <c r="N64" s="274">
        <v>10870.617249999999</v>
      </c>
      <c r="O64" s="274">
        <v>15371.69522</v>
      </c>
      <c r="P64" s="274">
        <v>12093.44147</v>
      </c>
      <c r="Q64" s="274">
        <v>12100.69436</v>
      </c>
      <c r="R64" s="274">
        <v>8373.5663999999997</v>
      </c>
      <c r="S64" s="274">
        <v>8203.9765900000002</v>
      </c>
      <c r="T64" s="274">
        <v>4201.4417299999996</v>
      </c>
      <c r="U64" s="274">
        <v>3012.6699199999998</v>
      </c>
    </row>
    <row r="65" spans="3:21" x14ac:dyDescent="0.2">
      <c r="C65" s="273" t="s">
        <v>188</v>
      </c>
      <c r="D65" s="274">
        <v>21213.242899999997</v>
      </c>
      <c r="E65" s="274">
        <v>4643.2376899999999</v>
      </c>
      <c r="F65" s="274">
        <v>3728.5980300000001</v>
      </c>
      <c r="G65" s="274">
        <v>9116.6536099999994</v>
      </c>
      <c r="H65" s="274">
        <v>7385.37165</v>
      </c>
      <c r="I65" s="274">
        <v>12940.145979999999</v>
      </c>
      <c r="J65" s="274">
        <v>19871.301889999999</v>
      </c>
      <c r="K65" s="274">
        <v>22160.12571</v>
      </c>
      <c r="L65" s="274">
        <v>15671.01593</v>
      </c>
      <c r="M65" s="274">
        <v>14062.719110000002</v>
      </c>
      <c r="N65" s="274">
        <v>15115.76297</v>
      </c>
      <c r="O65" s="274">
        <v>19915.525130000002</v>
      </c>
      <c r="P65" s="274">
        <v>21795.433410000005</v>
      </c>
      <c r="Q65" s="274">
        <v>20000.162400000001</v>
      </c>
      <c r="R65" s="274">
        <v>23829.662619999999</v>
      </c>
      <c r="S65" s="274">
        <v>28301.489730000001</v>
      </c>
      <c r="T65" s="274">
        <v>30874.748570000003</v>
      </c>
      <c r="U65" s="274">
        <v>27340.632369999999</v>
      </c>
    </row>
    <row r="66" spans="3:21" ht="15.75" x14ac:dyDescent="0.25">
      <c r="C66"/>
      <c r="D66" s="275">
        <v>21460.192899999998</v>
      </c>
      <c r="E66" s="275">
        <v>4643.2376899999999</v>
      </c>
      <c r="F66" s="275">
        <v>3728.5980300000001</v>
      </c>
      <c r="G66" s="275">
        <v>9309.5810700000002</v>
      </c>
      <c r="H66" s="275">
        <v>7578.2940500000004</v>
      </c>
      <c r="I66" s="275">
        <v>13539.45588</v>
      </c>
      <c r="J66" s="275">
        <v>19871.301889999999</v>
      </c>
      <c r="K66" s="275">
        <v>22160.12571</v>
      </c>
      <c r="L66" s="275">
        <v>15781.18017</v>
      </c>
      <c r="M66" s="275">
        <v>20786.273570000001</v>
      </c>
      <c r="N66" s="275">
        <v>25986.380219999999</v>
      </c>
      <c r="O66" s="275">
        <v>35287.220350000003</v>
      </c>
      <c r="P66" s="275">
        <v>33888.874880000003</v>
      </c>
      <c r="Q66" s="275">
        <v>32100.856760000002</v>
      </c>
      <c r="R66" s="275">
        <v>32203.229019999999</v>
      </c>
      <c r="S66" s="275">
        <v>36505.46632</v>
      </c>
      <c r="T66" s="275">
        <v>35076.190300000002</v>
      </c>
      <c r="U66" s="275">
        <v>30353.30229</v>
      </c>
    </row>
    <row r="68" spans="3:21" x14ac:dyDescent="0.2">
      <c r="C68" s="33" t="s">
        <v>367</v>
      </c>
      <c r="D68" s="33">
        <f>'Net infill sewerage capex 05-06'!D68</f>
        <v>0.75</v>
      </c>
    </row>
    <row r="69" spans="3:21" x14ac:dyDescent="0.2">
      <c r="C69" s="33" t="s">
        <v>176</v>
      </c>
      <c r="D69" s="276">
        <f>0.5*D$65*$D$68</f>
        <v>7954.966087499999</v>
      </c>
      <c r="E69" s="276">
        <f t="shared" ref="E69:U70" si="15">0.5*E$65*$D$68</f>
        <v>1741.21413375</v>
      </c>
      <c r="F69" s="276">
        <f t="shared" si="15"/>
        <v>1398.2242612499999</v>
      </c>
      <c r="G69" s="276">
        <f t="shared" si="15"/>
        <v>3418.7451037499995</v>
      </c>
      <c r="H69" s="276">
        <f t="shared" si="15"/>
        <v>2769.5143687499999</v>
      </c>
      <c r="I69" s="276">
        <f t="shared" si="15"/>
        <v>4852.5547424999995</v>
      </c>
      <c r="J69" s="276">
        <f t="shared" si="15"/>
        <v>7451.7382087499991</v>
      </c>
      <c r="K69" s="276">
        <f t="shared" si="15"/>
        <v>8310.047141250001</v>
      </c>
      <c r="L69" s="276">
        <f t="shared" si="15"/>
        <v>5876.6309737499996</v>
      </c>
      <c r="M69" s="276">
        <f t="shared" si="15"/>
        <v>5273.5196662500002</v>
      </c>
      <c r="N69" s="276">
        <f t="shared" si="15"/>
        <v>5668.4111137500004</v>
      </c>
      <c r="O69" s="276">
        <f t="shared" si="15"/>
        <v>7468.3219237500007</v>
      </c>
      <c r="P69" s="276">
        <f t="shared" si="15"/>
        <v>8173.2875287500019</v>
      </c>
      <c r="Q69" s="276">
        <f t="shared" si="15"/>
        <v>7500.0609000000004</v>
      </c>
      <c r="R69" s="276">
        <f t="shared" si="15"/>
        <v>8936.1234824999992</v>
      </c>
      <c r="S69" s="276">
        <f t="shared" si="15"/>
        <v>10613.05864875</v>
      </c>
      <c r="T69" s="276">
        <f t="shared" si="15"/>
        <v>11578.030713750002</v>
      </c>
      <c r="U69" s="276">
        <f t="shared" si="15"/>
        <v>10252.737138749999</v>
      </c>
    </row>
    <row r="70" spans="3:21" x14ac:dyDescent="0.2">
      <c r="C70" s="33" t="s">
        <v>308</v>
      </c>
      <c r="D70" s="276">
        <f>0.5*D$65*$D$68</f>
        <v>7954.966087499999</v>
      </c>
      <c r="E70" s="276">
        <f t="shared" si="15"/>
        <v>1741.21413375</v>
      </c>
      <c r="F70" s="276">
        <f t="shared" si="15"/>
        <v>1398.2242612499999</v>
      </c>
      <c r="G70" s="276">
        <f t="shared" si="15"/>
        <v>3418.7451037499995</v>
      </c>
      <c r="H70" s="276">
        <f t="shared" si="15"/>
        <v>2769.5143687499999</v>
      </c>
      <c r="I70" s="276">
        <f t="shared" si="15"/>
        <v>4852.5547424999995</v>
      </c>
      <c r="J70" s="276">
        <f t="shared" si="15"/>
        <v>7451.7382087499991</v>
      </c>
      <c r="K70" s="276">
        <f t="shared" si="15"/>
        <v>8310.047141250001</v>
      </c>
      <c r="L70" s="276">
        <f>0.5*L$65*$D$68</f>
        <v>5876.6309737499996</v>
      </c>
      <c r="M70" s="276">
        <f t="shared" si="15"/>
        <v>5273.5196662500002</v>
      </c>
      <c r="N70" s="276">
        <f t="shared" si="15"/>
        <v>5668.4111137500004</v>
      </c>
      <c r="O70" s="276">
        <f t="shared" si="15"/>
        <v>7468.3219237500007</v>
      </c>
      <c r="P70" s="276">
        <f t="shared" si="15"/>
        <v>8173.2875287500019</v>
      </c>
      <c r="Q70" s="276">
        <f t="shared" si="15"/>
        <v>7500.0609000000004</v>
      </c>
      <c r="R70" s="276">
        <f t="shared" si="15"/>
        <v>8936.1234824999992</v>
      </c>
      <c r="S70" s="276">
        <f t="shared" si="15"/>
        <v>10613.05864875</v>
      </c>
      <c r="T70" s="276">
        <f t="shared" si="15"/>
        <v>11578.030713750002</v>
      </c>
      <c r="U70" s="276">
        <f t="shared" si="15"/>
        <v>10252.737138749999</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84020B-2D04-440D-8067-BEF784835EDE}">
  <dimension ref="B2:W4"/>
  <sheetViews>
    <sheetView topLeftCell="B1" workbookViewId="0">
      <selection activeCell="E3" sqref="E3"/>
    </sheetView>
  </sheetViews>
  <sheetFormatPr defaultRowHeight="15.75" x14ac:dyDescent="0.25"/>
  <cols>
    <col min="2" max="2" width="19.625" customWidth="1"/>
    <col min="3" max="3" width="11.375" customWidth="1"/>
  </cols>
  <sheetData>
    <row r="2" spans="2:23" x14ac:dyDescent="0.25">
      <c r="B2" s="297"/>
      <c r="C2" s="297"/>
      <c r="D2" s="31" t="s">
        <v>195</v>
      </c>
      <c r="E2" s="31" t="s">
        <v>183</v>
      </c>
      <c r="F2" s="37" t="s">
        <v>196</v>
      </c>
      <c r="G2" s="37" t="s">
        <v>197</v>
      </c>
      <c r="H2" s="37" t="s">
        <v>198</v>
      </c>
      <c r="I2" s="37" t="s">
        <v>199</v>
      </c>
      <c r="J2" s="298" t="s">
        <v>267</v>
      </c>
      <c r="K2" s="298" t="s">
        <v>268</v>
      </c>
      <c r="L2" s="298" t="s">
        <v>269</v>
      </c>
      <c r="M2" s="298" t="s">
        <v>270</v>
      </c>
      <c r="N2" s="298" t="s">
        <v>271</v>
      </c>
      <c r="O2" s="298" t="s">
        <v>272</v>
      </c>
      <c r="P2" s="298" t="s">
        <v>273</v>
      </c>
      <c r="Q2" s="298" t="s">
        <v>274</v>
      </c>
      <c r="R2" s="298" t="s">
        <v>275</v>
      </c>
      <c r="S2" s="56" t="s">
        <v>276</v>
      </c>
      <c r="T2" s="58" t="str">
        <f>RIGHT(S2,2)&amp;"/"&amp;VALUE(RIGHT(S2,2)+1)</f>
        <v>34/35</v>
      </c>
      <c r="U2" s="58" t="str">
        <f t="shared" ref="U2:W2" si="0">RIGHT(T2,2)&amp;"/"&amp;VALUE(RIGHT(T2,2)+1)</f>
        <v>35/36</v>
      </c>
      <c r="V2" s="58" t="str">
        <f t="shared" si="0"/>
        <v>36/37</v>
      </c>
      <c r="W2" s="58" t="str">
        <f t="shared" si="0"/>
        <v>37/38</v>
      </c>
    </row>
    <row r="3" spans="2:23" x14ac:dyDescent="0.25">
      <c r="B3" s="299" t="s">
        <v>347</v>
      </c>
      <c r="C3" s="299"/>
      <c r="D3" s="300">
        <f>'Forecast capex'!E34/1000+'Forecast capex'!E6/1000</f>
        <v>25.735179283523134</v>
      </c>
      <c r="E3" s="300">
        <f>'Forecast capex'!F34/1000+'Forecast capex'!F6/1000</f>
        <v>28.344115118705862</v>
      </c>
      <c r="F3" s="300">
        <f>'Forecast capex'!G34/1000+'Forecast capex'!G6/1000</f>
        <v>21.737390359306904</v>
      </c>
      <c r="G3" s="300">
        <f>'Forecast capex'!H34/1000+'Forecast capex'!H6/1000</f>
        <v>26.157314480497341</v>
      </c>
      <c r="H3" s="300">
        <f>'Forecast capex'!I34/1000+'Forecast capex'!I6/1000</f>
        <v>20.363689999999998</v>
      </c>
      <c r="I3" s="300">
        <f>'Forecast capex'!J34/1000+'Forecast capex'!J6/1000</f>
        <v>24.170483570000002</v>
      </c>
      <c r="J3" s="300">
        <f>'Forecast capex'!K34/1000+'Forecast capex'!K6/1000</f>
        <v>24.170483570000002</v>
      </c>
      <c r="K3" s="300">
        <f>'Forecast capex'!L34/1000+'Forecast capex'!L6/1000</f>
        <v>24.170483570000002</v>
      </c>
      <c r="L3" s="300">
        <f>'Forecast capex'!M34/1000+'Forecast capex'!M6/1000</f>
        <v>24.170483570000002</v>
      </c>
      <c r="M3" s="300">
        <f>'Forecast capex'!N34/1000+'Forecast capex'!N6/1000</f>
        <v>24.170483570000002</v>
      </c>
      <c r="N3" s="300">
        <f>'Forecast capex'!O34/1000+'Forecast capex'!O6/1000</f>
        <v>24.170483570000002</v>
      </c>
      <c r="O3" s="300">
        <f>'Forecast capex'!P34/1000+'Forecast capex'!P6/1000</f>
        <v>24.170483570000002</v>
      </c>
      <c r="P3" s="300">
        <f>'Forecast capex'!Q34/1000+'Forecast capex'!Q6/1000</f>
        <v>24.170483570000002</v>
      </c>
      <c r="Q3" s="300">
        <f>'Forecast capex'!R34/1000+'Forecast capex'!R6/1000</f>
        <v>24.170483570000002</v>
      </c>
      <c r="R3" s="300">
        <f>'Forecast capex'!S34/1000+'Forecast capex'!S6/1000</f>
        <v>24.170483570000002</v>
      </c>
      <c r="S3" s="300">
        <f>R3</f>
        <v>24.170483570000002</v>
      </c>
      <c r="T3" s="300">
        <f t="shared" ref="T3:W3" si="1">S3</f>
        <v>24.170483570000002</v>
      </c>
      <c r="U3" s="300">
        <f t="shared" si="1"/>
        <v>24.170483570000002</v>
      </c>
      <c r="V3" s="300">
        <f t="shared" si="1"/>
        <v>24.170483570000002</v>
      </c>
      <c r="W3" s="300">
        <f t="shared" si="1"/>
        <v>24.170483570000002</v>
      </c>
    </row>
    <row r="4" spans="2:23" x14ac:dyDescent="0.25">
      <c r="I4" s="200"/>
      <c r="J4" s="200"/>
      <c r="K4" s="200"/>
      <c r="L4" s="200"/>
      <c r="M4" s="200"/>
      <c r="N4" s="200"/>
      <c r="O4" s="200"/>
      <c r="P4" s="200"/>
      <c r="Q4" s="200"/>
      <c r="R4" s="200"/>
      <c r="S4" s="200"/>
      <c r="T4" s="200"/>
      <c r="U4" s="200"/>
      <c r="V4" s="200"/>
      <c r="W4" s="200"/>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556B1C-EF35-4697-8263-0C0E292EF1A7}">
  <dimension ref="B2:G35"/>
  <sheetViews>
    <sheetView topLeftCell="A13" workbookViewId="0">
      <selection activeCell="C8" sqref="C8:G8"/>
    </sheetView>
  </sheetViews>
  <sheetFormatPr defaultRowHeight="15.75" x14ac:dyDescent="0.25"/>
  <cols>
    <col min="2" max="2" width="24.375" customWidth="1"/>
    <col min="3" max="3" width="12.625" customWidth="1"/>
    <col min="4" max="7" width="14.125" customWidth="1"/>
  </cols>
  <sheetData>
    <row r="2" spans="2:7" x14ac:dyDescent="0.25">
      <c r="B2" s="215" t="s">
        <v>318</v>
      </c>
      <c r="C2" s="213" t="s">
        <v>186</v>
      </c>
      <c r="D2" s="213" t="s">
        <v>187</v>
      </c>
      <c r="E2" s="213" t="s">
        <v>223</v>
      </c>
      <c r="F2" s="213" t="s">
        <v>254</v>
      </c>
      <c r="G2" s="213" t="s">
        <v>224</v>
      </c>
    </row>
    <row r="4" spans="2:7" x14ac:dyDescent="0.25">
      <c r="B4" t="s">
        <v>247</v>
      </c>
    </row>
    <row r="5" spans="2:7" x14ac:dyDescent="0.25">
      <c r="B5" s="1" t="s">
        <v>250</v>
      </c>
    </row>
    <row r="6" spans="2:7" x14ac:dyDescent="0.25">
      <c r="B6" t="s">
        <v>255</v>
      </c>
      <c r="D6" s="49">
        <v>3.2399999999999998E-2</v>
      </c>
      <c r="E6" s="49">
        <v>3.2399999999999998E-2</v>
      </c>
      <c r="F6" s="49">
        <v>3.2399999999999998E-2</v>
      </c>
      <c r="G6" s="49">
        <v>3.2399999999999998E-2</v>
      </c>
    </row>
    <row r="7" spans="2:7" x14ac:dyDescent="0.25">
      <c r="B7" t="s">
        <v>256</v>
      </c>
      <c r="C7">
        <v>321.18</v>
      </c>
      <c r="D7" s="220">
        <f>C7*(1+D6)*(1+'20 New UGB Water'!$G$14)</f>
        <v>338.54954287199996</v>
      </c>
      <c r="E7" s="220">
        <f>D7*(1+E6)*(1+'20 New UGB Water'!$G$14)</f>
        <v>356.85843757033484</v>
      </c>
      <c r="F7" s="220">
        <f>E7*(1+F6)*(1+'20 New UGB Water'!$G$14)</f>
        <v>376.15748461751355</v>
      </c>
      <c r="G7" s="220">
        <f>F7*(1+G6)*(1+'20 New UGB Water'!$G$14)</f>
        <v>396.50023184862243</v>
      </c>
    </row>
    <row r="8" spans="2:7" x14ac:dyDescent="0.25">
      <c r="B8" t="s">
        <v>252</v>
      </c>
      <c r="C8" s="218">
        <f>C7*219776</f>
        <v>70587655.680000007</v>
      </c>
      <c r="D8" s="218">
        <f t="shared" ref="D8:G8" si="0">D7*219776</f>
        <v>74405064.334236667</v>
      </c>
      <c r="E8" s="218">
        <f t="shared" si="0"/>
        <v>78428919.975457907</v>
      </c>
      <c r="F8" s="218">
        <f t="shared" si="0"/>
        <v>82670387.339298651</v>
      </c>
      <c r="G8" s="218">
        <f t="shared" si="0"/>
        <v>87141234.954762846</v>
      </c>
    </row>
    <row r="9" spans="2:7" x14ac:dyDescent="0.25">
      <c r="B9" s="1" t="s">
        <v>249</v>
      </c>
    </row>
    <row r="10" spans="2:7" x14ac:dyDescent="0.25">
      <c r="B10" t="s">
        <v>255</v>
      </c>
      <c r="C10" s="218"/>
      <c r="D10" s="49">
        <v>-1.4800000000000001E-2</v>
      </c>
      <c r="E10" s="49">
        <v>-2.3599999999999999E-2</v>
      </c>
      <c r="F10" s="49">
        <v>-3.15E-2</v>
      </c>
      <c r="G10" s="49">
        <v>-2.6800000000000001E-2</v>
      </c>
    </row>
    <row r="11" spans="2:7" x14ac:dyDescent="0.25">
      <c r="B11" t="s">
        <v>256</v>
      </c>
      <c r="C11" s="218">
        <v>3556.64</v>
      </c>
      <c r="D11" s="220">
        <f>C11*(1+D10)*(1+'20 New UGB Water'!$G14)</f>
        <v>3577.5857642879996</v>
      </c>
      <c r="E11" s="220">
        <f>D11*(1+E10)*(1+'20 New UGB Water'!$G14)</f>
        <v>3566.5109897960697</v>
      </c>
      <c r="F11" s="220">
        <f>E11*(1+F10)*(1+'20 New UGB Water'!$G14)</f>
        <v>3526.7033773834605</v>
      </c>
      <c r="G11" s="220">
        <f>F11*(1+G10)*(1+'20 New UGB Water'!$G14)</f>
        <v>3504.2636691338444</v>
      </c>
    </row>
    <row r="12" spans="2:7" x14ac:dyDescent="0.25">
      <c r="B12" t="s">
        <v>252</v>
      </c>
      <c r="C12" s="218">
        <f>56951*C11</f>
        <v>202554204.63999999</v>
      </c>
      <c r="D12" s="218">
        <f t="shared" ref="D12:G12" si="1">56951*D11</f>
        <v>203747086.86196586</v>
      </c>
      <c r="E12" s="218">
        <f t="shared" si="1"/>
        <v>203116367.37987596</v>
      </c>
      <c r="F12" s="218">
        <f t="shared" si="1"/>
        <v>200849284.04536545</v>
      </c>
      <c r="G12" s="218">
        <f t="shared" si="1"/>
        <v>199571320.22084156</v>
      </c>
    </row>
    <row r="13" spans="2:7" x14ac:dyDescent="0.25">
      <c r="B13" s="1" t="s">
        <v>251</v>
      </c>
    </row>
    <row r="14" spans="2:7" x14ac:dyDescent="0.25">
      <c r="B14" t="s">
        <v>255</v>
      </c>
      <c r="C14" s="218"/>
      <c r="D14" s="54">
        <v>0</v>
      </c>
      <c r="E14" s="54">
        <v>0</v>
      </c>
      <c r="F14" s="54">
        <v>0</v>
      </c>
      <c r="G14" s="54">
        <v>0</v>
      </c>
    </row>
    <row r="15" spans="2:7" x14ac:dyDescent="0.25">
      <c r="B15" t="s">
        <v>256</v>
      </c>
      <c r="C15" s="219">
        <v>473.04</v>
      </c>
      <c r="D15" s="220">
        <f>C15*(1+'20 New UGB Water'!$G14)</f>
        <v>482.97384</v>
      </c>
      <c r="E15" s="220">
        <f>D15*(1+'20 New UGB Water'!$G14)</f>
        <v>493.11629063999993</v>
      </c>
      <c r="F15" s="220">
        <f>E15*(1+'20 New UGB Water'!$G14)</f>
        <v>503.47173274343987</v>
      </c>
      <c r="G15" s="220">
        <f>F15*(1+'20 New UGB Water'!$G14)</f>
        <v>514.04463913105201</v>
      </c>
    </row>
    <row r="16" spans="2:7" x14ac:dyDescent="0.25">
      <c r="B16" t="s">
        <v>252</v>
      </c>
      <c r="C16" s="218">
        <f>25000*C15</f>
        <v>11826000</v>
      </c>
      <c r="D16" s="218">
        <f t="shared" ref="D16:G16" si="2">25000*D15</f>
        <v>12074346</v>
      </c>
      <c r="E16" s="218">
        <f t="shared" si="2"/>
        <v>12327907.265999999</v>
      </c>
      <c r="F16" s="218">
        <f t="shared" si="2"/>
        <v>12586793.318585997</v>
      </c>
      <c r="G16" s="218">
        <f t="shared" si="2"/>
        <v>12851115.978276299</v>
      </c>
    </row>
    <row r="17" spans="2:7" x14ac:dyDescent="0.25">
      <c r="B17" t="s">
        <v>252</v>
      </c>
      <c r="C17" s="218">
        <f>SUM(C8,C12,C16)</f>
        <v>284967860.31999999</v>
      </c>
      <c r="D17" s="218">
        <f>SUM(D8,D12,D16)</f>
        <v>290226497.19620252</v>
      </c>
      <c r="E17" s="218">
        <f>SUM(E8,E12,E16)</f>
        <v>293873194.62133384</v>
      </c>
      <c r="F17" s="218">
        <f>SUM(F8,F12,F16)</f>
        <v>296106464.70325011</v>
      </c>
      <c r="G17" s="218">
        <f>SUM(G8,G12,G16)</f>
        <v>299563671.15388072</v>
      </c>
    </row>
    <row r="18" spans="2:7" x14ac:dyDescent="0.25">
      <c r="B18" t="s">
        <v>253</v>
      </c>
      <c r="C18" s="221">
        <f>[1]Forecast!N$2</f>
        <v>805640</v>
      </c>
      <c r="D18" s="221">
        <f>[1]Forecast!O$2</f>
        <v>814500</v>
      </c>
      <c r="E18" s="221">
        <f>[1]Forecast!P$2</f>
        <v>826940</v>
      </c>
      <c r="F18" s="221">
        <f>[1]Forecast!Q$2</f>
        <v>839340</v>
      </c>
      <c r="G18" s="221">
        <f>[1]Forecast!R$2</f>
        <v>851930</v>
      </c>
    </row>
    <row r="19" spans="2:7" x14ac:dyDescent="0.25">
      <c r="B19" t="s">
        <v>342</v>
      </c>
      <c r="C19" s="218">
        <f>C17/C18</f>
        <v>353.71612670671766</v>
      </c>
      <c r="D19" s="218">
        <f>D17/D18</f>
        <v>356.32473566139043</v>
      </c>
      <c r="E19" s="218">
        <f>E17/E18</f>
        <v>355.37426490595914</v>
      </c>
      <c r="F19" s="218">
        <f>F17/F18</f>
        <v>352.78488419859667</v>
      </c>
      <c r="G19" s="218">
        <f>G17/G18</f>
        <v>351.62944274046072</v>
      </c>
    </row>
    <row r="20" spans="2:7" x14ac:dyDescent="0.25">
      <c r="B20" t="s">
        <v>248</v>
      </c>
    </row>
    <row r="21" spans="2:7" x14ac:dyDescent="0.25">
      <c r="B21" t="s">
        <v>257</v>
      </c>
    </row>
    <row r="22" spans="2:7" x14ac:dyDescent="0.25">
      <c r="B22" t="s">
        <v>255</v>
      </c>
      <c r="D22" s="49">
        <v>3.0200000000000001E-2</v>
      </c>
      <c r="E22" s="49">
        <v>3.4299999999999997E-2</v>
      </c>
      <c r="F22" s="49">
        <v>7.0000000000000001E-3</v>
      </c>
      <c r="G22" s="49">
        <v>1.01E-2</v>
      </c>
    </row>
    <row r="23" spans="2:7" x14ac:dyDescent="0.25">
      <c r="B23" t="s">
        <v>256</v>
      </c>
      <c r="C23" s="201">
        <v>247.4513</v>
      </c>
      <c r="D23" s="29">
        <f>C23*(1+D22)*(1+'20 New UGB Water'!$G$14)</f>
        <v>260.27774017446001</v>
      </c>
      <c r="E23" s="29">
        <f>D23*(1+E22)*(1+'20 New UGB Water'!$G$14)</f>
        <v>274.85857726235531</v>
      </c>
      <c r="F23" s="29">
        <f>E23*(1+F22)*(1+'20 New UGB Water'!$G$14)</f>
        <v>282.59502163655873</v>
      </c>
      <c r="G23" s="29">
        <f>F23*(1+G22)*(1+'20 New UGB Water'!$G$14)</f>
        <v>291.44366521354482</v>
      </c>
    </row>
    <row r="25" spans="2:7" x14ac:dyDescent="0.25">
      <c r="B25" s="1" t="s">
        <v>340</v>
      </c>
      <c r="C25">
        <v>3695</v>
      </c>
    </row>
    <row r="26" spans="2:7" x14ac:dyDescent="0.25">
      <c r="B26" s="1"/>
    </row>
    <row r="27" spans="2:7" x14ac:dyDescent="0.25">
      <c r="B27" s="1" t="s">
        <v>319</v>
      </c>
    </row>
    <row r="28" spans="2:7" x14ac:dyDescent="0.25">
      <c r="B28" t="s">
        <v>247</v>
      </c>
    </row>
    <row r="29" spans="2:7" x14ac:dyDescent="0.25">
      <c r="B29" t="s">
        <v>255</v>
      </c>
      <c r="D29" s="49">
        <v>3.2399999999999998E-2</v>
      </c>
      <c r="E29" s="49">
        <v>3.2399999999999998E-2</v>
      </c>
      <c r="F29" s="49">
        <v>3.2399999999999998E-2</v>
      </c>
      <c r="G29" s="49">
        <v>3.2399999999999998E-2</v>
      </c>
    </row>
    <row r="30" spans="2:7" x14ac:dyDescent="0.25">
      <c r="B30" t="s">
        <v>256</v>
      </c>
      <c r="C30" s="222">
        <f>11494338.6*12</f>
        <v>137932063.19999999</v>
      </c>
      <c r="D30" s="222">
        <f>C30*(1+D29)*(1+'20 New UGB Water'!$G14)</f>
        <v>145391484.35068125</v>
      </c>
      <c r="E30" s="222">
        <f>D30*(1+E29)*(1+'20 New UGB Water'!$G14)</f>
        <v>153254313.9809598</v>
      </c>
      <c r="F30" s="222">
        <f>E30*(1+F29)*(1+'20 New UGB Water'!$G14)</f>
        <v>161542368.58277568</v>
      </c>
      <c r="G30" s="222">
        <f>F30*(1+G29)*(1+'20 New UGB Water'!$G14)</f>
        <v>170278644.49267963</v>
      </c>
    </row>
    <row r="31" spans="2:7" x14ac:dyDescent="0.25">
      <c r="B31" t="s">
        <v>253</v>
      </c>
      <c r="C31" s="2">
        <f>'Customer numbers'!N3</f>
        <v>755000</v>
      </c>
      <c r="D31" s="2">
        <f>'Customer numbers'!O3</f>
        <v>764230</v>
      </c>
      <c r="E31" s="2">
        <f>'Customer numbers'!P3</f>
        <v>776850</v>
      </c>
      <c r="F31" s="2">
        <f>'Customer numbers'!Q3</f>
        <v>789450</v>
      </c>
      <c r="G31" s="2">
        <f>'Customer numbers'!R3</f>
        <v>802260</v>
      </c>
    </row>
    <row r="32" spans="2:7" x14ac:dyDescent="0.25">
      <c r="B32" t="s">
        <v>342</v>
      </c>
      <c r="C32" s="220">
        <f>C30/C31</f>
        <v>182.69147443708607</v>
      </c>
      <c r="D32" s="220">
        <f t="shared" ref="D32:G32" si="3">D30/D31</f>
        <v>190.24571706250899</v>
      </c>
      <c r="E32" s="220">
        <f t="shared" si="3"/>
        <v>197.27658361454567</v>
      </c>
      <c r="F32" s="220">
        <f t="shared" si="3"/>
        <v>204.62647233235251</v>
      </c>
      <c r="G32" s="220">
        <f t="shared" si="3"/>
        <v>212.24870302979036</v>
      </c>
    </row>
    <row r="33" spans="2:7" x14ac:dyDescent="0.25">
      <c r="B33" t="s">
        <v>321</v>
      </c>
    </row>
    <row r="34" spans="2:7" x14ac:dyDescent="0.25">
      <c r="B34" t="s">
        <v>322</v>
      </c>
      <c r="C34">
        <f>39.7381+5.7838</f>
        <v>45.521900000000002</v>
      </c>
      <c r="D34" s="29">
        <f>C34*(1+'20 New UGB Water'!$G$14)</f>
        <v>46.477859899999999</v>
      </c>
    </row>
    <row r="35" spans="2:7" x14ac:dyDescent="0.25">
      <c r="B35" s="217" t="s">
        <v>320</v>
      </c>
      <c r="C35" s="217">
        <f>60.5678+40.4967</f>
        <v>101.0645</v>
      </c>
      <c r="D35" s="223">
        <f>C35*(1+'20 New UGB Water'!$G$14)</f>
        <v>103.18685449999998</v>
      </c>
      <c r="E35" s="217"/>
      <c r="F35" s="217"/>
      <c r="G35" s="217"/>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ABBF8C-81C4-44D8-9C57-611D080832FB}">
  <dimension ref="B2:H50"/>
  <sheetViews>
    <sheetView workbookViewId="0">
      <selection activeCell="E4" sqref="E4"/>
    </sheetView>
  </sheetViews>
  <sheetFormatPr defaultRowHeight="15.75" x14ac:dyDescent="0.25"/>
  <cols>
    <col min="2" max="2" width="26.25" customWidth="1"/>
    <col min="3" max="3" width="15.75" bestFit="1" customWidth="1"/>
    <col min="4" max="7" width="11.75" customWidth="1"/>
  </cols>
  <sheetData>
    <row r="2" spans="2:5" x14ac:dyDescent="0.25">
      <c r="E2" t="s">
        <v>244</v>
      </c>
    </row>
    <row r="3" spans="2:5" x14ac:dyDescent="0.25">
      <c r="B3" s="215" t="s">
        <v>245</v>
      </c>
      <c r="C3" s="215"/>
      <c r="D3" s="215" t="s">
        <v>186</v>
      </c>
      <c r="E3" s="215" t="s">
        <v>187</v>
      </c>
    </row>
    <row r="4" spans="2:5" x14ac:dyDescent="0.25">
      <c r="B4" t="s">
        <v>40</v>
      </c>
      <c r="C4" t="s">
        <v>41</v>
      </c>
      <c r="D4" s="29">
        <v>78.19</v>
      </c>
      <c r="E4" s="29">
        <f>D4*(1+'20 New UGB Water'!$G$14)</f>
        <v>79.83198999999999</v>
      </c>
    </row>
    <row r="5" spans="2:5" x14ac:dyDescent="0.25">
      <c r="B5" t="s">
        <v>67</v>
      </c>
      <c r="C5" t="s">
        <v>143</v>
      </c>
      <c r="D5" s="29">
        <v>2.4748999999999999</v>
      </c>
      <c r="E5" s="29">
        <f>D5*(1+'20 New UGB Water'!$G$14)</f>
        <v>2.5268728999999999</v>
      </c>
    </row>
    <row r="6" spans="2:5" x14ac:dyDescent="0.25">
      <c r="B6" t="s">
        <v>68</v>
      </c>
      <c r="C6" t="s">
        <v>143</v>
      </c>
      <c r="D6" s="29">
        <v>3.1383000000000001</v>
      </c>
      <c r="E6" s="29">
        <f>D6*(1+'20 New UGB Water'!$G$14)</f>
        <v>3.2042042999999998</v>
      </c>
    </row>
    <row r="7" spans="2:5" x14ac:dyDescent="0.25">
      <c r="B7" t="s">
        <v>142</v>
      </c>
      <c r="C7" t="s">
        <v>143</v>
      </c>
      <c r="D7" s="29">
        <v>4.6238000000000001</v>
      </c>
      <c r="E7" s="29">
        <f>D7*(1+'20 New UGB Water'!$G$14)</f>
        <v>4.7208997999999998</v>
      </c>
    </row>
    <row r="8" spans="2:5" x14ac:dyDescent="0.25">
      <c r="E8" s="29"/>
    </row>
    <row r="9" spans="2:5" x14ac:dyDescent="0.25">
      <c r="B9" s="1" t="s">
        <v>246</v>
      </c>
      <c r="E9" s="29"/>
    </row>
    <row r="10" spans="2:5" x14ac:dyDescent="0.25">
      <c r="B10" t="s">
        <v>40</v>
      </c>
      <c r="C10" t="s">
        <v>41</v>
      </c>
      <c r="D10" s="29">
        <v>289.95</v>
      </c>
      <c r="E10" s="29">
        <f>D10*(1+'20 New UGB Water'!$G$14)</f>
        <v>296.03894999999994</v>
      </c>
    </row>
    <row r="11" spans="2:5" x14ac:dyDescent="0.25">
      <c r="B11" t="s">
        <v>67</v>
      </c>
      <c r="C11" t="s">
        <v>143</v>
      </c>
      <c r="D11" s="29">
        <v>2.9171</v>
      </c>
      <c r="E11" s="29">
        <f>D11*(1+'20 New UGB Water'!$G$14)</f>
        <v>2.9783590999999996</v>
      </c>
    </row>
    <row r="12" spans="2:5" x14ac:dyDescent="0.25">
      <c r="D12" s="29"/>
    </row>
    <row r="13" spans="2:5" x14ac:dyDescent="0.25">
      <c r="B13" s="1" t="s">
        <v>314</v>
      </c>
    </row>
    <row r="14" spans="2:5" x14ac:dyDescent="0.25">
      <c r="B14" t="s">
        <v>315</v>
      </c>
      <c r="C14" t="s">
        <v>41</v>
      </c>
      <c r="D14">
        <v>458.26</v>
      </c>
      <c r="E14" s="29">
        <f>D14*(1+'20 New UGB Water'!$G$14)</f>
        <v>467.88345999999996</v>
      </c>
    </row>
    <row r="15" spans="2:5" x14ac:dyDescent="0.25">
      <c r="B15" t="s">
        <v>316</v>
      </c>
      <c r="C15" t="s">
        <v>143</v>
      </c>
      <c r="D15" s="29">
        <v>1.1426000000000001</v>
      </c>
      <c r="E15" s="29">
        <f>D15*(1+'20 New UGB Water'!$G$14)</f>
        <v>1.1665946</v>
      </c>
    </row>
    <row r="17" spans="2:8" x14ac:dyDescent="0.25">
      <c r="B17" s="1" t="s">
        <v>317</v>
      </c>
    </row>
    <row r="18" spans="2:8" x14ac:dyDescent="0.25">
      <c r="B18" t="s">
        <v>315</v>
      </c>
      <c r="C18" t="s">
        <v>41</v>
      </c>
      <c r="D18">
        <v>557.05999999999995</v>
      </c>
      <c r="E18" s="29">
        <f>D18*(1+'20 New UGB Water'!$G$14)</f>
        <v>568.75825999999984</v>
      </c>
    </row>
    <row r="19" spans="2:8" x14ac:dyDescent="0.25">
      <c r="B19" t="s">
        <v>316</v>
      </c>
      <c r="C19" t="s">
        <v>143</v>
      </c>
      <c r="D19" s="29">
        <v>2.0236999999999998</v>
      </c>
      <c r="E19" s="29">
        <f>D19*(1+'20 New UGB Water'!$G$14)</f>
        <v>2.0661976999999996</v>
      </c>
    </row>
    <row r="21" spans="2:8" x14ac:dyDescent="0.25">
      <c r="B21" s="1" t="s">
        <v>310</v>
      </c>
    </row>
    <row r="22" spans="2:8" x14ac:dyDescent="0.25">
      <c r="B22" s="217" t="s">
        <v>324</v>
      </c>
      <c r="C22" s="217" t="s">
        <v>143</v>
      </c>
      <c r="D22" s="217">
        <v>1.7034</v>
      </c>
      <c r="E22" s="223">
        <f>D22*(1+'20 New UGB Water'!$G$14)</f>
        <v>1.7391713999999998</v>
      </c>
    </row>
    <row r="23" spans="2:8" ht="16.5" thickBot="1" x14ac:dyDescent="0.3"/>
    <row r="24" spans="2:8" ht="16.5" thickBot="1" x14ac:dyDescent="0.3">
      <c r="B24" s="279"/>
      <c r="C24" s="279"/>
      <c r="D24" s="280" t="s">
        <v>223</v>
      </c>
      <c r="E24" s="280" t="s">
        <v>378</v>
      </c>
      <c r="F24" s="280" t="s">
        <v>224</v>
      </c>
      <c r="G24" s="280" t="s">
        <v>379</v>
      </c>
      <c r="H24" s="280" t="s">
        <v>380</v>
      </c>
    </row>
    <row r="25" spans="2:8" ht="16.5" thickBot="1" x14ac:dyDescent="0.3">
      <c r="B25" s="281" t="s">
        <v>381</v>
      </c>
      <c r="C25" s="281"/>
      <c r="D25" s="282">
        <v>-4.24E-2</v>
      </c>
      <c r="E25" s="283">
        <v>-2.7400000000000001E-2</v>
      </c>
      <c r="F25" s="283">
        <v>0</v>
      </c>
      <c r="G25" s="283">
        <v>0</v>
      </c>
      <c r="H25" s="283">
        <v>0</v>
      </c>
    </row>
    <row r="26" spans="2:8" ht="16.5" thickBot="1" x14ac:dyDescent="0.3">
      <c r="B26" s="281" t="s">
        <v>382</v>
      </c>
      <c r="C26" s="281"/>
      <c r="D26" s="282">
        <v>0.27460000000000001</v>
      </c>
      <c r="E26" s="283">
        <v>-2.7400000000000001E-2</v>
      </c>
      <c r="F26" s="283">
        <v>0</v>
      </c>
      <c r="G26" s="283">
        <v>0</v>
      </c>
      <c r="H26" s="283">
        <v>0</v>
      </c>
    </row>
    <row r="27" spans="2:8" ht="16.5" thickBot="1" x14ac:dyDescent="0.3">
      <c r="B27" s="281" t="s">
        <v>383</v>
      </c>
      <c r="C27" s="281"/>
      <c r="D27" s="282">
        <v>0.31559999999999999</v>
      </c>
      <c r="E27" s="283">
        <v>-2.7400000000000001E-2</v>
      </c>
      <c r="F27" s="283">
        <v>0</v>
      </c>
      <c r="G27" s="283">
        <v>0</v>
      </c>
      <c r="H27" s="283">
        <v>0</v>
      </c>
    </row>
    <row r="28" spans="2:8" ht="16.5" thickBot="1" x14ac:dyDescent="0.3">
      <c r="B28" s="281" t="s">
        <v>384</v>
      </c>
      <c r="C28" s="281"/>
      <c r="D28" s="282">
        <v>3.2599999999999997E-2</v>
      </c>
      <c r="E28" s="283">
        <v>-2.7400000000000001E-2</v>
      </c>
      <c r="F28" s="283">
        <v>0</v>
      </c>
      <c r="G28" s="283">
        <v>0</v>
      </c>
      <c r="H28" s="283">
        <v>0</v>
      </c>
    </row>
    <row r="29" spans="2:8" ht="16.5" thickBot="1" x14ac:dyDescent="0.3">
      <c r="B29" s="281" t="s">
        <v>385</v>
      </c>
      <c r="C29" s="281"/>
      <c r="D29" s="282">
        <v>-4.24E-2</v>
      </c>
      <c r="E29" s="283">
        <v>-2.7400000000000001E-2</v>
      </c>
      <c r="F29" s="283">
        <v>0</v>
      </c>
      <c r="G29" s="283">
        <v>0</v>
      </c>
      <c r="H29" s="283">
        <v>0</v>
      </c>
    </row>
    <row r="30" spans="2:8" ht="16.5" thickBot="1" x14ac:dyDescent="0.3">
      <c r="B30" s="281" t="s">
        <v>386</v>
      </c>
      <c r="C30" s="281"/>
      <c r="D30" s="282">
        <v>-1</v>
      </c>
      <c r="E30" s="283">
        <v>0</v>
      </c>
      <c r="F30" s="283">
        <v>0</v>
      </c>
      <c r="G30" s="283">
        <v>0</v>
      </c>
      <c r="H30" s="283">
        <v>0</v>
      </c>
    </row>
    <row r="31" spans="2:8" ht="16.5" thickBot="1" x14ac:dyDescent="0.3">
      <c r="B31" s="281" t="s">
        <v>387</v>
      </c>
      <c r="C31" s="281"/>
      <c r="D31" s="282">
        <v>-4.24E-2</v>
      </c>
      <c r="E31" s="283">
        <v>-2.7400000000000001E-2</v>
      </c>
      <c r="F31" s="283">
        <v>0</v>
      </c>
      <c r="G31" s="283">
        <v>0</v>
      </c>
      <c r="H31" s="283">
        <v>0</v>
      </c>
    </row>
    <row r="32" spans="2:8" ht="16.5" thickBot="1" x14ac:dyDescent="0.3">
      <c r="B32" s="281" t="s">
        <v>388</v>
      </c>
      <c r="C32" s="281"/>
      <c r="D32" s="282">
        <v>-4.24E-2</v>
      </c>
      <c r="E32" s="283">
        <v>-2.7400000000000001E-2</v>
      </c>
      <c r="F32" s="283">
        <v>0</v>
      </c>
      <c r="G32" s="283">
        <v>0</v>
      </c>
      <c r="H32" s="283">
        <v>0</v>
      </c>
    </row>
    <row r="33" spans="2:8" ht="16.5" thickBot="1" x14ac:dyDescent="0.3">
      <c r="B33" s="284"/>
      <c r="C33" s="284"/>
      <c r="D33" s="284"/>
      <c r="E33" s="284"/>
      <c r="F33" s="284"/>
      <c r="G33" s="284"/>
      <c r="H33" s="284"/>
    </row>
    <row r="34" spans="2:8" ht="16.5" thickBot="1" x14ac:dyDescent="0.3">
      <c r="B34" s="281" t="s">
        <v>389</v>
      </c>
      <c r="C34" s="281"/>
      <c r="D34" s="285">
        <v>-4.24E-2</v>
      </c>
      <c r="E34" s="286">
        <v>-2.7400000000000001E-2</v>
      </c>
      <c r="F34" s="286">
        <v>0</v>
      </c>
      <c r="G34" s="286">
        <v>0</v>
      </c>
      <c r="H34" s="286">
        <v>0</v>
      </c>
    </row>
    <row r="35" spans="2:8" ht="16.5" thickBot="1" x14ac:dyDescent="0.3">
      <c r="B35" s="281" t="s">
        <v>390</v>
      </c>
      <c r="C35" s="281"/>
      <c r="D35" s="282">
        <v>-4.24E-2</v>
      </c>
      <c r="E35" s="283">
        <v>-2.7400000000000001E-2</v>
      </c>
      <c r="F35" s="283">
        <v>0</v>
      </c>
      <c r="G35" s="283">
        <v>0</v>
      </c>
      <c r="H35" s="283">
        <v>0</v>
      </c>
    </row>
    <row r="36" spans="2:8" ht="16.5" thickBot="1" x14ac:dyDescent="0.3">
      <c r="B36" s="281" t="s">
        <v>391</v>
      </c>
      <c r="C36" s="281"/>
      <c r="D36" s="282">
        <v>-4.24E-2</v>
      </c>
      <c r="E36" s="283">
        <v>-2.7400000000000001E-2</v>
      </c>
      <c r="F36" s="283">
        <v>0</v>
      </c>
      <c r="G36" s="283">
        <v>0</v>
      </c>
      <c r="H36" s="283">
        <v>0</v>
      </c>
    </row>
    <row r="37" spans="2:8" ht="16.5" thickBot="1" x14ac:dyDescent="0.3">
      <c r="B37" s="281" t="s">
        <v>392</v>
      </c>
      <c r="C37" s="281"/>
      <c r="D37" s="282">
        <v>-4.24E-2</v>
      </c>
      <c r="E37" s="283">
        <v>-2.7400000000000001E-2</v>
      </c>
      <c r="F37" s="283">
        <v>0</v>
      </c>
      <c r="G37" s="283">
        <v>0</v>
      </c>
      <c r="H37" s="283">
        <v>0</v>
      </c>
    </row>
    <row r="38" spans="2:8" ht="16.5" thickBot="1" x14ac:dyDescent="0.3">
      <c r="B38" s="281" t="s">
        <v>393</v>
      </c>
      <c r="C38" s="281"/>
      <c r="D38" s="282">
        <v>-4.24E-2</v>
      </c>
      <c r="E38" s="283">
        <v>-2.7400000000000001E-2</v>
      </c>
      <c r="F38" s="283">
        <v>0</v>
      </c>
      <c r="G38" s="283">
        <v>0</v>
      </c>
      <c r="H38" s="283">
        <v>0</v>
      </c>
    </row>
    <row r="39" spans="2:8" ht="16.149999999999999" customHeight="1" thickBot="1" x14ac:dyDescent="0.3">
      <c r="B39" s="281" t="s">
        <v>394</v>
      </c>
      <c r="C39" s="281"/>
      <c r="D39" s="282">
        <v>-4.24E-2</v>
      </c>
      <c r="E39" s="283">
        <v>-2.7400000000000001E-2</v>
      </c>
      <c r="F39" s="283">
        <v>0</v>
      </c>
      <c r="G39" s="283">
        <v>0</v>
      </c>
      <c r="H39" s="283">
        <v>0</v>
      </c>
    </row>
    <row r="40" spans="2:8" ht="16.5" thickBot="1" x14ac:dyDescent="0.3">
      <c r="B40" s="284"/>
      <c r="C40" s="284"/>
      <c r="D40" s="284"/>
      <c r="E40" s="284"/>
      <c r="F40" s="284"/>
      <c r="G40" s="284"/>
      <c r="H40" s="284"/>
    </row>
    <row r="41" spans="2:8" ht="16.5" thickBot="1" x14ac:dyDescent="0.3">
      <c r="B41" s="281" t="s">
        <v>395</v>
      </c>
      <c r="C41" s="281"/>
      <c r="D41" s="285">
        <v>-4.24E-2</v>
      </c>
      <c r="E41" s="286">
        <v>-2.7400000000000001E-2</v>
      </c>
      <c r="F41" s="286">
        <v>0</v>
      </c>
      <c r="G41" s="286">
        <v>0</v>
      </c>
      <c r="H41" s="286">
        <v>0</v>
      </c>
    </row>
    <row r="42" spans="2:8" ht="16.5" thickBot="1" x14ac:dyDescent="0.3">
      <c r="B42" s="281" t="s">
        <v>396</v>
      </c>
      <c r="C42" s="281"/>
      <c r="D42" s="282">
        <v>-4.24E-2</v>
      </c>
      <c r="E42" s="283">
        <v>-2.7400000000000001E-2</v>
      </c>
      <c r="F42" s="283">
        <v>0</v>
      </c>
      <c r="G42" s="283">
        <v>0</v>
      </c>
      <c r="H42" s="283">
        <v>0</v>
      </c>
    </row>
    <row r="43" spans="2:8" ht="16.5" thickBot="1" x14ac:dyDescent="0.3">
      <c r="B43" s="281" t="s">
        <v>397</v>
      </c>
      <c r="C43" s="281"/>
      <c r="D43" s="282">
        <v>-4.24E-2</v>
      </c>
      <c r="E43" s="283">
        <v>-2.7400000000000001E-2</v>
      </c>
      <c r="F43" s="283">
        <v>0</v>
      </c>
      <c r="G43" s="283">
        <v>0</v>
      </c>
      <c r="H43" s="283">
        <v>0</v>
      </c>
    </row>
    <row r="44" spans="2:8" ht="16.5" thickBot="1" x14ac:dyDescent="0.3">
      <c r="B44" s="281" t="s">
        <v>398</v>
      </c>
      <c r="C44" s="281"/>
      <c r="D44" s="282">
        <v>-4.24E-2</v>
      </c>
      <c r="E44" s="283">
        <v>-2.7400000000000001E-2</v>
      </c>
      <c r="F44" s="283">
        <v>0</v>
      </c>
      <c r="G44" s="283">
        <v>0</v>
      </c>
      <c r="H44" s="283">
        <v>0</v>
      </c>
    </row>
    <row r="45" spans="2:8" ht="16.5" thickBot="1" x14ac:dyDescent="0.3">
      <c r="B45" s="281" t="s">
        <v>399</v>
      </c>
      <c r="C45" s="281"/>
      <c r="D45" s="282">
        <v>-4.24E-2</v>
      </c>
      <c r="E45" s="283">
        <v>-2.7400000000000001E-2</v>
      </c>
      <c r="F45" s="283">
        <v>0</v>
      </c>
      <c r="G45" s="283">
        <v>0</v>
      </c>
      <c r="H45" s="283">
        <v>0</v>
      </c>
    </row>
    <row r="46" spans="2:8" ht="16.5" thickBot="1" x14ac:dyDescent="0.3">
      <c r="B46" s="281" t="s">
        <v>400</v>
      </c>
      <c r="C46" s="281"/>
      <c r="D46" s="282">
        <v>-4.24E-2</v>
      </c>
      <c r="E46" s="283">
        <v>-2.7400000000000001E-2</v>
      </c>
      <c r="F46" s="283">
        <v>0</v>
      </c>
      <c r="G46" s="283">
        <v>0</v>
      </c>
      <c r="H46" s="283">
        <v>0</v>
      </c>
    </row>
    <row r="47" spans="2:8" ht="16.5" thickBot="1" x14ac:dyDescent="0.3">
      <c r="B47" s="281"/>
      <c r="C47" s="281"/>
      <c r="D47" s="287"/>
      <c r="E47" s="288"/>
      <c r="F47" s="288"/>
      <c r="G47" s="288"/>
      <c r="H47" s="288"/>
    </row>
    <row r="48" spans="2:8" ht="16.5" thickBot="1" x14ac:dyDescent="0.3">
      <c r="B48" s="281" t="s">
        <v>401</v>
      </c>
      <c r="C48" s="281"/>
      <c r="D48" s="289">
        <v>-4.24E-2</v>
      </c>
      <c r="E48" s="286">
        <v>-2.7400000000000001E-2</v>
      </c>
      <c r="F48" s="286">
        <v>0</v>
      </c>
      <c r="G48" s="286">
        <v>0</v>
      </c>
      <c r="H48" s="286">
        <v>0</v>
      </c>
    </row>
    <row r="49" spans="2:8" ht="16.5" thickBot="1" x14ac:dyDescent="0.3">
      <c r="B49" s="281" t="s">
        <v>402</v>
      </c>
      <c r="C49" s="281"/>
      <c r="D49" s="290">
        <v>-4.24E-2</v>
      </c>
      <c r="E49" s="283">
        <v>-2.7400000000000001E-2</v>
      </c>
      <c r="F49" s="283">
        <v>0</v>
      </c>
      <c r="G49" s="283">
        <v>0</v>
      </c>
      <c r="H49" s="283">
        <v>0</v>
      </c>
    </row>
    <row r="50" spans="2:8" ht="16.5" thickBot="1" x14ac:dyDescent="0.3">
      <c r="B50" s="281" t="s">
        <v>403</v>
      </c>
      <c r="C50" s="281"/>
      <c r="D50" s="291">
        <v>-4.24E-2</v>
      </c>
      <c r="E50" s="283">
        <v>-2.7400000000000001E-2</v>
      </c>
      <c r="F50" s="283">
        <v>0</v>
      </c>
      <c r="G50" s="283">
        <v>0</v>
      </c>
      <c r="H50" s="283">
        <v>0</v>
      </c>
    </row>
  </sheetData>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1E3ECC-54A9-475D-AD20-8853E87B31A4}">
  <dimension ref="A2:AC322"/>
  <sheetViews>
    <sheetView workbookViewId="0">
      <selection activeCell="H21" sqref="H21"/>
    </sheetView>
  </sheetViews>
  <sheetFormatPr defaultColWidth="11" defaultRowHeight="15.75" x14ac:dyDescent="0.25"/>
  <cols>
    <col min="1" max="1" width="7.625" style="14" customWidth="1"/>
    <col min="2" max="2" width="3.125" customWidth="1"/>
    <col min="3" max="3" width="3.375" customWidth="1"/>
    <col min="4" max="4" width="2.875" customWidth="1"/>
    <col min="5" max="5" width="36.5" bestFit="1" customWidth="1"/>
    <col min="6" max="6" width="17.5" customWidth="1"/>
    <col min="7" max="27" width="15.625" customWidth="1"/>
    <col min="28" max="28" width="13.625" customWidth="1"/>
  </cols>
  <sheetData>
    <row r="2" spans="1:27" x14ac:dyDescent="0.25">
      <c r="C2" s="1" t="s">
        <v>0</v>
      </c>
      <c r="D2" s="1"/>
      <c r="G2">
        <v>0</v>
      </c>
      <c r="H2">
        <v>1</v>
      </c>
      <c r="I2">
        <v>2</v>
      </c>
      <c r="J2">
        <v>3</v>
      </c>
      <c r="K2">
        <v>4</v>
      </c>
      <c r="L2">
        <v>5</v>
      </c>
      <c r="M2">
        <v>6</v>
      </c>
      <c r="N2">
        <v>7</v>
      </c>
      <c r="O2">
        <v>8</v>
      </c>
      <c r="P2">
        <v>9</v>
      </c>
      <c r="Q2">
        <v>10</v>
      </c>
      <c r="R2">
        <v>11</v>
      </c>
      <c r="S2">
        <v>12</v>
      </c>
      <c r="T2">
        <v>13</v>
      </c>
      <c r="U2">
        <v>14</v>
      </c>
      <c r="V2">
        <v>15</v>
      </c>
      <c r="W2">
        <v>16</v>
      </c>
      <c r="X2">
        <v>17</v>
      </c>
      <c r="Y2">
        <v>18</v>
      </c>
      <c r="Z2">
        <v>19</v>
      </c>
      <c r="AA2">
        <v>20</v>
      </c>
    </row>
    <row r="4" spans="1:27" x14ac:dyDescent="0.25">
      <c r="A4" s="14">
        <f>'Notes &amp; Assumptions'!A14</f>
        <v>1</v>
      </c>
      <c r="C4" s="1" t="s">
        <v>114</v>
      </c>
      <c r="F4" t="s">
        <v>115</v>
      </c>
      <c r="G4" s="368" t="s">
        <v>111</v>
      </c>
      <c r="H4" s="368"/>
    </row>
    <row r="6" spans="1:27" x14ac:dyDescent="0.25">
      <c r="C6" s="1" t="s">
        <v>126</v>
      </c>
    </row>
    <row r="7" spans="1:27" x14ac:dyDescent="0.25">
      <c r="A7" s="14">
        <f>'Notes &amp; Assumptions'!A15</f>
        <v>2</v>
      </c>
      <c r="E7" s="10" t="s">
        <v>309</v>
      </c>
      <c r="F7" t="s">
        <v>145</v>
      </c>
      <c r="G7" s="10">
        <v>90</v>
      </c>
    </row>
    <row r="8" spans="1:27" x14ac:dyDescent="0.25">
      <c r="A8" s="14">
        <f>'Notes &amp; Assumptions'!A16</f>
        <v>3</v>
      </c>
      <c r="E8" s="10" t="s">
        <v>129</v>
      </c>
      <c r="F8" t="s">
        <v>145</v>
      </c>
      <c r="G8" s="10">
        <v>25</v>
      </c>
    </row>
    <row r="9" spans="1:27" x14ac:dyDescent="0.25">
      <c r="A9" s="14">
        <f>'Notes &amp; Assumptions'!A17</f>
        <v>4</v>
      </c>
      <c r="E9" s="10" t="s">
        <v>130</v>
      </c>
      <c r="F9" t="s">
        <v>145</v>
      </c>
      <c r="G9" s="10">
        <v>30</v>
      </c>
    </row>
    <row r="10" spans="1:27" x14ac:dyDescent="0.25">
      <c r="A10" s="14">
        <f>'Notes &amp; Assumptions'!A18</f>
        <v>5</v>
      </c>
      <c r="E10" t="s">
        <v>127</v>
      </c>
      <c r="F10" t="s">
        <v>145</v>
      </c>
      <c r="G10" s="10">
        <v>5</v>
      </c>
    </row>
    <row r="13" spans="1:27" x14ac:dyDescent="0.25">
      <c r="C13" s="1" t="s">
        <v>92</v>
      </c>
    </row>
    <row r="14" spans="1:27" x14ac:dyDescent="0.25">
      <c r="A14" s="14">
        <f>'Notes &amp; Assumptions'!A19</f>
        <v>6</v>
      </c>
      <c r="E14" t="s">
        <v>5</v>
      </c>
      <c r="F14" t="s">
        <v>8</v>
      </c>
      <c r="G14" s="17">
        <f>'Key assumptions'!B9</f>
        <v>2.1000000000000001E-2</v>
      </c>
    </row>
    <row r="15" spans="1:27" x14ac:dyDescent="0.25">
      <c r="A15" s="14">
        <f>'Notes &amp; Assumptions'!A20</f>
        <v>7</v>
      </c>
      <c r="E15" t="s">
        <v>32</v>
      </c>
      <c r="F15" t="s">
        <v>8</v>
      </c>
      <c r="G15" s="17">
        <f>'Key assumptions'!B8</f>
        <v>5.1629999999999843E-2</v>
      </c>
    </row>
    <row r="16" spans="1:27" x14ac:dyDescent="0.25">
      <c r="E16" t="s">
        <v>30</v>
      </c>
      <c r="F16" t="s">
        <v>8</v>
      </c>
      <c r="G16" s="18">
        <f>(1+G15)/(1+G14)-1</f>
        <v>3.0000000000000027E-2</v>
      </c>
    </row>
    <row r="17" spans="1:27" x14ac:dyDescent="0.25">
      <c r="E17" t="s">
        <v>171</v>
      </c>
      <c r="F17" t="s">
        <v>8</v>
      </c>
      <c r="G17" s="11">
        <v>0.5</v>
      </c>
    </row>
    <row r="18" spans="1:27" x14ac:dyDescent="0.25">
      <c r="A18" s="14">
        <f>'Notes &amp; Assumptions'!A22</f>
        <v>9</v>
      </c>
      <c r="E18" t="s">
        <v>16</v>
      </c>
      <c r="F18" t="s">
        <v>8</v>
      </c>
      <c r="G18" s="11">
        <v>0.3</v>
      </c>
      <c r="H18" s="11">
        <v>0.3</v>
      </c>
      <c r="I18" s="11">
        <v>0.3</v>
      </c>
      <c r="J18" s="11">
        <v>0.3</v>
      </c>
      <c r="K18" s="11">
        <v>0.3</v>
      </c>
      <c r="L18" s="11">
        <v>0.3</v>
      </c>
      <c r="M18" s="11">
        <v>0.3</v>
      </c>
      <c r="N18" s="11">
        <v>0.3</v>
      </c>
      <c r="O18" s="11">
        <v>0.3</v>
      </c>
      <c r="P18" s="11">
        <v>0.3</v>
      </c>
      <c r="Q18" s="11">
        <v>0.3</v>
      </c>
      <c r="R18" s="11">
        <v>0.3</v>
      </c>
      <c r="S18" s="11">
        <v>0.3</v>
      </c>
      <c r="T18" s="11">
        <v>0.3</v>
      </c>
      <c r="U18" s="11">
        <v>0.3</v>
      </c>
      <c r="V18" s="11">
        <v>0.3</v>
      </c>
      <c r="W18" s="11">
        <v>0.3</v>
      </c>
      <c r="X18" s="11">
        <v>0.3</v>
      </c>
      <c r="Y18" s="11">
        <v>0.3</v>
      </c>
      <c r="Z18" s="11">
        <v>0.3</v>
      </c>
      <c r="AA18" s="11">
        <v>0.3</v>
      </c>
    </row>
    <row r="20" spans="1:27" x14ac:dyDescent="0.25">
      <c r="A20" s="14">
        <f>'Notes &amp; Assumptions'!A23</f>
        <v>10</v>
      </c>
      <c r="C20" s="1" t="s">
        <v>1</v>
      </c>
      <c r="D20" s="1"/>
    </row>
    <row r="21" spans="1:27" x14ac:dyDescent="0.25">
      <c r="E21" s="2" t="str">
        <f>E7</f>
        <v>Average asset life for all growth assets</v>
      </c>
      <c r="F21" t="s">
        <v>7</v>
      </c>
      <c r="G21" s="43">
        <f>IF('Key assumptions'!B3="yes",SUM('Historical growth capex'!M82:V82),0)+IF('Key assumptions'!B5="yes",SUM('Historical growth capex'!E82:L82),0)</f>
        <v>92155161.285112664</v>
      </c>
      <c r="H21" s="10">
        <f>'Forecast capex'!J76*1000*(1+$G$14)^H2</f>
        <v>4262779.3486924423</v>
      </c>
      <c r="I21" s="10">
        <f>'Forecast capex'!K76*1000*(1+$G$14)^I2</f>
        <v>0</v>
      </c>
      <c r="J21" s="10">
        <f>'Forecast capex'!L76*1000*(1+$G$14)^J2</f>
        <v>662057.89133817446</v>
      </c>
      <c r="K21" s="10">
        <f>'Forecast capex'!M76*1000*(1+$G$14)^K2</f>
        <v>3405290.5778713706</v>
      </c>
      <c r="L21" s="10">
        <f>'Forecast capex'!N76*1000*(1+$G$14)^L2</f>
        <v>3377755.5331579824</v>
      </c>
      <c r="M21" s="10">
        <f>'Forecast capex'!O76*1000*(1+$G$14)^M2</f>
        <v>7126153.5641255621</v>
      </c>
      <c r="N21" s="10">
        <f>'Forecast capex'!P76*1000*(1+$G$14)^N2</f>
        <v>0</v>
      </c>
      <c r="O21" s="10">
        <f>'Forecast capex'!Q76*1000*(1+$G$14)^O2</f>
        <v>0</v>
      </c>
      <c r="P21" s="10">
        <f>'Forecast capex'!R76*1000*(1+$G$14)^P2</f>
        <v>0</v>
      </c>
      <c r="Q21" s="10">
        <f>'Forecast capex'!S76*1000*(1+$G$14)^Q2</f>
        <v>0</v>
      </c>
      <c r="R21" s="10"/>
      <c r="S21" s="10"/>
      <c r="T21" s="10"/>
      <c r="U21" s="10"/>
      <c r="V21" s="10"/>
      <c r="W21" s="10"/>
      <c r="X21" s="10"/>
      <c r="Y21" s="10"/>
      <c r="Z21" s="10"/>
      <c r="AA21" s="10"/>
    </row>
    <row r="22" spans="1:27" x14ac:dyDescent="0.25">
      <c r="E22" s="2" t="str">
        <f>E8</f>
        <v>Pumps</v>
      </c>
      <c r="F22" t="s">
        <v>7</v>
      </c>
      <c r="G22" s="10"/>
      <c r="H22" s="10"/>
      <c r="I22" s="10"/>
      <c r="J22" s="10"/>
      <c r="K22" s="10"/>
      <c r="L22" s="10"/>
      <c r="M22" s="10"/>
      <c r="N22" s="10"/>
      <c r="O22" s="10"/>
      <c r="P22" s="10"/>
      <c r="Q22" s="10"/>
      <c r="R22" s="10"/>
      <c r="S22" s="10"/>
      <c r="T22" s="10"/>
      <c r="U22" s="10"/>
      <c r="V22" s="10"/>
      <c r="W22" s="10"/>
      <c r="X22" s="10"/>
      <c r="Y22" s="10"/>
      <c r="Z22" s="10"/>
      <c r="AA22" s="10"/>
    </row>
    <row r="23" spans="1:27" x14ac:dyDescent="0.25">
      <c r="E23" s="2" t="str">
        <f>E9</f>
        <v>Valves and Meters</v>
      </c>
      <c r="F23" t="s">
        <v>7</v>
      </c>
      <c r="G23" s="10"/>
      <c r="H23" s="10"/>
      <c r="I23" s="10"/>
      <c r="J23" s="10"/>
      <c r="K23" s="10"/>
      <c r="L23" s="10"/>
      <c r="M23" s="10"/>
      <c r="N23" s="10"/>
      <c r="O23" s="10"/>
      <c r="P23" s="10"/>
      <c r="Q23" s="10"/>
      <c r="R23" s="10"/>
      <c r="S23" s="10"/>
      <c r="T23" s="10"/>
      <c r="U23" s="10"/>
      <c r="V23" s="10"/>
      <c r="W23" s="10"/>
      <c r="X23" s="10"/>
      <c r="Y23" s="10"/>
      <c r="Z23" s="10"/>
      <c r="AA23" s="10"/>
    </row>
    <row r="24" spans="1:27" x14ac:dyDescent="0.25">
      <c r="E24" t="s">
        <v>127</v>
      </c>
      <c r="F24" t="s">
        <v>7</v>
      </c>
      <c r="G24" s="10"/>
      <c r="H24" s="10"/>
      <c r="I24" s="10"/>
      <c r="J24" s="10"/>
      <c r="K24" s="10"/>
      <c r="L24" s="10"/>
      <c r="M24" s="10"/>
      <c r="N24" s="10"/>
      <c r="O24" s="10"/>
      <c r="P24" s="10"/>
      <c r="Q24" s="10"/>
      <c r="R24" s="10"/>
      <c r="S24" s="10"/>
      <c r="T24" s="10"/>
      <c r="U24" s="10"/>
      <c r="V24" s="10"/>
      <c r="W24" s="10"/>
      <c r="X24" s="10"/>
      <c r="Y24" s="10"/>
      <c r="Z24" s="10"/>
      <c r="AA24" s="10"/>
    </row>
    <row r="25" spans="1:27" x14ac:dyDescent="0.25">
      <c r="E25" t="s">
        <v>131</v>
      </c>
      <c r="F25" t="s">
        <v>7</v>
      </c>
      <c r="G25" s="10"/>
      <c r="H25" s="10"/>
      <c r="I25" s="10"/>
      <c r="J25" s="10"/>
      <c r="K25" s="10"/>
      <c r="L25" s="10"/>
      <c r="M25" s="10"/>
      <c r="N25" s="10"/>
      <c r="O25" s="10"/>
      <c r="P25" s="10"/>
      <c r="Q25" s="10"/>
      <c r="R25" s="10"/>
      <c r="S25" s="10"/>
      <c r="T25" s="10"/>
      <c r="U25" s="10"/>
      <c r="V25" s="10"/>
      <c r="W25" s="10"/>
      <c r="X25" s="10"/>
      <c r="Y25" s="10"/>
      <c r="Z25" s="10"/>
      <c r="AA25" s="10"/>
    </row>
    <row r="26" spans="1:27" x14ac:dyDescent="0.25">
      <c r="G26" s="2">
        <f>SUM(G21:G25)</f>
        <v>92155161.285112664</v>
      </c>
      <c r="H26" s="2">
        <f t="shared" ref="H26:AA26" si="0">SUM(H21:H25)</f>
        <v>4262779.3486924423</v>
      </c>
      <c r="I26" s="2">
        <f t="shared" si="0"/>
        <v>0</v>
      </c>
      <c r="J26" s="2">
        <f t="shared" si="0"/>
        <v>662057.89133817446</v>
      </c>
      <c r="K26" s="2">
        <f t="shared" si="0"/>
        <v>3405290.5778713706</v>
      </c>
      <c r="L26" s="2">
        <f t="shared" si="0"/>
        <v>3377755.5331579824</v>
      </c>
      <c r="M26" s="2">
        <f t="shared" si="0"/>
        <v>7126153.5641255621</v>
      </c>
      <c r="N26" s="2">
        <f t="shared" si="0"/>
        <v>0</v>
      </c>
      <c r="O26" s="2">
        <f t="shared" si="0"/>
        <v>0</v>
      </c>
      <c r="P26" s="2">
        <f t="shared" si="0"/>
        <v>0</v>
      </c>
      <c r="Q26" s="2">
        <f t="shared" si="0"/>
        <v>0</v>
      </c>
      <c r="R26" s="2">
        <f t="shared" si="0"/>
        <v>0</v>
      </c>
      <c r="S26" s="2">
        <f t="shared" si="0"/>
        <v>0</v>
      </c>
      <c r="T26" s="2">
        <f t="shared" si="0"/>
        <v>0</v>
      </c>
      <c r="U26" s="2">
        <f t="shared" si="0"/>
        <v>0</v>
      </c>
      <c r="V26" s="2">
        <f t="shared" si="0"/>
        <v>0</v>
      </c>
      <c r="W26" s="2">
        <f t="shared" si="0"/>
        <v>0</v>
      </c>
      <c r="X26" s="2">
        <f t="shared" si="0"/>
        <v>0</v>
      </c>
      <c r="Y26" s="2">
        <f t="shared" si="0"/>
        <v>0</v>
      </c>
      <c r="Z26" s="2">
        <f t="shared" si="0"/>
        <v>0</v>
      </c>
      <c r="AA26" s="2">
        <f t="shared" si="0"/>
        <v>0</v>
      </c>
    </row>
    <row r="27" spans="1:27" x14ac:dyDescent="0.25">
      <c r="G27" s="2"/>
      <c r="H27" s="2"/>
      <c r="I27" s="2"/>
      <c r="J27" s="2"/>
      <c r="K27" s="2"/>
      <c r="L27" s="2"/>
      <c r="M27" s="2"/>
      <c r="N27" s="2"/>
      <c r="O27" s="2"/>
      <c r="P27" s="2"/>
      <c r="Q27" s="2"/>
    </row>
    <row r="28" spans="1:27" x14ac:dyDescent="0.25">
      <c r="D28" t="s">
        <v>132</v>
      </c>
      <c r="G28" s="2"/>
      <c r="H28" s="2"/>
      <c r="I28" s="2"/>
      <c r="J28" s="2"/>
      <c r="K28" s="2"/>
      <c r="L28" s="2"/>
      <c r="M28" s="2"/>
      <c r="N28" s="2"/>
      <c r="O28" s="2"/>
      <c r="P28" s="2"/>
      <c r="Q28" s="2"/>
    </row>
    <row r="29" spans="1:27" x14ac:dyDescent="0.25">
      <c r="E29" s="2" t="str">
        <f>E21</f>
        <v>Average asset life for all growth assets</v>
      </c>
      <c r="F29" t="s">
        <v>7</v>
      </c>
      <c r="G29" s="2">
        <f t="shared" ref="G29:AA32" si="1">G21/$G7+IF((G$2-$G7+1)&gt;0,-INDEX($G21:$AA21,1,(G$2-$G7+1))/$G7,0)</f>
        <v>1023946.2365012518</v>
      </c>
      <c r="H29" s="2">
        <f t="shared" si="1"/>
        <v>47364.214985471583</v>
      </c>
      <c r="I29" s="2">
        <f t="shared" si="1"/>
        <v>0</v>
      </c>
      <c r="J29" s="2">
        <f t="shared" si="1"/>
        <v>7356.1987926463826</v>
      </c>
      <c r="K29" s="2">
        <f t="shared" si="1"/>
        <v>37836.561976348559</v>
      </c>
      <c r="L29" s="2">
        <f t="shared" si="1"/>
        <v>37530.617035088697</v>
      </c>
      <c r="M29" s="2">
        <f t="shared" si="1"/>
        <v>79179.484045839577</v>
      </c>
      <c r="N29" s="2">
        <f t="shared" si="1"/>
        <v>0</v>
      </c>
      <c r="O29" s="2">
        <f t="shared" si="1"/>
        <v>0</v>
      </c>
      <c r="P29" s="2">
        <f t="shared" si="1"/>
        <v>0</v>
      </c>
      <c r="Q29" s="2">
        <f t="shared" si="1"/>
        <v>0</v>
      </c>
      <c r="R29" s="2">
        <f t="shared" si="1"/>
        <v>0</v>
      </c>
      <c r="S29" s="2">
        <f t="shared" si="1"/>
        <v>0</v>
      </c>
      <c r="T29" s="2">
        <f t="shared" si="1"/>
        <v>0</v>
      </c>
      <c r="U29" s="2">
        <f t="shared" si="1"/>
        <v>0</v>
      </c>
      <c r="V29" s="2">
        <f t="shared" si="1"/>
        <v>0</v>
      </c>
      <c r="W29" s="2">
        <f t="shared" si="1"/>
        <v>0</v>
      </c>
      <c r="X29" s="2">
        <f t="shared" si="1"/>
        <v>0</v>
      </c>
      <c r="Y29" s="2">
        <f t="shared" si="1"/>
        <v>0</v>
      </c>
      <c r="Z29" s="2">
        <f t="shared" si="1"/>
        <v>0</v>
      </c>
      <c r="AA29" s="2">
        <f t="shared" si="1"/>
        <v>0</v>
      </c>
    </row>
    <row r="30" spans="1:27" x14ac:dyDescent="0.25">
      <c r="E30" s="2" t="str">
        <f t="shared" ref="E30:E32" si="2">E22</f>
        <v>Pumps</v>
      </c>
      <c r="F30" t="s">
        <v>7</v>
      </c>
      <c r="G30" s="2">
        <f t="shared" si="1"/>
        <v>0</v>
      </c>
      <c r="H30" s="2">
        <f t="shared" si="1"/>
        <v>0</v>
      </c>
      <c r="I30" s="2">
        <f t="shared" si="1"/>
        <v>0</v>
      </c>
      <c r="J30" s="2">
        <f t="shared" si="1"/>
        <v>0</v>
      </c>
      <c r="K30" s="2">
        <f t="shared" si="1"/>
        <v>0</v>
      </c>
      <c r="L30" s="2">
        <f t="shared" si="1"/>
        <v>0</v>
      </c>
      <c r="M30" s="2">
        <f t="shared" si="1"/>
        <v>0</v>
      </c>
      <c r="N30" s="2">
        <f t="shared" si="1"/>
        <v>0</v>
      </c>
      <c r="O30" s="2">
        <f t="shared" si="1"/>
        <v>0</v>
      </c>
      <c r="P30" s="2">
        <f t="shared" si="1"/>
        <v>0</v>
      </c>
      <c r="Q30" s="2">
        <f t="shared" si="1"/>
        <v>0</v>
      </c>
      <c r="R30" s="2">
        <f t="shared" si="1"/>
        <v>0</v>
      </c>
      <c r="S30" s="2">
        <f t="shared" si="1"/>
        <v>0</v>
      </c>
      <c r="T30" s="2">
        <f t="shared" si="1"/>
        <v>0</v>
      </c>
      <c r="U30" s="2">
        <f t="shared" si="1"/>
        <v>0</v>
      </c>
      <c r="V30" s="2">
        <f t="shared" si="1"/>
        <v>0</v>
      </c>
      <c r="W30" s="2">
        <f t="shared" si="1"/>
        <v>0</v>
      </c>
      <c r="X30" s="2">
        <f t="shared" si="1"/>
        <v>0</v>
      </c>
      <c r="Y30" s="2">
        <f t="shared" si="1"/>
        <v>0</v>
      </c>
      <c r="Z30" s="2">
        <f t="shared" si="1"/>
        <v>0</v>
      </c>
      <c r="AA30" s="2">
        <f t="shared" si="1"/>
        <v>0</v>
      </c>
    </row>
    <row r="31" spans="1:27" x14ac:dyDescent="0.25">
      <c r="E31" s="2" t="str">
        <f t="shared" si="2"/>
        <v>Valves and Meters</v>
      </c>
      <c r="F31" t="s">
        <v>7</v>
      </c>
      <c r="G31" s="2">
        <f t="shared" si="1"/>
        <v>0</v>
      </c>
      <c r="H31" s="2">
        <f t="shared" si="1"/>
        <v>0</v>
      </c>
      <c r="I31" s="2">
        <f t="shared" si="1"/>
        <v>0</v>
      </c>
      <c r="J31" s="2">
        <f t="shared" si="1"/>
        <v>0</v>
      </c>
      <c r="K31" s="2">
        <f t="shared" si="1"/>
        <v>0</v>
      </c>
      <c r="L31" s="2">
        <f t="shared" si="1"/>
        <v>0</v>
      </c>
      <c r="M31" s="2">
        <f t="shared" si="1"/>
        <v>0</v>
      </c>
      <c r="N31" s="2">
        <f t="shared" si="1"/>
        <v>0</v>
      </c>
      <c r="O31" s="2">
        <f t="shared" si="1"/>
        <v>0</v>
      </c>
      <c r="P31" s="2">
        <f t="shared" si="1"/>
        <v>0</v>
      </c>
      <c r="Q31" s="2">
        <f t="shared" si="1"/>
        <v>0</v>
      </c>
      <c r="R31" s="2">
        <f t="shared" si="1"/>
        <v>0</v>
      </c>
      <c r="S31" s="2">
        <f t="shared" si="1"/>
        <v>0</v>
      </c>
      <c r="T31" s="2">
        <f t="shared" si="1"/>
        <v>0</v>
      </c>
      <c r="U31" s="2">
        <f t="shared" si="1"/>
        <v>0</v>
      </c>
      <c r="V31" s="2">
        <f t="shared" si="1"/>
        <v>0</v>
      </c>
      <c r="W31" s="2">
        <f t="shared" si="1"/>
        <v>0</v>
      </c>
      <c r="X31" s="2">
        <f t="shared" si="1"/>
        <v>0</v>
      </c>
      <c r="Y31" s="2">
        <f t="shared" si="1"/>
        <v>0</v>
      </c>
      <c r="Z31" s="2">
        <f t="shared" si="1"/>
        <v>0</v>
      </c>
      <c r="AA31" s="2">
        <f t="shared" si="1"/>
        <v>0</v>
      </c>
    </row>
    <row r="32" spans="1:27" x14ac:dyDescent="0.25">
      <c r="E32" s="2" t="str">
        <f t="shared" si="2"/>
        <v>Temporary Assets</v>
      </c>
      <c r="F32" t="s">
        <v>7</v>
      </c>
      <c r="G32" s="2">
        <f t="shared" si="1"/>
        <v>0</v>
      </c>
      <c r="H32" s="2">
        <f t="shared" si="1"/>
        <v>0</v>
      </c>
      <c r="I32" s="2">
        <f t="shared" si="1"/>
        <v>0</v>
      </c>
      <c r="J32" s="2">
        <f t="shared" si="1"/>
        <v>0</v>
      </c>
      <c r="K32" s="2">
        <f t="shared" si="1"/>
        <v>0</v>
      </c>
      <c r="L32" s="2">
        <f t="shared" si="1"/>
        <v>0</v>
      </c>
      <c r="M32" s="2">
        <f t="shared" si="1"/>
        <v>0</v>
      </c>
      <c r="N32" s="2">
        <f t="shared" si="1"/>
        <v>0</v>
      </c>
      <c r="O32" s="2">
        <f t="shared" si="1"/>
        <v>0</v>
      </c>
      <c r="P32" s="2">
        <f t="shared" si="1"/>
        <v>0</v>
      </c>
      <c r="Q32" s="2">
        <f t="shared" si="1"/>
        <v>0</v>
      </c>
      <c r="R32" s="2">
        <f t="shared" si="1"/>
        <v>0</v>
      </c>
      <c r="S32" s="2">
        <f t="shared" si="1"/>
        <v>0</v>
      </c>
      <c r="T32" s="2">
        <f t="shared" si="1"/>
        <v>0</v>
      </c>
      <c r="U32" s="2">
        <f t="shared" si="1"/>
        <v>0</v>
      </c>
      <c r="V32" s="2">
        <f t="shared" si="1"/>
        <v>0</v>
      </c>
      <c r="W32" s="2">
        <f t="shared" si="1"/>
        <v>0</v>
      </c>
      <c r="X32" s="2">
        <f t="shared" si="1"/>
        <v>0</v>
      </c>
      <c r="Y32" s="2">
        <f t="shared" si="1"/>
        <v>0</v>
      </c>
      <c r="Z32" s="2">
        <f t="shared" si="1"/>
        <v>0</v>
      </c>
      <c r="AA32" s="2">
        <f t="shared" si="1"/>
        <v>0</v>
      </c>
    </row>
    <row r="33" spans="1:27" x14ac:dyDescent="0.25">
      <c r="G33" s="2"/>
      <c r="H33" s="2"/>
      <c r="I33" s="2"/>
      <c r="J33" s="2"/>
      <c r="K33" s="2"/>
      <c r="L33" s="2"/>
      <c r="M33" s="2"/>
      <c r="N33" s="2"/>
      <c r="O33" s="2"/>
      <c r="P33" s="2"/>
      <c r="Q33" s="2"/>
    </row>
    <row r="34" spans="1:27" x14ac:dyDescent="0.25">
      <c r="D34" t="s">
        <v>133</v>
      </c>
      <c r="F34" t="s">
        <v>7</v>
      </c>
      <c r="G34" s="2">
        <f>SUM($G$29:G32)</f>
        <v>1023946.2365012518</v>
      </c>
      <c r="H34" s="2">
        <f>SUM($G$29:H32)</f>
        <v>1071310.4514867235</v>
      </c>
      <c r="I34" s="2">
        <f>SUM($G$29:I32)</f>
        <v>1071310.4514867235</v>
      </c>
      <c r="J34" s="2">
        <f>SUM($G$29:J32)</f>
        <v>1078666.6502793699</v>
      </c>
      <c r="K34" s="2">
        <f>SUM($G$29:K32)</f>
        <v>1116503.2122557184</v>
      </c>
      <c r="L34" s="2">
        <f>SUM($G$29:L32)</f>
        <v>1154033.829290807</v>
      </c>
      <c r="M34" s="2">
        <f>SUM($G$29:M32)</f>
        <v>1233213.3133366466</v>
      </c>
      <c r="N34" s="2">
        <f>SUM($G$29:N32)</f>
        <v>1233213.3133366466</v>
      </c>
      <c r="O34" s="2">
        <f>SUM($G$29:O32)</f>
        <v>1233213.3133366466</v>
      </c>
      <c r="P34" s="2">
        <f>SUM($G$29:P32)</f>
        <v>1233213.3133366466</v>
      </c>
      <c r="Q34" s="2">
        <f>SUM($G$29:Q32)</f>
        <v>1233213.3133366466</v>
      </c>
      <c r="R34" s="2">
        <f>SUM($G$29:R32)</f>
        <v>1233213.3133366466</v>
      </c>
      <c r="S34" s="2">
        <f>SUM($G$29:S32)</f>
        <v>1233213.3133366466</v>
      </c>
      <c r="T34" s="2">
        <f>SUM($G$29:T32)</f>
        <v>1233213.3133366466</v>
      </c>
      <c r="U34" s="2">
        <f>SUM($G$29:U32)</f>
        <v>1233213.3133366466</v>
      </c>
      <c r="V34" s="2">
        <f>SUM($G$29:V32)</f>
        <v>1233213.3133366466</v>
      </c>
      <c r="W34" s="2">
        <f>SUM($G$29:W32)</f>
        <v>1233213.3133366466</v>
      </c>
      <c r="X34" s="2">
        <f>SUM($G$29:X32)</f>
        <v>1233213.3133366466</v>
      </c>
      <c r="Y34" s="2">
        <f>SUM($G$29:Y32)</f>
        <v>1233213.3133366466</v>
      </c>
      <c r="Z34" s="2">
        <f>SUM($G$29:Z32)</f>
        <v>1233213.3133366466</v>
      </c>
      <c r="AA34" s="2">
        <f>SUM($G$29:AA32)</f>
        <v>1233213.3133366466</v>
      </c>
    </row>
    <row r="35" spans="1:27" x14ac:dyDescent="0.25">
      <c r="G35" s="2"/>
      <c r="H35" s="2"/>
      <c r="I35" s="2"/>
      <c r="J35" s="2"/>
      <c r="K35" s="2"/>
      <c r="L35" s="2"/>
      <c r="M35" s="2"/>
      <c r="N35" s="2"/>
      <c r="O35" s="2"/>
      <c r="P35" s="2"/>
      <c r="Q35" s="2"/>
      <c r="R35" s="2"/>
      <c r="S35" s="2"/>
      <c r="T35" s="2"/>
      <c r="U35" s="2"/>
      <c r="V35" s="2"/>
      <c r="W35" s="2"/>
      <c r="X35" s="2"/>
      <c r="Y35" s="2"/>
      <c r="Z35" s="2"/>
      <c r="AA35" s="2"/>
    </row>
    <row r="36" spans="1:27" x14ac:dyDescent="0.25">
      <c r="A36" s="14">
        <f>'Notes &amp; Assumptions'!A24</f>
        <v>11</v>
      </c>
      <c r="C36" s="1" t="s">
        <v>107</v>
      </c>
      <c r="D36" s="1"/>
    </row>
    <row r="37" spans="1:27" x14ac:dyDescent="0.25">
      <c r="E37" s="2" t="str">
        <f>E7</f>
        <v>Average asset life for all growth assets</v>
      </c>
      <c r="F37" t="s">
        <v>7</v>
      </c>
      <c r="G37" s="10"/>
      <c r="H37" s="10">
        <f>'Key assumptions'!$B31*(1+$G$14)^H2*(H90+H111+H132+H153)</f>
        <v>35642088.999999993</v>
      </c>
      <c r="I37" s="10">
        <f>'Key assumptions'!$B31*(1+$G$14)^I2*(I90+I111+I132+I153)</f>
        <v>34471438.987999991</v>
      </c>
      <c r="J37" s="10">
        <f>'Key assumptions'!$B31*(1+$G$14)^J2*(J90+J111+J132+J153)</f>
        <v>33874023.921329536</v>
      </c>
      <c r="K37" s="10">
        <f>'Key assumptions'!$B31*(1+$G$14)^K2*(K90+K111+K132+K153)</f>
        <v>31485234.146776929</v>
      </c>
      <c r="L37" s="10">
        <f>'Key assumptions'!$B31*(1+$G$14)^L2*(L90+L111+L132+L153)</f>
        <v>29102334.548788421</v>
      </c>
      <c r="M37" s="10">
        <f>'Key assumptions'!$B31*(1+$G$14)^M2*(M90+M111+M132+M153)</f>
        <v>26770404.319784526</v>
      </c>
      <c r="N37" s="10">
        <f>'Key assumptions'!$B31*(1+$G$14)^N2*(N90+N111+N132+N153)</f>
        <v>24501765.991871051</v>
      </c>
      <c r="O37" s="10">
        <f>'Key assumptions'!$B31*(1+$G$14)^O2*(O90+O111+O132+O153)</f>
        <v>22294255.527520508</v>
      </c>
      <c r="P37" s="10">
        <f>'Key assumptions'!$B31*(1+$G$14)^P2*(P90+P111+P132+P153)</f>
        <v>22225666.624848187</v>
      </c>
      <c r="Q37" s="10">
        <f>'Key assumptions'!$B31*(1+$G$14)^Q2*(Q90+Q111+Q132+Q153)</f>
        <v>22034929.480846372</v>
      </c>
      <c r="R37" s="10">
        <f>'Key assumptions'!$B31*(1+$G$14)^R2*(R90+R111+R132+R153)</f>
        <v>23818234.423713431</v>
      </c>
      <c r="S37" s="10">
        <f>'Key assumptions'!$B31*(1+$G$14)^S2*(S90+S111+S132+S153)</f>
        <v>25785741.558844842</v>
      </c>
      <c r="T37" s="10">
        <f>'Key assumptions'!$B31*(1+$G$14)^T2*(T90+T111+T132+T153)</f>
        <v>27864816.90457559</v>
      </c>
      <c r="U37" s="10">
        <f>'Key assumptions'!$B31*(1+$G$14)^U2*(U90+U111+U132+U153)</f>
        <v>28252867.210183382</v>
      </c>
      <c r="V37" s="10">
        <f>'Key assumptions'!$B31*(1+$G$14)^V2*(V90+V111+V132+V153)</f>
        <v>28659746.141032089</v>
      </c>
      <c r="W37" s="10">
        <f t="shared" ref="W37:AA37" si="3">1000*(1+$G$14)^W2*(W90+W111+W132+W153)</f>
        <v>0</v>
      </c>
      <c r="X37" s="10">
        <f t="shared" si="3"/>
        <v>0</v>
      </c>
      <c r="Y37" s="10">
        <f t="shared" si="3"/>
        <v>0</v>
      </c>
      <c r="Z37" s="10">
        <f t="shared" si="3"/>
        <v>0</v>
      </c>
      <c r="AA37" s="10">
        <f t="shared" si="3"/>
        <v>0</v>
      </c>
    </row>
    <row r="38" spans="1:27" x14ac:dyDescent="0.25">
      <c r="E38" s="2" t="str">
        <f>E8</f>
        <v>Pumps</v>
      </c>
      <c r="F38" t="s">
        <v>7</v>
      </c>
      <c r="G38" s="10"/>
      <c r="H38" s="10"/>
      <c r="I38" s="10"/>
      <c r="J38" s="10"/>
      <c r="K38" s="10"/>
      <c r="L38" s="10"/>
      <c r="M38" s="10"/>
      <c r="N38" s="10"/>
      <c r="O38" s="10"/>
      <c r="P38" s="10"/>
      <c r="Q38" s="10"/>
      <c r="R38" s="10"/>
      <c r="S38" s="10"/>
      <c r="T38" s="10"/>
      <c r="U38" s="10"/>
      <c r="V38" s="10"/>
      <c r="W38" s="10"/>
      <c r="X38" s="10"/>
      <c r="Y38" s="10"/>
      <c r="Z38" s="10"/>
      <c r="AA38" s="10"/>
    </row>
    <row r="39" spans="1:27" x14ac:dyDescent="0.25">
      <c r="E39" s="2" t="str">
        <f>E9</f>
        <v>Valves and Meters</v>
      </c>
      <c r="F39" t="s">
        <v>7</v>
      </c>
      <c r="G39" s="10"/>
      <c r="H39" s="10"/>
      <c r="I39" s="10"/>
      <c r="J39" s="10"/>
      <c r="K39" s="10"/>
      <c r="L39" s="10"/>
      <c r="M39" s="10"/>
      <c r="N39" s="10"/>
      <c r="O39" s="10"/>
      <c r="P39" s="10"/>
      <c r="Q39" s="10"/>
      <c r="R39" s="10"/>
      <c r="S39" s="10"/>
      <c r="T39" s="10"/>
      <c r="U39" s="10"/>
      <c r="V39" s="10"/>
      <c r="W39" s="10"/>
      <c r="X39" s="10"/>
      <c r="Y39" s="10"/>
      <c r="Z39" s="10"/>
      <c r="AA39" s="10"/>
    </row>
    <row r="40" spans="1:27" x14ac:dyDescent="0.25">
      <c r="E40" s="2" t="str">
        <f>E10</f>
        <v>Temporary Assets</v>
      </c>
      <c r="F40" t="s">
        <v>7</v>
      </c>
      <c r="G40" s="10"/>
      <c r="H40" s="10"/>
      <c r="I40" s="10"/>
      <c r="J40" s="10"/>
      <c r="K40" s="10"/>
      <c r="L40" s="10"/>
      <c r="M40" s="10"/>
      <c r="N40" s="10"/>
      <c r="O40" s="10"/>
      <c r="P40" s="10"/>
      <c r="Q40" s="10"/>
      <c r="R40" s="10"/>
      <c r="S40" s="10"/>
      <c r="T40" s="10"/>
      <c r="U40" s="10"/>
      <c r="V40" s="10"/>
      <c r="W40" s="10"/>
      <c r="X40" s="10"/>
      <c r="Y40" s="10"/>
      <c r="Z40" s="10"/>
      <c r="AA40" s="10"/>
    </row>
    <row r="41" spans="1:27" x14ac:dyDescent="0.25">
      <c r="E41" t="s">
        <v>131</v>
      </c>
      <c r="F41" t="s">
        <v>7</v>
      </c>
      <c r="G41" s="10"/>
      <c r="H41" s="10"/>
      <c r="I41" s="10"/>
      <c r="J41" s="10"/>
      <c r="K41" s="10"/>
      <c r="L41" s="10"/>
      <c r="M41" s="10"/>
      <c r="N41" s="10"/>
      <c r="O41" s="10"/>
      <c r="P41" s="10"/>
      <c r="Q41" s="10"/>
      <c r="R41" s="10"/>
      <c r="S41" s="10"/>
      <c r="T41" s="10"/>
      <c r="U41" s="10"/>
      <c r="V41" s="10"/>
      <c r="W41" s="10"/>
      <c r="X41" s="10"/>
      <c r="Y41" s="10"/>
      <c r="Z41" s="10"/>
      <c r="AA41" s="10"/>
    </row>
    <row r="42" spans="1:27" x14ac:dyDescent="0.25">
      <c r="G42" s="2">
        <f>SUM(G37:G41)</f>
        <v>0</v>
      </c>
      <c r="H42" s="2">
        <f t="shared" ref="H42:AA42" si="4">SUM(H37:H41)</f>
        <v>35642088.999999993</v>
      </c>
      <c r="I42" s="2">
        <f t="shared" si="4"/>
        <v>34471438.987999991</v>
      </c>
      <c r="J42" s="2">
        <f t="shared" si="4"/>
        <v>33874023.921329536</v>
      </c>
      <c r="K42" s="2">
        <f t="shared" si="4"/>
        <v>31485234.146776929</v>
      </c>
      <c r="L42" s="2">
        <f t="shared" si="4"/>
        <v>29102334.548788421</v>
      </c>
      <c r="M42" s="2">
        <f t="shared" si="4"/>
        <v>26770404.319784526</v>
      </c>
      <c r="N42" s="2">
        <f t="shared" si="4"/>
        <v>24501765.991871051</v>
      </c>
      <c r="O42" s="2">
        <f t="shared" si="4"/>
        <v>22294255.527520508</v>
      </c>
      <c r="P42" s="2">
        <f t="shared" si="4"/>
        <v>22225666.624848187</v>
      </c>
      <c r="Q42" s="2">
        <f t="shared" si="4"/>
        <v>22034929.480846372</v>
      </c>
      <c r="R42" s="2">
        <f t="shared" si="4"/>
        <v>23818234.423713431</v>
      </c>
      <c r="S42" s="2">
        <f t="shared" si="4"/>
        <v>25785741.558844842</v>
      </c>
      <c r="T42" s="2">
        <f t="shared" si="4"/>
        <v>27864816.90457559</v>
      </c>
      <c r="U42" s="2">
        <f t="shared" si="4"/>
        <v>28252867.210183382</v>
      </c>
      <c r="V42" s="2">
        <f t="shared" si="4"/>
        <v>28659746.141032089</v>
      </c>
      <c r="W42" s="2">
        <f t="shared" si="4"/>
        <v>0</v>
      </c>
      <c r="X42" s="2">
        <f t="shared" si="4"/>
        <v>0</v>
      </c>
      <c r="Y42" s="2">
        <f t="shared" si="4"/>
        <v>0</v>
      </c>
      <c r="Z42" s="2">
        <f t="shared" si="4"/>
        <v>0</v>
      </c>
      <c r="AA42" s="2">
        <f t="shared" si="4"/>
        <v>0</v>
      </c>
    </row>
    <row r="43" spans="1:27" x14ac:dyDescent="0.25">
      <c r="G43" s="2"/>
      <c r="H43" s="2"/>
      <c r="I43" s="2"/>
      <c r="J43" s="2"/>
      <c r="K43" s="2"/>
      <c r="L43" s="2"/>
      <c r="M43" s="2"/>
      <c r="N43" s="2"/>
      <c r="O43" s="2"/>
      <c r="P43" s="2"/>
      <c r="Q43" s="2"/>
    </row>
    <row r="44" spans="1:27" x14ac:dyDescent="0.25">
      <c r="D44" t="s">
        <v>134</v>
      </c>
      <c r="G44" s="2"/>
      <c r="H44" s="2"/>
      <c r="I44" s="2"/>
      <c r="J44" s="2"/>
      <c r="K44" s="2"/>
      <c r="L44" s="2"/>
      <c r="M44" s="2"/>
      <c r="N44" s="2"/>
      <c r="O44" s="2"/>
      <c r="P44" s="2"/>
      <c r="Q44" s="2"/>
    </row>
    <row r="45" spans="1:27" x14ac:dyDescent="0.25">
      <c r="E45" s="2" t="str">
        <f>E37</f>
        <v>Average asset life for all growth assets</v>
      </c>
      <c r="F45" t="s">
        <v>7</v>
      </c>
      <c r="G45" s="2">
        <f t="shared" ref="G45:AA48" si="5">G37/$G7+IF((G$2-$G7+1)&gt;0,-INDEX($G37:$AA37,1,(G$2-$G7+1))/$G7,0)</f>
        <v>0</v>
      </c>
      <c r="H45" s="2">
        <f t="shared" si="5"/>
        <v>396023.21111111104</v>
      </c>
      <c r="I45" s="2">
        <f t="shared" si="5"/>
        <v>383015.98875555547</v>
      </c>
      <c r="J45" s="2">
        <f t="shared" si="5"/>
        <v>376378.04357032815</v>
      </c>
      <c r="K45" s="2">
        <f t="shared" si="5"/>
        <v>349835.93496418808</v>
      </c>
      <c r="L45" s="2">
        <f t="shared" si="5"/>
        <v>323359.27276431577</v>
      </c>
      <c r="M45" s="2">
        <f t="shared" si="5"/>
        <v>297448.93688649475</v>
      </c>
      <c r="N45" s="2">
        <f t="shared" si="5"/>
        <v>272241.84435412282</v>
      </c>
      <c r="O45" s="2">
        <f t="shared" si="5"/>
        <v>247713.95030578342</v>
      </c>
      <c r="P45" s="2">
        <f t="shared" si="5"/>
        <v>246951.85138720207</v>
      </c>
      <c r="Q45" s="2">
        <f t="shared" si="5"/>
        <v>244832.5497871819</v>
      </c>
      <c r="R45" s="2">
        <f t="shared" si="5"/>
        <v>264647.04915237147</v>
      </c>
      <c r="S45" s="2">
        <f t="shared" si="5"/>
        <v>286508.23954272049</v>
      </c>
      <c r="T45" s="2">
        <f t="shared" si="5"/>
        <v>309609.07671750657</v>
      </c>
      <c r="U45" s="2">
        <f t="shared" si="5"/>
        <v>313920.74677981535</v>
      </c>
      <c r="V45" s="2">
        <f t="shared" si="5"/>
        <v>318441.62378924544</v>
      </c>
      <c r="W45" s="2">
        <f t="shared" si="5"/>
        <v>0</v>
      </c>
      <c r="X45" s="2">
        <f t="shared" si="5"/>
        <v>0</v>
      </c>
      <c r="Y45" s="2">
        <f t="shared" si="5"/>
        <v>0</v>
      </c>
      <c r="Z45" s="2">
        <f t="shared" si="5"/>
        <v>0</v>
      </c>
      <c r="AA45" s="2">
        <f t="shared" si="5"/>
        <v>0</v>
      </c>
    </row>
    <row r="46" spans="1:27" x14ac:dyDescent="0.25">
      <c r="E46" s="2" t="str">
        <f t="shared" ref="E46:E48" si="6">E38</f>
        <v>Pumps</v>
      </c>
      <c r="F46" t="s">
        <v>7</v>
      </c>
      <c r="G46" s="2">
        <f t="shared" si="5"/>
        <v>0</v>
      </c>
      <c r="H46" s="2">
        <f t="shared" si="5"/>
        <v>0</v>
      </c>
      <c r="I46" s="2">
        <f t="shared" si="5"/>
        <v>0</v>
      </c>
      <c r="J46" s="2">
        <f t="shared" si="5"/>
        <v>0</v>
      </c>
      <c r="K46" s="2">
        <f t="shared" si="5"/>
        <v>0</v>
      </c>
      <c r="L46" s="2">
        <f t="shared" si="5"/>
        <v>0</v>
      </c>
      <c r="M46" s="2">
        <f t="shared" si="5"/>
        <v>0</v>
      </c>
      <c r="N46" s="2">
        <f t="shared" si="5"/>
        <v>0</v>
      </c>
      <c r="O46" s="2">
        <f t="shared" si="5"/>
        <v>0</v>
      </c>
      <c r="P46" s="2">
        <f t="shared" si="5"/>
        <v>0</v>
      </c>
      <c r="Q46" s="2">
        <f t="shared" si="5"/>
        <v>0</v>
      </c>
      <c r="R46" s="2">
        <f t="shared" si="5"/>
        <v>0</v>
      </c>
      <c r="S46" s="2">
        <f t="shared" si="5"/>
        <v>0</v>
      </c>
      <c r="T46" s="2">
        <f t="shared" si="5"/>
        <v>0</v>
      </c>
      <c r="U46" s="2">
        <f t="shared" si="5"/>
        <v>0</v>
      </c>
      <c r="V46" s="2">
        <f t="shared" si="5"/>
        <v>0</v>
      </c>
      <c r="W46" s="2">
        <f t="shared" si="5"/>
        <v>0</v>
      </c>
      <c r="X46" s="2">
        <f t="shared" si="5"/>
        <v>0</v>
      </c>
      <c r="Y46" s="2">
        <f t="shared" si="5"/>
        <v>0</v>
      </c>
      <c r="Z46" s="2">
        <f t="shared" si="5"/>
        <v>0</v>
      </c>
      <c r="AA46" s="2">
        <f t="shared" si="5"/>
        <v>0</v>
      </c>
    </row>
    <row r="47" spans="1:27" x14ac:dyDescent="0.25">
      <c r="E47" s="2" t="str">
        <f t="shared" si="6"/>
        <v>Valves and Meters</v>
      </c>
      <c r="F47" t="s">
        <v>7</v>
      </c>
      <c r="G47" s="2">
        <f t="shared" si="5"/>
        <v>0</v>
      </c>
      <c r="H47" s="2">
        <f t="shared" si="5"/>
        <v>0</v>
      </c>
      <c r="I47" s="2">
        <f t="shared" si="5"/>
        <v>0</v>
      </c>
      <c r="J47" s="2">
        <f t="shared" si="5"/>
        <v>0</v>
      </c>
      <c r="K47" s="2">
        <f t="shared" si="5"/>
        <v>0</v>
      </c>
      <c r="L47" s="2">
        <f t="shared" si="5"/>
        <v>0</v>
      </c>
      <c r="M47" s="2">
        <f t="shared" si="5"/>
        <v>0</v>
      </c>
      <c r="N47" s="2">
        <f t="shared" si="5"/>
        <v>0</v>
      </c>
      <c r="O47" s="2">
        <f t="shared" si="5"/>
        <v>0</v>
      </c>
      <c r="P47" s="2">
        <f t="shared" si="5"/>
        <v>0</v>
      </c>
      <c r="Q47" s="2">
        <f t="shared" si="5"/>
        <v>0</v>
      </c>
      <c r="R47" s="2">
        <f t="shared" si="5"/>
        <v>0</v>
      </c>
      <c r="S47" s="2">
        <f t="shared" si="5"/>
        <v>0</v>
      </c>
      <c r="T47" s="2">
        <f t="shared" si="5"/>
        <v>0</v>
      </c>
      <c r="U47" s="2">
        <f t="shared" si="5"/>
        <v>0</v>
      </c>
      <c r="V47" s="2">
        <f t="shared" si="5"/>
        <v>0</v>
      </c>
      <c r="W47" s="2">
        <f t="shared" si="5"/>
        <v>0</v>
      </c>
      <c r="X47" s="2">
        <f t="shared" si="5"/>
        <v>0</v>
      </c>
      <c r="Y47" s="2">
        <f t="shared" si="5"/>
        <v>0</v>
      </c>
      <c r="Z47" s="2">
        <f t="shared" si="5"/>
        <v>0</v>
      </c>
      <c r="AA47" s="2">
        <f t="shared" si="5"/>
        <v>0</v>
      </c>
    </row>
    <row r="48" spans="1:27" x14ac:dyDescent="0.25">
      <c r="E48" s="2" t="str">
        <f t="shared" si="6"/>
        <v>Temporary Assets</v>
      </c>
      <c r="F48" t="s">
        <v>7</v>
      </c>
      <c r="G48" s="2">
        <f t="shared" si="5"/>
        <v>0</v>
      </c>
      <c r="H48" s="2">
        <f t="shared" si="5"/>
        <v>0</v>
      </c>
      <c r="I48" s="2">
        <f t="shared" si="5"/>
        <v>0</v>
      </c>
      <c r="J48" s="2">
        <f t="shared" si="5"/>
        <v>0</v>
      </c>
      <c r="K48" s="2">
        <f t="shared" si="5"/>
        <v>0</v>
      </c>
      <c r="L48" s="2">
        <f t="shared" si="5"/>
        <v>0</v>
      </c>
      <c r="M48" s="2">
        <f t="shared" si="5"/>
        <v>0</v>
      </c>
      <c r="N48" s="2">
        <f t="shared" si="5"/>
        <v>0</v>
      </c>
      <c r="O48" s="2">
        <f t="shared" si="5"/>
        <v>0</v>
      </c>
      <c r="P48" s="2">
        <f t="shared" si="5"/>
        <v>0</v>
      </c>
      <c r="Q48" s="2">
        <f t="shared" si="5"/>
        <v>0</v>
      </c>
      <c r="R48" s="2">
        <f t="shared" si="5"/>
        <v>0</v>
      </c>
      <c r="S48" s="2">
        <f t="shared" si="5"/>
        <v>0</v>
      </c>
      <c r="T48" s="2">
        <f t="shared" si="5"/>
        <v>0</v>
      </c>
      <c r="U48" s="2">
        <f t="shared" si="5"/>
        <v>0</v>
      </c>
      <c r="V48" s="2">
        <f t="shared" si="5"/>
        <v>0</v>
      </c>
      <c r="W48" s="2">
        <f t="shared" si="5"/>
        <v>0</v>
      </c>
      <c r="X48" s="2">
        <f t="shared" si="5"/>
        <v>0</v>
      </c>
      <c r="Y48" s="2">
        <f t="shared" si="5"/>
        <v>0</v>
      </c>
      <c r="Z48" s="2">
        <f t="shared" si="5"/>
        <v>0</v>
      </c>
      <c r="AA48" s="2">
        <f t="shared" si="5"/>
        <v>0</v>
      </c>
    </row>
    <row r="49" spans="1:27" x14ac:dyDescent="0.25">
      <c r="G49" s="2"/>
      <c r="H49" s="2"/>
      <c r="I49" s="2"/>
      <c r="J49" s="2"/>
      <c r="K49" s="2"/>
      <c r="L49" s="2"/>
      <c r="M49" s="2"/>
      <c r="N49" s="2"/>
      <c r="O49" s="2"/>
      <c r="P49" s="2"/>
      <c r="Q49" s="2"/>
    </row>
    <row r="50" spans="1:27" x14ac:dyDescent="0.25">
      <c r="D50" t="s">
        <v>135</v>
      </c>
      <c r="F50" t="s">
        <v>7</v>
      </c>
      <c r="G50" s="2">
        <f>SUM($G$45:G48)</f>
        <v>0</v>
      </c>
      <c r="H50" s="2">
        <f>SUM($G$45:H48)</f>
        <v>396023.21111111104</v>
      </c>
      <c r="I50" s="2">
        <f>SUM($G$45:I48)</f>
        <v>779039.19986666646</v>
      </c>
      <c r="J50" s="2">
        <f>SUM($G$45:J48)</f>
        <v>1155417.2434369945</v>
      </c>
      <c r="K50" s="2">
        <f>SUM($G$45:K48)</f>
        <v>1505253.1784011826</v>
      </c>
      <c r="L50" s="2">
        <f>SUM($G$45:L48)</f>
        <v>1828612.4511654985</v>
      </c>
      <c r="M50" s="2">
        <f>SUM($G$45:M48)</f>
        <v>2126061.3880519932</v>
      </c>
      <c r="N50" s="2">
        <f>SUM($G$45:N48)</f>
        <v>2398303.2324061161</v>
      </c>
      <c r="O50" s="2">
        <f>SUM($G$45:O48)</f>
        <v>2646017.1827118993</v>
      </c>
      <c r="P50" s="2">
        <f>SUM($G$45:P48)</f>
        <v>2892969.0340991016</v>
      </c>
      <c r="Q50" s="2">
        <f>SUM($G$45:Q48)</f>
        <v>3137801.5838862834</v>
      </c>
      <c r="R50" s="2">
        <f>SUM($G$45:R48)</f>
        <v>3402448.6330386549</v>
      </c>
      <c r="S50" s="2">
        <f>SUM($G$45:S48)</f>
        <v>3688956.8725813753</v>
      </c>
      <c r="T50" s="2">
        <f>SUM($G$45:T48)</f>
        <v>3998565.9492988819</v>
      </c>
      <c r="U50" s="2">
        <f>SUM($G$45:U48)</f>
        <v>4312486.6960786972</v>
      </c>
      <c r="V50" s="2">
        <f>SUM($G$45:V48)</f>
        <v>4630928.3198679425</v>
      </c>
      <c r="W50" s="2">
        <f>SUM($G$45:W48)</f>
        <v>4630928.3198679425</v>
      </c>
      <c r="X50" s="2">
        <f>SUM($G$45:X48)</f>
        <v>4630928.3198679425</v>
      </c>
      <c r="Y50" s="2">
        <f>SUM($G$45:Y48)</f>
        <v>4630928.3198679425</v>
      </c>
      <c r="Z50" s="2">
        <f>SUM($G$45:Z48)</f>
        <v>4630928.3198679425</v>
      </c>
      <c r="AA50" s="2">
        <f>SUM($G$45:AA48)</f>
        <v>4630928.3198679425</v>
      </c>
    </row>
    <row r="51" spans="1:27" x14ac:dyDescent="0.25">
      <c r="G51" s="2"/>
      <c r="H51" s="2"/>
      <c r="I51" s="2"/>
      <c r="J51" s="2"/>
      <c r="K51" s="2"/>
      <c r="L51" s="2"/>
      <c r="M51" s="2"/>
      <c r="N51" s="2"/>
      <c r="O51" s="2"/>
      <c r="P51" s="2"/>
      <c r="Q51" s="2"/>
      <c r="R51" s="2"/>
      <c r="S51" s="2"/>
      <c r="T51" s="2"/>
      <c r="U51" s="2"/>
      <c r="V51" s="2"/>
      <c r="W51" s="2"/>
      <c r="X51" s="2"/>
      <c r="Y51" s="2"/>
      <c r="Z51" s="2"/>
      <c r="AA51" s="2"/>
    </row>
    <row r="52" spans="1:27" x14ac:dyDescent="0.25">
      <c r="A52" s="14">
        <f>'Notes &amp; Assumptions'!A25</f>
        <v>12</v>
      </c>
      <c r="C52" s="1" t="s">
        <v>109</v>
      </c>
      <c r="G52" s="2"/>
      <c r="H52" s="2"/>
      <c r="I52" s="2"/>
      <c r="J52" s="2"/>
      <c r="K52" s="2"/>
      <c r="L52" s="2"/>
      <c r="M52" s="2"/>
      <c r="N52" s="2"/>
      <c r="O52" s="2"/>
      <c r="P52" s="2"/>
      <c r="Q52" s="2"/>
      <c r="R52" s="2"/>
      <c r="S52" s="2"/>
      <c r="T52" s="2"/>
      <c r="U52" s="2"/>
      <c r="V52" s="2"/>
      <c r="W52" s="2"/>
      <c r="X52" s="2"/>
      <c r="Y52" s="2"/>
      <c r="Z52" s="2"/>
      <c r="AA52" s="2"/>
    </row>
    <row r="53" spans="1:27" x14ac:dyDescent="0.25">
      <c r="E53" t="s">
        <v>109</v>
      </c>
      <c r="F53" t="s">
        <v>7</v>
      </c>
      <c r="G53" s="10"/>
      <c r="H53" s="10"/>
      <c r="I53" s="10"/>
      <c r="J53" s="10"/>
      <c r="K53" s="10"/>
      <c r="L53" s="10"/>
      <c r="M53" s="10"/>
      <c r="N53" s="10"/>
      <c r="O53" s="10"/>
      <c r="P53" s="10"/>
      <c r="Q53" s="10"/>
      <c r="R53" s="10"/>
      <c r="S53" s="10"/>
      <c r="T53" s="10"/>
      <c r="U53" s="10"/>
      <c r="V53" s="10"/>
      <c r="W53" s="10"/>
      <c r="X53" s="10"/>
      <c r="Y53" s="10"/>
      <c r="Z53" s="10"/>
      <c r="AA53" s="10"/>
    </row>
    <row r="55" spans="1:27" x14ac:dyDescent="0.25">
      <c r="C55" s="1" t="s">
        <v>25</v>
      </c>
      <c r="D55" s="1"/>
    </row>
    <row r="56" spans="1:27" x14ac:dyDescent="0.25">
      <c r="A56" s="14">
        <f>'Notes &amp; Assumptions'!A26</f>
        <v>13</v>
      </c>
      <c r="D56" t="s">
        <v>2</v>
      </c>
    </row>
    <row r="57" spans="1:27" x14ac:dyDescent="0.25">
      <c r="E57" s="2" t="str">
        <f>E7</f>
        <v>Average asset life for all growth assets</v>
      </c>
      <c r="F57" t="s">
        <v>7</v>
      </c>
      <c r="G57" s="10"/>
      <c r="H57" s="10"/>
      <c r="I57" s="10"/>
      <c r="J57" s="10"/>
      <c r="K57" s="10"/>
      <c r="L57" s="10"/>
      <c r="M57" s="10"/>
      <c r="N57" s="10"/>
      <c r="O57" s="10"/>
      <c r="P57" s="10"/>
      <c r="Q57" s="10"/>
      <c r="R57" s="10"/>
      <c r="S57" s="10"/>
      <c r="T57" s="10"/>
      <c r="U57" s="10"/>
      <c r="V57" s="10"/>
      <c r="W57" s="10"/>
      <c r="X57" s="10"/>
      <c r="Y57" s="10"/>
      <c r="Z57" s="10"/>
      <c r="AA57" s="10"/>
    </row>
    <row r="58" spans="1:27" x14ac:dyDescent="0.25">
      <c r="E58" s="2" t="str">
        <f>E8</f>
        <v>Pumps</v>
      </c>
      <c r="F58" t="s">
        <v>7</v>
      </c>
      <c r="G58" s="10"/>
      <c r="H58" s="10"/>
      <c r="I58" s="10"/>
      <c r="J58" s="10"/>
      <c r="K58" s="10"/>
      <c r="L58" s="10"/>
      <c r="M58" s="10"/>
      <c r="N58" s="10"/>
      <c r="O58" s="10"/>
      <c r="P58" s="10"/>
      <c r="Q58" s="10"/>
      <c r="R58" s="10"/>
      <c r="S58" s="10"/>
      <c r="T58" s="10"/>
      <c r="U58" s="10"/>
      <c r="V58" s="10"/>
      <c r="W58" s="10"/>
      <c r="X58" s="10"/>
      <c r="Y58" s="10"/>
      <c r="Z58" s="10"/>
      <c r="AA58" s="10"/>
    </row>
    <row r="59" spans="1:27" x14ac:dyDescent="0.25">
      <c r="E59" s="2" t="str">
        <f>E9</f>
        <v>Valves and Meters</v>
      </c>
      <c r="F59" t="s">
        <v>7</v>
      </c>
      <c r="G59" s="10"/>
      <c r="H59" s="10"/>
      <c r="I59" s="10"/>
      <c r="J59" s="10"/>
      <c r="K59" s="10"/>
      <c r="L59" s="10"/>
      <c r="M59" s="10"/>
      <c r="N59" s="10"/>
      <c r="O59" s="10"/>
      <c r="P59" s="10"/>
      <c r="Q59" s="10"/>
      <c r="R59" s="10"/>
      <c r="S59" s="10"/>
      <c r="T59" s="10"/>
      <c r="U59" s="10"/>
      <c r="V59" s="10"/>
      <c r="W59" s="10"/>
      <c r="X59" s="10"/>
      <c r="Y59" s="10"/>
      <c r="Z59" s="10"/>
      <c r="AA59" s="10"/>
    </row>
    <row r="60" spans="1:27" x14ac:dyDescent="0.25">
      <c r="E60" t="s">
        <v>131</v>
      </c>
      <c r="F60" t="s">
        <v>7</v>
      </c>
      <c r="G60" s="10"/>
      <c r="H60" s="10"/>
      <c r="I60" s="10"/>
      <c r="J60" s="10"/>
      <c r="K60" s="10"/>
      <c r="L60" s="10"/>
      <c r="M60" s="10"/>
      <c r="N60" s="10"/>
      <c r="O60" s="10"/>
      <c r="P60" s="10"/>
      <c r="Q60" s="10"/>
      <c r="R60" s="10"/>
      <c r="S60" s="10"/>
      <c r="T60" s="10"/>
      <c r="U60" s="10"/>
      <c r="V60" s="10"/>
      <c r="W60" s="10"/>
      <c r="X60" s="10"/>
      <c r="Y60" s="10"/>
      <c r="Z60" s="10"/>
      <c r="AA60" s="10"/>
    </row>
    <row r="61" spans="1:27" x14ac:dyDescent="0.25">
      <c r="G61" s="2">
        <f>SUM(G57:G60)</f>
        <v>0</v>
      </c>
      <c r="H61" s="2">
        <f t="shared" ref="H61:AA61" si="7">SUM(H57:H60)</f>
        <v>0</v>
      </c>
      <c r="I61" s="2">
        <f t="shared" si="7"/>
        <v>0</v>
      </c>
      <c r="J61" s="2">
        <f t="shared" si="7"/>
        <v>0</v>
      </c>
      <c r="K61" s="2">
        <f t="shared" si="7"/>
        <v>0</v>
      </c>
      <c r="L61" s="2">
        <f t="shared" si="7"/>
        <v>0</v>
      </c>
      <c r="M61" s="2">
        <f t="shared" si="7"/>
        <v>0</v>
      </c>
      <c r="N61" s="2">
        <f t="shared" si="7"/>
        <v>0</v>
      </c>
      <c r="O61" s="2">
        <f t="shared" si="7"/>
        <v>0</v>
      </c>
      <c r="P61" s="2">
        <f t="shared" si="7"/>
        <v>0</v>
      </c>
      <c r="Q61" s="2">
        <f t="shared" si="7"/>
        <v>0</v>
      </c>
      <c r="R61" s="2">
        <f t="shared" si="7"/>
        <v>0</v>
      </c>
      <c r="S61" s="2">
        <f t="shared" si="7"/>
        <v>0</v>
      </c>
      <c r="T61" s="2">
        <f t="shared" si="7"/>
        <v>0</v>
      </c>
      <c r="U61" s="2">
        <f t="shared" si="7"/>
        <v>0</v>
      </c>
      <c r="V61" s="2">
        <f t="shared" si="7"/>
        <v>0</v>
      </c>
      <c r="W61" s="2">
        <f t="shared" si="7"/>
        <v>0</v>
      </c>
      <c r="X61" s="2">
        <f t="shared" si="7"/>
        <v>0</v>
      </c>
      <c r="Y61" s="2">
        <f t="shared" si="7"/>
        <v>0</v>
      </c>
      <c r="Z61" s="2">
        <f t="shared" si="7"/>
        <v>0</v>
      </c>
      <c r="AA61" s="2">
        <f t="shared" si="7"/>
        <v>0</v>
      </c>
    </row>
    <row r="63" spans="1:27" x14ac:dyDescent="0.25">
      <c r="D63" t="s">
        <v>136</v>
      </c>
      <c r="G63" s="2"/>
      <c r="H63" s="2"/>
      <c r="I63" s="2"/>
      <c r="J63" s="2"/>
      <c r="K63" s="2"/>
      <c r="L63" s="2"/>
      <c r="M63" s="2"/>
      <c r="N63" s="2"/>
      <c r="O63" s="2"/>
      <c r="P63" s="2"/>
      <c r="Q63" s="2"/>
    </row>
    <row r="64" spans="1:27" x14ac:dyDescent="0.25">
      <c r="E64" s="2" t="str">
        <f>E57</f>
        <v>Average asset life for all growth assets</v>
      </c>
      <c r="F64" t="s">
        <v>7</v>
      </c>
      <c r="G64" s="2">
        <f t="shared" ref="G64:AA66" si="8">G57/$G7+IF((G$2-$G7+1)&gt;0,-INDEX($G57:$AA57,1,(G$2-$G7+1))/$G7,0)</f>
        <v>0</v>
      </c>
      <c r="H64" s="2">
        <f t="shared" si="8"/>
        <v>0</v>
      </c>
      <c r="I64" s="2">
        <f t="shared" si="8"/>
        <v>0</v>
      </c>
      <c r="J64" s="2">
        <f t="shared" si="8"/>
        <v>0</v>
      </c>
      <c r="K64" s="2">
        <f t="shared" si="8"/>
        <v>0</v>
      </c>
      <c r="L64" s="2">
        <f t="shared" si="8"/>
        <v>0</v>
      </c>
      <c r="M64" s="2">
        <f t="shared" si="8"/>
        <v>0</v>
      </c>
      <c r="N64" s="2">
        <f t="shared" si="8"/>
        <v>0</v>
      </c>
      <c r="O64" s="2">
        <f t="shared" si="8"/>
        <v>0</v>
      </c>
      <c r="P64" s="2">
        <f t="shared" si="8"/>
        <v>0</v>
      </c>
      <c r="Q64" s="2">
        <f t="shared" si="8"/>
        <v>0</v>
      </c>
      <c r="R64" s="2">
        <f t="shared" si="8"/>
        <v>0</v>
      </c>
      <c r="S64" s="2">
        <f t="shared" si="8"/>
        <v>0</v>
      </c>
      <c r="T64" s="2">
        <f t="shared" si="8"/>
        <v>0</v>
      </c>
      <c r="U64" s="2">
        <f t="shared" si="8"/>
        <v>0</v>
      </c>
      <c r="V64" s="2">
        <f t="shared" si="8"/>
        <v>0</v>
      </c>
      <c r="W64" s="2">
        <f t="shared" si="8"/>
        <v>0</v>
      </c>
      <c r="X64" s="2">
        <f t="shared" si="8"/>
        <v>0</v>
      </c>
      <c r="Y64" s="2">
        <f t="shared" si="8"/>
        <v>0</v>
      </c>
      <c r="Z64" s="2">
        <f t="shared" si="8"/>
        <v>0</v>
      </c>
      <c r="AA64" s="2">
        <f t="shared" si="8"/>
        <v>0</v>
      </c>
    </row>
    <row r="65" spans="1:27" x14ac:dyDescent="0.25">
      <c r="E65" s="2" t="str">
        <f t="shared" ref="E65:E66" si="9">E58</f>
        <v>Pumps</v>
      </c>
      <c r="F65" t="s">
        <v>7</v>
      </c>
      <c r="G65" s="2">
        <f t="shared" si="8"/>
        <v>0</v>
      </c>
      <c r="H65" s="2">
        <f t="shared" si="8"/>
        <v>0</v>
      </c>
      <c r="I65" s="2">
        <f t="shared" si="8"/>
        <v>0</v>
      </c>
      <c r="J65" s="2">
        <f t="shared" si="8"/>
        <v>0</v>
      </c>
      <c r="K65" s="2">
        <f t="shared" si="8"/>
        <v>0</v>
      </c>
      <c r="L65" s="2">
        <f t="shared" si="8"/>
        <v>0</v>
      </c>
      <c r="M65" s="2">
        <f t="shared" si="8"/>
        <v>0</v>
      </c>
      <c r="N65" s="2">
        <f t="shared" si="8"/>
        <v>0</v>
      </c>
      <c r="O65" s="2">
        <f t="shared" si="8"/>
        <v>0</v>
      </c>
      <c r="P65" s="2">
        <f t="shared" si="8"/>
        <v>0</v>
      </c>
      <c r="Q65" s="2">
        <f t="shared" si="8"/>
        <v>0</v>
      </c>
      <c r="R65" s="2">
        <f t="shared" si="8"/>
        <v>0</v>
      </c>
      <c r="S65" s="2">
        <f t="shared" si="8"/>
        <v>0</v>
      </c>
      <c r="T65" s="2">
        <f t="shared" si="8"/>
        <v>0</v>
      </c>
      <c r="U65" s="2">
        <f t="shared" si="8"/>
        <v>0</v>
      </c>
      <c r="V65" s="2">
        <f t="shared" si="8"/>
        <v>0</v>
      </c>
      <c r="W65" s="2">
        <f t="shared" si="8"/>
        <v>0</v>
      </c>
      <c r="X65" s="2">
        <f t="shared" si="8"/>
        <v>0</v>
      </c>
      <c r="Y65" s="2">
        <f t="shared" si="8"/>
        <v>0</v>
      </c>
      <c r="Z65" s="2">
        <f t="shared" si="8"/>
        <v>0</v>
      </c>
      <c r="AA65" s="2">
        <f t="shared" si="8"/>
        <v>0</v>
      </c>
    </row>
    <row r="66" spans="1:27" x14ac:dyDescent="0.25">
      <c r="E66" s="2" t="str">
        <f t="shared" si="9"/>
        <v>Valves and Meters</v>
      </c>
      <c r="F66" t="s">
        <v>7</v>
      </c>
      <c r="G66" s="2">
        <f t="shared" si="8"/>
        <v>0</v>
      </c>
      <c r="H66" s="2">
        <f t="shared" si="8"/>
        <v>0</v>
      </c>
      <c r="I66" s="2">
        <f t="shared" si="8"/>
        <v>0</v>
      </c>
      <c r="J66" s="2">
        <f t="shared" si="8"/>
        <v>0</v>
      </c>
      <c r="K66" s="2">
        <f t="shared" si="8"/>
        <v>0</v>
      </c>
      <c r="L66" s="2">
        <f t="shared" si="8"/>
        <v>0</v>
      </c>
      <c r="M66" s="2">
        <f t="shared" si="8"/>
        <v>0</v>
      </c>
      <c r="N66" s="2">
        <f t="shared" si="8"/>
        <v>0</v>
      </c>
      <c r="O66" s="2">
        <f t="shared" si="8"/>
        <v>0</v>
      </c>
      <c r="P66" s="2">
        <f t="shared" si="8"/>
        <v>0</v>
      </c>
      <c r="Q66" s="2">
        <f t="shared" si="8"/>
        <v>0</v>
      </c>
      <c r="R66" s="2">
        <f t="shared" si="8"/>
        <v>0</v>
      </c>
      <c r="S66" s="2">
        <f t="shared" si="8"/>
        <v>0</v>
      </c>
      <c r="T66" s="2">
        <f t="shared" si="8"/>
        <v>0</v>
      </c>
      <c r="U66" s="2">
        <f t="shared" si="8"/>
        <v>0</v>
      </c>
      <c r="V66" s="2">
        <f t="shared" si="8"/>
        <v>0</v>
      </c>
      <c r="W66" s="2">
        <f t="shared" si="8"/>
        <v>0</v>
      </c>
      <c r="X66" s="2">
        <f t="shared" si="8"/>
        <v>0</v>
      </c>
      <c r="Y66" s="2">
        <f t="shared" si="8"/>
        <v>0</v>
      </c>
      <c r="Z66" s="2">
        <f t="shared" si="8"/>
        <v>0</v>
      </c>
      <c r="AA66" s="2">
        <f t="shared" si="8"/>
        <v>0</v>
      </c>
    </row>
    <row r="68" spans="1:27" x14ac:dyDescent="0.25">
      <c r="D68" t="s">
        <v>137</v>
      </c>
      <c r="F68" t="s">
        <v>7</v>
      </c>
      <c r="G68" s="2">
        <f>SUM($G$64:G66)</f>
        <v>0</v>
      </c>
      <c r="H68" s="2">
        <f>SUM($G$64:H66)</f>
        <v>0</v>
      </c>
      <c r="I68" s="2">
        <f>SUM($G$64:I66)</f>
        <v>0</v>
      </c>
      <c r="J68" s="2">
        <f>SUM($G$64:J66)</f>
        <v>0</v>
      </c>
      <c r="K68" s="2">
        <f>SUM($G$64:K66)</f>
        <v>0</v>
      </c>
      <c r="L68" s="2">
        <f>SUM($G$64:L66)</f>
        <v>0</v>
      </c>
      <c r="M68" s="2">
        <f>SUM($G$64:M66)</f>
        <v>0</v>
      </c>
      <c r="N68" s="2">
        <f>SUM($G$64:N66)</f>
        <v>0</v>
      </c>
      <c r="O68" s="2">
        <f>SUM($G$64:O66)</f>
        <v>0</v>
      </c>
      <c r="P68" s="2">
        <f>SUM($G$64:P66)</f>
        <v>0</v>
      </c>
      <c r="Q68" s="2">
        <f>SUM($G$64:Q66)</f>
        <v>0</v>
      </c>
      <c r="R68" s="2">
        <f>SUM($G$64:R66)</f>
        <v>0</v>
      </c>
      <c r="S68" s="2">
        <f>SUM($G$64:S66)</f>
        <v>0</v>
      </c>
      <c r="T68" s="2">
        <f>SUM($G$64:T66)</f>
        <v>0</v>
      </c>
      <c r="U68" s="2">
        <f>SUM($G$64:U66)</f>
        <v>0</v>
      </c>
      <c r="V68" s="2">
        <f>SUM($G$64:V66)</f>
        <v>0</v>
      </c>
      <c r="W68" s="2">
        <f>SUM($G$64:W66)</f>
        <v>0</v>
      </c>
      <c r="X68" s="2">
        <f>SUM($G$64:X66)</f>
        <v>0</v>
      </c>
      <c r="Y68" s="2">
        <f>SUM($G$64:Y66)</f>
        <v>0</v>
      </c>
      <c r="Z68" s="2">
        <f>SUM($G$64:Z66)</f>
        <v>0</v>
      </c>
      <c r="AA68" s="2">
        <f>SUM($G$64:AA66)</f>
        <v>0</v>
      </c>
    </row>
    <row r="70" spans="1:27" x14ac:dyDescent="0.25">
      <c r="A70" s="14">
        <f>'Notes &amp; Assumptions'!A27</f>
        <v>14</v>
      </c>
      <c r="D70" t="s">
        <v>6</v>
      </c>
    </row>
    <row r="71" spans="1:27" x14ac:dyDescent="0.25">
      <c r="E71" s="2" t="str">
        <f>E7</f>
        <v>Average asset life for all growth assets</v>
      </c>
      <c r="F71" t="s">
        <v>7</v>
      </c>
      <c r="G71" s="10"/>
      <c r="H71" s="10"/>
      <c r="I71" s="10"/>
      <c r="J71" s="10"/>
      <c r="K71" s="10"/>
      <c r="L71" s="10"/>
      <c r="M71" s="10"/>
      <c r="N71" s="10"/>
      <c r="O71" s="10"/>
      <c r="P71" s="10"/>
      <c r="Q71" s="10"/>
      <c r="R71" s="10"/>
      <c r="S71" s="10"/>
      <c r="T71" s="10"/>
      <c r="U71" s="10"/>
      <c r="V71" s="10"/>
      <c r="W71" s="10"/>
      <c r="X71" s="10"/>
      <c r="Y71" s="10"/>
      <c r="Z71" s="10"/>
      <c r="AA71" s="10"/>
    </row>
    <row r="72" spans="1:27" x14ac:dyDescent="0.25">
      <c r="E72" s="2" t="str">
        <f>E8</f>
        <v>Pumps</v>
      </c>
      <c r="F72" t="s">
        <v>7</v>
      </c>
      <c r="G72" s="10"/>
      <c r="H72" s="10"/>
      <c r="I72" s="10"/>
      <c r="J72" s="10"/>
      <c r="K72" s="10"/>
      <c r="L72" s="10"/>
      <c r="M72" s="10"/>
      <c r="N72" s="10"/>
      <c r="O72" s="10"/>
      <c r="P72" s="10"/>
      <c r="Q72" s="10"/>
      <c r="R72" s="10"/>
      <c r="S72" s="10"/>
      <c r="T72" s="10"/>
      <c r="U72" s="10"/>
      <c r="V72" s="10"/>
      <c r="W72" s="10"/>
      <c r="X72" s="10"/>
      <c r="Y72" s="10"/>
      <c r="Z72" s="10"/>
      <c r="AA72" s="10"/>
    </row>
    <row r="73" spans="1:27" x14ac:dyDescent="0.25">
      <c r="E73" s="2" t="str">
        <f>E9</f>
        <v>Valves and Meters</v>
      </c>
      <c r="F73" t="s">
        <v>7</v>
      </c>
      <c r="G73" s="10"/>
      <c r="H73" s="10"/>
      <c r="I73" s="10"/>
      <c r="J73" s="10"/>
      <c r="K73" s="10"/>
      <c r="L73" s="10"/>
      <c r="M73" s="10"/>
      <c r="N73" s="10"/>
      <c r="O73" s="10"/>
      <c r="P73" s="10"/>
      <c r="Q73" s="10"/>
      <c r="R73" s="10"/>
      <c r="S73" s="10"/>
      <c r="T73" s="10"/>
      <c r="U73" s="10"/>
      <c r="V73" s="10"/>
      <c r="W73" s="10"/>
      <c r="X73" s="10"/>
      <c r="Y73" s="10"/>
      <c r="Z73" s="10"/>
      <c r="AA73" s="10"/>
    </row>
    <row r="74" spans="1:27" x14ac:dyDescent="0.25">
      <c r="E74" t="s">
        <v>131</v>
      </c>
      <c r="F74" t="s">
        <v>7</v>
      </c>
      <c r="G74" s="10"/>
      <c r="H74" s="10"/>
      <c r="I74" s="10"/>
      <c r="J74" s="10"/>
      <c r="K74" s="10"/>
      <c r="L74" s="10"/>
      <c r="M74" s="10"/>
      <c r="N74" s="10"/>
      <c r="O74" s="10"/>
      <c r="P74" s="10"/>
      <c r="Q74" s="10"/>
      <c r="R74" s="10"/>
      <c r="S74" s="10"/>
      <c r="T74" s="10"/>
      <c r="U74" s="10"/>
      <c r="V74" s="10"/>
      <c r="W74" s="10"/>
      <c r="X74" s="10"/>
      <c r="Y74" s="10"/>
      <c r="Z74" s="10"/>
      <c r="AA74" s="10"/>
    </row>
    <row r="75" spans="1:27" x14ac:dyDescent="0.25">
      <c r="G75" s="2">
        <f>SUM(G71:G74)</f>
        <v>0</v>
      </c>
      <c r="H75" s="2">
        <f t="shared" ref="H75:AA75" si="10">SUM(H71:H74)</f>
        <v>0</v>
      </c>
      <c r="I75" s="2">
        <f t="shared" si="10"/>
        <v>0</v>
      </c>
      <c r="J75" s="2">
        <f t="shared" si="10"/>
        <v>0</v>
      </c>
      <c r="K75" s="2">
        <f t="shared" si="10"/>
        <v>0</v>
      </c>
      <c r="L75" s="2">
        <f t="shared" si="10"/>
        <v>0</v>
      </c>
      <c r="M75" s="2">
        <f t="shared" si="10"/>
        <v>0</v>
      </c>
      <c r="N75" s="2">
        <f t="shared" si="10"/>
        <v>0</v>
      </c>
      <c r="O75" s="2">
        <f t="shared" si="10"/>
        <v>0</v>
      </c>
      <c r="P75" s="2">
        <f t="shared" si="10"/>
        <v>0</v>
      </c>
      <c r="Q75" s="2">
        <f t="shared" si="10"/>
        <v>0</v>
      </c>
      <c r="R75" s="2">
        <f t="shared" si="10"/>
        <v>0</v>
      </c>
      <c r="S75" s="2">
        <f t="shared" si="10"/>
        <v>0</v>
      </c>
      <c r="T75" s="2">
        <f t="shared" si="10"/>
        <v>0</v>
      </c>
      <c r="U75" s="2">
        <f t="shared" si="10"/>
        <v>0</v>
      </c>
      <c r="V75" s="2">
        <f t="shared" si="10"/>
        <v>0</v>
      </c>
      <c r="W75" s="2">
        <f t="shared" si="10"/>
        <v>0</v>
      </c>
      <c r="X75" s="2">
        <f t="shared" si="10"/>
        <v>0</v>
      </c>
      <c r="Y75" s="2">
        <f t="shared" si="10"/>
        <v>0</v>
      </c>
      <c r="Z75" s="2">
        <f t="shared" si="10"/>
        <v>0</v>
      </c>
      <c r="AA75" s="2">
        <f t="shared" si="10"/>
        <v>0</v>
      </c>
    </row>
    <row r="76" spans="1:27" x14ac:dyDescent="0.25">
      <c r="G76" s="2"/>
      <c r="H76" s="2"/>
      <c r="I76" s="2"/>
      <c r="J76" s="2"/>
      <c r="K76" s="2"/>
      <c r="L76" s="2"/>
      <c r="M76" s="2"/>
      <c r="N76" s="2"/>
      <c r="O76" s="2"/>
      <c r="P76" s="2"/>
      <c r="Q76" s="2"/>
      <c r="R76" s="2"/>
      <c r="S76" s="2"/>
      <c r="T76" s="2"/>
      <c r="U76" s="2"/>
      <c r="V76" s="2"/>
      <c r="W76" s="2"/>
      <c r="X76" s="2"/>
      <c r="Y76" s="2"/>
      <c r="Z76" s="2"/>
      <c r="AA76" s="2"/>
    </row>
    <row r="77" spans="1:27" x14ac:dyDescent="0.25">
      <c r="D77" t="s">
        <v>136</v>
      </c>
      <c r="G77" s="2"/>
      <c r="H77" s="2"/>
      <c r="I77" s="2"/>
      <c r="J77" s="2"/>
      <c r="K77" s="2"/>
      <c r="L77" s="2"/>
      <c r="M77" s="2"/>
      <c r="N77" s="2"/>
      <c r="O77" s="2"/>
      <c r="P77" s="2"/>
      <c r="Q77" s="2"/>
    </row>
    <row r="78" spans="1:27" x14ac:dyDescent="0.25">
      <c r="E78" s="2" t="str">
        <f>E71</f>
        <v>Average asset life for all growth assets</v>
      </c>
      <c r="F78" t="s">
        <v>7</v>
      </c>
      <c r="G78" s="2">
        <f t="shared" ref="G78:AA80" si="11">G71/$G7+IF((G$2-$G7+1)&gt;0,-INDEX($G71:$AA71,1,(G$2-$G7+1))/$G7,0)</f>
        <v>0</v>
      </c>
      <c r="H78" s="2">
        <f t="shared" si="11"/>
        <v>0</v>
      </c>
      <c r="I78" s="2">
        <f t="shared" si="11"/>
        <v>0</v>
      </c>
      <c r="J78" s="2">
        <f t="shared" si="11"/>
        <v>0</v>
      </c>
      <c r="K78" s="2">
        <f t="shared" si="11"/>
        <v>0</v>
      </c>
      <c r="L78" s="2">
        <f t="shared" si="11"/>
        <v>0</v>
      </c>
      <c r="M78" s="2">
        <f t="shared" si="11"/>
        <v>0</v>
      </c>
      <c r="N78" s="2">
        <f t="shared" si="11"/>
        <v>0</v>
      </c>
      <c r="O78" s="2">
        <f t="shared" si="11"/>
        <v>0</v>
      </c>
      <c r="P78" s="2">
        <f t="shared" si="11"/>
        <v>0</v>
      </c>
      <c r="Q78" s="2">
        <f t="shared" si="11"/>
        <v>0</v>
      </c>
      <c r="R78" s="2">
        <f t="shared" si="11"/>
        <v>0</v>
      </c>
      <c r="S78" s="2">
        <f t="shared" si="11"/>
        <v>0</v>
      </c>
      <c r="T78" s="2">
        <f t="shared" si="11"/>
        <v>0</v>
      </c>
      <c r="U78" s="2">
        <f t="shared" si="11"/>
        <v>0</v>
      </c>
      <c r="V78" s="2">
        <f t="shared" si="11"/>
        <v>0</v>
      </c>
      <c r="W78" s="2">
        <f t="shared" si="11"/>
        <v>0</v>
      </c>
      <c r="X78" s="2">
        <f t="shared" si="11"/>
        <v>0</v>
      </c>
      <c r="Y78" s="2">
        <f t="shared" si="11"/>
        <v>0</v>
      </c>
      <c r="Z78" s="2">
        <f t="shared" si="11"/>
        <v>0</v>
      </c>
      <c r="AA78" s="2">
        <f t="shared" si="11"/>
        <v>0</v>
      </c>
    </row>
    <row r="79" spans="1:27" x14ac:dyDescent="0.25">
      <c r="E79" s="2" t="str">
        <f t="shared" ref="E79:E80" si="12">E72</f>
        <v>Pumps</v>
      </c>
      <c r="F79" t="s">
        <v>7</v>
      </c>
      <c r="G79" s="2">
        <f t="shared" si="11"/>
        <v>0</v>
      </c>
      <c r="H79" s="2">
        <f t="shared" si="11"/>
        <v>0</v>
      </c>
      <c r="I79" s="2">
        <f t="shared" si="11"/>
        <v>0</v>
      </c>
      <c r="J79" s="2">
        <f t="shared" si="11"/>
        <v>0</v>
      </c>
      <c r="K79" s="2">
        <f t="shared" si="11"/>
        <v>0</v>
      </c>
      <c r="L79" s="2">
        <f t="shared" si="11"/>
        <v>0</v>
      </c>
      <c r="M79" s="2">
        <f t="shared" si="11"/>
        <v>0</v>
      </c>
      <c r="N79" s="2">
        <f t="shared" si="11"/>
        <v>0</v>
      </c>
      <c r="O79" s="2">
        <f t="shared" si="11"/>
        <v>0</v>
      </c>
      <c r="P79" s="2">
        <f t="shared" si="11"/>
        <v>0</v>
      </c>
      <c r="Q79" s="2">
        <f t="shared" si="11"/>
        <v>0</v>
      </c>
      <c r="R79" s="2">
        <f t="shared" si="11"/>
        <v>0</v>
      </c>
      <c r="S79" s="2">
        <f t="shared" si="11"/>
        <v>0</v>
      </c>
      <c r="T79" s="2">
        <f t="shared" si="11"/>
        <v>0</v>
      </c>
      <c r="U79" s="2">
        <f t="shared" si="11"/>
        <v>0</v>
      </c>
      <c r="V79" s="2">
        <f t="shared" si="11"/>
        <v>0</v>
      </c>
      <c r="W79" s="2">
        <f t="shared" si="11"/>
        <v>0</v>
      </c>
      <c r="X79" s="2">
        <f t="shared" si="11"/>
        <v>0</v>
      </c>
      <c r="Y79" s="2">
        <f t="shared" si="11"/>
        <v>0</v>
      </c>
      <c r="Z79" s="2">
        <f t="shared" si="11"/>
        <v>0</v>
      </c>
      <c r="AA79" s="2">
        <f t="shared" si="11"/>
        <v>0</v>
      </c>
    </row>
    <row r="80" spans="1:27" x14ac:dyDescent="0.25">
      <c r="E80" s="2" t="str">
        <f t="shared" si="12"/>
        <v>Valves and Meters</v>
      </c>
      <c r="F80" t="s">
        <v>7</v>
      </c>
      <c r="G80" s="2">
        <f t="shared" si="11"/>
        <v>0</v>
      </c>
      <c r="H80" s="2">
        <f t="shared" si="11"/>
        <v>0</v>
      </c>
      <c r="I80" s="2">
        <f t="shared" si="11"/>
        <v>0</v>
      </c>
      <c r="J80" s="2">
        <f t="shared" si="11"/>
        <v>0</v>
      </c>
      <c r="K80" s="2">
        <f t="shared" si="11"/>
        <v>0</v>
      </c>
      <c r="L80" s="2">
        <f t="shared" si="11"/>
        <v>0</v>
      </c>
      <c r="M80" s="2">
        <f t="shared" si="11"/>
        <v>0</v>
      </c>
      <c r="N80" s="2">
        <f t="shared" si="11"/>
        <v>0</v>
      </c>
      <c r="O80" s="2">
        <f t="shared" si="11"/>
        <v>0</v>
      </c>
      <c r="P80" s="2">
        <f t="shared" si="11"/>
        <v>0</v>
      </c>
      <c r="Q80" s="2">
        <f t="shared" si="11"/>
        <v>0</v>
      </c>
      <c r="R80" s="2">
        <f t="shared" si="11"/>
        <v>0</v>
      </c>
      <c r="S80" s="2">
        <f t="shared" si="11"/>
        <v>0</v>
      </c>
      <c r="T80" s="2">
        <f t="shared" si="11"/>
        <v>0</v>
      </c>
      <c r="U80" s="2">
        <f t="shared" si="11"/>
        <v>0</v>
      </c>
      <c r="V80" s="2">
        <f t="shared" si="11"/>
        <v>0</v>
      </c>
      <c r="W80" s="2">
        <f t="shared" si="11"/>
        <v>0</v>
      </c>
      <c r="X80" s="2">
        <f t="shared" si="11"/>
        <v>0</v>
      </c>
      <c r="Y80" s="2">
        <f t="shared" si="11"/>
        <v>0</v>
      </c>
      <c r="Z80" s="2">
        <f t="shared" si="11"/>
        <v>0</v>
      </c>
      <c r="AA80" s="2">
        <f t="shared" si="11"/>
        <v>0</v>
      </c>
    </row>
    <row r="82" spans="1:27" x14ac:dyDescent="0.25">
      <c r="D82" t="s">
        <v>137</v>
      </c>
      <c r="F82" t="s">
        <v>7</v>
      </c>
      <c r="G82" s="2">
        <f>SUM($G$77:G80)</f>
        <v>0</v>
      </c>
      <c r="H82" s="2">
        <f>SUM($G$77:H80)</f>
        <v>0</v>
      </c>
      <c r="I82" s="2">
        <f>SUM($G$77:I80)</f>
        <v>0</v>
      </c>
      <c r="J82" s="2">
        <f>SUM($G$77:J80)</f>
        <v>0</v>
      </c>
      <c r="K82" s="2">
        <f>SUM($G$77:K80)</f>
        <v>0</v>
      </c>
      <c r="L82" s="2">
        <f>SUM($G$77:L80)</f>
        <v>0</v>
      </c>
      <c r="M82" s="2">
        <f>SUM($G$77:M80)</f>
        <v>0</v>
      </c>
      <c r="N82" s="2">
        <f>SUM($G$77:N80)</f>
        <v>0</v>
      </c>
      <c r="O82" s="2">
        <f>SUM($G$77:O80)</f>
        <v>0</v>
      </c>
      <c r="P82" s="2">
        <f>SUM($G$77:P80)</f>
        <v>0</v>
      </c>
      <c r="Q82" s="2">
        <f>SUM($G$77:Q80)</f>
        <v>0</v>
      </c>
      <c r="R82" s="2">
        <f>SUM($G$77:R80)</f>
        <v>0</v>
      </c>
      <c r="S82" s="2">
        <f>SUM($G$77:S80)</f>
        <v>0</v>
      </c>
      <c r="T82" s="2">
        <f>SUM($G$77:T80)</f>
        <v>0</v>
      </c>
      <c r="U82" s="2">
        <f>SUM($G$77:U80)</f>
        <v>0</v>
      </c>
      <c r="V82" s="2">
        <f>SUM($G$77:V80)</f>
        <v>0</v>
      </c>
      <c r="W82" s="2">
        <f>SUM($G$77:W80)</f>
        <v>0</v>
      </c>
      <c r="X82" s="2">
        <f>SUM($G$77:X80)</f>
        <v>0</v>
      </c>
      <c r="Y82" s="2">
        <f>SUM($G$77:Y80)</f>
        <v>0</v>
      </c>
      <c r="Z82" s="2">
        <f>SUM($G$77:Z80)</f>
        <v>0</v>
      </c>
      <c r="AA82" s="2">
        <f>SUM($G$77:AA80)</f>
        <v>0</v>
      </c>
    </row>
    <row r="83" spans="1:27" x14ac:dyDescent="0.25">
      <c r="G83" s="2"/>
      <c r="H83" s="2"/>
      <c r="I83" s="2"/>
      <c r="J83" s="2"/>
      <c r="K83" s="2"/>
      <c r="L83" s="2"/>
      <c r="M83" s="2"/>
      <c r="N83" s="2"/>
      <c r="O83" s="2"/>
      <c r="P83" s="2"/>
      <c r="Q83" s="2"/>
      <c r="R83" s="2"/>
      <c r="S83" s="2"/>
      <c r="T83" s="2"/>
      <c r="U83" s="2"/>
      <c r="V83" s="2"/>
      <c r="W83" s="2"/>
      <c r="X83" s="2"/>
      <c r="Y83" s="2"/>
      <c r="Z83" s="2"/>
      <c r="AA83" s="2"/>
    </row>
    <row r="84" spans="1:27" x14ac:dyDescent="0.25">
      <c r="D84" t="s">
        <v>138</v>
      </c>
      <c r="F84" t="s">
        <v>7</v>
      </c>
      <c r="G84" s="2">
        <f t="shared" ref="G84:AA84" si="13">G61-G75</f>
        <v>0</v>
      </c>
      <c r="H84" s="2">
        <f t="shared" si="13"/>
        <v>0</v>
      </c>
      <c r="I84" s="2">
        <f t="shared" si="13"/>
        <v>0</v>
      </c>
      <c r="J84" s="2">
        <f t="shared" si="13"/>
        <v>0</v>
      </c>
      <c r="K84" s="2">
        <f t="shared" si="13"/>
        <v>0</v>
      </c>
      <c r="L84" s="2">
        <f t="shared" si="13"/>
        <v>0</v>
      </c>
      <c r="M84" s="2">
        <f t="shared" si="13"/>
        <v>0</v>
      </c>
      <c r="N84" s="2">
        <f t="shared" si="13"/>
        <v>0</v>
      </c>
      <c r="O84" s="2">
        <f t="shared" si="13"/>
        <v>0</v>
      </c>
      <c r="P84" s="2">
        <f t="shared" si="13"/>
        <v>0</v>
      </c>
      <c r="Q84" s="2">
        <f t="shared" si="13"/>
        <v>0</v>
      </c>
      <c r="R84" s="2">
        <f t="shared" si="13"/>
        <v>0</v>
      </c>
      <c r="S84" s="2">
        <f t="shared" si="13"/>
        <v>0</v>
      </c>
      <c r="T84" s="2">
        <f t="shared" si="13"/>
        <v>0</v>
      </c>
      <c r="U84" s="2">
        <f t="shared" si="13"/>
        <v>0</v>
      </c>
      <c r="V84" s="2">
        <f t="shared" si="13"/>
        <v>0</v>
      </c>
      <c r="W84" s="2">
        <f t="shared" si="13"/>
        <v>0</v>
      </c>
      <c r="X84" s="2">
        <f t="shared" si="13"/>
        <v>0</v>
      </c>
      <c r="Y84" s="2">
        <f t="shared" si="13"/>
        <v>0</v>
      </c>
      <c r="Z84" s="2">
        <f t="shared" si="13"/>
        <v>0</v>
      </c>
      <c r="AA84" s="2">
        <f t="shared" si="13"/>
        <v>0</v>
      </c>
    </row>
    <row r="85" spans="1:27" x14ac:dyDescent="0.25">
      <c r="D85" t="s">
        <v>139</v>
      </c>
      <c r="F85" t="s">
        <v>7</v>
      </c>
      <c r="G85" s="2">
        <f t="shared" ref="G85:AA85" si="14">-G68+G82</f>
        <v>0</v>
      </c>
      <c r="H85" s="2">
        <f t="shared" si="14"/>
        <v>0</v>
      </c>
      <c r="I85" s="2">
        <f t="shared" si="14"/>
        <v>0</v>
      </c>
      <c r="J85" s="2">
        <f t="shared" si="14"/>
        <v>0</v>
      </c>
      <c r="K85" s="2">
        <f t="shared" si="14"/>
        <v>0</v>
      </c>
      <c r="L85" s="2">
        <f t="shared" si="14"/>
        <v>0</v>
      </c>
      <c r="M85" s="2">
        <f t="shared" si="14"/>
        <v>0</v>
      </c>
      <c r="N85" s="2">
        <f t="shared" si="14"/>
        <v>0</v>
      </c>
      <c r="O85" s="2">
        <f t="shared" si="14"/>
        <v>0</v>
      </c>
      <c r="P85" s="2">
        <f t="shared" si="14"/>
        <v>0</v>
      </c>
      <c r="Q85" s="2">
        <f t="shared" si="14"/>
        <v>0</v>
      </c>
      <c r="R85" s="2">
        <f t="shared" si="14"/>
        <v>0</v>
      </c>
      <c r="S85" s="2">
        <f t="shared" si="14"/>
        <v>0</v>
      </c>
      <c r="T85" s="2">
        <f t="shared" si="14"/>
        <v>0</v>
      </c>
      <c r="U85" s="2">
        <f t="shared" si="14"/>
        <v>0</v>
      </c>
      <c r="V85" s="2">
        <f t="shared" si="14"/>
        <v>0</v>
      </c>
      <c r="W85" s="2">
        <f t="shared" si="14"/>
        <v>0</v>
      </c>
      <c r="X85" s="2">
        <f t="shared" si="14"/>
        <v>0</v>
      </c>
      <c r="Y85" s="2">
        <f t="shared" si="14"/>
        <v>0</v>
      </c>
      <c r="Z85" s="2">
        <f t="shared" si="14"/>
        <v>0</v>
      </c>
      <c r="AA85" s="2">
        <f t="shared" si="14"/>
        <v>0</v>
      </c>
    </row>
    <row r="87" spans="1:27" x14ac:dyDescent="0.25">
      <c r="C87" s="1" t="str">
        <f>"Incremental "&amp;G4&amp;" Service Revenue"</f>
        <v>Incremental Water Supply Service Revenue</v>
      </c>
      <c r="D87" s="1"/>
    </row>
    <row r="88" spans="1:27" x14ac:dyDescent="0.25">
      <c r="C88" s="1"/>
      <c r="D88" s="1"/>
    </row>
    <row r="89" spans="1:27" x14ac:dyDescent="0.25">
      <c r="C89" s="1"/>
      <c r="D89" t="s">
        <v>59</v>
      </c>
      <c r="F89" t="s">
        <v>325</v>
      </c>
      <c r="G89" t="s">
        <v>326</v>
      </c>
    </row>
    <row r="90" spans="1:27" x14ac:dyDescent="0.25">
      <c r="A90" s="14">
        <f>'Notes &amp; Assumptions'!A28</f>
        <v>15</v>
      </c>
      <c r="C90" s="1"/>
      <c r="D90" s="1"/>
      <c r="E90" t="s">
        <v>87</v>
      </c>
      <c r="F90" t="s">
        <v>3</v>
      </c>
      <c r="H90" s="10">
        <f>'Customer numbers'!P6</f>
        <v>9330</v>
      </c>
      <c r="I90" s="10">
        <f>'Customer numbers'!Q6</f>
        <v>8804</v>
      </c>
      <c r="J90" s="10">
        <f>'Customer numbers'!R6</f>
        <v>8435.2999999999993</v>
      </c>
      <c r="K90" s="10">
        <f>'Customer numbers'!S6</f>
        <v>7648.1999999999989</v>
      </c>
      <c r="L90" s="10">
        <f>'Customer numbers'!T6</f>
        <v>6885.2999999999984</v>
      </c>
      <c r="M90" s="10">
        <f>'Customer numbers'!U6</f>
        <v>6170.9999999999982</v>
      </c>
      <c r="N90" s="10">
        <f>'Customer numbers'!V6</f>
        <v>5492.699999999998</v>
      </c>
      <c r="O90" s="10">
        <f>'Customer numbers'!W6</f>
        <v>4855.0999999999976</v>
      </c>
      <c r="P90" s="10">
        <f>'Customer numbers'!X6</f>
        <v>4699.8999999999978</v>
      </c>
      <c r="Q90" s="10">
        <f>'Customer numbers'!Y6</f>
        <v>4512.2999999999984</v>
      </c>
      <c r="R90" s="10">
        <f>'Customer numbers'!Z6</f>
        <v>4777.4999999999982</v>
      </c>
      <c r="S90" s="10">
        <f>'Customer numbers'!AA6</f>
        <v>5062.199999999998</v>
      </c>
      <c r="T90" s="10">
        <f>'Customer numbers'!AB6</f>
        <v>5362.4999999999982</v>
      </c>
      <c r="U90" s="10">
        <f>'Customer numbers'!AC6</f>
        <v>5327.3999999999978</v>
      </c>
      <c r="V90" s="10">
        <f>'Customer numbers'!AD6</f>
        <v>5288.3999999999978</v>
      </c>
    </row>
    <row r="91" spans="1:27" x14ac:dyDescent="0.25">
      <c r="C91" s="1"/>
      <c r="D91" s="1"/>
      <c r="E91" t="s">
        <v>60</v>
      </c>
      <c r="F91" t="s">
        <v>3</v>
      </c>
      <c r="G91" s="2">
        <f>IF('Key assumptions'!B4="yes",SUM('Customer numbers'!F7:O7),0)</f>
        <v>0</v>
      </c>
      <c r="H91" s="2">
        <f>G91+H90</f>
        <v>9330</v>
      </c>
      <c r="I91" s="2">
        <f t="shared" ref="I91:AA91" si="15">H91+I90</f>
        <v>18134</v>
      </c>
      <c r="J91" s="2">
        <f t="shared" si="15"/>
        <v>26569.3</v>
      </c>
      <c r="K91" s="2">
        <f t="shared" si="15"/>
        <v>34217.5</v>
      </c>
      <c r="L91" s="2">
        <f t="shared" si="15"/>
        <v>41102.799999999996</v>
      </c>
      <c r="M91" s="2">
        <f t="shared" si="15"/>
        <v>47273.799999999996</v>
      </c>
      <c r="N91" s="2">
        <f t="shared" si="15"/>
        <v>52766.499999999993</v>
      </c>
      <c r="O91" s="2">
        <f t="shared" si="15"/>
        <v>57621.599999999991</v>
      </c>
      <c r="P91" s="2">
        <f t="shared" si="15"/>
        <v>62321.499999999985</v>
      </c>
      <c r="Q91" s="2">
        <f t="shared" si="15"/>
        <v>66833.799999999988</v>
      </c>
      <c r="R91" s="2">
        <f t="shared" si="15"/>
        <v>71611.299999999988</v>
      </c>
      <c r="S91" s="2">
        <f t="shared" si="15"/>
        <v>76673.499999999985</v>
      </c>
      <c r="T91" s="2">
        <f t="shared" si="15"/>
        <v>82035.999999999985</v>
      </c>
      <c r="U91" s="2">
        <f t="shared" si="15"/>
        <v>87363.39999999998</v>
      </c>
      <c r="V91" s="2">
        <f t="shared" si="15"/>
        <v>92651.799999999974</v>
      </c>
      <c r="W91" s="2">
        <f t="shared" si="15"/>
        <v>92651.799999999974</v>
      </c>
      <c r="X91" s="2">
        <f t="shared" si="15"/>
        <v>92651.799999999974</v>
      </c>
      <c r="Y91" s="2">
        <f t="shared" si="15"/>
        <v>92651.799999999974</v>
      </c>
      <c r="Z91" s="2">
        <f t="shared" si="15"/>
        <v>92651.799999999974</v>
      </c>
      <c r="AA91" s="2">
        <f t="shared" si="15"/>
        <v>92651.799999999974</v>
      </c>
    </row>
    <row r="92" spans="1:27" x14ac:dyDescent="0.25">
      <c r="A92" s="14">
        <f>'Notes &amp; Assumptions'!A29</f>
        <v>16</v>
      </c>
      <c r="C92" s="1"/>
      <c r="D92" s="1"/>
      <c r="E92" t="s">
        <v>61</v>
      </c>
      <c r="F92" t="s">
        <v>3</v>
      </c>
      <c r="G92" s="10">
        <v>1</v>
      </c>
    </row>
    <row r="93" spans="1:27" x14ac:dyDescent="0.25">
      <c r="C93" s="1"/>
      <c r="D93" s="1"/>
      <c r="E93" t="s">
        <v>88</v>
      </c>
      <c r="F93" t="s">
        <v>3</v>
      </c>
      <c r="H93">
        <f>H90*$G92</f>
        <v>9330</v>
      </c>
      <c r="I93">
        <f t="shared" ref="I93:AA93" si="16">I90*$G92</f>
        <v>8804</v>
      </c>
      <c r="J93">
        <f t="shared" si="16"/>
        <v>8435.2999999999993</v>
      </c>
      <c r="K93">
        <f t="shared" si="16"/>
        <v>7648.1999999999989</v>
      </c>
      <c r="L93">
        <f t="shared" si="16"/>
        <v>6885.2999999999984</v>
      </c>
      <c r="M93">
        <f t="shared" si="16"/>
        <v>6170.9999999999982</v>
      </c>
      <c r="N93">
        <f t="shared" si="16"/>
        <v>5492.699999999998</v>
      </c>
      <c r="O93">
        <f t="shared" si="16"/>
        <v>4855.0999999999976</v>
      </c>
      <c r="P93">
        <f t="shared" si="16"/>
        <v>4699.8999999999978</v>
      </c>
      <c r="Q93">
        <f t="shared" si="16"/>
        <v>4512.2999999999984</v>
      </c>
      <c r="R93">
        <f t="shared" si="16"/>
        <v>4777.4999999999982</v>
      </c>
      <c r="S93">
        <f t="shared" si="16"/>
        <v>5062.199999999998</v>
      </c>
      <c r="T93">
        <f t="shared" si="16"/>
        <v>5362.4999999999982</v>
      </c>
      <c r="U93">
        <f t="shared" si="16"/>
        <v>5327.3999999999978</v>
      </c>
      <c r="V93">
        <f t="shared" si="16"/>
        <v>5288.3999999999978</v>
      </c>
      <c r="W93">
        <f t="shared" si="16"/>
        <v>0</v>
      </c>
      <c r="X93">
        <f t="shared" si="16"/>
        <v>0</v>
      </c>
      <c r="Y93">
        <f t="shared" si="16"/>
        <v>0</v>
      </c>
      <c r="Z93">
        <f t="shared" si="16"/>
        <v>0</v>
      </c>
      <c r="AA93">
        <f t="shared" si="16"/>
        <v>0</v>
      </c>
    </row>
    <row r="94" spans="1:27" x14ac:dyDescent="0.25">
      <c r="C94" s="1"/>
      <c r="D94" s="1"/>
      <c r="E94" t="s">
        <v>89</v>
      </c>
      <c r="F94" t="s">
        <v>3</v>
      </c>
      <c r="H94">
        <f>H91*$G92</f>
        <v>9330</v>
      </c>
      <c r="I94">
        <f>I91*$G92</f>
        <v>18134</v>
      </c>
      <c r="J94">
        <f t="shared" ref="J94:AA94" si="17">J91*$G92</f>
        <v>26569.3</v>
      </c>
      <c r="K94">
        <f t="shared" si="17"/>
        <v>34217.5</v>
      </c>
      <c r="L94">
        <f t="shared" si="17"/>
        <v>41102.799999999996</v>
      </c>
      <c r="M94">
        <f t="shared" si="17"/>
        <v>47273.799999999996</v>
      </c>
      <c r="N94">
        <f t="shared" si="17"/>
        <v>52766.499999999993</v>
      </c>
      <c r="O94">
        <f t="shared" si="17"/>
        <v>57621.599999999991</v>
      </c>
      <c r="P94">
        <f t="shared" si="17"/>
        <v>62321.499999999985</v>
      </c>
      <c r="Q94">
        <f t="shared" si="17"/>
        <v>66833.799999999988</v>
      </c>
      <c r="R94">
        <f t="shared" si="17"/>
        <v>71611.299999999988</v>
      </c>
      <c r="S94">
        <f t="shared" si="17"/>
        <v>76673.499999999985</v>
      </c>
      <c r="T94">
        <f t="shared" si="17"/>
        <v>82035.999999999985</v>
      </c>
      <c r="U94">
        <f t="shared" si="17"/>
        <v>87363.39999999998</v>
      </c>
      <c r="V94">
        <f t="shared" si="17"/>
        <v>92651.799999999974</v>
      </c>
      <c r="W94">
        <f t="shared" si="17"/>
        <v>92651.799999999974</v>
      </c>
      <c r="X94">
        <f t="shared" si="17"/>
        <v>92651.799999999974</v>
      </c>
      <c r="Y94">
        <f t="shared" si="17"/>
        <v>92651.799999999974</v>
      </c>
      <c r="Z94">
        <f t="shared" si="17"/>
        <v>92651.799999999974</v>
      </c>
      <c r="AA94">
        <f t="shared" si="17"/>
        <v>92651.799999999974</v>
      </c>
    </row>
    <row r="95" spans="1:27" x14ac:dyDescent="0.25">
      <c r="A95" s="14">
        <f>'Notes &amp; Assumptions'!A30</f>
        <v>17</v>
      </c>
      <c r="C95" s="1"/>
      <c r="D95" s="1"/>
      <c r="E95" t="s">
        <v>62</v>
      </c>
      <c r="F95" t="s">
        <v>43</v>
      </c>
      <c r="H95" s="10">
        <f>'Key assumptions'!B21</f>
        <v>150</v>
      </c>
      <c r="I95" s="10">
        <f>H95</f>
        <v>150</v>
      </c>
      <c r="J95" s="10">
        <f t="shared" ref="J95:AA95" si="18">I95</f>
        <v>150</v>
      </c>
      <c r="K95" s="10">
        <f t="shared" si="18"/>
        <v>150</v>
      </c>
      <c r="L95" s="10">
        <f t="shared" si="18"/>
        <v>150</v>
      </c>
      <c r="M95" s="10">
        <f t="shared" si="18"/>
        <v>150</v>
      </c>
      <c r="N95" s="10">
        <f t="shared" si="18"/>
        <v>150</v>
      </c>
      <c r="O95" s="10">
        <f t="shared" si="18"/>
        <v>150</v>
      </c>
      <c r="P95" s="10">
        <f t="shared" si="18"/>
        <v>150</v>
      </c>
      <c r="Q95" s="10">
        <f t="shared" si="18"/>
        <v>150</v>
      </c>
      <c r="R95" s="10">
        <f t="shared" si="18"/>
        <v>150</v>
      </c>
      <c r="S95" s="10">
        <f t="shared" si="18"/>
        <v>150</v>
      </c>
      <c r="T95" s="10">
        <f t="shared" si="18"/>
        <v>150</v>
      </c>
      <c r="U95" s="10">
        <f t="shared" si="18"/>
        <v>150</v>
      </c>
      <c r="V95" s="10">
        <f t="shared" si="18"/>
        <v>150</v>
      </c>
      <c r="W95" s="10">
        <f t="shared" si="18"/>
        <v>150</v>
      </c>
      <c r="X95" s="10">
        <f t="shared" si="18"/>
        <v>150</v>
      </c>
      <c r="Y95" s="10">
        <f t="shared" si="18"/>
        <v>150</v>
      </c>
      <c r="Z95" s="10">
        <f t="shared" si="18"/>
        <v>150</v>
      </c>
      <c r="AA95" s="10">
        <f t="shared" si="18"/>
        <v>150</v>
      </c>
    </row>
    <row r="96" spans="1:27" x14ac:dyDescent="0.25">
      <c r="C96" s="1"/>
      <c r="D96" s="1"/>
      <c r="E96" t="s">
        <v>63</v>
      </c>
      <c r="F96" t="s">
        <v>43</v>
      </c>
      <c r="H96" s="10"/>
      <c r="I96" s="10"/>
      <c r="J96" s="10"/>
      <c r="K96" s="10"/>
      <c r="L96" s="10"/>
      <c r="M96" s="10"/>
      <c r="N96" s="10"/>
      <c r="O96" s="10"/>
      <c r="P96" s="10"/>
      <c r="Q96" s="10"/>
      <c r="R96" s="10"/>
      <c r="S96" s="10"/>
      <c r="T96" s="10"/>
      <c r="U96" s="10"/>
      <c r="V96" s="10"/>
      <c r="W96" s="10"/>
      <c r="X96" s="10"/>
      <c r="Y96" s="10"/>
      <c r="Z96" s="10"/>
      <c r="AA96" s="10"/>
    </row>
    <row r="97" spans="1:27" x14ac:dyDescent="0.25">
      <c r="C97" s="1"/>
      <c r="D97" s="1"/>
      <c r="E97" t="s">
        <v>140</v>
      </c>
      <c r="F97" t="s">
        <v>43</v>
      </c>
      <c r="H97" s="10"/>
      <c r="I97" s="10"/>
      <c r="J97" s="10"/>
      <c r="K97" s="10"/>
      <c r="L97" s="10"/>
      <c r="M97" s="10"/>
      <c r="N97" s="10"/>
      <c r="O97" s="10"/>
      <c r="P97" s="10"/>
      <c r="Q97" s="10"/>
      <c r="R97" s="10"/>
      <c r="S97" s="10"/>
      <c r="T97" s="10"/>
      <c r="U97" s="10"/>
      <c r="V97" s="10"/>
      <c r="W97" s="10"/>
      <c r="X97" s="10"/>
      <c r="Y97" s="10"/>
      <c r="Z97" s="10"/>
      <c r="AA97" s="10"/>
    </row>
    <row r="98" spans="1:27" x14ac:dyDescent="0.25">
      <c r="C98" s="1"/>
      <c r="D98" s="1"/>
      <c r="E98" t="s">
        <v>64</v>
      </c>
      <c r="F98" t="s">
        <v>144</v>
      </c>
      <c r="H98" s="2">
        <f>H91*H95</f>
        <v>1399500</v>
      </c>
      <c r="I98" s="2">
        <f t="shared" ref="I98:AA98" si="19">I91*I95</f>
        <v>2720100</v>
      </c>
      <c r="J98" s="2">
        <f t="shared" si="19"/>
        <v>3985395</v>
      </c>
      <c r="K98" s="2">
        <f t="shared" si="19"/>
        <v>5132625</v>
      </c>
      <c r="L98" s="2">
        <f t="shared" si="19"/>
        <v>6165419.9999999991</v>
      </c>
      <c r="M98" s="2">
        <f t="shared" si="19"/>
        <v>7091069.9999999991</v>
      </c>
      <c r="N98" s="2">
        <f t="shared" si="19"/>
        <v>7914974.9999999991</v>
      </c>
      <c r="O98" s="2">
        <f t="shared" si="19"/>
        <v>8643239.9999999981</v>
      </c>
      <c r="P98" s="2">
        <f t="shared" si="19"/>
        <v>9348224.9999999981</v>
      </c>
      <c r="Q98" s="2">
        <f t="shared" si="19"/>
        <v>10025069.999999998</v>
      </c>
      <c r="R98" s="2">
        <f t="shared" si="19"/>
        <v>10741694.999999998</v>
      </c>
      <c r="S98" s="2">
        <f t="shared" si="19"/>
        <v>11501024.999999998</v>
      </c>
      <c r="T98" s="2">
        <f t="shared" si="19"/>
        <v>12305399.999999998</v>
      </c>
      <c r="U98" s="2">
        <f t="shared" si="19"/>
        <v>13104509.999999996</v>
      </c>
      <c r="V98" s="2">
        <f t="shared" si="19"/>
        <v>13897769.999999996</v>
      </c>
      <c r="W98" s="2">
        <f t="shared" si="19"/>
        <v>13897769.999999996</v>
      </c>
      <c r="X98" s="2">
        <f t="shared" si="19"/>
        <v>13897769.999999996</v>
      </c>
      <c r="Y98" s="2">
        <f t="shared" si="19"/>
        <v>13897769.999999996</v>
      </c>
      <c r="Z98" s="2">
        <f t="shared" si="19"/>
        <v>13897769.999999996</v>
      </c>
      <c r="AA98" s="2">
        <f t="shared" si="19"/>
        <v>13897769.999999996</v>
      </c>
    </row>
    <row r="99" spans="1:27" x14ac:dyDescent="0.25">
      <c r="C99" s="1"/>
      <c r="D99" s="1"/>
      <c r="E99" t="s">
        <v>65</v>
      </c>
      <c r="F99" t="s">
        <v>144</v>
      </c>
      <c r="H99" s="2">
        <f>H91*H96</f>
        <v>0</v>
      </c>
      <c r="I99" s="2">
        <f t="shared" ref="I99:AA99" si="20">I91*I96</f>
        <v>0</v>
      </c>
      <c r="J99" s="2">
        <f t="shared" si="20"/>
        <v>0</v>
      </c>
      <c r="K99" s="2">
        <f t="shared" si="20"/>
        <v>0</v>
      </c>
      <c r="L99" s="2">
        <f t="shared" si="20"/>
        <v>0</v>
      </c>
      <c r="M99" s="2">
        <f t="shared" si="20"/>
        <v>0</v>
      </c>
      <c r="N99" s="2">
        <f t="shared" si="20"/>
        <v>0</v>
      </c>
      <c r="O99" s="2">
        <f t="shared" si="20"/>
        <v>0</v>
      </c>
      <c r="P99" s="2">
        <f t="shared" si="20"/>
        <v>0</v>
      </c>
      <c r="Q99" s="2">
        <f t="shared" si="20"/>
        <v>0</v>
      </c>
      <c r="R99" s="2">
        <f t="shared" si="20"/>
        <v>0</v>
      </c>
      <c r="S99" s="2">
        <f t="shared" si="20"/>
        <v>0</v>
      </c>
      <c r="T99" s="2">
        <f t="shared" si="20"/>
        <v>0</v>
      </c>
      <c r="U99" s="2">
        <f t="shared" si="20"/>
        <v>0</v>
      </c>
      <c r="V99" s="2">
        <f t="shared" si="20"/>
        <v>0</v>
      </c>
      <c r="W99" s="2">
        <f t="shared" si="20"/>
        <v>0</v>
      </c>
      <c r="X99" s="2">
        <f t="shared" si="20"/>
        <v>0</v>
      </c>
      <c r="Y99" s="2">
        <f t="shared" si="20"/>
        <v>0</v>
      </c>
      <c r="Z99" s="2">
        <f t="shared" si="20"/>
        <v>0</v>
      </c>
      <c r="AA99" s="2">
        <f t="shared" si="20"/>
        <v>0</v>
      </c>
    </row>
    <row r="100" spans="1:27" x14ac:dyDescent="0.25">
      <c r="C100" s="1"/>
      <c r="D100" s="1"/>
      <c r="E100" t="s">
        <v>141</v>
      </c>
      <c r="F100" t="s">
        <v>144</v>
      </c>
      <c r="H100" s="2">
        <f>H91*H97</f>
        <v>0</v>
      </c>
      <c r="I100" s="2">
        <f t="shared" ref="I100:AA100" si="21">I91*I97</f>
        <v>0</v>
      </c>
      <c r="J100" s="2">
        <f t="shared" si="21"/>
        <v>0</v>
      </c>
      <c r="K100" s="2">
        <f t="shared" si="21"/>
        <v>0</v>
      </c>
      <c r="L100" s="2">
        <f t="shared" si="21"/>
        <v>0</v>
      </c>
      <c r="M100" s="2">
        <f t="shared" si="21"/>
        <v>0</v>
      </c>
      <c r="N100" s="2">
        <f t="shared" si="21"/>
        <v>0</v>
      </c>
      <c r="O100" s="2">
        <f t="shared" si="21"/>
        <v>0</v>
      </c>
      <c r="P100" s="2">
        <f t="shared" si="21"/>
        <v>0</v>
      </c>
      <c r="Q100" s="2">
        <f t="shared" si="21"/>
        <v>0</v>
      </c>
      <c r="R100" s="2">
        <f t="shared" si="21"/>
        <v>0</v>
      </c>
      <c r="S100" s="2">
        <f t="shared" si="21"/>
        <v>0</v>
      </c>
      <c r="T100" s="2">
        <f t="shared" si="21"/>
        <v>0</v>
      </c>
      <c r="U100" s="2">
        <f t="shared" si="21"/>
        <v>0</v>
      </c>
      <c r="V100" s="2">
        <f t="shared" si="21"/>
        <v>0</v>
      </c>
      <c r="W100" s="2">
        <f t="shared" si="21"/>
        <v>0</v>
      </c>
      <c r="X100" s="2">
        <f t="shared" si="21"/>
        <v>0</v>
      </c>
      <c r="Y100" s="2">
        <f t="shared" si="21"/>
        <v>0</v>
      </c>
      <c r="Z100" s="2">
        <f t="shared" si="21"/>
        <v>0</v>
      </c>
      <c r="AA100" s="2">
        <f t="shared" si="21"/>
        <v>0</v>
      </c>
    </row>
    <row r="101" spans="1:27" x14ac:dyDescent="0.25">
      <c r="A101" s="14">
        <f>'Notes &amp; Assumptions'!A31</f>
        <v>18</v>
      </c>
      <c r="C101" s="1"/>
      <c r="D101" s="1"/>
      <c r="E101" t="s">
        <v>66</v>
      </c>
      <c r="F101" t="s">
        <v>8</v>
      </c>
      <c r="H101" s="11">
        <f>'YVW tariffs'!D25</f>
        <v>-4.24E-2</v>
      </c>
      <c r="I101" s="11">
        <f>'YVW tariffs'!E25</f>
        <v>-2.7400000000000001E-2</v>
      </c>
      <c r="J101" s="11">
        <f>'YVW tariffs'!F25</f>
        <v>0</v>
      </c>
      <c r="K101" s="11">
        <f>'YVW tariffs'!G25</f>
        <v>0</v>
      </c>
      <c r="L101" s="11">
        <f>'YVW tariffs'!H25</f>
        <v>0</v>
      </c>
      <c r="M101" s="11">
        <v>0</v>
      </c>
      <c r="N101" s="11">
        <v>0</v>
      </c>
      <c r="O101" s="11">
        <v>0</v>
      </c>
      <c r="P101" s="11">
        <v>0</v>
      </c>
      <c r="Q101" s="11">
        <v>0</v>
      </c>
      <c r="R101" s="11">
        <v>0</v>
      </c>
      <c r="S101" s="11">
        <v>0</v>
      </c>
      <c r="T101" s="11">
        <v>0</v>
      </c>
      <c r="U101" s="11">
        <v>0</v>
      </c>
      <c r="V101" s="11">
        <v>0</v>
      </c>
      <c r="W101" s="11">
        <v>0</v>
      </c>
      <c r="X101" s="11">
        <v>0</v>
      </c>
      <c r="Y101" s="11">
        <v>0</v>
      </c>
      <c r="Z101" s="11">
        <v>0</v>
      </c>
      <c r="AA101" s="11">
        <v>0</v>
      </c>
    </row>
    <row r="102" spans="1:27" x14ac:dyDescent="0.25">
      <c r="A102" s="14">
        <f>'Notes &amp; Assumptions'!A32</f>
        <v>19</v>
      </c>
      <c r="C102" s="1"/>
      <c r="D102" s="1"/>
      <c r="E102" t="s">
        <v>40</v>
      </c>
      <c r="F102" t="s">
        <v>41</v>
      </c>
      <c r="G102" s="20">
        <f>'YVW tariffs'!E4</f>
        <v>79.83198999999999</v>
      </c>
      <c r="H102" s="2">
        <f>G102*(1+$G$14)*(1+H101)</f>
        <v>78.05250301010399</v>
      </c>
      <c r="I102" s="2">
        <f t="shared" ref="I102:AA102" si="22">H102*(1+$G$14)*(1+I101)</f>
        <v>77.508055580607305</v>
      </c>
      <c r="J102" s="2">
        <f t="shared" si="22"/>
        <v>79.135724747800055</v>
      </c>
      <c r="K102" s="2">
        <f t="shared" si="22"/>
        <v>80.797574967503849</v>
      </c>
      <c r="L102" s="2">
        <f t="shared" si="22"/>
        <v>82.494324041821429</v>
      </c>
      <c r="M102" s="2">
        <f t="shared" si="22"/>
        <v>84.226704846699675</v>
      </c>
      <c r="N102" s="2">
        <f t="shared" si="22"/>
        <v>85.995465648480362</v>
      </c>
      <c r="O102" s="2">
        <f t="shared" si="22"/>
        <v>87.801370427098448</v>
      </c>
      <c r="P102" s="2">
        <f t="shared" si="22"/>
        <v>89.645199206067502</v>
      </c>
      <c r="Q102" s="2">
        <f t="shared" si="22"/>
        <v>91.527748389394915</v>
      </c>
      <c r="R102" s="2">
        <f t="shared" si="22"/>
        <v>93.449831105572201</v>
      </c>
      <c r="S102" s="2">
        <f t="shared" si="22"/>
        <v>95.412277558789214</v>
      </c>
      <c r="T102" s="2">
        <f t="shared" si="22"/>
        <v>97.415935387523774</v>
      </c>
      <c r="U102" s="2">
        <f t="shared" si="22"/>
        <v>99.461670030661764</v>
      </c>
      <c r="V102" s="2">
        <f t="shared" si="22"/>
        <v>101.55036510130566</v>
      </c>
      <c r="W102" s="2">
        <f t="shared" si="22"/>
        <v>103.68292276843307</v>
      </c>
      <c r="X102" s="2">
        <f t="shared" si="22"/>
        <v>105.86026414657016</v>
      </c>
      <c r="Y102" s="2">
        <f t="shared" si="22"/>
        <v>108.08332969364812</v>
      </c>
      <c r="Z102" s="2">
        <f t="shared" si="22"/>
        <v>110.35307961721473</v>
      </c>
      <c r="AA102" s="2">
        <f t="shared" si="22"/>
        <v>112.67049428917623</v>
      </c>
    </row>
    <row r="103" spans="1:27" x14ac:dyDescent="0.25">
      <c r="C103" s="1"/>
      <c r="D103" s="1"/>
      <c r="E103" t="s">
        <v>67</v>
      </c>
      <c r="F103" t="s">
        <v>143</v>
      </c>
      <c r="G103" s="20">
        <f>'YVW tariffs'!E5</f>
        <v>2.5268728999999999</v>
      </c>
      <c r="H103" s="21">
        <f>G103*(1+$G$14)*(1+'YVW tariffs'!D26)</f>
        <v>3.2883879945051393</v>
      </c>
      <c r="I103" s="21">
        <f t="shared" ref="I103:AA103" si="23">H103*(1+$G$14)*(1+I101)</f>
        <v>3.2654501728882677</v>
      </c>
      <c r="J103" s="21">
        <f t="shared" si="23"/>
        <v>3.3340246265189211</v>
      </c>
      <c r="K103" s="21">
        <f t="shared" si="23"/>
        <v>3.4040391436758179</v>
      </c>
      <c r="L103" s="21">
        <f t="shared" si="23"/>
        <v>3.4755239656930099</v>
      </c>
      <c r="M103" s="21">
        <f t="shared" si="23"/>
        <v>3.5485099689725628</v>
      </c>
      <c r="N103" s="21">
        <f t="shared" si="23"/>
        <v>3.6230286783209862</v>
      </c>
      <c r="O103" s="21">
        <f t="shared" si="23"/>
        <v>3.6991122805657266</v>
      </c>
      <c r="P103" s="21">
        <f t="shared" si="23"/>
        <v>3.7767936384576064</v>
      </c>
      <c r="Q103" s="21">
        <f t="shared" si="23"/>
        <v>3.8561063048652158</v>
      </c>
      <c r="R103" s="21">
        <f t="shared" si="23"/>
        <v>3.9370845372673848</v>
      </c>
      <c r="S103" s="21">
        <f t="shared" si="23"/>
        <v>4.0197633125499994</v>
      </c>
      <c r="T103" s="21">
        <f t="shared" si="23"/>
        <v>4.1041783421135491</v>
      </c>
      <c r="U103" s="21">
        <f t="shared" si="23"/>
        <v>4.1903660872979334</v>
      </c>
      <c r="V103" s="21">
        <f t="shared" si="23"/>
        <v>4.2783637751311892</v>
      </c>
      <c r="W103" s="21">
        <f t="shared" si="23"/>
        <v>4.3682094144089438</v>
      </c>
      <c r="X103" s="21">
        <f t="shared" si="23"/>
        <v>4.4599418121115315</v>
      </c>
      <c r="Y103" s="21">
        <f t="shared" si="23"/>
        <v>4.5536005901658729</v>
      </c>
      <c r="Z103" s="21">
        <f t="shared" si="23"/>
        <v>4.6492262025593556</v>
      </c>
      <c r="AA103" s="21">
        <f t="shared" si="23"/>
        <v>4.7468599528131019</v>
      </c>
    </row>
    <row r="104" spans="1:27" x14ac:dyDescent="0.25">
      <c r="C104" s="1"/>
      <c r="D104" s="1"/>
      <c r="E104" t="s">
        <v>68</v>
      </c>
      <c r="F104" t="s">
        <v>143</v>
      </c>
      <c r="G104" s="20">
        <f>'YVW tariffs'!E6</f>
        <v>3.2042042999999998</v>
      </c>
      <c r="H104" s="21">
        <f>G104*(1+$G$14)*(1+'YVW tariffs'!D27)</f>
        <v>4.3039756517986785</v>
      </c>
      <c r="I104" s="21">
        <f t="shared" ref="I104:AA104" si="24">H104*(1+$G$14)*(1+I101)</f>
        <v>4.2739537000371222</v>
      </c>
      <c r="J104" s="21">
        <f t="shared" si="24"/>
        <v>4.3637067277379016</v>
      </c>
      <c r="K104" s="21">
        <f t="shared" si="24"/>
        <v>4.4553445690203972</v>
      </c>
      <c r="L104" s="21">
        <f t="shared" si="24"/>
        <v>4.5489068049698256</v>
      </c>
      <c r="M104" s="21">
        <f t="shared" si="24"/>
        <v>4.6444338478741916</v>
      </c>
      <c r="N104" s="21">
        <f t="shared" si="24"/>
        <v>4.7419669586795488</v>
      </c>
      <c r="O104" s="21">
        <f t="shared" si="24"/>
        <v>4.8415482648118191</v>
      </c>
      <c r="P104" s="21">
        <f t="shared" si="24"/>
        <v>4.9432207783728668</v>
      </c>
      <c r="Q104" s="21">
        <f t="shared" si="24"/>
        <v>5.0470284147186968</v>
      </c>
      <c r="R104" s="21">
        <f t="shared" si="24"/>
        <v>5.1530160114277885</v>
      </c>
      <c r="S104" s="21">
        <f t="shared" si="24"/>
        <v>5.2612293476677721</v>
      </c>
      <c r="T104" s="21">
        <f t="shared" si="24"/>
        <v>5.371715163968795</v>
      </c>
      <c r="U104" s="21">
        <f t="shared" si="24"/>
        <v>5.4845211824121396</v>
      </c>
      <c r="V104" s="21">
        <f t="shared" si="24"/>
        <v>5.5996961272427939</v>
      </c>
      <c r="W104" s="21">
        <f t="shared" si="24"/>
        <v>5.7172897459148917</v>
      </c>
      <c r="X104" s="21">
        <f t="shared" si="24"/>
        <v>5.8373528305791043</v>
      </c>
      <c r="Y104" s="21">
        <f t="shared" si="24"/>
        <v>5.9599372400212651</v>
      </c>
      <c r="Z104" s="21">
        <f t="shared" si="24"/>
        <v>6.0850959220617113</v>
      </c>
      <c r="AA104" s="21">
        <f t="shared" si="24"/>
        <v>6.2128829364250064</v>
      </c>
    </row>
    <row r="105" spans="1:27" x14ac:dyDescent="0.25">
      <c r="C105" s="1"/>
      <c r="D105" s="1"/>
      <c r="E105" t="s">
        <v>142</v>
      </c>
      <c r="F105" t="s">
        <v>143</v>
      </c>
      <c r="G105" s="20">
        <f>'YVW tariffs'!E7</f>
        <v>4.7208997999999998</v>
      </c>
      <c r="H105" s="21">
        <f>G105*(1+$G$14)*(1+'YVW tariffs'!D28)</f>
        <v>4.9771719572830788</v>
      </c>
      <c r="I105" s="21">
        <f t="shared" ref="I105:AA105" si="25">H105*(1+$G$14)*(1+I101)</f>
        <v>4.9424541920122458</v>
      </c>
      <c r="J105" s="21">
        <f t="shared" si="25"/>
        <v>5.0462457300445021</v>
      </c>
      <c r="K105" s="21">
        <f t="shared" si="25"/>
        <v>5.1522168903754357</v>
      </c>
      <c r="L105" s="21">
        <f t="shared" si="25"/>
        <v>5.2604134450733193</v>
      </c>
      <c r="M105" s="21">
        <f t="shared" si="25"/>
        <v>5.3708821274198586</v>
      </c>
      <c r="N105" s="21">
        <f t="shared" si="25"/>
        <v>5.4836706520956753</v>
      </c>
      <c r="O105" s="21">
        <f t="shared" si="25"/>
        <v>5.5988277357896843</v>
      </c>
      <c r="P105" s="21">
        <f t="shared" si="25"/>
        <v>5.7164031182412671</v>
      </c>
      <c r="Q105" s="21">
        <f t="shared" si="25"/>
        <v>5.8364475837243335</v>
      </c>
      <c r="R105" s="21">
        <f t="shared" si="25"/>
        <v>5.9590129829825438</v>
      </c>
      <c r="S105" s="21">
        <f t="shared" si="25"/>
        <v>6.0841522556251766</v>
      </c>
      <c r="T105" s="21">
        <f t="shared" si="25"/>
        <v>6.2119194529933051</v>
      </c>
      <c r="U105" s="21">
        <f t="shared" si="25"/>
        <v>6.3423697615061636</v>
      </c>
      <c r="V105" s="21">
        <f t="shared" si="25"/>
        <v>6.4755595264977925</v>
      </c>
      <c r="W105" s="21">
        <f t="shared" si="25"/>
        <v>6.6115462765542459</v>
      </c>
      <c r="X105" s="21">
        <f t="shared" si="25"/>
        <v>6.7503887483618845</v>
      </c>
      <c r="Y105" s="21">
        <f t="shared" si="25"/>
        <v>6.8921469120774832</v>
      </c>
      <c r="Z105" s="21">
        <f t="shared" si="25"/>
        <v>7.0368819972311094</v>
      </c>
      <c r="AA105" s="21">
        <f t="shared" si="25"/>
        <v>7.1846565191729619</v>
      </c>
    </row>
    <row r="106" spans="1:27" x14ac:dyDescent="0.25">
      <c r="C106" s="1"/>
      <c r="D106" s="1"/>
    </row>
    <row r="107" spans="1:27" x14ac:dyDescent="0.25">
      <c r="C107" s="1"/>
      <c r="D107" s="1"/>
      <c r="E107" t="s">
        <v>69</v>
      </c>
      <c r="F107" t="s">
        <v>58</v>
      </c>
      <c r="H107" s="2">
        <f>SUM(H98:H100)/1000</f>
        <v>1399.5</v>
      </c>
      <c r="I107" s="2">
        <f t="shared" ref="I107:AA107" si="26">SUM(I98:I100)/1000</f>
        <v>2720.1</v>
      </c>
      <c r="J107" s="2">
        <f t="shared" si="26"/>
        <v>3985.395</v>
      </c>
      <c r="K107" s="2">
        <f t="shared" si="26"/>
        <v>5132.625</v>
      </c>
      <c r="L107" s="2">
        <f t="shared" si="26"/>
        <v>6165.4199999999992</v>
      </c>
      <c r="M107" s="2">
        <f t="shared" si="26"/>
        <v>7091.0699999999988</v>
      </c>
      <c r="N107" s="2">
        <f t="shared" si="26"/>
        <v>7914.9749999999995</v>
      </c>
      <c r="O107" s="2">
        <f t="shared" si="26"/>
        <v>8643.239999999998</v>
      </c>
      <c r="P107" s="2">
        <f t="shared" si="26"/>
        <v>9348.2249999999985</v>
      </c>
      <c r="Q107" s="2">
        <f t="shared" si="26"/>
        <v>10025.069999999998</v>
      </c>
      <c r="R107" s="2">
        <f t="shared" si="26"/>
        <v>10741.694999999998</v>
      </c>
      <c r="S107" s="2">
        <f t="shared" si="26"/>
        <v>11501.024999999998</v>
      </c>
      <c r="T107" s="2">
        <f t="shared" si="26"/>
        <v>12305.399999999998</v>
      </c>
      <c r="U107" s="2">
        <f t="shared" si="26"/>
        <v>13104.509999999997</v>
      </c>
      <c r="V107" s="2">
        <f t="shared" si="26"/>
        <v>13897.769999999997</v>
      </c>
      <c r="W107" s="2">
        <f t="shared" si="26"/>
        <v>13897.769999999997</v>
      </c>
      <c r="X107" s="2">
        <f t="shared" si="26"/>
        <v>13897.769999999997</v>
      </c>
      <c r="Y107" s="2">
        <f t="shared" si="26"/>
        <v>13897.769999999997</v>
      </c>
      <c r="Z107" s="2">
        <f t="shared" si="26"/>
        <v>13897.769999999997</v>
      </c>
      <c r="AA107" s="2">
        <f t="shared" si="26"/>
        <v>13897.769999999997</v>
      </c>
    </row>
    <row r="108" spans="1:27" x14ac:dyDescent="0.25">
      <c r="C108" s="1"/>
      <c r="D108" s="1"/>
      <c r="E108" t="s">
        <v>70</v>
      </c>
      <c r="F108" t="s">
        <v>7</v>
      </c>
      <c r="H108" s="2">
        <f>H91*H102+H98*H103+H99*H104+H100*H105</f>
        <v>5330328.8513942128</v>
      </c>
      <c r="I108" s="2">
        <f t="shared" ref="I108:AA108" si="27">I91*I102+I98*I103+I99*I104+I100*I105</f>
        <v>10287882.095172111</v>
      </c>
      <c r="J108" s="2">
        <f t="shared" si="27"/>
        <v>15389985.887947101</v>
      </c>
      <c r="K108" s="2">
        <f t="shared" si="27"/>
        <v>20236347.431259658</v>
      </c>
      <c r="L108" s="2">
        <f t="shared" si="27"/>
        <v>24818812.670789171</v>
      </c>
      <c r="M108" s="2">
        <f t="shared" si="27"/>
        <v>29144448.985264178</v>
      </c>
      <c r="N108" s="2">
        <f t="shared" si="27"/>
        <v>33213861.151334181</v>
      </c>
      <c r="O108" s="2">
        <f t="shared" si="27"/>
        <v>37031570.674079001</v>
      </c>
      <c r="P108" s="2">
        <f t="shared" si="27"/>
        <v>40893139.993191279</v>
      </c>
      <c r="Q108" s="2">
        <f t="shared" si="27"/>
        <v>44774882.864022262</v>
      </c>
      <c r="R108" s="2">
        <f t="shared" si="27"/>
        <v>48983025.178792834</v>
      </c>
      <c r="S108" s="2">
        <f t="shared" si="27"/>
        <v>53546991.615124173</v>
      </c>
      <c r="T108" s="2">
        <f t="shared" si="27"/>
        <v>58495169.846494958</v>
      </c>
      <c r="U108" s="2">
        <f t="shared" si="27"/>
        <v>63602003.958213344</v>
      </c>
      <c r="V108" s="2">
        <f t="shared" si="27"/>
        <v>68868539.840398118</v>
      </c>
      <c r="W108" s="2">
        <f t="shared" si="27"/>
        <v>70314779.177046478</v>
      </c>
      <c r="X108" s="2">
        <f t="shared" si="27"/>
        <v>71791389.539764449</v>
      </c>
      <c r="Y108" s="2">
        <f t="shared" si="27"/>
        <v>73299008.720099494</v>
      </c>
      <c r="Z108" s="2">
        <f t="shared" si="27"/>
        <v>74838287.903221577</v>
      </c>
      <c r="AA108" s="2">
        <f t="shared" si="27"/>
        <v>76409891.949189216</v>
      </c>
    </row>
    <row r="109" spans="1:27" x14ac:dyDescent="0.25">
      <c r="C109" s="1"/>
      <c r="D109" s="1"/>
    </row>
    <row r="110" spans="1:27" x14ac:dyDescent="0.25">
      <c r="C110" s="1"/>
      <c r="D110" t="s">
        <v>71</v>
      </c>
    </row>
    <row r="111" spans="1:27" x14ac:dyDescent="0.25">
      <c r="A111" s="14">
        <f>'Notes &amp; Assumptions'!A33</f>
        <v>20</v>
      </c>
      <c r="C111" s="1"/>
      <c r="D111" s="1"/>
      <c r="E111" t="s">
        <v>87</v>
      </c>
      <c r="F111" t="s">
        <v>3</v>
      </c>
      <c r="H111" s="10">
        <f>'Customer numbers'!P30</f>
        <v>644</v>
      </c>
      <c r="I111" s="10">
        <f>'Customer numbers'!Q30</f>
        <v>644</v>
      </c>
      <c r="J111" s="10">
        <f>'Customer numbers'!R30</f>
        <v>658</v>
      </c>
      <c r="K111" s="10">
        <f>'Customer numbers'!S30</f>
        <v>630</v>
      </c>
      <c r="L111" s="10">
        <f>'Customer numbers'!T30</f>
        <v>609</v>
      </c>
      <c r="M111" s="10">
        <f>'Customer numbers'!U30</f>
        <v>581</v>
      </c>
      <c r="N111" s="10">
        <f>'Customer numbers'!V30</f>
        <v>560</v>
      </c>
      <c r="O111" s="10">
        <f>'Customer numbers'!W30</f>
        <v>539</v>
      </c>
      <c r="P111" s="10">
        <f>'Customer numbers'!X30</f>
        <v>567</v>
      </c>
      <c r="Q111" s="10">
        <f>'Customer numbers'!Y30</f>
        <v>602</v>
      </c>
      <c r="R111" s="10">
        <f>'Customer numbers'!Z30</f>
        <v>637</v>
      </c>
      <c r="S111" s="10">
        <f>'Customer numbers'!AA30</f>
        <v>679</v>
      </c>
      <c r="T111" s="10">
        <f>'Customer numbers'!AB30</f>
        <v>714</v>
      </c>
      <c r="U111" s="10">
        <f>'Customer numbers'!AC30</f>
        <v>707</v>
      </c>
      <c r="V111" s="10">
        <f>'Customer numbers'!AD30</f>
        <v>707</v>
      </c>
    </row>
    <row r="112" spans="1:27" x14ac:dyDescent="0.25">
      <c r="C112" s="1"/>
      <c r="D112" s="1"/>
      <c r="E112" t="s">
        <v>60</v>
      </c>
      <c r="F112" t="s">
        <v>3</v>
      </c>
      <c r="G112">
        <f>IF('Key assumptions'!B4="yes",SUM('Customer numbers'!F31:O31),0)</f>
        <v>0</v>
      </c>
      <c r="H112" s="2">
        <f>G112+H111</f>
        <v>644</v>
      </c>
      <c r="I112" s="2">
        <f t="shared" ref="I112:AA112" si="28">H112+I111</f>
        <v>1288</v>
      </c>
      <c r="J112" s="2">
        <f t="shared" si="28"/>
        <v>1946</v>
      </c>
      <c r="K112" s="2">
        <f t="shared" si="28"/>
        <v>2576</v>
      </c>
      <c r="L112" s="2">
        <f t="shared" si="28"/>
        <v>3185</v>
      </c>
      <c r="M112" s="2">
        <f t="shared" si="28"/>
        <v>3766</v>
      </c>
      <c r="N112" s="2">
        <f t="shared" si="28"/>
        <v>4326</v>
      </c>
      <c r="O112" s="2">
        <f t="shared" si="28"/>
        <v>4865</v>
      </c>
      <c r="P112" s="2">
        <f t="shared" si="28"/>
        <v>5432</v>
      </c>
      <c r="Q112" s="2">
        <f t="shared" si="28"/>
        <v>6034</v>
      </c>
      <c r="R112" s="2">
        <f t="shared" si="28"/>
        <v>6671</v>
      </c>
      <c r="S112" s="2">
        <f t="shared" si="28"/>
        <v>7350</v>
      </c>
      <c r="T112" s="2">
        <f t="shared" si="28"/>
        <v>8064</v>
      </c>
      <c r="U112" s="2">
        <f t="shared" si="28"/>
        <v>8771</v>
      </c>
      <c r="V112" s="2">
        <f t="shared" si="28"/>
        <v>9478</v>
      </c>
      <c r="W112" s="2">
        <f t="shared" si="28"/>
        <v>9478</v>
      </c>
      <c r="X112" s="2">
        <f t="shared" si="28"/>
        <v>9478</v>
      </c>
      <c r="Y112" s="2">
        <f t="shared" si="28"/>
        <v>9478</v>
      </c>
      <c r="Z112" s="2">
        <f t="shared" si="28"/>
        <v>9478</v>
      </c>
      <c r="AA112" s="2">
        <f t="shared" si="28"/>
        <v>9478</v>
      </c>
    </row>
    <row r="113" spans="1:27" x14ac:dyDescent="0.25">
      <c r="A113" s="14">
        <f>'Notes &amp; Assumptions'!A34</f>
        <v>21</v>
      </c>
      <c r="C113" s="1"/>
      <c r="D113" s="1"/>
      <c r="E113" t="s">
        <v>61</v>
      </c>
      <c r="F113" t="s">
        <v>3</v>
      </c>
      <c r="G113" s="10">
        <v>1</v>
      </c>
    </row>
    <row r="114" spans="1:27" x14ac:dyDescent="0.25">
      <c r="C114" s="1"/>
      <c r="D114" s="1"/>
      <c r="E114" t="s">
        <v>88</v>
      </c>
      <c r="F114" t="s">
        <v>3</v>
      </c>
      <c r="H114">
        <f>H111*$G113</f>
        <v>644</v>
      </c>
      <c r="I114">
        <f t="shared" ref="I114:AA114" si="29">I111*$G113</f>
        <v>644</v>
      </c>
      <c r="J114">
        <f t="shared" si="29"/>
        <v>658</v>
      </c>
      <c r="K114">
        <f t="shared" si="29"/>
        <v>630</v>
      </c>
      <c r="L114">
        <f t="shared" si="29"/>
        <v>609</v>
      </c>
      <c r="M114">
        <f t="shared" si="29"/>
        <v>581</v>
      </c>
      <c r="N114">
        <f t="shared" si="29"/>
        <v>560</v>
      </c>
      <c r="O114">
        <f t="shared" si="29"/>
        <v>539</v>
      </c>
      <c r="P114">
        <f t="shared" si="29"/>
        <v>567</v>
      </c>
      <c r="Q114">
        <f t="shared" si="29"/>
        <v>602</v>
      </c>
      <c r="R114">
        <f t="shared" si="29"/>
        <v>637</v>
      </c>
      <c r="S114">
        <f t="shared" si="29"/>
        <v>679</v>
      </c>
      <c r="T114">
        <f t="shared" si="29"/>
        <v>714</v>
      </c>
      <c r="U114">
        <f t="shared" si="29"/>
        <v>707</v>
      </c>
      <c r="V114">
        <f t="shared" si="29"/>
        <v>707</v>
      </c>
      <c r="W114">
        <f t="shared" si="29"/>
        <v>0</v>
      </c>
      <c r="X114">
        <f t="shared" si="29"/>
        <v>0</v>
      </c>
      <c r="Y114">
        <f t="shared" si="29"/>
        <v>0</v>
      </c>
      <c r="Z114">
        <f t="shared" si="29"/>
        <v>0</v>
      </c>
      <c r="AA114">
        <f t="shared" si="29"/>
        <v>0</v>
      </c>
    </row>
    <row r="115" spans="1:27" x14ac:dyDescent="0.25">
      <c r="C115" s="1"/>
      <c r="D115" s="1"/>
      <c r="E115" t="s">
        <v>89</v>
      </c>
      <c r="F115" t="s">
        <v>3</v>
      </c>
      <c r="H115">
        <f>H112*$G113</f>
        <v>644</v>
      </c>
      <c r="I115">
        <f t="shared" ref="I115:AA115" si="30">I112*$G113</f>
        <v>1288</v>
      </c>
      <c r="J115">
        <f t="shared" si="30"/>
        <v>1946</v>
      </c>
      <c r="K115">
        <f t="shared" si="30"/>
        <v>2576</v>
      </c>
      <c r="L115">
        <f t="shared" si="30"/>
        <v>3185</v>
      </c>
      <c r="M115">
        <f t="shared" si="30"/>
        <v>3766</v>
      </c>
      <c r="N115">
        <f t="shared" si="30"/>
        <v>4326</v>
      </c>
      <c r="O115">
        <f t="shared" si="30"/>
        <v>4865</v>
      </c>
      <c r="P115">
        <f t="shared" si="30"/>
        <v>5432</v>
      </c>
      <c r="Q115">
        <f t="shared" si="30"/>
        <v>6034</v>
      </c>
      <c r="R115">
        <f t="shared" si="30"/>
        <v>6671</v>
      </c>
      <c r="S115">
        <f t="shared" si="30"/>
        <v>7350</v>
      </c>
      <c r="T115">
        <f t="shared" si="30"/>
        <v>8064</v>
      </c>
      <c r="U115">
        <f t="shared" si="30"/>
        <v>8771</v>
      </c>
      <c r="V115">
        <f t="shared" si="30"/>
        <v>9478</v>
      </c>
      <c r="W115">
        <f t="shared" si="30"/>
        <v>9478</v>
      </c>
      <c r="X115">
        <f t="shared" si="30"/>
        <v>9478</v>
      </c>
      <c r="Y115">
        <f t="shared" si="30"/>
        <v>9478</v>
      </c>
      <c r="Z115">
        <f t="shared" si="30"/>
        <v>9478</v>
      </c>
      <c r="AA115">
        <f t="shared" si="30"/>
        <v>9478</v>
      </c>
    </row>
    <row r="116" spans="1:27" x14ac:dyDescent="0.25">
      <c r="A116" s="14">
        <f>'Notes &amp; Assumptions'!A35</f>
        <v>22</v>
      </c>
      <c r="C116" s="1"/>
      <c r="D116" s="1"/>
      <c r="E116" t="s">
        <v>62</v>
      </c>
      <c r="F116" t="s">
        <v>43</v>
      </c>
      <c r="H116" s="10">
        <f>'Key assumptions'!B26</f>
        <v>520</v>
      </c>
      <c r="I116" s="10">
        <f>H116</f>
        <v>520</v>
      </c>
      <c r="J116" s="10">
        <f t="shared" ref="J116:AA116" si="31">I116</f>
        <v>520</v>
      </c>
      <c r="K116" s="10">
        <f t="shared" si="31"/>
        <v>520</v>
      </c>
      <c r="L116" s="10">
        <f t="shared" si="31"/>
        <v>520</v>
      </c>
      <c r="M116" s="10">
        <f t="shared" si="31"/>
        <v>520</v>
      </c>
      <c r="N116" s="10">
        <f t="shared" si="31"/>
        <v>520</v>
      </c>
      <c r="O116" s="10">
        <f t="shared" si="31"/>
        <v>520</v>
      </c>
      <c r="P116" s="10">
        <f t="shared" si="31"/>
        <v>520</v>
      </c>
      <c r="Q116" s="10">
        <f t="shared" si="31"/>
        <v>520</v>
      </c>
      <c r="R116" s="10">
        <f t="shared" si="31"/>
        <v>520</v>
      </c>
      <c r="S116" s="10">
        <f t="shared" si="31"/>
        <v>520</v>
      </c>
      <c r="T116" s="10">
        <f t="shared" si="31"/>
        <v>520</v>
      </c>
      <c r="U116" s="10">
        <f t="shared" si="31"/>
        <v>520</v>
      </c>
      <c r="V116" s="10">
        <f t="shared" si="31"/>
        <v>520</v>
      </c>
      <c r="W116" s="10">
        <f t="shared" si="31"/>
        <v>520</v>
      </c>
      <c r="X116" s="10">
        <f t="shared" si="31"/>
        <v>520</v>
      </c>
      <c r="Y116" s="10">
        <f t="shared" si="31"/>
        <v>520</v>
      </c>
      <c r="Z116" s="10">
        <f t="shared" si="31"/>
        <v>520</v>
      </c>
      <c r="AA116" s="10">
        <f t="shared" si="31"/>
        <v>520</v>
      </c>
    </row>
    <row r="117" spans="1:27" x14ac:dyDescent="0.25">
      <c r="C117" s="1"/>
      <c r="D117" s="1"/>
      <c r="E117" t="s">
        <v>63</v>
      </c>
      <c r="F117" t="s">
        <v>43</v>
      </c>
      <c r="H117" s="10"/>
      <c r="I117" s="10"/>
      <c r="J117" s="10"/>
      <c r="K117" s="10"/>
      <c r="L117" s="10"/>
      <c r="M117" s="10"/>
      <c r="N117" s="10"/>
      <c r="O117" s="10"/>
      <c r="P117" s="10"/>
      <c r="Q117" s="10"/>
      <c r="R117" s="10"/>
      <c r="S117" s="10"/>
      <c r="T117" s="10"/>
      <c r="U117" s="10"/>
      <c r="V117" s="10"/>
      <c r="W117" s="10"/>
      <c r="X117" s="10"/>
      <c r="Y117" s="10"/>
      <c r="Z117" s="10"/>
      <c r="AA117" s="10"/>
    </row>
    <row r="118" spans="1:27" x14ac:dyDescent="0.25">
      <c r="C118" s="1"/>
      <c r="D118" s="1"/>
      <c r="E118" t="s">
        <v>140</v>
      </c>
      <c r="F118" t="s">
        <v>43</v>
      </c>
      <c r="H118" s="10"/>
      <c r="I118" s="10"/>
      <c r="J118" s="10"/>
      <c r="K118" s="10"/>
      <c r="L118" s="10"/>
      <c r="M118" s="10"/>
      <c r="N118" s="10"/>
      <c r="O118" s="10"/>
      <c r="P118" s="10"/>
      <c r="Q118" s="10"/>
      <c r="R118" s="10"/>
      <c r="S118" s="10"/>
      <c r="T118" s="10"/>
      <c r="U118" s="10"/>
      <c r="V118" s="10"/>
      <c r="W118" s="10"/>
      <c r="X118" s="10"/>
      <c r="Y118" s="10"/>
      <c r="Z118" s="10"/>
      <c r="AA118" s="10"/>
    </row>
    <row r="119" spans="1:27" x14ac:dyDescent="0.25">
      <c r="C119" s="1"/>
      <c r="D119" s="1"/>
      <c r="E119" t="s">
        <v>64</v>
      </c>
      <c r="F119" t="s">
        <v>144</v>
      </c>
      <c r="H119" s="2">
        <f>H112*H116</f>
        <v>334880</v>
      </c>
      <c r="I119" s="2">
        <f t="shared" ref="I119:AA119" si="32">I112*I116</f>
        <v>669760</v>
      </c>
      <c r="J119" s="2">
        <f t="shared" si="32"/>
        <v>1011920</v>
      </c>
      <c r="K119" s="2">
        <f t="shared" si="32"/>
        <v>1339520</v>
      </c>
      <c r="L119" s="2">
        <f t="shared" si="32"/>
        <v>1656200</v>
      </c>
      <c r="M119" s="2">
        <f t="shared" si="32"/>
        <v>1958320</v>
      </c>
      <c r="N119" s="2">
        <f t="shared" si="32"/>
        <v>2249520</v>
      </c>
      <c r="O119" s="2">
        <f t="shared" si="32"/>
        <v>2529800</v>
      </c>
      <c r="P119" s="2">
        <f t="shared" si="32"/>
        <v>2824640</v>
      </c>
      <c r="Q119" s="2">
        <f t="shared" si="32"/>
        <v>3137680</v>
      </c>
      <c r="R119" s="2">
        <f t="shared" si="32"/>
        <v>3468920</v>
      </c>
      <c r="S119" s="2">
        <f t="shared" si="32"/>
        <v>3822000</v>
      </c>
      <c r="T119" s="2">
        <f t="shared" si="32"/>
        <v>4193280</v>
      </c>
      <c r="U119" s="2">
        <f t="shared" si="32"/>
        <v>4560920</v>
      </c>
      <c r="V119" s="2">
        <f t="shared" si="32"/>
        <v>4928560</v>
      </c>
      <c r="W119" s="2">
        <f t="shared" si="32"/>
        <v>4928560</v>
      </c>
      <c r="X119" s="2">
        <f t="shared" si="32"/>
        <v>4928560</v>
      </c>
      <c r="Y119" s="2">
        <f t="shared" si="32"/>
        <v>4928560</v>
      </c>
      <c r="Z119" s="2">
        <f t="shared" si="32"/>
        <v>4928560</v>
      </c>
      <c r="AA119" s="2">
        <f t="shared" si="32"/>
        <v>4928560</v>
      </c>
    </row>
    <row r="120" spans="1:27" x14ac:dyDescent="0.25">
      <c r="C120" s="1"/>
      <c r="D120" s="1"/>
      <c r="E120" t="s">
        <v>65</v>
      </c>
      <c r="F120" t="s">
        <v>144</v>
      </c>
      <c r="H120" s="2">
        <f>H112*H117</f>
        <v>0</v>
      </c>
      <c r="I120" s="2">
        <f t="shared" ref="I120:AA120" si="33">I112*I117</f>
        <v>0</v>
      </c>
      <c r="J120" s="2">
        <f t="shared" si="33"/>
        <v>0</v>
      </c>
      <c r="K120" s="2">
        <f t="shared" si="33"/>
        <v>0</v>
      </c>
      <c r="L120" s="2">
        <f t="shared" si="33"/>
        <v>0</v>
      </c>
      <c r="M120" s="2">
        <f t="shared" si="33"/>
        <v>0</v>
      </c>
      <c r="N120" s="2">
        <f t="shared" si="33"/>
        <v>0</v>
      </c>
      <c r="O120" s="2">
        <f t="shared" si="33"/>
        <v>0</v>
      </c>
      <c r="P120" s="2">
        <f t="shared" si="33"/>
        <v>0</v>
      </c>
      <c r="Q120" s="2">
        <f t="shared" si="33"/>
        <v>0</v>
      </c>
      <c r="R120" s="2">
        <f t="shared" si="33"/>
        <v>0</v>
      </c>
      <c r="S120" s="2">
        <f t="shared" si="33"/>
        <v>0</v>
      </c>
      <c r="T120" s="2">
        <f t="shared" si="33"/>
        <v>0</v>
      </c>
      <c r="U120" s="2">
        <f t="shared" si="33"/>
        <v>0</v>
      </c>
      <c r="V120" s="2">
        <f t="shared" si="33"/>
        <v>0</v>
      </c>
      <c r="W120" s="2">
        <f t="shared" si="33"/>
        <v>0</v>
      </c>
      <c r="X120" s="2">
        <f t="shared" si="33"/>
        <v>0</v>
      </c>
      <c r="Y120" s="2">
        <f t="shared" si="33"/>
        <v>0</v>
      </c>
      <c r="Z120" s="2">
        <f t="shared" si="33"/>
        <v>0</v>
      </c>
      <c r="AA120" s="2">
        <f t="shared" si="33"/>
        <v>0</v>
      </c>
    </row>
    <row r="121" spans="1:27" x14ac:dyDescent="0.25">
      <c r="C121" s="1"/>
      <c r="D121" s="1"/>
      <c r="E121" t="s">
        <v>141</v>
      </c>
      <c r="F121" t="s">
        <v>144</v>
      </c>
      <c r="H121" s="2">
        <f>H112*H118</f>
        <v>0</v>
      </c>
      <c r="I121" s="2">
        <f t="shared" ref="I121:AA121" si="34">I112*I118</f>
        <v>0</v>
      </c>
      <c r="J121" s="2">
        <f t="shared" si="34"/>
        <v>0</v>
      </c>
      <c r="K121" s="2">
        <f t="shared" si="34"/>
        <v>0</v>
      </c>
      <c r="L121" s="2">
        <f t="shared" si="34"/>
        <v>0</v>
      </c>
      <c r="M121" s="2">
        <f t="shared" si="34"/>
        <v>0</v>
      </c>
      <c r="N121" s="2">
        <f t="shared" si="34"/>
        <v>0</v>
      </c>
      <c r="O121" s="2">
        <f t="shared" si="34"/>
        <v>0</v>
      </c>
      <c r="P121" s="2">
        <f t="shared" si="34"/>
        <v>0</v>
      </c>
      <c r="Q121" s="2">
        <f t="shared" si="34"/>
        <v>0</v>
      </c>
      <c r="R121" s="2">
        <f t="shared" si="34"/>
        <v>0</v>
      </c>
      <c r="S121" s="2">
        <f t="shared" si="34"/>
        <v>0</v>
      </c>
      <c r="T121" s="2">
        <f t="shared" si="34"/>
        <v>0</v>
      </c>
      <c r="U121" s="2">
        <f t="shared" si="34"/>
        <v>0</v>
      </c>
      <c r="V121" s="2">
        <f t="shared" si="34"/>
        <v>0</v>
      </c>
      <c r="W121" s="2">
        <f t="shared" si="34"/>
        <v>0</v>
      </c>
      <c r="X121" s="2">
        <f t="shared" si="34"/>
        <v>0</v>
      </c>
      <c r="Y121" s="2">
        <f t="shared" si="34"/>
        <v>0</v>
      </c>
      <c r="Z121" s="2">
        <f t="shared" si="34"/>
        <v>0</v>
      </c>
      <c r="AA121" s="2">
        <f t="shared" si="34"/>
        <v>0</v>
      </c>
    </row>
    <row r="122" spans="1:27" x14ac:dyDescent="0.25">
      <c r="A122" s="14">
        <f>'Notes &amp; Assumptions'!A36</f>
        <v>23</v>
      </c>
      <c r="C122" s="1"/>
      <c r="D122" s="1"/>
      <c r="E122" t="s">
        <v>66</v>
      </c>
      <c r="F122" t="s">
        <v>8</v>
      </c>
      <c r="H122" s="11">
        <f>'YVW tariffs'!D34</f>
        <v>-4.24E-2</v>
      </c>
      <c r="I122" s="11">
        <f>'YVW tariffs'!E34</f>
        <v>-2.7400000000000001E-2</v>
      </c>
      <c r="J122" s="11">
        <f>'YVW tariffs'!F34</f>
        <v>0</v>
      </c>
      <c r="K122" s="11">
        <f>'YVW tariffs'!G34</f>
        <v>0</v>
      </c>
      <c r="L122" s="11"/>
      <c r="M122" s="11"/>
      <c r="N122" s="11"/>
      <c r="O122" s="11"/>
      <c r="P122" s="11"/>
      <c r="Q122" s="11"/>
      <c r="R122" s="11"/>
      <c r="S122" s="11"/>
      <c r="T122" s="11"/>
      <c r="U122" s="11"/>
      <c r="V122" s="11"/>
      <c r="W122" s="11"/>
      <c r="X122" s="11"/>
      <c r="Y122" s="11"/>
      <c r="Z122" s="11"/>
      <c r="AA122" s="11"/>
    </row>
    <row r="123" spans="1:27" x14ac:dyDescent="0.25">
      <c r="A123" s="14">
        <f>'Notes &amp; Assumptions'!A37</f>
        <v>24</v>
      </c>
      <c r="C123" s="1"/>
      <c r="D123" s="1"/>
      <c r="E123" t="s">
        <v>40</v>
      </c>
      <c r="F123" t="s">
        <v>41</v>
      </c>
      <c r="G123" s="20">
        <f>'YVW tariffs'!D10</f>
        <v>289.95</v>
      </c>
      <c r="H123" s="2">
        <f>G123*(1+$G$14)*(1+H122)</f>
        <v>283.48689851999995</v>
      </c>
      <c r="I123" s="2">
        <f t="shared" ref="I123:AA123" si="35">H123*(1+$G$14)*(1+I122)</f>
        <v>281.5094640080635</v>
      </c>
      <c r="J123" s="2">
        <f>I123*(1+$G$14)*(1+J122)</f>
        <v>287.42116275223282</v>
      </c>
      <c r="K123" s="2">
        <f t="shared" si="35"/>
        <v>293.45700717002967</v>
      </c>
      <c r="L123" s="2">
        <f t="shared" si="35"/>
        <v>299.61960432060027</v>
      </c>
      <c r="M123" s="2">
        <f t="shared" si="35"/>
        <v>305.91161601133285</v>
      </c>
      <c r="N123" s="2">
        <f t="shared" si="35"/>
        <v>312.33575994757081</v>
      </c>
      <c r="O123" s="2">
        <f t="shared" si="35"/>
        <v>318.89481090646979</v>
      </c>
      <c r="P123" s="2">
        <f t="shared" si="35"/>
        <v>325.59160193550559</v>
      </c>
      <c r="Q123" s="2">
        <f t="shared" si="35"/>
        <v>332.42902557615116</v>
      </c>
      <c r="R123" s="2">
        <f t="shared" si="35"/>
        <v>339.41003511325033</v>
      </c>
      <c r="S123" s="2">
        <f t="shared" si="35"/>
        <v>346.53764585062856</v>
      </c>
      <c r="T123" s="2">
        <f t="shared" si="35"/>
        <v>353.81493641349175</v>
      </c>
      <c r="U123" s="2">
        <f t="shared" si="35"/>
        <v>361.24505007817504</v>
      </c>
      <c r="V123" s="2">
        <f t="shared" si="35"/>
        <v>368.8311961298167</v>
      </c>
      <c r="W123" s="2">
        <f t="shared" si="35"/>
        <v>376.57665124854282</v>
      </c>
      <c r="X123" s="2">
        <f t="shared" si="35"/>
        <v>384.48476092476216</v>
      </c>
      <c r="Y123" s="2">
        <f t="shared" si="35"/>
        <v>392.55894090418212</v>
      </c>
      <c r="Z123" s="2">
        <f t="shared" si="35"/>
        <v>400.8026786631699</v>
      </c>
      <c r="AA123" s="2">
        <f t="shared" si="35"/>
        <v>409.2195349150964</v>
      </c>
    </row>
    <row r="124" spans="1:27" x14ac:dyDescent="0.25">
      <c r="C124" s="1"/>
      <c r="D124" s="1"/>
      <c r="E124" t="s">
        <v>67</v>
      </c>
      <c r="F124" t="s">
        <v>143</v>
      </c>
      <c r="G124" s="20">
        <f>'YVW tariffs'!D11</f>
        <v>2.9171</v>
      </c>
      <c r="H124" s="21">
        <f>G124*(1+$G$14)*(1+H122)</f>
        <v>2.8520766741599997</v>
      </c>
      <c r="I124" s="21">
        <f t="shared" ref="I124:AA124" si="36">H124*(1+$G$14)*(1+I122)</f>
        <v>2.8321822985270639</v>
      </c>
      <c r="J124" s="21">
        <f t="shared" si="36"/>
        <v>2.8916581267961319</v>
      </c>
      <c r="K124" s="21">
        <f t="shared" si="36"/>
        <v>2.9523829474588505</v>
      </c>
      <c r="L124" s="21">
        <f t="shared" si="36"/>
        <v>3.0143829893554863</v>
      </c>
      <c r="M124" s="21">
        <f t="shared" si="36"/>
        <v>3.0776850321319511</v>
      </c>
      <c r="N124" s="21">
        <f t="shared" si="36"/>
        <v>3.1423164178067218</v>
      </c>
      <c r="O124" s="21">
        <f t="shared" si="36"/>
        <v>3.2083050625806626</v>
      </c>
      <c r="P124" s="21">
        <f t="shared" si="36"/>
        <v>3.2756794688948561</v>
      </c>
      <c r="Q124" s="21">
        <f t="shared" si="36"/>
        <v>3.3444687377416478</v>
      </c>
      <c r="R124" s="21">
        <f t="shared" si="36"/>
        <v>3.4147025812342222</v>
      </c>
      <c r="S124" s="21">
        <f t="shared" si="36"/>
        <v>3.4864113354401405</v>
      </c>
      <c r="T124" s="21">
        <f t="shared" si="36"/>
        <v>3.5596259734843829</v>
      </c>
      <c r="U124" s="21">
        <f t="shared" si="36"/>
        <v>3.6343781189275548</v>
      </c>
      <c r="V124" s="21">
        <f t="shared" si="36"/>
        <v>3.710700059425033</v>
      </c>
      <c r="W124" s="21">
        <f t="shared" si="36"/>
        <v>3.7886247606729584</v>
      </c>
      <c r="X124" s="21">
        <f t="shared" si="36"/>
        <v>3.8681858806470903</v>
      </c>
      <c r="Y124" s="21">
        <f t="shared" si="36"/>
        <v>3.949417784140679</v>
      </c>
      <c r="Z124" s="21">
        <f t="shared" si="36"/>
        <v>4.0323555576076329</v>
      </c>
      <c r="AA124" s="21">
        <f t="shared" si="36"/>
        <v>4.117035024317393</v>
      </c>
    </row>
    <row r="125" spans="1:27" x14ac:dyDescent="0.25">
      <c r="C125" s="1"/>
      <c r="D125" s="1"/>
      <c r="E125" t="s">
        <v>68</v>
      </c>
      <c r="F125" t="s">
        <v>143</v>
      </c>
      <c r="G125" s="20"/>
      <c r="H125" s="21">
        <f>G125*(1+$G$14)*(1+H122)</f>
        <v>0</v>
      </c>
      <c r="I125" s="21">
        <f t="shared" ref="I125:AA125" si="37">H125*(1+$G$14)*(1+I122)</f>
        <v>0</v>
      </c>
      <c r="J125" s="21">
        <f t="shared" si="37"/>
        <v>0</v>
      </c>
      <c r="K125" s="21">
        <f t="shared" si="37"/>
        <v>0</v>
      </c>
      <c r="L125" s="21">
        <f t="shared" si="37"/>
        <v>0</v>
      </c>
      <c r="M125" s="21">
        <f t="shared" si="37"/>
        <v>0</v>
      </c>
      <c r="N125" s="21">
        <f t="shared" si="37"/>
        <v>0</v>
      </c>
      <c r="O125" s="21">
        <f t="shared" si="37"/>
        <v>0</v>
      </c>
      <c r="P125" s="21">
        <f t="shared" si="37"/>
        <v>0</v>
      </c>
      <c r="Q125" s="21">
        <f t="shared" si="37"/>
        <v>0</v>
      </c>
      <c r="R125" s="21">
        <f t="shared" si="37"/>
        <v>0</v>
      </c>
      <c r="S125" s="21">
        <f t="shared" si="37"/>
        <v>0</v>
      </c>
      <c r="T125" s="21">
        <f t="shared" si="37"/>
        <v>0</v>
      </c>
      <c r="U125" s="21">
        <f t="shared" si="37"/>
        <v>0</v>
      </c>
      <c r="V125" s="21">
        <f t="shared" si="37"/>
        <v>0</v>
      </c>
      <c r="W125" s="21">
        <f t="shared" si="37"/>
        <v>0</v>
      </c>
      <c r="X125" s="21">
        <f t="shared" si="37"/>
        <v>0</v>
      </c>
      <c r="Y125" s="21">
        <f t="shared" si="37"/>
        <v>0</v>
      </c>
      <c r="Z125" s="21">
        <f t="shared" si="37"/>
        <v>0</v>
      </c>
      <c r="AA125" s="21">
        <f t="shared" si="37"/>
        <v>0</v>
      </c>
    </row>
    <row r="126" spans="1:27" x14ac:dyDescent="0.25">
      <c r="C126" s="1"/>
      <c r="D126" s="1"/>
      <c r="E126" t="s">
        <v>142</v>
      </c>
      <c r="F126" t="s">
        <v>143</v>
      </c>
      <c r="G126" s="20"/>
      <c r="H126" s="21">
        <f>G126*(1+$G$14)*(1+H122)</f>
        <v>0</v>
      </c>
      <c r="I126" s="21">
        <f t="shared" ref="I126:AA126" si="38">H126*(1+$G$14)*(1+I122)</f>
        <v>0</v>
      </c>
      <c r="J126" s="21">
        <f t="shared" si="38"/>
        <v>0</v>
      </c>
      <c r="K126" s="21">
        <f t="shared" si="38"/>
        <v>0</v>
      </c>
      <c r="L126" s="21">
        <f t="shared" si="38"/>
        <v>0</v>
      </c>
      <c r="M126" s="21">
        <f t="shared" si="38"/>
        <v>0</v>
      </c>
      <c r="N126" s="21">
        <f t="shared" si="38"/>
        <v>0</v>
      </c>
      <c r="O126" s="21">
        <f t="shared" si="38"/>
        <v>0</v>
      </c>
      <c r="P126" s="21">
        <f t="shared" si="38"/>
        <v>0</v>
      </c>
      <c r="Q126" s="21">
        <f t="shared" si="38"/>
        <v>0</v>
      </c>
      <c r="R126" s="21">
        <f t="shared" si="38"/>
        <v>0</v>
      </c>
      <c r="S126" s="21">
        <f t="shared" si="38"/>
        <v>0</v>
      </c>
      <c r="T126" s="21">
        <f t="shared" si="38"/>
        <v>0</v>
      </c>
      <c r="U126" s="21">
        <f t="shared" si="38"/>
        <v>0</v>
      </c>
      <c r="V126" s="21">
        <f t="shared" si="38"/>
        <v>0</v>
      </c>
      <c r="W126" s="21">
        <f t="shared" si="38"/>
        <v>0</v>
      </c>
      <c r="X126" s="21">
        <f t="shared" si="38"/>
        <v>0</v>
      </c>
      <c r="Y126" s="21">
        <f t="shared" si="38"/>
        <v>0</v>
      </c>
      <c r="Z126" s="21">
        <f t="shared" si="38"/>
        <v>0</v>
      </c>
      <c r="AA126" s="21">
        <f t="shared" si="38"/>
        <v>0</v>
      </c>
    </row>
    <row r="127" spans="1:27" x14ac:dyDescent="0.25">
      <c r="C127" s="1"/>
      <c r="D127" s="1"/>
    </row>
    <row r="128" spans="1:27" x14ac:dyDescent="0.25">
      <c r="C128" s="1"/>
      <c r="D128" s="1"/>
      <c r="E128" t="s">
        <v>72</v>
      </c>
      <c r="F128" t="s">
        <v>58</v>
      </c>
      <c r="H128" s="2">
        <f>SUM(H119:H121)/1000</f>
        <v>334.88</v>
      </c>
      <c r="I128" s="2">
        <f t="shared" ref="I128:AA128" si="39">SUM(I119:I121)/1000</f>
        <v>669.76</v>
      </c>
      <c r="J128" s="2">
        <f t="shared" si="39"/>
        <v>1011.92</v>
      </c>
      <c r="K128" s="2">
        <f t="shared" si="39"/>
        <v>1339.52</v>
      </c>
      <c r="L128" s="2">
        <f t="shared" si="39"/>
        <v>1656.2</v>
      </c>
      <c r="M128" s="2">
        <f t="shared" si="39"/>
        <v>1958.32</v>
      </c>
      <c r="N128" s="2">
        <f t="shared" si="39"/>
        <v>2249.52</v>
      </c>
      <c r="O128" s="2">
        <f t="shared" si="39"/>
        <v>2529.8000000000002</v>
      </c>
      <c r="P128" s="2">
        <f t="shared" si="39"/>
        <v>2824.64</v>
      </c>
      <c r="Q128" s="2">
        <f t="shared" si="39"/>
        <v>3137.68</v>
      </c>
      <c r="R128" s="2">
        <f t="shared" si="39"/>
        <v>3468.92</v>
      </c>
      <c r="S128" s="2">
        <f t="shared" si="39"/>
        <v>3822</v>
      </c>
      <c r="T128" s="2">
        <f t="shared" si="39"/>
        <v>4193.28</v>
      </c>
      <c r="U128" s="2">
        <f t="shared" si="39"/>
        <v>4560.92</v>
      </c>
      <c r="V128" s="2">
        <f t="shared" si="39"/>
        <v>4928.5600000000004</v>
      </c>
      <c r="W128" s="2">
        <f t="shared" si="39"/>
        <v>4928.5600000000004</v>
      </c>
      <c r="X128" s="2">
        <f t="shared" si="39"/>
        <v>4928.5600000000004</v>
      </c>
      <c r="Y128" s="2">
        <f t="shared" si="39"/>
        <v>4928.5600000000004</v>
      </c>
      <c r="Z128" s="2">
        <f t="shared" si="39"/>
        <v>4928.5600000000004</v>
      </c>
      <c r="AA128" s="2">
        <f t="shared" si="39"/>
        <v>4928.5600000000004</v>
      </c>
    </row>
    <row r="129" spans="1:27" x14ac:dyDescent="0.25">
      <c r="C129" s="1"/>
      <c r="D129" s="1"/>
      <c r="E129" t="s">
        <v>73</v>
      </c>
      <c r="F129" t="s">
        <v>7</v>
      </c>
      <c r="H129" s="2">
        <f>H112*H123+H119*H124+H120*H125+H121*H126</f>
        <v>1137668.9992895806</v>
      </c>
      <c r="I129" s="2">
        <f t="shared" ref="I129:AA129" si="40">I112*I123+I119*I124+I120*I125+I121*I126</f>
        <v>2259466.6059038723</v>
      </c>
      <c r="J129" s="2">
        <f t="shared" si="40"/>
        <v>3485448.2743833871</v>
      </c>
      <c r="K129" s="2">
        <f t="shared" si="40"/>
        <v>4710721.256250076</v>
      </c>
      <c r="L129" s="2">
        <f t="shared" si="40"/>
        <v>5946709.5467316676</v>
      </c>
      <c r="M129" s="2">
        <f t="shared" si="40"/>
        <v>7179155.2980233217</v>
      </c>
      <c r="N129" s="2">
        <f t="shared" si="40"/>
        <v>8419868.1257177684</v>
      </c>
      <c r="O129" s="2">
        <f t="shared" si="40"/>
        <v>9667793.4023765363</v>
      </c>
      <c r="P129" s="2">
        <f t="shared" si="40"/>
        <v>11021228.836732833</v>
      </c>
      <c r="Q129" s="2">
        <f t="shared" si="40"/>
        <v>12499749.409363709</v>
      </c>
      <c r="R129" s="2">
        <f t="shared" si="40"/>
        <v>14109534.422335513</v>
      </c>
      <c r="S129" s="2">
        <f t="shared" si="40"/>
        <v>15872115.821054338</v>
      </c>
      <c r="T129" s="2">
        <f t="shared" si="40"/>
        <v>17779672.049330991</v>
      </c>
      <c r="U129" s="2">
        <f t="shared" si="40"/>
        <v>19744588.184414737</v>
      </c>
      <c r="V129" s="2">
        <f t="shared" si="40"/>
        <v>21784189.961798243</v>
      </c>
      <c r="W129" s="2">
        <f t="shared" si="40"/>
        <v>22241657.950996004</v>
      </c>
      <c r="X129" s="2">
        <f t="shared" si="40"/>
        <v>22708732.767966919</v>
      </c>
      <c r="Y129" s="2">
        <f t="shared" si="40"/>
        <v>23185616.156094223</v>
      </c>
      <c r="Z129" s="2">
        <f t="shared" si="40"/>
        <v>23672514.0953722</v>
      </c>
      <c r="AA129" s="2">
        <f t="shared" si="40"/>
        <v>24169636.891375013</v>
      </c>
    </row>
    <row r="130" spans="1:27" x14ac:dyDescent="0.25">
      <c r="C130" s="1"/>
      <c r="D130" s="1"/>
    </row>
    <row r="131" spans="1:27" x14ac:dyDescent="0.25">
      <c r="C131" s="1"/>
      <c r="D131" t="s">
        <v>74</v>
      </c>
    </row>
    <row r="132" spans="1:27" x14ac:dyDescent="0.25">
      <c r="A132" s="14">
        <f>'Notes &amp; Assumptions'!A38</f>
        <v>25</v>
      </c>
      <c r="C132" s="1"/>
      <c r="D132" s="1"/>
      <c r="E132" t="s">
        <v>87</v>
      </c>
      <c r="F132" t="s">
        <v>3</v>
      </c>
      <c r="H132" s="10">
        <v>0</v>
      </c>
      <c r="I132" s="10">
        <v>0</v>
      </c>
      <c r="J132" s="10">
        <v>0</v>
      </c>
      <c r="K132" s="10">
        <v>0</v>
      </c>
      <c r="L132" s="10">
        <v>0</v>
      </c>
      <c r="M132" s="10">
        <v>0</v>
      </c>
      <c r="N132" s="10">
        <v>0</v>
      </c>
      <c r="O132" s="10">
        <v>0</v>
      </c>
      <c r="P132" s="10">
        <v>0</v>
      </c>
      <c r="Q132" s="10">
        <v>0</v>
      </c>
      <c r="R132" s="10">
        <f>AVERAGE($O132:$Q132)</f>
        <v>0</v>
      </c>
      <c r="S132" s="10">
        <f t="shared" ref="S132:V132" si="41">AVERAGE($O132:$Q132)</f>
        <v>0</v>
      </c>
      <c r="T132" s="10">
        <f t="shared" si="41"/>
        <v>0</v>
      </c>
      <c r="U132" s="10">
        <f t="shared" si="41"/>
        <v>0</v>
      </c>
      <c r="V132" s="10">
        <f t="shared" si="41"/>
        <v>0</v>
      </c>
    </row>
    <row r="133" spans="1:27" x14ac:dyDescent="0.25">
      <c r="C133" s="1"/>
      <c r="D133" s="1"/>
      <c r="E133" t="s">
        <v>60</v>
      </c>
      <c r="F133" t="s">
        <v>3</v>
      </c>
      <c r="H133" s="2">
        <f>G133+H132</f>
        <v>0</v>
      </c>
      <c r="I133" s="2">
        <f t="shared" ref="I133:AA133" si="42">H133+I132</f>
        <v>0</v>
      </c>
      <c r="J133" s="2">
        <f t="shared" si="42"/>
        <v>0</v>
      </c>
      <c r="K133" s="2">
        <f t="shared" si="42"/>
        <v>0</v>
      </c>
      <c r="L133" s="2">
        <f t="shared" si="42"/>
        <v>0</v>
      </c>
      <c r="M133" s="2">
        <f t="shared" si="42"/>
        <v>0</v>
      </c>
      <c r="N133" s="2">
        <f t="shared" si="42"/>
        <v>0</v>
      </c>
      <c r="O133" s="2">
        <f t="shared" si="42"/>
        <v>0</v>
      </c>
      <c r="P133" s="2">
        <f t="shared" si="42"/>
        <v>0</v>
      </c>
      <c r="Q133" s="2">
        <f t="shared" si="42"/>
        <v>0</v>
      </c>
      <c r="R133" s="2">
        <f t="shared" si="42"/>
        <v>0</v>
      </c>
      <c r="S133" s="2">
        <f t="shared" si="42"/>
        <v>0</v>
      </c>
      <c r="T133" s="2">
        <f t="shared" si="42"/>
        <v>0</v>
      </c>
      <c r="U133" s="2">
        <f t="shared" si="42"/>
        <v>0</v>
      </c>
      <c r="V133" s="2">
        <f t="shared" si="42"/>
        <v>0</v>
      </c>
      <c r="W133" s="2">
        <f t="shared" si="42"/>
        <v>0</v>
      </c>
      <c r="X133" s="2">
        <f t="shared" si="42"/>
        <v>0</v>
      </c>
      <c r="Y133" s="2">
        <f t="shared" si="42"/>
        <v>0</v>
      </c>
      <c r="Z133" s="2">
        <f t="shared" si="42"/>
        <v>0</v>
      </c>
      <c r="AA133" s="2">
        <f t="shared" si="42"/>
        <v>0</v>
      </c>
    </row>
    <row r="134" spans="1:27" x14ac:dyDescent="0.25">
      <c r="A134" s="14">
        <f>'Notes &amp; Assumptions'!A39</f>
        <v>26</v>
      </c>
      <c r="C134" s="1"/>
      <c r="D134" s="1"/>
      <c r="E134" t="s">
        <v>61</v>
      </c>
      <c r="F134" t="s">
        <v>3</v>
      </c>
      <c r="G134" s="10">
        <v>1</v>
      </c>
    </row>
    <row r="135" spans="1:27" x14ac:dyDescent="0.25">
      <c r="C135" s="1"/>
      <c r="D135" s="1"/>
      <c r="E135" t="s">
        <v>88</v>
      </c>
      <c r="F135" t="s">
        <v>3</v>
      </c>
      <c r="H135">
        <f>H132*$G134</f>
        <v>0</v>
      </c>
      <c r="I135">
        <f t="shared" ref="I135:AA135" si="43">I132*$G134</f>
        <v>0</v>
      </c>
      <c r="J135">
        <f t="shared" si="43"/>
        <v>0</v>
      </c>
      <c r="K135">
        <f t="shared" si="43"/>
        <v>0</v>
      </c>
      <c r="L135">
        <f t="shared" si="43"/>
        <v>0</v>
      </c>
      <c r="M135">
        <f t="shared" si="43"/>
        <v>0</v>
      </c>
      <c r="N135">
        <f t="shared" si="43"/>
        <v>0</v>
      </c>
      <c r="O135">
        <f t="shared" si="43"/>
        <v>0</v>
      </c>
      <c r="P135">
        <f t="shared" si="43"/>
        <v>0</v>
      </c>
      <c r="Q135">
        <f t="shared" si="43"/>
        <v>0</v>
      </c>
      <c r="R135">
        <f t="shared" si="43"/>
        <v>0</v>
      </c>
      <c r="S135">
        <f t="shared" si="43"/>
        <v>0</v>
      </c>
      <c r="T135">
        <f t="shared" si="43"/>
        <v>0</v>
      </c>
      <c r="U135">
        <f t="shared" si="43"/>
        <v>0</v>
      </c>
      <c r="V135">
        <f t="shared" si="43"/>
        <v>0</v>
      </c>
      <c r="W135">
        <f t="shared" si="43"/>
        <v>0</v>
      </c>
      <c r="X135">
        <f t="shared" si="43"/>
        <v>0</v>
      </c>
      <c r="Y135">
        <f t="shared" si="43"/>
        <v>0</v>
      </c>
      <c r="Z135">
        <f t="shared" si="43"/>
        <v>0</v>
      </c>
      <c r="AA135">
        <f t="shared" si="43"/>
        <v>0</v>
      </c>
    </row>
    <row r="136" spans="1:27" x14ac:dyDescent="0.25">
      <c r="C136" s="1"/>
      <c r="D136" s="1"/>
      <c r="E136" t="s">
        <v>89</v>
      </c>
      <c r="F136" t="s">
        <v>3</v>
      </c>
      <c r="H136">
        <f>H133*$G134</f>
        <v>0</v>
      </c>
      <c r="I136">
        <f t="shared" ref="I136:AA136" si="44">I133*$G134</f>
        <v>0</v>
      </c>
      <c r="J136">
        <f t="shared" si="44"/>
        <v>0</v>
      </c>
      <c r="K136">
        <f t="shared" si="44"/>
        <v>0</v>
      </c>
      <c r="L136">
        <f t="shared" si="44"/>
        <v>0</v>
      </c>
      <c r="M136">
        <f t="shared" si="44"/>
        <v>0</v>
      </c>
      <c r="N136">
        <f t="shared" si="44"/>
        <v>0</v>
      </c>
      <c r="O136">
        <f t="shared" si="44"/>
        <v>0</v>
      </c>
      <c r="P136">
        <f t="shared" si="44"/>
        <v>0</v>
      </c>
      <c r="Q136">
        <f t="shared" si="44"/>
        <v>0</v>
      </c>
      <c r="R136">
        <f t="shared" si="44"/>
        <v>0</v>
      </c>
      <c r="S136">
        <f t="shared" si="44"/>
        <v>0</v>
      </c>
      <c r="T136">
        <f t="shared" si="44"/>
        <v>0</v>
      </c>
      <c r="U136">
        <f t="shared" si="44"/>
        <v>0</v>
      </c>
      <c r="V136">
        <f t="shared" si="44"/>
        <v>0</v>
      </c>
      <c r="W136">
        <f t="shared" si="44"/>
        <v>0</v>
      </c>
      <c r="X136">
        <f t="shared" si="44"/>
        <v>0</v>
      </c>
      <c r="Y136">
        <f t="shared" si="44"/>
        <v>0</v>
      </c>
      <c r="Z136">
        <f t="shared" si="44"/>
        <v>0</v>
      </c>
      <c r="AA136">
        <f t="shared" si="44"/>
        <v>0</v>
      </c>
    </row>
    <row r="137" spans="1:27" x14ac:dyDescent="0.25">
      <c r="A137" s="14">
        <f>'Notes &amp; Assumptions'!A40</f>
        <v>27</v>
      </c>
      <c r="C137" s="1"/>
      <c r="D137" s="1"/>
      <c r="E137" t="s">
        <v>62</v>
      </c>
      <c r="F137" t="s">
        <v>43</v>
      </c>
      <c r="H137" s="10"/>
      <c r="I137" s="10"/>
      <c r="J137" s="10"/>
      <c r="K137" s="10"/>
      <c r="L137" s="10"/>
      <c r="M137" s="10"/>
      <c r="N137" s="10"/>
      <c r="O137" s="10"/>
      <c r="P137" s="10"/>
      <c r="Q137" s="10"/>
      <c r="R137" s="10"/>
      <c r="S137" s="10"/>
      <c r="T137" s="10"/>
      <c r="U137" s="10"/>
      <c r="V137" s="10"/>
      <c r="W137" s="10"/>
      <c r="X137" s="10"/>
      <c r="Y137" s="10"/>
      <c r="Z137" s="10"/>
      <c r="AA137" s="10"/>
    </row>
    <row r="138" spans="1:27" x14ac:dyDescent="0.25">
      <c r="C138" s="1"/>
      <c r="D138" s="1"/>
      <c r="E138" t="s">
        <v>63</v>
      </c>
      <c r="F138" t="s">
        <v>43</v>
      </c>
      <c r="H138" s="10"/>
      <c r="I138" s="10"/>
      <c r="J138" s="10"/>
      <c r="K138" s="10"/>
      <c r="L138" s="10"/>
      <c r="M138" s="10"/>
      <c r="N138" s="10"/>
      <c r="O138" s="10"/>
      <c r="P138" s="10"/>
      <c r="Q138" s="10"/>
      <c r="R138" s="10"/>
      <c r="S138" s="10"/>
      <c r="T138" s="10"/>
      <c r="U138" s="10"/>
      <c r="V138" s="10"/>
      <c r="W138" s="10"/>
      <c r="X138" s="10"/>
      <c r="Y138" s="10"/>
      <c r="Z138" s="10"/>
      <c r="AA138" s="10"/>
    </row>
    <row r="139" spans="1:27" x14ac:dyDescent="0.25">
      <c r="A139" s="14">
        <f>'Notes &amp; Assumptions'!A41</f>
        <v>28</v>
      </c>
      <c r="C139" s="1"/>
      <c r="D139" s="1"/>
      <c r="E139" t="s">
        <v>140</v>
      </c>
      <c r="F139" t="s">
        <v>43</v>
      </c>
      <c r="H139" s="10"/>
      <c r="I139" s="10"/>
      <c r="J139" s="10"/>
      <c r="K139" s="10"/>
      <c r="L139" s="10"/>
      <c r="M139" s="10"/>
      <c r="N139" s="10"/>
      <c r="O139" s="10"/>
      <c r="P139" s="10"/>
      <c r="Q139" s="10"/>
      <c r="R139" s="10"/>
      <c r="S139" s="10"/>
      <c r="T139" s="10"/>
      <c r="U139" s="10"/>
      <c r="V139" s="10"/>
      <c r="W139" s="10"/>
      <c r="X139" s="10"/>
      <c r="Y139" s="10"/>
      <c r="Z139" s="10"/>
      <c r="AA139" s="10"/>
    </row>
    <row r="140" spans="1:27" x14ac:dyDescent="0.25">
      <c r="C140" s="1"/>
      <c r="D140" s="1"/>
      <c r="E140" t="s">
        <v>64</v>
      </c>
      <c r="F140" t="s">
        <v>144</v>
      </c>
      <c r="H140" s="2">
        <f>H133*H137</f>
        <v>0</v>
      </c>
      <c r="I140" s="2">
        <f t="shared" ref="I140:AA140" si="45">I133*I137</f>
        <v>0</v>
      </c>
      <c r="J140" s="2">
        <f t="shared" si="45"/>
        <v>0</v>
      </c>
      <c r="K140" s="2">
        <f t="shared" si="45"/>
        <v>0</v>
      </c>
      <c r="L140" s="2">
        <f t="shared" si="45"/>
        <v>0</v>
      </c>
      <c r="M140" s="2">
        <f t="shared" si="45"/>
        <v>0</v>
      </c>
      <c r="N140" s="2">
        <f t="shared" si="45"/>
        <v>0</v>
      </c>
      <c r="O140" s="2">
        <f t="shared" si="45"/>
        <v>0</v>
      </c>
      <c r="P140" s="2">
        <f t="shared" si="45"/>
        <v>0</v>
      </c>
      <c r="Q140" s="2">
        <f t="shared" si="45"/>
        <v>0</v>
      </c>
      <c r="R140" s="2">
        <f t="shared" si="45"/>
        <v>0</v>
      </c>
      <c r="S140" s="2">
        <f t="shared" si="45"/>
        <v>0</v>
      </c>
      <c r="T140" s="2">
        <f t="shared" si="45"/>
        <v>0</v>
      </c>
      <c r="U140" s="2">
        <f t="shared" si="45"/>
        <v>0</v>
      </c>
      <c r="V140" s="2">
        <f t="shared" si="45"/>
        <v>0</v>
      </c>
      <c r="W140" s="2">
        <f t="shared" si="45"/>
        <v>0</v>
      </c>
      <c r="X140" s="2">
        <f t="shared" si="45"/>
        <v>0</v>
      </c>
      <c r="Y140" s="2">
        <f t="shared" si="45"/>
        <v>0</v>
      </c>
      <c r="Z140" s="2">
        <f t="shared" si="45"/>
        <v>0</v>
      </c>
      <c r="AA140" s="2">
        <f t="shared" si="45"/>
        <v>0</v>
      </c>
    </row>
    <row r="141" spans="1:27" x14ac:dyDescent="0.25">
      <c r="C141" s="1"/>
      <c r="D141" s="1"/>
      <c r="E141" t="s">
        <v>65</v>
      </c>
      <c r="F141" t="s">
        <v>144</v>
      </c>
      <c r="H141" s="2">
        <f>H133*H138</f>
        <v>0</v>
      </c>
      <c r="I141" s="2">
        <f t="shared" ref="I141:AA141" si="46">I133*I138</f>
        <v>0</v>
      </c>
      <c r="J141" s="2">
        <f t="shared" si="46"/>
        <v>0</v>
      </c>
      <c r="K141" s="2">
        <f t="shared" si="46"/>
        <v>0</v>
      </c>
      <c r="L141" s="2">
        <f t="shared" si="46"/>
        <v>0</v>
      </c>
      <c r="M141" s="2">
        <f t="shared" si="46"/>
        <v>0</v>
      </c>
      <c r="N141" s="2">
        <f t="shared" si="46"/>
        <v>0</v>
      </c>
      <c r="O141" s="2">
        <f t="shared" si="46"/>
        <v>0</v>
      </c>
      <c r="P141" s="2">
        <f t="shared" si="46"/>
        <v>0</v>
      </c>
      <c r="Q141" s="2">
        <f t="shared" si="46"/>
        <v>0</v>
      </c>
      <c r="R141" s="2">
        <f t="shared" si="46"/>
        <v>0</v>
      </c>
      <c r="S141" s="2">
        <f t="shared" si="46"/>
        <v>0</v>
      </c>
      <c r="T141" s="2">
        <f t="shared" si="46"/>
        <v>0</v>
      </c>
      <c r="U141" s="2">
        <f t="shared" si="46"/>
        <v>0</v>
      </c>
      <c r="V141" s="2">
        <f t="shared" si="46"/>
        <v>0</v>
      </c>
      <c r="W141" s="2">
        <f t="shared" si="46"/>
        <v>0</v>
      </c>
      <c r="X141" s="2">
        <f t="shared" si="46"/>
        <v>0</v>
      </c>
      <c r="Y141" s="2">
        <f t="shared" si="46"/>
        <v>0</v>
      </c>
      <c r="Z141" s="2">
        <f t="shared" si="46"/>
        <v>0</v>
      </c>
      <c r="AA141" s="2">
        <f t="shared" si="46"/>
        <v>0</v>
      </c>
    </row>
    <row r="142" spans="1:27" x14ac:dyDescent="0.25">
      <c r="C142" s="1"/>
      <c r="D142" s="1"/>
      <c r="E142" t="s">
        <v>141</v>
      </c>
      <c r="F142" t="s">
        <v>144</v>
      </c>
      <c r="H142" s="2">
        <f>H133*H139</f>
        <v>0</v>
      </c>
      <c r="I142" s="2">
        <f t="shared" ref="I142:AA142" si="47">I133*I139</f>
        <v>0</v>
      </c>
      <c r="J142" s="2">
        <f t="shared" si="47"/>
        <v>0</v>
      </c>
      <c r="K142" s="2">
        <f t="shared" si="47"/>
        <v>0</v>
      </c>
      <c r="L142" s="2">
        <f t="shared" si="47"/>
        <v>0</v>
      </c>
      <c r="M142" s="2">
        <f t="shared" si="47"/>
        <v>0</v>
      </c>
      <c r="N142" s="2">
        <f t="shared" si="47"/>
        <v>0</v>
      </c>
      <c r="O142" s="2">
        <f t="shared" si="47"/>
        <v>0</v>
      </c>
      <c r="P142" s="2">
        <f t="shared" si="47"/>
        <v>0</v>
      </c>
      <c r="Q142" s="2">
        <f t="shared" si="47"/>
        <v>0</v>
      </c>
      <c r="R142" s="2">
        <f t="shared" si="47"/>
        <v>0</v>
      </c>
      <c r="S142" s="2">
        <f t="shared" si="47"/>
        <v>0</v>
      </c>
      <c r="T142" s="2">
        <f t="shared" si="47"/>
        <v>0</v>
      </c>
      <c r="U142" s="2">
        <f t="shared" si="47"/>
        <v>0</v>
      </c>
      <c r="V142" s="2">
        <f t="shared" si="47"/>
        <v>0</v>
      </c>
      <c r="W142" s="2">
        <f t="shared" si="47"/>
        <v>0</v>
      </c>
      <c r="X142" s="2">
        <f t="shared" si="47"/>
        <v>0</v>
      </c>
      <c r="Y142" s="2">
        <f t="shared" si="47"/>
        <v>0</v>
      </c>
      <c r="Z142" s="2">
        <f t="shared" si="47"/>
        <v>0</v>
      </c>
      <c r="AA142" s="2">
        <f t="shared" si="47"/>
        <v>0</v>
      </c>
    </row>
    <row r="143" spans="1:27" x14ac:dyDescent="0.25">
      <c r="A143" s="14">
        <f>'Notes &amp; Assumptions'!A42</f>
        <v>29</v>
      </c>
      <c r="C143" s="1"/>
      <c r="D143" s="1"/>
      <c r="E143" t="s">
        <v>66</v>
      </c>
      <c r="F143" t="s">
        <v>8</v>
      </c>
      <c r="H143" s="11"/>
      <c r="I143" s="11"/>
      <c r="J143" s="11"/>
      <c r="K143" s="11"/>
      <c r="L143" s="11"/>
      <c r="M143" s="11"/>
      <c r="N143" s="11"/>
      <c r="O143" s="11"/>
      <c r="P143" s="11"/>
      <c r="Q143" s="11"/>
      <c r="R143" s="11"/>
      <c r="S143" s="11"/>
      <c r="T143" s="11"/>
      <c r="U143" s="11"/>
      <c r="V143" s="11"/>
      <c r="W143" s="11"/>
      <c r="X143" s="11"/>
      <c r="Y143" s="11"/>
      <c r="Z143" s="11"/>
      <c r="AA143" s="11"/>
    </row>
    <row r="144" spans="1:27" x14ac:dyDescent="0.25">
      <c r="A144" s="14">
        <f>'Notes &amp; Assumptions'!A43</f>
        <v>30</v>
      </c>
      <c r="C144" s="1"/>
      <c r="D144" s="1"/>
      <c r="E144" t="s">
        <v>40</v>
      </c>
      <c r="F144" t="s">
        <v>41</v>
      </c>
      <c r="G144" s="10"/>
      <c r="H144" s="2">
        <f>G144*(1+$G$14)*(1+H143)</f>
        <v>0</v>
      </c>
      <c r="I144" s="2">
        <f t="shared" ref="I144:AA144" si="48">H144*(1+$G$14)*(1+I143)</f>
        <v>0</v>
      </c>
      <c r="J144" s="2">
        <f t="shared" si="48"/>
        <v>0</v>
      </c>
      <c r="K144" s="2">
        <f t="shared" si="48"/>
        <v>0</v>
      </c>
      <c r="L144" s="2">
        <f t="shared" si="48"/>
        <v>0</v>
      </c>
      <c r="M144" s="2">
        <f t="shared" si="48"/>
        <v>0</v>
      </c>
      <c r="N144" s="2">
        <f t="shared" si="48"/>
        <v>0</v>
      </c>
      <c r="O144" s="2">
        <f t="shared" si="48"/>
        <v>0</v>
      </c>
      <c r="P144" s="2">
        <f t="shared" si="48"/>
        <v>0</v>
      </c>
      <c r="Q144" s="2">
        <f t="shared" si="48"/>
        <v>0</v>
      </c>
      <c r="R144" s="2">
        <f t="shared" si="48"/>
        <v>0</v>
      </c>
      <c r="S144" s="2">
        <f t="shared" si="48"/>
        <v>0</v>
      </c>
      <c r="T144" s="2">
        <f t="shared" si="48"/>
        <v>0</v>
      </c>
      <c r="U144" s="2">
        <f t="shared" si="48"/>
        <v>0</v>
      </c>
      <c r="V144" s="2">
        <f t="shared" si="48"/>
        <v>0</v>
      </c>
      <c r="W144" s="2">
        <f t="shared" si="48"/>
        <v>0</v>
      </c>
      <c r="X144" s="2">
        <f t="shared" si="48"/>
        <v>0</v>
      </c>
      <c r="Y144" s="2">
        <f t="shared" si="48"/>
        <v>0</v>
      </c>
      <c r="Z144" s="2">
        <f t="shared" si="48"/>
        <v>0</v>
      </c>
      <c r="AA144" s="2">
        <f t="shared" si="48"/>
        <v>0</v>
      </c>
    </row>
    <row r="145" spans="1:27" x14ac:dyDescent="0.25">
      <c r="C145" s="1"/>
      <c r="D145" s="1"/>
      <c r="E145" t="s">
        <v>67</v>
      </c>
      <c r="F145" t="s">
        <v>143</v>
      </c>
      <c r="G145" s="20"/>
      <c r="H145" s="21">
        <f>G145*(1+$G$14)*(1+H143)</f>
        <v>0</v>
      </c>
      <c r="I145" s="21">
        <f t="shared" ref="I145:AA145" si="49">H145*(1+$G$14)*(1+I143)</f>
        <v>0</v>
      </c>
      <c r="J145" s="21">
        <f t="shared" si="49"/>
        <v>0</v>
      </c>
      <c r="K145" s="21">
        <f t="shared" si="49"/>
        <v>0</v>
      </c>
      <c r="L145" s="21">
        <f t="shared" si="49"/>
        <v>0</v>
      </c>
      <c r="M145" s="21">
        <f t="shared" si="49"/>
        <v>0</v>
      </c>
      <c r="N145" s="21">
        <f t="shared" si="49"/>
        <v>0</v>
      </c>
      <c r="O145" s="21">
        <f t="shared" si="49"/>
        <v>0</v>
      </c>
      <c r="P145" s="21">
        <f t="shared" si="49"/>
        <v>0</v>
      </c>
      <c r="Q145" s="21">
        <f t="shared" si="49"/>
        <v>0</v>
      </c>
      <c r="R145" s="21">
        <f t="shared" si="49"/>
        <v>0</v>
      </c>
      <c r="S145" s="21">
        <f t="shared" si="49"/>
        <v>0</v>
      </c>
      <c r="T145" s="21">
        <f t="shared" si="49"/>
        <v>0</v>
      </c>
      <c r="U145" s="21">
        <f t="shared" si="49"/>
        <v>0</v>
      </c>
      <c r="V145" s="21">
        <f t="shared" si="49"/>
        <v>0</v>
      </c>
      <c r="W145" s="21">
        <f t="shared" si="49"/>
        <v>0</v>
      </c>
      <c r="X145" s="21">
        <f t="shared" si="49"/>
        <v>0</v>
      </c>
      <c r="Y145" s="21">
        <f t="shared" si="49"/>
        <v>0</v>
      </c>
      <c r="Z145" s="21">
        <f t="shared" si="49"/>
        <v>0</v>
      </c>
      <c r="AA145" s="21">
        <f t="shared" si="49"/>
        <v>0</v>
      </c>
    </row>
    <row r="146" spans="1:27" x14ac:dyDescent="0.25">
      <c r="C146" s="1"/>
      <c r="D146" s="1"/>
      <c r="E146" t="s">
        <v>68</v>
      </c>
      <c r="F146" t="s">
        <v>143</v>
      </c>
      <c r="G146" s="20"/>
      <c r="H146" s="21">
        <f>G146*(1+$G$14)*(1+H143)</f>
        <v>0</v>
      </c>
      <c r="I146" s="21">
        <f t="shared" ref="I146:AA146" si="50">H146*(1+$G$14)*(1+I143)</f>
        <v>0</v>
      </c>
      <c r="J146" s="21">
        <f t="shared" si="50"/>
        <v>0</v>
      </c>
      <c r="K146" s="21">
        <f t="shared" si="50"/>
        <v>0</v>
      </c>
      <c r="L146" s="21">
        <f t="shared" si="50"/>
        <v>0</v>
      </c>
      <c r="M146" s="21">
        <f t="shared" si="50"/>
        <v>0</v>
      </c>
      <c r="N146" s="21">
        <f t="shared" si="50"/>
        <v>0</v>
      </c>
      <c r="O146" s="21">
        <f t="shared" si="50"/>
        <v>0</v>
      </c>
      <c r="P146" s="21">
        <f t="shared" si="50"/>
        <v>0</v>
      </c>
      <c r="Q146" s="21">
        <f t="shared" si="50"/>
        <v>0</v>
      </c>
      <c r="R146" s="21">
        <f t="shared" si="50"/>
        <v>0</v>
      </c>
      <c r="S146" s="21">
        <f t="shared" si="50"/>
        <v>0</v>
      </c>
      <c r="T146" s="21">
        <f t="shared" si="50"/>
        <v>0</v>
      </c>
      <c r="U146" s="21">
        <f t="shared" si="50"/>
        <v>0</v>
      </c>
      <c r="V146" s="21">
        <f t="shared" si="50"/>
        <v>0</v>
      </c>
      <c r="W146" s="21">
        <f t="shared" si="50"/>
        <v>0</v>
      </c>
      <c r="X146" s="21">
        <f t="shared" si="50"/>
        <v>0</v>
      </c>
      <c r="Y146" s="21">
        <f t="shared" si="50"/>
        <v>0</v>
      </c>
      <c r="Z146" s="21">
        <f t="shared" si="50"/>
        <v>0</v>
      </c>
      <c r="AA146" s="21">
        <f t="shared" si="50"/>
        <v>0</v>
      </c>
    </row>
    <row r="147" spans="1:27" x14ac:dyDescent="0.25">
      <c r="C147" s="1"/>
      <c r="D147" s="1"/>
      <c r="E147" t="s">
        <v>142</v>
      </c>
      <c r="F147" t="s">
        <v>143</v>
      </c>
      <c r="G147" s="20"/>
      <c r="H147" s="21">
        <f>G147*(1+$G$14)*(1+H143)</f>
        <v>0</v>
      </c>
      <c r="I147" s="21">
        <f t="shared" ref="I147:AA147" si="51">H147*(1+$G$14)*(1+I143)</f>
        <v>0</v>
      </c>
      <c r="J147" s="21">
        <f t="shared" si="51"/>
        <v>0</v>
      </c>
      <c r="K147" s="21">
        <f t="shared" si="51"/>
        <v>0</v>
      </c>
      <c r="L147" s="21">
        <f t="shared" si="51"/>
        <v>0</v>
      </c>
      <c r="M147" s="21">
        <f t="shared" si="51"/>
        <v>0</v>
      </c>
      <c r="N147" s="21">
        <f t="shared" si="51"/>
        <v>0</v>
      </c>
      <c r="O147" s="21">
        <f t="shared" si="51"/>
        <v>0</v>
      </c>
      <c r="P147" s="21">
        <f t="shared" si="51"/>
        <v>0</v>
      </c>
      <c r="Q147" s="21">
        <f t="shared" si="51"/>
        <v>0</v>
      </c>
      <c r="R147" s="21">
        <f t="shared" si="51"/>
        <v>0</v>
      </c>
      <c r="S147" s="21">
        <f t="shared" si="51"/>
        <v>0</v>
      </c>
      <c r="T147" s="21">
        <f t="shared" si="51"/>
        <v>0</v>
      </c>
      <c r="U147" s="21">
        <f t="shared" si="51"/>
        <v>0</v>
      </c>
      <c r="V147" s="21">
        <f t="shared" si="51"/>
        <v>0</v>
      </c>
      <c r="W147" s="21">
        <f t="shared" si="51"/>
        <v>0</v>
      </c>
      <c r="X147" s="21">
        <f t="shared" si="51"/>
        <v>0</v>
      </c>
      <c r="Y147" s="21">
        <f t="shared" si="51"/>
        <v>0</v>
      </c>
      <c r="Z147" s="21">
        <f t="shared" si="51"/>
        <v>0</v>
      </c>
      <c r="AA147" s="21">
        <f t="shared" si="51"/>
        <v>0</v>
      </c>
    </row>
    <row r="148" spans="1:27" x14ac:dyDescent="0.25">
      <c r="C148" s="1"/>
      <c r="D148" s="1"/>
    </row>
    <row r="149" spans="1:27" x14ac:dyDescent="0.25">
      <c r="C149" s="1"/>
      <c r="D149" s="1"/>
      <c r="E149" t="s">
        <v>75</v>
      </c>
      <c r="F149" t="s">
        <v>58</v>
      </c>
      <c r="H149" s="2">
        <f>SUM(H140:H142)/1000</f>
        <v>0</v>
      </c>
      <c r="I149" s="2">
        <f t="shared" ref="I149:AA149" si="52">SUM(I140:I142)/1000</f>
        <v>0</v>
      </c>
      <c r="J149" s="2">
        <f t="shared" si="52"/>
        <v>0</v>
      </c>
      <c r="K149" s="2">
        <f t="shared" si="52"/>
        <v>0</v>
      </c>
      <c r="L149" s="2">
        <f t="shared" si="52"/>
        <v>0</v>
      </c>
      <c r="M149" s="2">
        <f t="shared" si="52"/>
        <v>0</v>
      </c>
      <c r="N149" s="2">
        <f t="shared" si="52"/>
        <v>0</v>
      </c>
      <c r="O149" s="2">
        <f t="shared" si="52"/>
        <v>0</v>
      </c>
      <c r="P149" s="2">
        <f t="shared" si="52"/>
        <v>0</v>
      </c>
      <c r="Q149" s="2">
        <f t="shared" si="52"/>
        <v>0</v>
      </c>
      <c r="R149" s="2">
        <f t="shared" si="52"/>
        <v>0</v>
      </c>
      <c r="S149" s="2">
        <f t="shared" si="52"/>
        <v>0</v>
      </c>
      <c r="T149" s="2">
        <f t="shared" si="52"/>
        <v>0</v>
      </c>
      <c r="U149" s="2">
        <f t="shared" si="52"/>
        <v>0</v>
      </c>
      <c r="V149" s="2">
        <f t="shared" si="52"/>
        <v>0</v>
      </c>
      <c r="W149" s="2">
        <f t="shared" si="52"/>
        <v>0</v>
      </c>
      <c r="X149" s="2">
        <f t="shared" si="52"/>
        <v>0</v>
      </c>
      <c r="Y149" s="2">
        <f t="shared" si="52"/>
        <v>0</v>
      </c>
      <c r="Z149" s="2">
        <f t="shared" si="52"/>
        <v>0</v>
      </c>
      <c r="AA149" s="2">
        <f t="shared" si="52"/>
        <v>0</v>
      </c>
    </row>
    <row r="150" spans="1:27" x14ac:dyDescent="0.25">
      <c r="C150" s="1"/>
      <c r="D150" s="1"/>
      <c r="E150" t="s">
        <v>76</v>
      </c>
      <c r="F150" t="s">
        <v>7</v>
      </c>
      <c r="H150" s="2">
        <f>H133*H144+H140*H145+H141*H146+H142*H147</f>
        <v>0</v>
      </c>
      <c r="I150" s="2">
        <f t="shared" ref="I150:AA150" si="53">I133*I144+I140*I145+I141*I146+I142*I147</f>
        <v>0</v>
      </c>
      <c r="J150" s="2">
        <f t="shared" si="53"/>
        <v>0</v>
      </c>
      <c r="K150" s="2">
        <f t="shared" si="53"/>
        <v>0</v>
      </c>
      <c r="L150" s="2">
        <f t="shared" si="53"/>
        <v>0</v>
      </c>
      <c r="M150" s="2">
        <f t="shared" si="53"/>
        <v>0</v>
      </c>
      <c r="N150" s="2">
        <f t="shared" si="53"/>
        <v>0</v>
      </c>
      <c r="O150" s="2">
        <f t="shared" si="53"/>
        <v>0</v>
      </c>
      <c r="P150" s="2">
        <f t="shared" si="53"/>
        <v>0</v>
      </c>
      <c r="Q150" s="2">
        <f t="shared" si="53"/>
        <v>0</v>
      </c>
      <c r="R150" s="2">
        <f t="shared" si="53"/>
        <v>0</v>
      </c>
      <c r="S150" s="2">
        <f t="shared" si="53"/>
        <v>0</v>
      </c>
      <c r="T150" s="2">
        <f t="shared" si="53"/>
        <v>0</v>
      </c>
      <c r="U150" s="2">
        <f t="shared" si="53"/>
        <v>0</v>
      </c>
      <c r="V150" s="2">
        <f t="shared" si="53"/>
        <v>0</v>
      </c>
      <c r="W150" s="2">
        <f t="shared" si="53"/>
        <v>0</v>
      </c>
      <c r="X150" s="2">
        <f t="shared" si="53"/>
        <v>0</v>
      </c>
      <c r="Y150" s="2">
        <f t="shared" si="53"/>
        <v>0</v>
      </c>
      <c r="Z150" s="2">
        <f t="shared" si="53"/>
        <v>0</v>
      </c>
      <c r="AA150" s="2">
        <f t="shared" si="53"/>
        <v>0</v>
      </c>
    </row>
    <row r="151" spans="1:27" x14ac:dyDescent="0.25">
      <c r="C151" s="1"/>
      <c r="D151" s="1"/>
    </row>
    <row r="152" spans="1:27" x14ac:dyDescent="0.25">
      <c r="C152" s="1"/>
      <c r="D152" t="s">
        <v>77</v>
      </c>
    </row>
    <row r="153" spans="1:27" x14ac:dyDescent="0.25">
      <c r="A153" s="14">
        <f>'Notes &amp; Assumptions'!A44</f>
        <v>31</v>
      </c>
      <c r="C153" s="1"/>
      <c r="D153" s="1"/>
      <c r="E153" t="s">
        <v>87</v>
      </c>
      <c r="F153" t="s">
        <v>3</v>
      </c>
      <c r="H153" s="10">
        <v>0</v>
      </c>
      <c r="I153" s="10">
        <v>0</v>
      </c>
      <c r="J153" s="10">
        <v>0</v>
      </c>
      <c r="K153" s="10">
        <v>0</v>
      </c>
      <c r="L153" s="10">
        <v>0</v>
      </c>
      <c r="M153" s="10">
        <v>0</v>
      </c>
      <c r="N153" s="10">
        <v>0</v>
      </c>
      <c r="O153" s="10">
        <v>0</v>
      </c>
      <c r="P153" s="10">
        <v>0</v>
      </c>
      <c r="Q153" s="10">
        <v>0</v>
      </c>
      <c r="R153" s="10">
        <f>AVERAGE($O153:$Q153)</f>
        <v>0</v>
      </c>
      <c r="S153" s="10">
        <f t="shared" ref="S153:V153" si="54">AVERAGE($O153:$Q153)</f>
        <v>0</v>
      </c>
      <c r="T153" s="10">
        <f t="shared" si="54"/>
        <v>0</v>
      </c>
      <c r="U153" s="10">
        <f t="shared" si="54"/>
        <v>0</v>
      </c>
      <c r="V153" s="10">
        <f t="shared" si="54"/>
        <v>0</v>
      </c>
    </row>
    <row r="154" spans="1:27" x14ac:dyDescent="0.25">
      <c r="C154" s="1"/>
      <c r="D154" s="1"/>
      <c r="E154" t="s">
        <v>60</v>
      </c>
      <c r="F154" t="s">
        <v>3</v>
      </c>
      <c r="H154" s="2">
        <f>G154+H153</f>
        <v>0</v>
      </c>
      <c r="I154" s="2">
        <f t="shared" ref="I154:AA154" si="55">H154+I153</f>
        <v>0</v>
      </c>
      <c r="J154" s="2">
        <f t="shared" si="55"/>
        <v>0</v>
      </c>
      <c r="K154" s="2">
        <f t="shared" si="55"/>
        <v>0</v>
      </c>
      <c r="L154" s="2">
        <f t="shared" si="55"/>
        <v>0</v>
      </c>
      <c r="M154" s="2">
        <f t="shared" si="55"/>
        <v>0</v>
      </c>
      <c r="N154" s="2">
        <f t="shared" si="55"/>
        <v>0</v>
      </c>
      <c r="O154" s="2">
        <f t="shared" si="55"/>
        <v>0</v>
      </c>
      <c r="P154" s="2">
        <f t="shared" si="55"/>
        <v>0</v>
      </c>
      <c r="Q154" s="2">
        <f t="shared" si="55"/>
        <v>0</v>
      </c>
      <c r="R154" s="2">
        <f t="shared" si="55"/>
        <v>0</v>
      </c>
      <c r="S154" s="2">
        <f t="shared" si="55"/>
        <v>0</v>
      </c>
      <c r="T154" s="2">
        <f t="shared" si="55"/>
        <v>0</v>
      </c>
      <c r="U154" s="2">
        <f t="shared" si="55"/>
        <v>0</v>
      </c>
      <c r="V154" s="2">
        <f t="shared" si="55"/>
        <v>0</v>
      </c>
      <c r="W154" s="2">
        <f t="shared" si="55"/>
        <v>0</v>
      </c>
      <c r="X154" s="2">
        <f t="shared" si="55"/>
        <v>0</v>
      </c>
      <c r="Y154" s="2">
        <f t="shared" si="55"/>
        <v>0</v>
      </c>
      <c r="Z154" s="2">
        <f t="shared" si="55"/>
        <v>0</v>
      </c>
      <c r="AA154" s="2">
        <f t="shared" si="55"/>
        <v>0</v>
      </c>
    </row>
    <row r="155" spans="1:27" x14ac:dyDescent="0.25">
      <c r="A155" s="14">
        <f>'Notes &amp; Assumptions'!A45</f>
        <v>32</v>
      </c>
      <c r="C155" s="1"/>
      <c r="D155" s="1"/>
      <c r="E155" t="s">
        <v>61</v>
      </c>
      <c r="F155" t="s">
        <v>3</v>
      </c>
      <c r="G155" s="10">
        <v>1</v>
      </c>
    </row>
    <row r="156" spans="1:27" x14ac:dyDescent="0.25">
      <c r="C156" s="1"/>
      <c r="D156" s="1"/>
      <c r="E156" t="s">
        <v>88</v>
      </c>
      <c r="F156" t="s">
        <v>3</v>
      </c>
      <c r="H156">
        <f>H153*$G155</f>
        <v>0</v>
      </c>
      <c r="I156">
        <f t="shared" ref="I156:AA156" si="56">I153*$G155</f>
        <v>0</v>
      </c>
      <c r="J156">
        <f t="shared" si="56"/>
        <v>0</v>
      </c>
      <c r="K156">
        <f t="shared" si="56"/>
        <v>0</v>
      </c>
      <c r="L156">
        <f t="shared" si="56"/>
        <v>0</v>
      </c>
      <c r="M156">
        <f t="shared" si="56"/>
        <v>0</v>
      </c>
      <c r="N156">
        <f t="shared" si="56"/>
        <v>0</v>
      </c>
      <c r="O156">
        <f t="shared" si="56"/>
        <v>0</v>
      </c>
      <c r="P156">
        <f t="shared" si="56"/>
        <v>0</v>
      </c>
      <c r="Q156">
        <f t="shared" si="56"/>
        <v>0</v>
      </c>
      <c r="R156">
        <f t="shared" si="56"/>
        <v>0</v>
      </c>
      <c r="S156">
        <f t="shared" si="56"/>
        <v>0</v>
      </c>
      <c r="T156">
        <f t="shared" si="56"/>
        <v>0</v>
      </c>
      <c r="U156">
        <f t="shared" si="56"/>
        <v>0</v>
      </c>
      <c r="V156">
        <f t="shared" si="56"/>
        <v>0</v>
      </c>
      <c r="W156">
        <f t="shared" si="56"/>
        <v>0</v>
      </c>
      <c r="X156">
        <f t="shared" si="56"/>
        <v>0</v>
      </c>
      <c r="Y156">
        <f t="shared" si="56"/>
        <v>0</v>
      </c>
      <c r="Z156">
        <f t="shared" si="56"/>
        <v>0</v>
      </c>
      <c r="AA156">
        <f t="shared" si="56"/>
        <v>0</v>
      </c>
    </row>
    <row r="157" spans="1:27" x14ac:dyDescent="0.25">
      <c r="C157" s="1"/>
      <c r="D157" s="1"/>
      <c r="E157" t="s">
        <v>89</v>
      </c>
      <c r="F157" t="s">
        <v>3</v>
      </c>
      <c r="H157">
        <f>H154*$G155</f>
        <v>0</v>
      </c>
      <c r="I157">
        <f t="shared" ref="I157:AA157" si="57">I154*$G155</f>
        <v>0</v>
      </c>
      <c r="J157">
        <f t="shared" si="57"/>
        <v>0</v>
      </c>
      <c r="K157">
        <f t="shared" si="57"/>
        <v>0</v>
      </c>
      <c r="L157">
        <f t="shared" si="57"/>
        <v>0</v>
      </c>
      <c r="M157">
        <f t="shared" si="57"/>
        <v>0</v>
      </c>
      <c r="N157">
        <f t="shared" si="57"/>
        <v>0</v>
      </c>
      <c r="O157">
        <f t="shared" si="57"/>
        <v>0</v>
      </c>
      <c r="P157">
        <f t="shared" si="57"/>
        <v>0</v>
      </c>
      <c r="Q157">
        <f t="shared" si="57"/>
        <v>0</v>
      </c>
      <c r="R157">
        <f t="shared" si="57"/>
        <v>0</v>
      </c>
      <c r="S157">
        <f t="shared" si="57"/>
        <v>0</v>
      </c>
      <c r="T157">
        <f t="shared" si="57"/>
        <v>0</v>
      </c>
      <c r="U157">
        <f t="shared" si="57"/>
        <v>0</v>
      </c>
      <c r="V157">
        <f t="shared" si="57"/>
        <v>0</v>
      </c>
      <c r="W157">
        <f t="shared" si="57"/>
        <v>0</v>
      </c>
      <c r="X157">
        <f t="shared" si="57"/>
        <v>0</v>
      </c>
      <c r="Y157">
        <f t="shared" si="57"/>
        <v>0</v>
      </c>
      <c r="Z157">
        <f t="shared" si="57"/>
        <v>0</v>
      </c>
      <c r="AA157">
        <f t="shared" si="57"/>
        <v>0</v>
      </c>
    </row>
    <row r="158" spans="1:27" x14ac:dyDescent="0.25">
      <c r="A158" s="14">
        <f>'Notes &amp; Assumptions'!A46</f>
        <v>33</v>
      </c>
      <c r="C158" s="1"/>
      <c r="D158" s="1"/>
      <c r="E158" t="s">
        <v>62</v>
      </c>
      <c r="F158" t="s">
        <v>43</v>
      </c>
      <c r="H158" s="10"/>
      <c r="I158" s="10"/>
      <c r="J158" s="10"/>
      <c r="K158" s="10"/>
      <c r="L158" s="10"/>
      <c r="M158" s="10"/>
      <c r="N158" s="10"/>
      <c r="O158" s="10"/>
      <c r="P158" s="10"/>
      <c r="Q158" s="10"/>
      <c r="R158" s="10"/>
      <c r="S158" s="10"/>
      <c r="T158" s="10"/>
      <c r="U158" s="10"/>
      <c r="V158" s="10"/>
      <c r="W158" s="10"/>
      <c r="X158" s="10"/>
      <c r="Y158" s="10"/>
      <c r="Z158" s="10"/>
      <c r="AA158" s="10"/>
    </row>
    <row r="159" spans="1:27" x14ac:dyDescent="0.25">
      <c r="C159" s="1"/>
      <c r="D159" s="1"/>
      <c r="E159" t="s">
        <v>63</v>
      </c>
      <c r="F159" t="s">
        <v>43</v>
      </c>
      <c r="H159" s="10"/>
      <c r="I159" s="10"/>
      <c r="J159" s="10"/>
      <c r="K159" s="10"/>
      <c r="L159" s="10"/>
      <c r="M159" s="10"/>
      <c r="N159" s="10"/>
      <c r="O159" s="10"/>
      <c r="P159" s="10"/>
      <c r="Q159" s="10"/>
      <c r="R159" s="10"/>
      <c r="S159" s="10"/>
      <c r="T159" s="10"/>
      <c r="U159" s="10"/>
      <c r="V159" s="10"/>
      <c r="W159" s="10"/>
      <c r="X159" s="10"/>
      <c r="Y159" s="10"/>
      <c r="Z159" s="10"/>
      <c r="AA159" s="10"/>
    </row>
    <row r="160" spans="1:27" x14ac:dyDescent="0.25">
      <c r="A160" s="14">
        <f>'Notes &amp; Assumptions'!A47</f>
        <v>34</v>
      </c>
      <c r="C160" s="1"/>
      <c r="D160" s="1"/>
      <c r="E160" t="s">
        <v>140</v>
      </c>
      <c r="F160" t="s">
        <v>43</v>
      </c>
      <c r="H160" s="10"/>
      <c r="I160" s="10"/>
      <c r="J160" s="10"/>
      <c r="K160" s="10"/>
      <c r="L160" s="10"/>
      <c r="M160" s="10"/>
      <c r="N160" s="10"/>
      <c r="O160" s="10"/>
      <c r="P160" s="10"/>
      <c r="Q160" s="10"/>
      <c r="R160" s="10"/>
      <c r="S160" s="10"/>
      <c r="T160" s="10"/>
      <c r="U160" s="10"/>
      <c r="V160" s="10"/>
      <c r="W160" s="10"/>
      <c r="X160" s="10"/>
      <c r="Y160" s="10"/>
      <c r="Z160" s="10"/>
      <c r="AA160" s="10"/>
    </row>
    <row r="161" spans="1:27" x14ac:dyDescent="0.25">
      <c r="C161" s="1"/>
      <c r="D161" s="1"/>
      <c r="E161" t="s">
        <v>64</v>
      </c>
      <c r="F161" t="s">
        <v>144</v>
      </c>
      <c r="H161" s="2">
        <f>H154*H158</f>
        <v>0</v>
      </c>
      <c r="I161" s="2">
        <f t="shared" ref="I161:AA161" si="58">I154*I158</f>
        <v>0</v>
      </c>
      <c r="J161" s="2">
        <f t="shared" si="58"/>
        <v>0</v>
      </c>
      <c r="K161" s="2">
        <f t="shared" si="58"/>
        <v>0</v>
      </c>
      <c r="L161" s="2">
        <f t="shared" si="58"/>
        <v>0</v>
      </c>
      <c r="M161" s="2">
        <f t="shared" si="58"/>
        <v>0</v>
      </c>
      <c r="N161" s="2">
        <f t="shared" si="58"/>
        <v>0</v>
      </c>
      <c r="O161" s="2">
        <f t="shared" si="58"/>
        <v>0</v>
      </c>
      <c r="P161" s="2">
        <f t="shared" si="58"/>
        <v>0</v>
      </c>
      <c r="Q161" s="2">
        <f t="shared" si="58"/>
        <v>0</v>
      </c>
      <c r="R161" s="2">
        <f t="shared" si="58"/>
        <v>0</v>
      </c>
      <c r="S161" s="2">
        <f t="shared" si="58"/>
        <v>0</v>
      </c>
      <c r="T161" s="2">
        <f t="shared" si="58"/>
        <v>0</v>
      </c>
      <c r="U161" s="2">
        <f t="shared" si="58"/>
        <v>0</v>
      </c>
      <c r="V161" s="2">
        <f t="shared" si="58"/>
        <v>0</v>
      </c>
      <c r="W161" s="2">
        <f t="shared" si="58"/>
        <v>0</v>
      </c>
      <c r="X161" s="2">
        <f t="shared" si="58"/>
        <v>0</v>
      </c>
      <c r="Y161" s="2">
        <f t="shared" si="58"/>
        <v>0</v>
      </c>
      <c r="Z161" s="2">
        <f t="shared" si="58"/>
        <v>0</v>
      </c>
      <c r="AA161" s="2">
        <f t="shared" si="58"/>
        <v>0</v>
      </c>
    </row>
    <row r="162" spans="1:27" x14ac:dyDescent="0.25">
      <c r="C162" s="1"/>
      <c r="D162" s="1"/>
      <c r="E162" t="s">
        <v>65</v>
      </c>
      <c r="F162" t="s">
        <v>144</v>
      </c>
      <c r="H162" s="2">
        <f>H154*H159</f>
        <v>0</v>
      </c>
      <c r="I162" s="2">
        <f t="shared" ref="I162:AA162" si="59">I154*I159</f>
        <v>0</v>
      </c>
      <c r="J162" s="2">
        <f t="shared" si="59"/>
        <v>0</v>
      </c>
      <c r="K162" s="2">
        <f t="shared" si="59"/>
        <v>0</v>
      </c>
      <c r="L162" s="2">
        <f t="shared" si="59"/>
        <v>0</v>
      </c>
      <c r="M162" s="2">
        <f t="shared" si="59"/>
        <v>0</v>
      </c>
      <c r="N162" s="2">
        <f t="shared" si="59"/>
        <v>0</v>
      </c>
      <c r="O162" s="2">
        <f t="shared" si="59"/>
        <v>0</v>
      </c>
      <c r="P162" s="2">
        <f t="shared" si="59"/>
        <v>0</v>
      </c>
      <c r="Q162" s="2">
        <f t="shared" si="59"/>
        <v>0</v>
      </c>
      <c r="R162" s="2">
        <f t="shared" si="59"/>
        <v>0</v>
      </c>
      <c r="S162" s="2">
        <f t="shared" si="59"/>
        <v>0</v>
      </c>
      <c r="T162" s="2">
        <f t="shared" si="59"/>
        <v>0</v>
      </c>
      <c r="U162" s="2">
        <f t="shared" si="59"/>
        <v>0</v>
      </c>
      <c r="V162" s="2">
        <f t="shared" si="59"/>
        <v>0</v>
      </c>
      <c r="W162" s="2">
        <f t="shared" si="59"/>
        <v>0</v>
      </c>
      <c r="X162" s="2">
        <f t="shared" si="59"/>
        <v>0</v>
      </c>
      <c r="Y162" s="2">
        <f t="shared" si="59"/>
        <v>0</v>
      </c>
      <c r="Z162" s="2">
        <f t="shared" si="59"/>
        <v>0</v>
      </c>
      <c r="AA162" s="2">
        <f t="shared" si="59"/>
        <v>0</v>
      </c>
    </row>
    <row r="163" spans="1:27" x14ac:dyDescent="0.25">
      <c r="C163" s="1"/>
      <c r="D163" s="1"/>
      <c r="E163" t="s">
        <v>141</v>
      </c>
      <c r="F163" t="s">
        <v>144</v>
      </c>
      <c r="H163" s="2">
        <f>H154*H160</f>
        <v>0</v>
      </c>
      <c r="I163" s="2">
        <f t="shared" ref="I163:AA163" si="60">I154*I160</f>
        <v>0</v>
      </c>
      <c r="J163" s="2">
        <f t="shared" si="60"/>
        <v>0</v>
      </c>
      <c r="K163" s="2">
        <f t="shared" si="60"/>
        <v>0</v>
      </c>
      <c r="L163" s="2">
        <f t="shared" si="60"/>
        <v>0</v>
      </c>
      <c r="M163" s="2">
        <f t="shared" si="60"/>
        <v>0</v>
      </c>
      <c r="N163" s="2">
        <f t="shared" si="60"/>
        <v>0</v>
      </c>
      <c r="O163" s="2">
        <f t="shared" si="60"/>
        <v>0</v>
      </c>
      <c r="P163" s="2">
        <f t="shared" si="60"/>
        <v>0</v>
      </c>
      <c r="Q163" s="2">
        <f t="shared" si="60"/>
        <v>0</v>
      </c>
      <c r="R163" s="2">
        <f t="shared" si="60"/>
        <v>0</v>
      </c>
      <c r="S163" s="2">
        <f t="shared" si="60"/>
        <v>0</v>
      </c>
      <c r="T163" s="2">
        <f t="shared" si="60"/>
        <v>0</v>
      </c>
      <c r="U163" s="2">
        <f t="shared" si="60"/>
        <v>0</v>
      </c>
      <c r="V163" s="2">
        <f t="shared" si="60"/>
        <v>0</v>
      </c>
      <c r="W163" s="2">
        <f t="shared" si="60"/>
        <v>0</v>
      </c>
      <c r="X163" s="2">
        <f t="shared" si="60"/>
        <v>0</v>
      </c>
      <c r="Y163" s="2">
        <f t="shared" si="60"/>
        <v>0</v>
      </c>
      <c r="Z163" s="2">
        <f t="shared" si="60"/>
        <v>0</v>
      </c>
      <c r="AA163" s="2">
        <f t="shared" si="60"/>
        <v>0</v>
      </c>
    </row>
    <row r="164" spans="1:27" x14ac:dyDescent="0.25">
      <c r="A164" s="14">
        <f>'Notes &amp; Assumptions'!A48</f>
        <v>35</v>
      </c>
      <c r="C164" s="1"/>
      <c r="D164" s="1"/>
      <c r="E164" t="s">
        <v>66</v>
      </c>
      <c r="F164" t="s">
        <v>8</v>
      </c>
      <c r="H164" s="11"/>
      <c r="I164" s="11"/>
      <c r="J164" s="11"/>
      <c r="K164" s="11"/>
      <c r="L164" s="11"/>
      <c r="M164" s="11"/>
      <c r="N164" s="11"/>
      <c r="O164" s="11"/>
      <c r="P164" s="11"/>
      <c r="Q164" s="11"/>
      <c r="R164" s="11"/>
      <c r="S164" s="11"/>
      <c r="T164" s="11"/>
      <c r="U164" s="11"/>
      <c r="V164" s="11"/>
      <c r="W164" s="11"/>
      <c r="X164" s="11"/>
      <c r="Y164" s="11"/>
      <c r="Z164" s="11"/>
      <c r="AA164" s="11"/>
    </row>
    <row r="165" spans="1:27" x14ac:dyDescent="0.25">
      <c r="A165" s="14">
        <f>'Notes &amp; Assumptions'!A49</f>
        <v>36</v>
      </c>
      <c r="C165" s="1"/>
      <c r="D165" s="1"/>
      <c r="E165" t="s">
        <v>40</v>
      </c>
      <c r="F165" t="s">
        <v>41</v>
      </c>
      <c r="G165" s="10"/>
      <c r="H165" s="2">
        <f>G165*(1+$G$14)*(1+H164)</f>
        <v>0</v>
      </c>
      <c r="I165" s="2">
        <f t="shared" ref="I165:AA165" si="61">H165*(1+$G$14)*(1+I164)</f>
        <v>0</v>
      </c>
      <c r="J165" s="2">
        <f t="shared" si="61"/>
        <v>0</v>
      </c>
      <c r="K165" s="2">
        <f t="shared" si="61"/>
        <v>0</v>
      </c>
      <c r="L165" s="2">
        <f t="shared" si="61"/>
        <v>0</v>
      </c>
      <c r="M165" s="2">
        <f t="shared" si="61"/>
        <v>0</v>
      </c>
      <c r="N165" s="2">
        <f t="shared" si="61"/>
        <v>0</v>
      </c>
      <c r="O165" s="2">
        <f t="shared" si="61"/>
        <v>0</v>
      </c>
      <c r="P165" s="2">
        <f t="shared" si="61"/>
        <v>0</v>
      </c>
      <c r="Q165" s="2">
        <f t="shared" si="61"/>
        <v>0</v>
      </c>
      <c r="R165" s="2">
        <f t="shared" si="61"/>
        <v>0</v>
      </c>
      <c r="S165" s="2">
        <f t="shared" si="61"/>
        <v>0</v>
      </c>
      <c r="T165" s="2">
        <f t="shared" si="61"/>
        <v>0</v>
      </c>
      <c r="U165" s="2">
        <f t="shared" si="61"/>
        <v>0</v>
      </c>
      <c r="V165" s="2">
        <f t="shared" si="61"/>
        <v>0</v>
      </c>
      <c r="W165" s="2">
        <f t="shared" si="61"/>
        <v>0</v>
      </c>
      <c r="X165" s="2">
        <f t="shared" si="61"/>
        <v>0</v>
      </c>
      <c r="Y165" s="2">
        <f t="shared" si="61"/>
        <v>0</v>
      </c>
      <c r="Z165" s="2">
        <f t="shared" si="61"/>
        <v>0</v>
      </c>
      <c r="AA165" s="2">
        <f t="shared" si="61"/>
        <v>0</v>
      </c>
    </row>
    <row r="166" spans="1:27" x14ac:dyDescent="0.25">
      <c r="C166" s="1"/>
      <c r="D166" s="1"/>
      <c r="E166" t="s">
        <v>67</v>
      </c>
      <c r="F166" t="s">
        <v>143</v>
      </c>
      <c r="G166" s="20"/>
      <c r="H166" s="21">
        <f>G166*(1+$G$14)*(1+H164)</f>
        <v>0</v>
      </c>
      <c r="I166" s="21">
        <f t="shared" ref="I166:AA166" si="62">H166*(1+$G$14)*(1+I164)</f>
        <v>0</v>
      </c>
      <c r="J166" s="21">
        <f t="shared" si="62"/>
        <v>0</v>
      </c>
      <c r="K166" s="21">
        <f t="shared" si="62"/>
        <v>0</v>
      </c>
      <c r="L166" s="21">
        <f t="shared" si="62"/>
        <v>0</v>
      </c>
      <c r="M166" s="21">
        <f t="shared" si="62"/>
        <v>0</v>
      </c>
      <c r="N166" s="21">
        <f t="shared" si="62"/>
        <v>0</v>
      </c>
      <c r="O166" s="21">
        <f t="shared" si="62"/>
        <v>0</v>
      </c>
      <c r="P166" s="21">
        <f t="shared" si="62"/>
        <v>0</v>
      </c>
      <c r="Q166" s="21">
        <f t="shared" si="62"/>
        <v>0</v>
      </c>
      <c r="R166" s="21">
        <f t="shared" si="62"/>
        <v>0</v>
      </c>
      <c r="S166" s="21">
        <f t="shared" si="62"/>
        <v>0</v>
      </c>
      <c r="T166" s="21">
        <f t="shared" si="62"/>
        <v>0</v>
      </c>
      <c r="U166" s="21">
        <f t="shared" si="62"/>
        <v>0</v>
      </c>
      <c r="V166" s="21">
        <f t="shared" si="62"/>
        <v>0</v>
      </c>
      <c r="W166" s="21">
        <f t="shared" si="62"/>
        <v>0</v>
      </c>
      <c r="X166" s="21">
        <f t="shared" si="62"/>
        <v>0</v>
      </c>
      <c r="Y166" s="21">
        <f t="shared" si="62"/>
        <v>0</v>
      </c>
      <c r="Z166" s="21">
        <f t="shared" si="62"/>
        <v>0</v>
      </c>
      <c r="AA166" s="21">
        <f t="shared" si="62"/>
        <v>0</v>
      </c>
    </row>
    <row r="167" spans="1:27" x14ac:dyDescent="0.25">
      <c r="C167" s="1"/>
      <c r="D167" s="1"/>
      <c r="E167" t="s">
        <v>68</v>
      </c>
      <c r="F167" t="s">
        <v>143</v>
      </c>
      <c r="G167" s="20"/>
      <c r="H167" s="21">
        <f>G167*(1+$G$14)*(1+H164)</f>
        <v>0</v>
      </c>
      <c r="I167" s="21">
        <f t="shared" ref="I167:AA167" si="63">H167*(1+$G$14)*(1+I164)</f>
        <v>0</v>
      </c>
      <c r="J167" s="21">
        <f t="shared" si="63"/>
        <v>0</v>
      </c>
      <c r="K167" s="21">
        <f t="shared" si="63"/>
        <v>0</v>
      </c>
      <c r="L167" s="21">
        <f t="shared" si="63"/>
        <v>0</v>
      </c>
      <c r="M167" s="21">
        <f t="shared" si="63"/>
        <v>0</v>
      </c>
      <c r="N167" s="21">
        <f t="shared" si="63"/>
        <v>0</v>
      </c>
      <c r="O167" s="21">
        <f t="shared" si="63"/>
        <v>0</v>
      </c>
      <c r="P167" s="21">
        <f t="shared" si="63"/>
        <v>0</v>
      </c>
      <c r="Q167" s="21">
        <f t="shared" si="63"/>
        <v>0</v>
      </c>
      <c r="R167" s="21">
        <f t="shared" si="63"/>
        <v>0</v>
      </c>
      <c r="S167" s="21">
        <f t="shared" si="63"/>
        <v>0</v>
      </c>
      <c r="T167" s="21">
        <f t="shared" si="63"/>
        <v>0</v>
      </c>
      <c r="U167" s="21">
        <f t="shared" si="63"/>
        <v>0</v>
      </c>
      <c r="V167" s="21">
        <f t="shared" si="63"/>
        <v>0</v>
      </c>
      <c r="W167" s="21">
        <f t="shared" si="63"/>
        <v>0</v>
      </c>
      <c r="X167" s="21">
        <f t="shared" si="63"/>
        <v>0</v>
      </c>
      <c r="Y167" s="21">
        <f t="shared" si="63"/>
        <v>0</v>
      </c>
      <c r="Z167" s="21">
        <f t="shared" si="63"/>
        <v>0</v>
      </c>
      <c r="AA167" s="21">
        <f t="shared" si="63"/>
        <v>0</v>
      </c>
    </row>
    <row r="168" spans="1:27" x14ac:dyDescent="0.25">
      <c r="C168" s="1"/>
      <c r="D168" s="1"/>
      <c r="E168" t="s">
        <v>142</v>
      </c>
      <c r="F168" t="s">
        <v>143</v>
      </c>
      <c r="G168" s="20"/>
      <c r="H168" s="21">
        <f>G168*(1+$G$14)*(1+H164)</f>
        <v>0</v>
      </c>
      <c r="I168" s="21">
        <f t="shared" ref="I168:AA168" si="64">H168*(1+$G$14)*(1+I164)</f>
        <v>0</v>
      </c>
      <c r="J168" s="21">
        <f t="shared" si="64"/>
        <v>0</v>
      </c>
      <c r="K168" s="21">
        <f t="shared" si="64"/>
        <v>0</v>
      </c>
      <c r="L168" s="21">
        <f t="shared" si="64"/>
        <v>0</v>
      </c>
      <c r="M168" s="21">
        <f t="shared" si="64"/>
        <v>0</v>
      </c>
      <c r="N168" s="21">
        <f t="shared" si="64"/>
        <v>0</v>
      </c>
      <c r="O168" s="21">
        <f t="shared" si="64"/>
        <v>0</v>
      </c>
      <c r="P168" s="21">
        <f t="shared" si="64"/>
        <v>0</v>
      </c>
      <c r="Q168" s="21">
        <f t="shared" si="64"/>
        <v>0</v>
      </c>
      <c r="R168" s="21">
        <f t="shared" si="64"/>
        <v>0</v>
      </c>
      <c r="S168" s="21">
        <f t="shared" si="64"/>
        <v>0</v>
      </c>
      <c r="T168" s="21">
        <f t="shared" si="64"/>
        <v>0</v>
      </c>
      <c r="U168" s="21">
        <f t="shared" si="64"/>
        <v>0</v>
      </c>
      <c r="V168" s="21">
        <f t="shared" si="64"/>
        <v>0</v>
      </c>
      <c r="W168" s="21">
        <f t="shared" si="64"/>
        <v>0</v>
      </c>
      <c r="X168" s="21">
        <f t="shared" si="64"/>
        <v>0</v>
      </c>
      <c r="Y168" s="21">
        <f t="shared" si="64"/>
        <v>0</v>
      </c>
      <c r="Z168" s="21">
        <f t="shared" si="64"/>
        <v>0</v>
      </c>
      <c r="AA168" s="21">
        <f t="shared" si="64"/>
        <v>0</v>
      </c>
    </row>
    <row r="169" spans="1:27" x14ac:dyDescent="0.25">
      <c r="C169" s="1"/>
      <c r="D169" s="1"/>
    </row>
    <row r="170" spans="1:27" x14ac:dyDescent="0.25">
      <c r="C170" s="1"/>
      <c r="D170" s="1"/>
      <c r="E170" t="s">
        <v>78</v>
      </c>
      <c r="F170" t="s">
        <v>58</v>
      </c>
      <c r="H170" s="2">
        <f>SUM(H161:H163)/1000</f>
        <v>0</v>
      </c>
      <c r="I170" s="2">
        <f t="shared" ref="I170:AA170" si="65">SUM(I161:I163)/1000</f>
        <v>0</v>
      </c>
      <c r="J170" s="2">
        <f t="shared" si="65"/>
        <v>0</v>
      </c>
      <c r="K170" s="2">
        <f t="shared" si="65"/>
        <v>0</v>
      </c>
      <c r="L170" s="2">
        <f t="shared" si="65"/>
        <v>0</v>
      </c>
      <c r="M170" s="2">
        <f t="shared" si="65"/>
        <v>0</v>
      </c>
      <c r="N170" s="2">
        <f t="shared" si="65"/>
        <v>0</v>
      </c>
      <c r="O170" s="2">
        <f t="shared" si="65"/>
        <v>0</v>
      </c>
      <c r="P170" s="2">
        <f t="shared" si="65"/>
        <v>0</v>
      </c>
      <c r="Q170" s="2">
        <f t="shared" si="65"/>
        <v>0</v>
      </c>
      <c r="R170" s="2">
        <f t="shared" si="65"/>
        <v>0</v>
      </c>
      <c r="S170" s="2">
        <f t="shared" si="65"/>
        <v>0</v>
      </c>
      <c r="T170" s="2">
        <f t="shared" si="65"/>
        <v>0</v>
      </c>
      <c r="U170" s="2">
        <f t="shared" si="65"/>
        <v>0</v>
      </c>
      <c r="V170" s="2">
        <f t="shared" si="65"/>
        <v>0</v>
      </c>
      <c r="W170" s="2">
        <f t="shared" si="65"/>
        <v>0</v>
      </c>
      <c r="X170" s="2">
        <f t="shared" si="65"/>
        <v>0</v>
      </c>
      <c r="Y170" s="2">
        <f t="shared" si="65"/>
        <v>0</v>
      </c>
      <c r="Z170" s="2">
        <f t="shared" si="65"/>
        <v>0</v>
      </c>
      <c r="AA170" s="2">
        <f t="shared" si="65"/>
        <v>0</v>
      </c>
    </row>
    <row r="171" spans="1:27" x14ac:dyDescent="0.25">
      <c r="C171" s="1"/>
      <c r="D171" s="1"/>
      <c r="E171" t="s">
        <v>79</v>
      </c>
      <c r="F171" t="s">
        <v>7</v>
      </c>
      <c r="H171" s="2">
        <f>H154*H165+H161*H166+H162*H167+H163*H168</f>
        <v>0</v>
      </c>
      <c r="I171" s="2">
        <f t="shared" ref="I171:AA171" si="66">I154*I165+I161*I166+I162*I167+I163*I168</f>
        <v>0</v>
      </c>
      <c r="J171" s="2">
        <f t="shared" si="66"/>
        <v>0</v>
      </c>
      <c r="K171" s="2">
        <f t="shared" si="66"/>
        <v>0</v>
      </c>
      <c r="L171" s="2">
        <f t="shared" si="66"/>
        <v>0</v>
      </c>
      <c r="M171" s="2">
        <f t="shared" si="66"/>
        <v>0</v>
      </c>
      <c r="N171" s="2">
        <f t="shared" si="66"/>
        <v>0</v>
      </c>
      <c r="O171" s="2">
        <f t="shared" si="66"/>
        <v>0</v>
      </c>
      <c r="P171" s="2">
        <f t="shared" si="66"/>
        <v>0</v>
      </c>
      <c r="Q171" s="2">
        <f t="shared" si="66"/>
        <v>0</v>
      </c>
      <c r="R171" s="2">
        <f t="shared" si="66"/>
        <v>0</v>
      </c>
      <c r="S171" s="2">
        <f t="shared" si="66"/>
        <v>0</v>
      </c>
      <c r="T171" s="2">
        <f t="shared" si="66"/>
        <v>0</v>
      </c>
      <c r="U171" s="2">
        <f t="shared" si="66"/>
        <v>0</v>
      </c>
      <c r="V171" s="2">
        <f t="shared" si="66"/>
        <v>0</v>
      </c>
      <c r="W171" s="2">
        <f t="shared" si="66"/>
        <v>0</v>
      </c>
      <c r="X171" s="2">
        <f t="shared" si="66"/>
        <v>0</v>
      </c>
      <c r="Y171" s="2">
        <f t="shared" si="66"/>
        <v>0</v>
      </c>
      <c r="Z171" s="2">
        <f t="shared" si="66"/>
        <v>0</v>
      </c>
      <c r="AA171" s="2">
        <f t="shared" si="66"/>
        <v>0</v>
      </c>
    </row>
    <row r="172" spans="1:27" x14ac:dyDescent="0.25">
      <c r="C172" s="1"/>
      <c r="D172" s="1"/>
    </row>
    <row r="173" spans="1:27" x14ac:dyDescent="0.25">
      <c r="C173" s="1"/>
      <c r="D173" t="s">
        <v>80</v>
      </c>
    </row>
    <row r="174" spans="1:27" x14ac:dyDescent="0.25">
      <c r="C174" s="1"/>
      <c r="E174" t="s">
        <v>91</v>
      </c>
      <c r="F174" t="s">
        <v>3</v>
      </c>
      <c r="H174">
        <f t="shared" ref="H174:AA175" si="67">SUM(H93,H114,H135,H156)</f>
        <v>9974</v>
      </c>
      <c r="I174">
        <f t="shared" si="67"/>
        <v>9448</v>
      </c>
      <c r="J174">
        <f t="shared" si="67"/>
        <v>9093.2999999999993</v>
      </c>
      <c r="K174">
        <f t="shared" si="67"/>
        <v>8278.1999999999989</v>
      </c>
      <c r="L174">
        <f t="shared" si="67"/>
        <v>7494.2999999999984</v>
      </c>
      <c r="M174">
        <f t="shared" si="67"/>
        <v>6751.9999999999982</v>
      </c>
      <c r="N174">
        <f t="shared" si="67"/>
        <v>6052.699999999998</v>
      </c>
      <c r="O174">
        <f t="shared" si="67"/>
        <v>5394.0999999999976</v>
      </c>
      <c r="P174">
        <f t="shared" si="67"/>
        <v>5266.8999999999978</v>
      </c>
      <c r="Q174">
        <f t="shared" si="67"/>
        <v>5114.2999999999984</v>
      </c>
      <c r="R174">
        <f t="shared" si="67"/>
        <v>5414.4999999999982</v>
      </c>
      <c r="S174">
        <f t="shared" si="67"/>
        <v>5741.199999999998</v>
      </c>
      <c r="T174">
        <f t="shared" si="67"/>
        <v>6076.4999999999982</v>
      </c>
      <c r="U174">
        <f t="shared" si="67"/>
        <v>6034.3999999999978</v>
      </c>
      <c r="V174">
        <f t="shared" si="67"/>
        <v>5995.3999999999978</v>
      </c>
      <c r="W174">
        <f t="shared" si="67"/>
        <v>0</v>
      </c>
      <c r="X174">
        <f t="shared" si="67"/>
        <v>0</v>
      </c>
      <c r="Y174">
        <f t="shared" si="67"/>
        <v>0</v>
      </c>
      <c r="Z174">
        <f t="shared" si="67"/>
        <v>0</v>
      </c>
      <c r="AA174">
        <f t="shared" si="67"/>
        <v>0</v>
      </c>
    </row>
    <row r="175" spans="1:27" x14ac:dyDescent="0.25">
      <c r="C175" s="1"/>
      <c r="D175" s="1"/>
      <c r="E175" t="s">
        <v>90</v>
      </c>
      <c r="F175" t="s">
        <v>3</v>
      </c>
      <c r="H175">
        <f t="shared" si="67"/>
        <v>9974</v>
      </c>
      <c r="I175">
        <f t="shared" si="67"/>
        <v>19422</v>
      </c>
      <c r="J175">
        <f t="shared" si="67"/>
        <v>28515.3</v>
      </c>
      <c r="K175">
        <f t="shared" si="67"/>
        <v>36793.5</v>
      </c>
      <c r="L175">
        <f t="shared" si="67"/>
        <v>44287.799999999996</v>
      </c>
      <c r="M175">
        <f t="shared" si="67"/>
        <v>51039.799999999996</v>
      </c>
      <c r="N175">
        <f t="shared" si="67"/>
        <v>57092.499999999993</v>
      </c>
      <c r="O175">
        <f t="shared" si="67"/>
        <v>62486.599999999991</v>
      </c>
      <c r="P175">
        <f t="shared" si="67"/>
        <v>67753.499999999985</v>
      </c>
      <c r="Q175">
        <f t="shared" si="67"/>
        <v>72867.799999999988</v>
      </c>
      <c r="R175">
        <f t="shared" si="67"/>
        <v>78282.299999999988</v>
      </c>
      <c r="S175">
        <f t="shared" si="67"/>
        <v>84023.499999999985</v>
      </c>
      <c r="T175">
        <f t="shared" si="67"/>
        <v>90099.999999999985</v>
      </c>
      <c r="U175">
        <f t="shared" si="67"/>
        <v>96134.39999999998</v>
      </c>
      <c r="V175">
        <f t="shared" si="67"/>
        <v>102129.79999999997</v>
      </c>
      <c r="W175">
        <f t="shared" si="67"/>
        <v>102129.79999999997</v>
      </c>
      <c r="X175">
        <f t="shared" si="67"/>
        <v>102129.79999999997</v>
      </c>
      <c r="Y175">
        <f t="shared" si="67"/>
        <v>102129.79999999997</v>
      </c>
      <c r="Z175">
        <f t="shared" si="67"/>
        <v>102129.79999999997</v>
      </c>
      <c r="AA175">
        <f t="shared" si="67"/>
        <v>102129.79999999997</v>
      </c>
    </row>
    <row r="176" spans="1:27" x14ac:dyDescent="0.25">
      <c r="C176" s="1"/>
      <c r="D176" s="1"/>
      <c r="E176" t="s">
        <v>81</v>
      </c>
      <c r="F176" t="s">
        <v>58</v>
      </c>
      <c r="H176" s="2">
        <f>SUM(H107,H128,H149,H170)</f>
        <v>1734.38</v>
      </c>
      <c r="I176" s="2">
        <f t="shared" ref="H176:AA177" si="68">SUM(I107,I128,I149,I170)</f>
        <v>3389.8599999999997</v>
      </c>
      <c r="J176" s="2">
        <f t="shared" si="68"/>
        <v>4997.3149999999996</v>
      </c>
      <c r="K176" s="2">
        <f t="shared" si="68"/>
        <v>6472.1450000000004</v>
      </c>
      <c r="L176" s="2">
        <f t="shared" si="68"/>
        <v>7821.619999999999</v>
      </c>
      <c r="M176" s="2">
        <f t="shared" si="68"/>
        <v>9049.39</v>
      </c>
      <c r="N176" s="2">
        <f t="shared" si="68"/>
        <v>10164.494999999999</v>
      </c>
      <c r="O176" s="2">
        <f t="shared" si="68"/>
        <v>11173.039999999997</v>
      </c>
      <c r="P176" s="2">
        <f t="shared" si="68"/>
        <v>12172.864999999998</v>
      </c>
      <c r="Q176" s="2">
        <f t="shared" si="68"/>
        <v>13162.749999999998</v>
      </c>
      <c r="R176" s="2">
        <f t="shared" si="68"/>
        <v>14210.614999999998</v>
      </c>
      <c r="S176" s="2">
        <f t="shared" si="68"/>
        <v>15323.024999999998</v>
      </c>
      <c r="T176" s="2">
        <f t="shared" si="68"/>
        <v>16498.679999999997</v>
      </c>
      <c r="U176" s="2">
        <f t="shared" si="68"/>
        <v>17665.429999999997</v>
      </c>
      <c r="V176" s="2">
        <f t="shared" si="68"/>
        <v>18826.329999999998</v>
      </c>
      <c r="W176" s="2">
        <f t="shared" si="68"/>
        <v>18826.329999999998</v>
      </c>
      <c r="X176" s="2">
        <f t="shared" si="68"/>
        <v>18826.329999999998</v>
      </c>
      <c r="Y176" s="2">
        <f t="shared" si="68"/>
        <v>18826.329999999998</v>
      </c>
      <c r="Z176" s="2">
        <f t="shared" si="68"/>
        <v>18826.329999999998</v>
      </c>
      <c r="AA176" s="2">
        <f t="shared" si="68"/>
        <v>18826.329999999998</v>
      </c>
    </row>
    <row r="177" spans="1:27" x14ac:dyDescent="0.25">
      <c r="C177" s="1"/>
      <c r="D177" s="1"/>
      <c r="E177" t="s">
        <v>82</v>
      </c>
      <c r="F177" t="s">
        <v>7</v>
      </c>
      <c r="H177" s="2">
        <f t="shared" si="68"/>
        <v>6467997.8506837934</v>
      </c>
      <c r="I177" s="2">
        <f t="shared" si="68"/>
        <v>12547348.701075982</v>
      </c>
      <c r="J177" s="2">
        <f t="shared" si="68"/>
        <v>18875434.16233049</v>
      </c>
      <c r="K177" s="2">
        <f t="shared" si="68"/>
        <v>24947068.687509734</v>
      </c>
      <c r="L177" s="2">
        <f t="shared" si="68"/>
        <v>30765522.21752084</v>
      </c>
      <c r="M177" s="2">
        <f t="shared" si="68"/>
        <v>36323604.283287503</v>
      </c>
      <c r="N177" s="2">
        <f t="shared" si="68"/>
        <v>41633729.277051948</v>
      </c>
      <c r="O177" s="2">
        <f t="shared" si="68"/>
        <v>46699364.076455534</v>
      </c>
      <c r="P177" s="2">
        <f t="shared" si="68"/>
        <v>51914368.829924114</v>
      </c>
      <c r="Q177" s="2">
        <f t="shared" si="68"/>
        <v>57274632.273385972</v>
      </c>
      <c r="R177" s="2">
        <f t="shared" si="68"/>
        <v>63092559.601128347</v>
      </c>
      <c r="S177" s="2">
        <f t="shared" si="68"/>
        <v>69419107.436178505</v>
      </c>
      <c r="T177" s="2">
        <f t="shared" si="68"/>
        <v>76274841.895825952</v>
      </c>
      <c r="U177" s="2">
        <f t="shared" si="68"/>
        <v>83346592.142628074</v>
      </c>
      <c r="V177" s="2">
        <f t="shared" si="68"/>
        <v>90652729.802196354</v>
      </c>
      <c r="W177" s="2">
        <f t="shared" si="68"/>
        <v>92556437.128042489</v>
      </c>
      <c r="X177" s="2">
        <f t="shared" si="68"/>
        <v>94500122.30773136</v>
      </c>
      <c r="Y177" s="2">
        <f t="shared" si="68"/>
        <v>96484624.876193717</v>
      </c>
      <c r="Z177" s="2">
        <f t="shared" si="68"/>
        <v>98510801.998593777</v>
      </c>
      <c r="AA177" s="2">
        <f t="shared" si="68"/>
        <v>100579528.84056422</v>
      </c>
    </row>
    <row r="178" spans="1:27" x14ac:dyDescent="0.25">
      <c r="C178" s="1"/>
      <c r="D178" s="1"/>
    </row>
    <row r="179" spans="1:27" x14ac:dyDescent="0.25">
      <c r="C179" s="1"/>
      <c r="D179" s="1"/>
      <c r="E179" s="3" t="s">
        <v>84</v>
      </c>
      <c r="F179" s="3" t="s">
        <v>85</v>
      </c>
      <c r="G179" s="3"/>
      <c r="H179" s="9">
        <f>H176*1000/H175</f>
        <v>173.89011429717266</v>
      </c>
      <c r="I179" s="9">
        <f t="shared" ref="I179:AA179" si="69">I176*1000/I175</f>
        <v>174.53712285037585</v>
      </c>
      <c r="J179" s="9">
        <f t="shared" si="69"/>
        <v>175.25030422264538</v>
      </c>
      <c r="K179" s="9">
        <f t="shared" si="69"/>
        <v>175.90457553643986</v>
      </c>
      <c r="L179" s="9">
        <f t="shared" si="69"/>
        <v>176.60890809658642</v>
      </c>
      <c r="M179" s="9">
        <f t="shared" si="69"/>
        <v>177.30065556683218</v>
      </c>
      <c r="N179" s="9">
        <f t="shared" si="69"/>
        <v>178.03555633401933</v>
      </c>
      <c r="O179" s="9">
        <f t="shared" si="69"/>
        <v>178.80697621570064</v>
      </c>
      <c r="P179" s="9">
        <f t="shared" si="69"/>
        <v>179.6640025976518</v>
      </c>
      <c r="Q179" s="9">
        <f t="shared" si="69"/>
        <v>180.6387732304255</v>
      </c>
      <c r="R179" s="9">
        <f t="shared" si="69"/>
        <v>181.53037148882953</v>
      </c>
      <c r="S179" s="9">
        <f t="shared" si="69"/>
        <v>182.36594524150982</v>
      </c>
      <c r="T179" s="9">
        <f t="shared" si="69"/>
        <v>183.11520532741397</v>
      </c>
      <c r="U179" s="9">
        <f t="shared" si="69"/>
        <v>183.75763514413154</v>
      </c>
      <c r="V179" s="9">
        <f t="shared" si="69"/>
        <v>184.33728451441206</v>
      </c>
      <c r="W179" s="9">
        <f t="shared" si="69"/>
        <v>184.33728451441206</v>
      </c>
      <c r="X179" s="9">
        <f t="shared" si="69"/>
        <v>184.33728451441206</v>
      </c>
      <c r="Y179" s="9">
        <f t="shared" si="69"/>
        <v>184.33728451441206</v>
      </c>
      <c r="Z179" s="9">
        <f t="shared" si="69"/>
        <v>184.33728451441206</v>
      </c>
      <c r="AA179" s="9">
        <f t="shared" si="69"/>
        <v>184.33728451441206</v>
      </c>
    </row>
    <row r="180" spans="1:27" x14ac:dyDescent="0.25">
      <c r="C180" s="1"/>
      <c r="D180" s="1"/>
      <c r="E180" s="3" t="s">
        <v>83</v>
      </c>
      <c r="F180" s="3" t="s">
        <v>22</v>
      </c>
      <c r="G180" s="3"/>
      <c r="H180" s="9">
        <f>H177/H175</f>
        <v>648.48584827389141</v>
      </c>
      <c r="I180" s="9">
        <f t="shared" ref="I180:AA180" si="70">I177/I175</f>
        <v>646.03793126742778</v>
      </c>
      <c r="J180" s="9">
        <f t="shared" si="70"/>
        <v>661.9405779469439</v>
      </c>
      <c r="K180" s="9">
        <f t="shared" si="70"/>
        <v>678.029235802784</v>
      </c>
      <c r="L180" s="9">
        <f t="shared" si="70"/>
        <v>694.67262355594187</v>
      </c>
      <c r="M180" s="9">
        <f t="shared" si="70"/>
        <v>711.67215160105457</v>
      </c>
      <c r="N180" s="9">
        <f t="shared" si="70"/>
        <v>729.23289884051235</v>
      </c>
      <c r="O180" s="9">
        <f t="shared" si="70"/>
        <v>747.35005707552568</v>
      </c>
      <c r="P180" s="9">
        <f t="shared" si="70"/>
        <v>766.22416303104819</v>
      </c>
      <c r="Q180" s="9">
        <f t="shared" si="70"/>
        <v>786.00743090069932</v>
      </c>
      <c r="R180" s="9">
        <f t="shared" si="70"/>
        <v>805.96200675156911</v>
      </c>
      <c r="S180" s="9">
        <f t="shared" si="70"/>
        <v>826.1868100731167</v>
      </c>
      <c r="T180" s="9">
        <f t="shared" si="70"/>
        <v>846.55762370506068</v>
      </c>
      <c r="U180" s="9">
        <f t="shared" si="70"/>
        <v>866.97989629755932</v>
      </c>
      <c r="V180" s="9">
        <f t="shared" si="70"/>
        <v>887.6227095538851</v>
      </c>
      <c r="W180" s="9">
        <f t="shared" si="70"/>
        <v>906.2627864545168</v>
      </c>
      <c r="X180" s="9">
        <f t="shared" si="70"/>
        <v>925.29430497006149</v>
      </c>
      <c r="Y180" s="9">
        <f t="shared" si="70"/>
        <v>944.72548537443276</v>
      </c>
      <c r="Z180" s="9">
        <f t="shared" si="70"/>
        <v>964.56472056729581</v>
      </c>
      <c r="AA180" s="9">
        <f t="shared" si="70"/>
        <v>984.82057969920868</v>
      </c>
    </row>
    <row r="181" spans="1:27" x14ac:dyDescent="0.25">
      <c r="C181" s="1"/>
      <c r="D181" s="1"/>
      <c r="E181" s="3" t="s">
        <v>86</v>
      </c>
      <c r="F181" s="3" t="s">
        <v>4</v>
      </c>
      <c r="G181" s="3"/>
      <c r="H181" s="9">
        <f>H177/H176</f>
        <v>3729.2853069591397</v>
      </c>
      <c r="I181" s="9">
        <f t="shared" ref="I181:AA181" si="71">I177/I176</f>
        <v>3701.4356643271353</v>
      </c>
      <c r="J181" s="9">
        <f t="shared" si="71"/>
        <v>3777.1151432980491</v>
      </c>
      <c r="K181" s="9">
        <f t="shared" si="71"/>
        <v>3854.528705322537</v>
      </c>
      <c r="L181" s="9">
        <f t="shared" si="71"/>
        <v>3933.3951556737406</v>
      </c>
      <c r="M181" s="9">
        <f t="shared" si="71"/>
        <v>4013.9284839406309</v>
      </c>
      <c r="N181" s="9">
        <f t="shared" si="71"/>
        <v>4095.9958440681953</v>
      </c>
      <c r="O181" s="9">
        <f t="shared" si="71"/>
        <v>4179.6470858831208</v>
      </c>
      <c r="P181" s="9">
        <f t="shared" si="71"/>
        <v>4264.7617327493672</v>
      </c>
      <c r="Q181" s="9">
        <f t="shared" si="71"/>
        <v>4351.2664354626486</v>
      </c>
      <c r="R181" s="9">
        <f t="shared" si="71"/>
        <v>4439.819078986262</v>
      </c>
      <c r="S181" s="9">
        <f t="shared" si="71"/>
        <v>4530.3787885341517</v>
      </c>
      <c r="T181" s="9">
        <f t="shared" si="71"/>
        <v>4623.0875376591321</v>
      </c>
      <c r="U181" s="9">
        <f t="shared" si="71"/>
        <v>4718.0618950474509</v>
      </c>
      <c r="V181" s="9">
        <f t="shared" si="71"/>
        <v>4815.2098578000259</v>
      </c>
      <c r="W181" s="9">
        <f t="shared" si="71"/>
        <v>4916.3292648138267</v>
      </c>
      <c r="X181" s="9">
        <f t="shared" si="71"/>
        <v>5019.5721793749162</v>
      </c>
      <c r="Y181" s="9">
        <f t="shared" si="71"/>
        <v>5124.9831951417891</v>
      </c>
      <c r="Z181" s="9">
        <f t="shared" si="71"/>
        <v>5232.6078422397668</v>
      </c>
      <c r="AA181" s="9">
        <f t="shared" si="71"/>
        <v>5342.4926069268004</v>
      </c>
    </row>
    <row r="182" spans="1:27" x14ac:dyDescent="0.25">
      <c r="C182" s="1"/>
      <c r="D182" s="1"/>
    </row>
    <row r="183" spans="1:27" x14ac:dyDescent="0.25">
      <c r="C183" s="1" t="str">
        <f>"Incremental "&amp;VLOOKUP(G4,E320:F322,2,FALSE)&amp;" Charges"</f>
        <v>Incremental Bulk Water Charges</v>
      </c>
      <c r="H183" s="2"/>
      <c r="I183" s="2"/>
      <c r="J183" s="2"/>
      <c r="K183" s="2"/>
      <c r="L183" s="2"/>
      <c r="M183" s="2"/>
      <c r="N183" s="2"/>
      <c r="O183" s="2"/>
      <c r="P183" s="2"/>
      <c r="Q183" s="2"/>
      <c r="R183" s="2"/>
      <c r="S183" s="2"/>
      <c r="T183" s="2"/>
      <c r="U183" s="2"/>
      <c r="V183" s="2"/>
      <c r="W183" s="2"/>
      <c r="X183" s="2"/>
      <c r="Y183" s="2"/>
      <c r="Z183" s="2"/>
      <c r="AA183" s="2"/>
    </row>
    <row r="184" spans="1:27" x14ac:dyDescent="0.25">
      <c r="A184" s="14">
        <f>'Notes &amp; Assumptions'!A50</f>
        <v>37</v>
      </c>
      <c r="E184" t="s">
        <v>118</v>
      </c>
      <c r="F184" t="s">
        <v>8</v>
      </c>
      <c r="H184" s="11">
        <f>'Bulk charges'!E22</f>
        <v>3.4299999999999997E-2</v>
      </c>
      <c r="I184" s="11">
        <f>'Bulk charges'!F22</f>
        <v>7.0000000000000001E-3</v>
      </c>
      <c r="J184" s="11">
        <f>'Bulk charges'!G22</f>
        <v>1.01E-2</v>
      </c>
      <c r="K184" s="11"/>
      <c r="L184" s="11"/>
      <c r="M184" s="11"/>
      <c r="N184" s="11"/>
      <c r="O184" s="11"/>
      <c r="P184" s="11"/>
      <c r="Q184" s="11"/>
      <c r="R184" s="11"/>
      <c r="S184" s="11"/>
      <c r="T184" s="11"/>
      <c r="U184" s="11"/>
      <c r="V184" s="11"/>
      <c r="W184" s="11"/>
      <c r="X184" s="11"/>
      <c r="Y184" s="11"/>
      <c r="Z184" s="11"/>
      <c r="AA184" s="11"/>
    </row>
    <row r="185" spans="1:27" x14ac:dyDescent="0.25">
      <c r="A185" s="14">
        <f>'Notes &amp; Assumptions'!A51</f>
        <v>38</v>
      </c>
      <c r="E185" t="s">
        <v>122</v>
      </c>
      <c r="F185" t="s">
        <v>4</v>
      </c>
      <c r="G185" s="10">
        <f>'Bulk charges'!D23</f>
        <v>260.27774017446001</v>
      </c>
      <c r="H185" s="2">
        <f t="shared" ref="H185:AA185" si="72">G185*(1+$G$14)*(1+H184)</f>
        <v>274.85857726235525</v>
      </c>
      <c r="I185" s="2">
        <f t="shared" si="72"/>
        <v>282.59502163655867</v>
      </c>
      <c r="J185" s="2">
        <f t="shared" si="72"/>
        <v>291.44366521354476</v>
      </c>
      <c r="K185" s="2">
        <f t="shared" si="72"/>
        <v>297.56398218302917</v>
      </c>
      <c r="L185" s="2">
        <f t="shared" si="72"/>
        <v>303.81282580887273</v>
      </c>
      <c r="M185" s="2">
        <f t="shared" si="72"/>
        <v>310.19289515085904</v>
      </c>
      <c r="N185" s="2">
        <f t="shared" si="72"/>
        <v>316.70694594902704</v>
      </c>
      <c r="O185" s="2">
        <f t="shared" si="72"/>
        <v>323.35779181395657</v>
      </c>
      <c r="P185" s="2">
        <f t="shared" si="72"/>
        <v>330.1483054420496</v>
      </c>
      <c r="Q185" s="2">
        <f t="shared" si="72"/>
        <v>337.08141985633262</v>
      </c>
      <c r="R185" s="2">
        <f t="shared" si="72"/>
        <v>344.16012967331557</v>
      </c>
      <c r="S185" s="2">
        <f t="shared" si="72"/>
        <v>351.38749239645517</v>
      </c>
      <c r="T185" s="2">
        <f t="shared" si="72"/>
        <v>358.76662973678071</v>
      </c>
      <c r="U185" s="2">
        <f t="shared" si="72"/>
        <v>366.30072896125307</v>
      </c>
      <c r="V185" s="2">
        <f t="shared" si="72"/>
        <v>373.99304426943934</v>
      </c>
      <c r="W185" s="2">
        <f t="shared" si="72"/>
        <v>381.84689819909755</v>
      </c>
      <c r="X185" s="2">
        <f t="shared" si="72"/>
        <v>389.86568306127856</v>
      </c>
      <c r="Y185" s="2">
        <f t="shared" si="72"/>
        <v>398.05286240556535</v>
      </c>
      <c r="Z185" s="2">
        <f t="shared" si="72"/>
        <v>406.41197251608219</v>
      </c>
      <c r="AA185" s="2">
        <f t="shared" si="72"/>
        <v>414.94662393891986</v>
      </c>
    </row>
    <row r="186" spans="1:27" x14ac:dyDescent="0.25">
      <c r="A186" s="14">
        <f>'Notes &amp; Assumptions'!A52</f>
        <v>39</v>
      </c>
      <c r="E186" t="s">
        <v>123</v>
      </c>
      <c r="F186" t="s">
        <v>7</v>
      </c>
      <c r="G186" s="10">
        <f>'20 New UGB Water'!G186</f>
        <v>353.9658908426249</v>
      </c>
      <c r="H186" s="10">
        <f>$G186*(1+$G$14)^H2*(H154+H133+H112+H91)</f>
        <v>3604595.3669648916</v>
      </c>
      <c r="I186" s="10">
        <f>$G186*(1+$G$14)^I2*(I154+I133+I112+I91)</f>
        <v>7166495.7582467562</v>
      </c>
      <c r="J186" s="10">
        <f t="shared" ref="J186:AA186" si="73">$G186*(1+$G$14)^J2*(J154+J133+J112+J91)</f>
        <v>10742777.613095023</v>
      </c>
      <c r="K186" s="10">
        <f t="shared" si="73"/>
        <v>14152575.643870737</v>
      </c>
      <c r="L186" s="10">
        <f t="shared" si="73"/>
        <v>17392989.382152591</v>
      </c>
      <c r="M186" s="10">
        <f t="shared" si="73"/>
        <v>20465616.448683448</v>
      </c>
      <c r="N186" s="10">
        <f t="shared" si="73"/>
        <v>23373334.230257276</v>
      </c>
      <c r="O186" s="10">
        <f t="shared" si="73"/>
        <v>26118861.682941791</v>
      </c>
      <c r="P186" s="10">
        <f t="shared" si="73"/>
        <v>28915108.60297944</v>
      </c>
      <c r="Q186" s="10">
        <f t="shared" si="73"/>
        <v>31750786.867454067</v>
      </c>
      <c r="R186" s="10">
        <f t="shared" si="73"/>
        <v>34826365.553410091</v>
      </c>
      <c r="S186" s="10">
        <f t="shared" si="73"/>
        <v>38165511.510578603</v>
      </c>
      <c r="T186" s="10">
        <f t="shared" si="73"/>
        <v>41785042.891956396</v>
      </c>
      <c r="U186" s="10">
        <f t="shared" si="73"/>
        <v>45519829.16723346</v>
      </c>
      <c r="V186" s="10">
        <f t="shared" si="73"/>
        <v>49374194.88664075</v>
      </c>
      <c r="W186" s="10">
        <f t="shared" si="73"/>
        <v>50411052.979260206</v>
      </c>
      <c r="X186" s="10">
        <f t="shared" si="73"/>
        <v>51469685.091824666</v>
      </c>
      <c r="Y186" s="10">
        <f t="shared" si="73"/>
        <v>52550548.478752971</v>
      </c>
      <c r="Z186" s="10">
        <f t="shared" si="73"/>
        <v>53654109.996806785</v>
      </c>
      <c r="AA186" s="10">
        <f t="shared" si="73"/>
        <v>54780846.306739718</v>
      </c>
    </row>
    <row r="187" spans="1:27" x14ac:dyDescent="0.25">
      <c r="E187" t="s">
        <v>57</v>
      </c>
      <c r="F187" t="s">
        <v>7</v>
      </c>
      <c r="H187" s="2">
        <f>H185*H176+H186</f>
        <v>4081304.5861971751</v>
      </c>
      <c r="I187" s="2">
        <f t="shared" ref="I187:AA187" si="74">I185*I176+I186</f>
        <v>8124453.3182916604</v>
      </c>
      <c r="J187" s="2">
        <f t="shared" si="74"/>
        <v>12199213.412921648</v>
      </c>
      <c r="K187" s="2">
        <f t="shared" si="74"/>
        <v>16078452.883336719</v>
      </c>
      <c r="L187" s="2">
        <f t="shared" si="74"/>
        <v>19769297.856755786</v>
      </c>
      <c r="M187" s="2">
        <f t="shared" si="74"/>
        <v>23272672.93213268</v>
      </c>
      <c r="N187" s="2">
        <f t="shared" si="74"/>
        <v>26592500.398821432</v>
      </c>
      <c r="O187" s="2">
        <f t="shared" si="74"/>
        <v>29731751.2251908</v>
      </c>
      <c r="P187" s="2">
        <f t="shared" si="74"/>
        <v>32933959.355104275</v>
      </c>
      <c r="Q187" s="2">
        <f t="shared" si="74"/>
        <v>36187705.326668009</v>
      </c>
      <c r="R187" s="2">
        <f t="shared" si="74"/>
        <v>39717092.654547654</v>
      </c>
      <c r="S187" s="2">
        <f t="shared" si="74"/>
        <v>43549830.841256797</v>
      </c>
      <c r="T187" s="2">
        <f t="shared" si="74"/>
        <v>47704218.710662022</v>
      </c>
      <c r="U187" s="2">
        <f t="shared" si="74"/>
        <v>51990689.053647444</v>
      </c>
      <c r="V187" s="2">
        <f t="shared" si="74"/>
        <v>56415111.355761826</v>
      </c>
      <c r="W187" s="2">
        <f t="shared" si="74"/>
        <v>57599828.694232821</v>
      </c>
      <c r="X187" s="2">
        <f t="shared" si="74"/>
        <v>58809425.096811704</v>
      </c>
      <c r="Y187" s="2">
        <f t="shared" si="74"/>
        <v>60044423.023844734</v>
      </c>
      <c r="Z187" s="2">
        <f t="shared" si="74"/>
        <v>61305355.907345481</v>
      </c>
      <c r="AA187" s="2">
        <f t="shared" si="74"/>
        <v>62592768.381399721</v>
      </c>
    </row>
    <row r="188" spans="1:27" x14ac:dyDescent="0.25">
      <c r="H188" s="2"/>
      <c r="I188" s="2"/>
      <c r="J188" s="2"/>
      <c r="K188" s="2"/>
      <c r="L188" s="2"/>
      <c r="M188" s="2"/>
      <c r="N188" s="2"/>
      <c r="O188" s="2"/>
      <c r="P188" s="2"/>
      <c r="Q188" s="2"/>
      <c r="R188" s="2"/>
      <c r="S188" s="2"/>
      <c r="T188" s="2"/>
      <c r="U188" s="2"/>
      <c r="V188" s="2"/>
      <c r="W188" s="2"/>
      <c r="X188" s="2"/>
      <c r="Y188" s="2"/>
      <c r="Z188" s="2"/>
      <c r="AA188" s="2"/>
    </row>
    <row r="189" spans="1:27" x14ac:dyDescent="0.25">
      <c r="C189" s="1" t="s">
        <v>10</v>
      </c>
      <c r="G189" s="2"/>
    </row>
    <row r="190" spans="1:27" x14ac:dyDescent="0.25">
      <c r="C190" s="1"/>
      <c r="D190" t="s">
        <v>149</v>
      </c>
      <c r="G190" s="2"/>
    </row>
    <row r="191" spans="1:27" x14ac:dyDescent="0.25">
      <c r="A191" s="14">
        <f>'Notes &amp; Assumptions'!A53</f>
        <v>40</v>
      </c>
      <c r="C191" s="1"/>
      <c r="E191" t="s">
        <v>125</v>
      </c>
      <c r="G191" s="2"/>
      <c r="H191" s="11"/>
      <c r="I191" s="11"/>
      <c r="J191" s="11"/>
      <c r="K191" s="11"/>
      <c r="L191" s="11"/>
      <c r="M191" s="11"/>
      <c r="N191" s="11"/>
      <c r="O191" s="11"/>
      <c r="P191" s="11"/>
      <c r="Q191" s="11"/>
      <c r="R191" s="11"/>
      <c r="S191" s="11"/>
      <c r="T191" s="11"/>
      <c r="U191" s="11"/>
      <c r="V191" s="11"/>
      <c r="W191" s="11"/>
      <c r="X191" s="11"/>
      <c r="Y191" s="11"/>
      <c r="Z191" s="11"/>
      <c r="AA191" s="11"/>
    </row>
    <row r="192" spans="1:27" x14ac:dyDescent="0.25">
      <c r="A192" s="14">
        <f>'Notes &amp; Assumptions'!A54</f>
        <v>41</v>
      </c>
      <c r="E192" t="s">
        <v>26</v>
      </c>
      <c r="F192" t="s">
        <v>22</v>
      </c>
      <c r="G192" s="10">
        <v>114</v>
      </c>
      <c r="H192" s="2">
        <f t="shared" ref="H192:W193" si="75">G192*(1+$G$14)*(1+H$191)</f>
        <v>116.39399999999999</v>
      </c>
      <c r="I192" s="2">
        <f t="shared" si="75"/>
        <v>118.83827399999998</v>
      </c>
      <c r="J192" s="2">
        <f t="shared" si="75"/>
        <v>121.33387775399997</v>
      </c>
      <c r="K192" s="2">
        <f t="shared" si="75"/>
        <v>123.88188918683396</v>
      </c>
      <c r="L192" s="2">
        <f t="shared" si="75"/>
        <v>126.48340885975746</v>
      </c>
      <c r="M192" s="2">
        <f t="shared" si="75"/>
        <v>129.13956044581235</v>
      </c>
      <c r="N192" s="2">
        <f t="shared" si="75"/>
        <v>131.85149121517441</v>
      </c>
      <c r="O192" s="2">
        <f t="shared" si="75"/>
        <v>134.62037253069306</v>
      </c>
      <c r="P192" s="2">
        <f t="shared" si="75"/>
        <v>137.44740035383759</v>
      </c>
      <c r="Q192" s="2">
        <f t="shared" si="75"/>
        <v>140.33379576126816</v>
      </c>
      <c r="R192" s="2">
        <f t="shared" si="75"/>
        <v>143.28080547225477</v>
      </c>
      <c r="S192" s="2">
        <f t="shared" si="75"/>
        <v>146.2897023871721</v>
      </c>
      <c r="T192" s="2">
        <f t="shared" si="75"/>
        <v>149.36178613730269</v>
      </c>
      <c r="U192" s="2">
        <f t="shared" si="75"/>
        <v>152.49838364618603</v>
      </c>
      <c r="V192" s="2">
        <f t="shared" si="75"/>
        <v>155.70084970275593</v>
      </c>
      <c r="W192" s="2">
        <f t="shared" si="75"/>
        <v>158.97056754651379</v>
      </c>
      <c r="X192" s="2">
        <f t="shared" ref="X192:AA193" si="76">W192*(1+$G$14)*(1+X$191)</f>
        <v>162.30894946499058</v>
      </c>
      <c r="Y192" s="2">
        <f t="shared" si="76"/>
        <v>165.71743740375535</v>
      </c>
      <c r="Z192" s="2">
        <f t="shared" si="76"/>
        <v>169.1975035892342</v>
      </c>
      <c r="AA192" s="2">
        <f t="shared" si="76"/>
        <v>172.75065116460812</v>
      </c>
    </row>
    <row r="193" spans="1:29" x14ac:dyDescent="0.25">
      <c r="A193" s="14">
        <f>'Notes &amp; Assumptions'!A55</f>
        <v>42</v>
      </c>
      <c r="E193" t="s">
        <v>27</v>
      </c>
      <c r="F193" t="s">
        <v>4</v>
      </c>
      <c r="G193" s="10"/>
      <c r="H193" s="2">
        <f t="shared" si="75"/>
        <v>0</v>
      </c>
      <c r="I193" s="2">
        <f t="shared" si="75"/>
        <v>0</v>
      </c>
      <c r="J193" s="2">
        <f t="shared" si="75"/>
        <v>0</v>
      </c>
      <c r="K193" s="2">
        <f t="shared" si="75"/>
        <v>0</v>
      </c>
      <c r="L193" s="2">
        <f t="shared" si="75"/>
        <v>0</v>
      </c>
      <c r="M193" s="2">
        <f t="shared" si="75"/>
        <v>0</v>
      </c>
      <c r="N193" s="2">
        <f t="shared" si="75"/>
        <v>0</v>
      </c>
      <c r="O193" s="2">
        <f t="shared" si="75"/>
        <v>0</v>
      </c>
      <c r="P193" s="2">
        <f t="shared" si="75"/>
        <v>0</v>
      </c>
      <c r="Q193" s="2">
        <f t="shared" si="75"/>
        <v>0</v>
      </c>
      <c r="R193" s="2">
        <f t="shared" si="75"/>
        <v>0</v>
      </c>
      <c r="S193" s="2">
        <f t="shared" si="75"/>
        <v>0</v>
      </c>
      <c r="T193" s="2">
        <f t="shared" si="75"/>
        <v>0</v>
      </c>
      <c r="U193" s="2">
        <f t="shared" si="75"/>
        <v>0</v>
      </c>
      <c r="V193" s="2">
        <f t="shared" si="75"/>
        <v>0</v>
      </c>
      <c r="W193" s="2">
        <f t="shared" si="75"/>
        <v>0</v>
      </c>
      <c r="X193" s="2">
        <f t="shared" si="76"/>
        <v>0</v>
      </c>
      <c r="Y193" s="2">
        <f t="shared" si="76"/>
        <v>0</v>
      </c>
      <c r="Z193" s="2">
        <f t="shared" si="76"/>
        <v>0</v>
      </c>
      <c r="AA193" s="2">
        <f t="shared" si="76"/>
        <v>0</v>
      </c>
    </row>
    <row r="194" spans="1:29" x14ac:dyDescent="0.25">
      <c r="A194" s="14">
        <f>'Notes &amp; Assumptions'!A56</f>
        <v>43</v>
      </c>
      <c r="E194" t="s">
        <v>39</v>
      </c>
      <c r="F194" t="s">
        <v>7</v>
      </c>
      <c r="G194" s="2"/>
      <c r="H194" s="10"/>
      <c r="I194" s="10"/>
      <c r="J194" s="10"/>
      <c r="K194" s="10"/>
      <c r="L194" s="10"/>
      <c r="M194" s="10"/>
      <c r="N194" s="10"/>
      <c r="O194" s="10"/>
      <c r="P194" s="10"/>
      <c r="Q194" s="10"/>
      <c r="R194" s="10"/>
      <c r="S194" s="10"/>
      <c r="T194" s="10"/>
      <c r="U194" s="10"/>
      <c r="V194" s="10"/>
      <c r="W194" s="10"/>
      <c r="X194" s="10"/>
      <c r="Y194" s="10"/>
      <c r="Z194" s="10"/>
      <c r="AA194" s="10"/>
    </row>
    <row r="195" spans="1:29" x14ac:dyDescent="0.25">
      <c r="B195" s="14"/>
      <c r="C195" s="14"/>
      <c r="D195" s="14"/>
      <c r="E195" s="14"/>
      <c r="F195" s="14"/>
      <c r="G195" s="14"/>
      <c r="H195" s="14"/>
      <c r="I195" s="14"/>
      <c r="J195" s="14"/>
      <c r="K195" s="14"/>
      <c r="L195" s="14"/>
      <c r="M195" s="14"/>
      <c r="N195" s="14"/>
      <c r="O195" s="14"/>
      <c r="P195" s="14"/>
      <c r="Q195" s="14"/>
      <c r="R195" s="14"/>
      <c r="S195" s="14"/>
      <c r="T195" s="14"/>
      <c r="U195" s="14"/>
      <c r="V195" s="14"/>
      <c r="W195" s="14"/>
      <c r="X195" s="14"/>
      <c r="Y195" s="14"/>
      <c r="Z195" s="14"/>
      <c r="AA195" s="14"/>
      <c r="AB195" s="14"/>
      <c r="AC195" s="14"/>
    </row>
    <row r="196" spans="1:29" x14ac:dyDescent="0.25">
      <c r="D196" t="s">
        <v>124</v>
      </c>
      <c r="G196" s="14"/>
      <c r="H196" s="14"/>
      <c r="I196" s="14"/>
      <c r="J196" s="14"/>
      <c r="K196" s="14"/>
      <c r="L196" s="14"/>
      <c r="M196" s="14"/>
      <c r="N196" s="14"/>
      <c r="O196" s="14"/>
      <c r="P196" s="14"/>
      <c r="Q196" s="14"/>
      <c r="R196" s="14"/>
      <c r="S196" s="14"/>
      <c r="T196" s="14"/>
      <c r="U196" s="14"/>
      <c r="V196" s="14"/>
      <c r="W196" s="14"/>
      <c r="X196" s="14"/>
      <c r="Y196" s="14"/>
      <c r="Z196" s="14"/>
      <c r="AA196" s="14"/>
    </row>
    <row r="197" spans="1:29" x14ac:dyDescent="0.25">
      <c r="A197" s="14">
        <f>'Notes &amp; Assumptions'!A57</f>
        <v>44</v>
      </c>
      <c r="E197" t="s">
        <v>27</v>
      </c>
      <c r="F197" t="s">
        <v>4</v>
      </c>
      <c r="G197" s="14"/>
      <c r="H197" s="10"/>
      <c r="I197" s="10"/>
      <c r="J197" s="10"/>
      <c r="K197" s="10"/>
      <c r="L197" s="10"/>
      <c r="M197" s="10"/>
      <c r="N197" s="10"/>
      <c r="O197" s="10"/>
      <c r="P197" s="10"/>
      <c r="Q197" s="10"/>
      <c r="R197" s="10"/>
      <c r="S197" s="10"/>
      <c r="T197" s="10"/>
      <c r="U197" s="10"/>
      <c r="V197" s="10"/>
      <c r="W197" s="10"/>
      <c r="X197" s="10"/>
      <c r="Y197" s="10"/>
      <c r="Z197" s="10"/>
      <c r="AA197" s="10"/>
    </row>
    <row r="198" spans="1:29" x14ac:dyDescent="0.25">
      <c r="A198" s="14">
        <f>'Notes &amp; Assumptions'!A58</f>
        <v>45</v>
      </c>
      <c r="E198" t="s">
        <v>39</v>
      </c>
      <c r="F198" t="s">
        <v>7</v>
      </c>
      <c r="G198" s="2"/>
      <c r="H198" s="10"/>
      <c r="I198" s="10"/>
      <c r="J198" s="10"/>
      <c r="K198" s="10"/>
      <c r="L198" s="10"/>
      <c r="M198" s="10"/>
      <c r="N198" s="10"/>
      <c r="O198" s="10"/>
      <c r="P198" s="10"/>
      <c r="Q198" s="10"/>
      <c r="R198" s="10"/>
      <c r="S198" s="10"/>
      <c r="T198" s="10"/>
      <c r="U198" s="10"/>
      <c r="V198" s="10"/>
      <c r="W198" s="10"/>
      <c r="X198" s="10"/>
      <c r="Y198" s="10"/>
      <c r="Z198" s="10"/>
      <c r="AA198" s="10"/>
    </row>
    <row r="199" spans="1:29" x14ac:dyDescent="0.25">
      <c r="G199" s="2"/>
    </row>
    <row r="200" spans="1:29" x14ac:dyDescent="0.25">
      <c r="E200" t="s">
        <v>10</v>
      </c>
      <c r="F200" t="s">
        <v>7</v>
      </c>
      <c r="G200" s="2"/>
      <c r="H200" s="2">
        <f>H192*H175+(H193+H197)*H176+H194+H198</f>
        <v>1160913.7559999998</v>
      </c>
      <c r="I200" s="2">
        <f t="shared" ref="I200:AA200" si="77">I192*I175+(I193+I197)*I176+I194+I198</f>
        <v>2308076.9576279996</v>
      </c>
      <c r="J200" s="2">
        <f t="shared" si="77"/>
        <v>3459871.9243186354</v>
      </c>
      <c r="K200" s="2">
        <f t="shared" si="77"/>
        <v>4558048.289795775</v>
      </c>
      <c r="L200" s="2">
        <f t="shared" si="77"/>
        <v>5601671.9148991657</v>
      </c>
      <c r="M200" s="2">
        <f t="shared" si="77"/>
        <v>6591257.337242173</v>
      </c>
      <c r="N200" s="2">
        <f t="shared" si="77"/>
        <v>7527731.2622023439</v>
      </c>
      <c r="O200" s="2">
        <f t="shared" si="77"/>
        <v>8411969.3701764047</v>
      </c>
      <c r="P200" s="2">
        <f t="shared" si="77"/>
        <v>9312542.4398737326</v>
      </c>
      <c r="Q200" s="2">
        <f t="shared" si="77"/>
        <v>10225814.962772934</v>
      </c>
      <c r="R200" s="2">
        <f t="shared" si="77"/>
        <v>11216350.998220688</v>
      </c>
      <c r="S200" s="2">
        <f t="shared" si="77"/>
        <v>12291772.808528552</v>
      </c>
      <c r="T200" s="2">
        <f t="shared" si="77"/>
        <v>13457496.930970971</v>
      </c>
      <c r="U200" s="2">
        <f t="shared" si="77"/>
        <v>14660340.612795902</v>
      </c>
      <c r="V200" s="2">
        <f t="shared" si="77"/>
        <v>15901696.639972519</v>
      </c>
      <c r="W200" s="2">
        <f t="shared" si="77"/>
        <v>16235632.26941194</v>
      </c>
      <c r="X200" s="2">
        <f t="shared" si="77"/>
        <v>16576580.547069591</v>
      </c>
      <c r="Y200" s="2">
        <f t="shared" si="77"/>
        <v>16924688.73855805</v>
      </c>
      <c r="Z200" s="2">
        <f t="shared" si="77"/>
        <v>17280107.202067766</v>
      </c>
      <c r="AA200" s="2">
        <f t="shared" si="77"/>
        <v>17642989.45331119</v>
      </c>
    </row>
    <row r="201" spans="1:29" x14ac:dyDescent="0.25">
      <c r="G201" s="2"/>
      <c r="H201" s="2"/>
      <c r="I201" s="2"/>
      <c r="J201" s="2"/>
      <c r="K201" s="2"/>
      <c r="L201" s="2"/>
      <c r="M201" s="2"/>
      <c r="N201" s="2"/>
      <c r="O201" s="2"/>
      <c r="P201" s="2"/>
      <c r="Q201" s="2"/>
      <c r="R201" s="2"/>
      <c r="S201" s="2"/>
      <c r="T201" s="2"/>
      <c r="U201" s="2"/>
      <c r="V201" s="2"/>
      <c r="W201" s="2"/>
      <c r="X201" s="2"/>
      <c r="Y201" s="2"/>
      <c r="Z201" s="2"/>
      <c r="AA201" s="2"/>
    </row>
    <row r="202" spans="1:29" x14ac:dyDescent="0.25">
      <c r="C202" s="1" t="s">
        <v>48</v>
      </c>
      <c r="G202" s="2"/>
      <c r="H202" s="2"/>
      <c r="I202" s="2"/>
      <c r="J202" s="2"/>
      <c r="K202" s="2"/>
      <c r="L202" s="2"/>
      <c r="M202" s="2"/>
      <c r="N202" s="2"/>
      <c r="O202" s="2"/>
      <c r="P202" s="2"/>
      <c r="Q202" s="2"/>
      <c r="R202" s="2"/>
      <c r="S202" s="2"/>
      <c r="T202" s="2"/>
      <c r="U202" s="2"/>
      <c r="V202" s="2"/>
      <c r="W202" s="2"/>
      <c r="X202" s="2"/>
      <c r="Y202" s="2"/>
      <c r="Z202" s="2"/>
      <c r="AA202" s="2"/>
    </row>
    <row r="203" spans="1:29" x14ac:dyDescent="0.25">
      <c r="A203" s="14">
        <f>'Notes &amp; Assumptions'!A59</f>
        <v>46</v>
      </c>
      <c r="E203" s="10" t="s">
        <v>44</v>
      </c>
      <c r="F203" t="s">
        <v>7</v>
      </c>
      <c r="G203" s="2"/>
      <c r="H203" s="10"/>
      <c r="I203" s="10"/>
      <c r="J203" s="10"/>
      <c r="K203" s="10"/>
      <c r="L203" s="10"/>
      <c r="M203" s="10"/>
      <c r="N203" s="10"/>
      <c r="O203" s="10"/>
      <c r="P203" s="10"/>
      <c r="Q203" s="10"/>
      <c r="R203" s="10"/>
      <c r="S203" s="10"/>
      <c r="T203" s="10"/>
      <c r="U203" s="10"/>
      <c r="V203" s="10"/>
      <c r="W203" s="10"/>
      <c r="X203" s="10"/>
      <c r="Y203" s="10"/>
      <c r="Z203" s="10"/>
      <c r="AA203" s="10"/>
    </row>
    <row r="204" spans="1:29" x14ac:dyDescent="0.25">
      <c r="A204" s="14">
        <f>'Notes &amp; Assumptions'!A60</f>
        <v>47</v>
      </c>
      <c r="E204" s="10" t="s">
        <v>45</v>
      </c>
      <c r="F204" t="s">
        <v>7</v>
      </c>
      <c r="G204" s="2"/>
      <c r="H204" s="10"/>
      <c r="I204" s="10"/>
      <c r="J204" s="10"/>
      <c r="K204" s="10"/>
      <c r="L204" s="10"/>
      <c r="M204" s="10"/>
      <c r="N204" s="10"/>
      <c r="O204" s="10"/>
      <c r="P204" s="10"/>
      <c r="Q204" s="10"/>
      <c r="R204" s="10"/>
      <c r="S204" s="10"/>
      <c r="T204" s="10"/>
      <c r="U204" s="10"/>
      <c r="V204" s="10"/>
      <c r="W204" s="10"/>
      <c r="X204" s="10"/>
      <c r="Y204" s="10"/>
      <c r="Z204" s="10"/>
      <c r="AA204" s="10"/>
    </row>
    <row r="205" spans="1:29" x14ac:dyDescent="0.25">
      <c r="A205" s="14">
        <f>'Notes &amp; Assumptions'!A61</f>
        <v>48</v>
      </c>
      <c r="E205" s="10" t="s">
        <v>46</v>
      </c>
      <c r="F205" t="s">
        <v>7</v>
      </c>
      <c r="G205" s="2"/>
      <c r="H205" s="10"/>
      <c r="I205" s="10"/>
      <c r="J205" s="10"/>
      <c r="K205" s="10"/>
      <c r="L205" s="10"/>
      <c r="M205" s="10"/>
      <c r="N205" s="10"/>
      <c r="O205" s="10"/>
      <c r="P205" s="10"/>
      <c r="Q205" s="10"/>
      <c r="R205" s="10"/>
      <c r="S205" s="10"/>
      <c r="T205" s="10"/>
      <c r="U205" s="10"/>
      <c r="V205" s="10"/>
      <c r="W205" s="10"/>
      <c r="X205" s="10"/>
      <c r="Y205" s="10"/>
      <c r="Z205" s="10"/>
      <c r="AA205" s="10"/>
    </row>
    <row r="206" spans="1:29" x14ac:dyDescent="0.25">
      <c r="A206" s="14">
        <f>'Notes &amp; Assumptions'!A62</f>
        <v>49</v>
      </c>
      <c r="E206" s="10" t="s">
        <v>47</v>
      </c>
      <c r="F206" t="s">
        <v>7</v>
      </c>
      <c r="G206" s="2"/>
      <c r="H206" s="10"/>
      <c r="I206" s="10"/>
      <c r="J206" s="10"/>
      <c r="K206" s="10"/>
      <c r="L206" s="10"/>
      <c r="M206" s="10"/>
      <c r="N206" s="10"/>
      <c r="O206" s="10"/>
      <c r="P206" s="10"/>
      <c r="Q206" s="10"/>
      <c r="R206" s="10"/>
      <c r="S206" s="10"/>
      <c r="T206" s="10"/>
      <c r="U206" s="10"/>
      <c r="V206" s="10"/>
      <c r="W206" s="10"/>
      <c r="X206" s="10"/>
      <c r="Y206" s="10"/>
      <c r="Z206" s="10"/>
      <c r="AA206" s="10"/>
    </row>
    <row r="207" spans="1:29" x14ac:dyDescent="0.25">
      <c r="E207" t="s">
        <v>17</v>
      </c>
      <c r="G207" s="2"/>
      <c r="H207" s="2">
        <f>SUM(H203:H206)</f>
        <v>0</v>
      </c>
      <c r="I207" s="2">
        <f t="shared" ref="I207:AA207" si="78">SUM(I203:I206)</f>
        <v>0</v>
      </c>
      <c r="J207" s="2">
        <f t="shared" si="78"/>
        <v>0</v>
      </c>
      <c r="K207" s="2">
        <f t="shared" si="78"/>
        <v>0</v>
      </c>
      <c r="L207" s="2">
        <f t="shared" si="78"/>
        <v>0</v>
      </c>
      <c r="M207" s="2">
        <f t="shared" si="78"/>
        <v>0</v>
      </c>
      <c r="N207" s="2">
        <f t="shared" si="78"/>
        <v>0</v>
      </c>
      <c r="O207" s="2">
        <f t="shared" si="78"/>
        <v>0</v>
      </c>
      <c r="P207" s="2">
        <f t="shared" si="78"/>
        <v>0</v>
      </c>
      <c r="Q207" s="2">
        <f t="shared" si="78"/>
        <v>0</v>
      </c>
      <c r="R207" s="2">
        <f t="shared" si="78"/>
        <v>0</v>
      </c>
      <c r="S207" s="2">
        <f t="shared" si="78"/>
        <v>0</v>
      </c>
      <c r="T207" s="2">
        <f t="shared" si="78"/>
        <v>0</v>
      </c>
      <c r="U207" s="2">
        <f t="shared" si="78"/>
        <v>0</v>
      </c>
      <c r="V207" s="2">
        <f t="shared" si="78"/>
        <v>0</v>
      </c>
      <c r="W207" s="2">
        <f t="shared" si="78"/>
        <v>0</v>
      </c>
      <c r="X207" s="2">
        <f t="shared" si="78"/>
        <v>0</v>
      </c>
      <c r="Y207" s="2">
        <f t="shared" si="78"/>
        <v>0</v>
      </c>
      <c r="Z207" s="2">
        <f t="shared" si="78"/>
        <v>0</v>
      </c>
      <c r="AA207" s="2">
        <f t="shared" si="78"/>
        <v>0</v>
      </c>
    </row>
    <row r="208" spans="1:29" x14ac:dyDescent="0.25">
      <c r="G208" s="2"/>
      <c r="H208" s="2"/>
      <c r="I208" s="2"/>
      <c r="J208" s="2"/>
      <c r="K208" s="2"/>
      <c r="L208" s="2"/>
      <c r="M208" s="2"/>
      <c r="N208" s="2"/>
      <c r="O208" s="2"/>
      <c r="P208" s="2"/>
      <c r="Q208" s="2"/>
      <c r="R208" s="2"/>
      <c r="S208" s="2"/>
      <c r="T208" s="2"/>
      <c r="U208" s="2"/>
      <c r="V208" s="2"/>
      <c r="W208" s="2"/>
      <c r="X208" s="2"/>
      <c r="Y208" s="2"/>
      <c r="Z208" s="2"/>
      <c r="AA208" s="2"/>
    </row>
    <row r="209" spans="1:27" x14ac:dyDescent="0.25">
      <c r="C209" s="1" t="s">
        <v>49</v>
      </c>
      <c r="G209" s="2"/>
      <c r="H209" s="2"/>
      <c r="I209" s="2"/>
      <c r="J209" s="2"/>
      <c r="K209" s="2"/>
      <c r="L209" s="2"/>
      <c r="M209" s="2"/>
      <c r="N209" s="2"/>
      <c r="O209" s="2"/>
      <c r="P209" s="2"/>
      <c r="Q209" s="2"/>
      <c r="R209" s="2"/>
      <c r="S209" s="2"/>
      <c r="T209" s="2"/>
      <c r="U209" s="2"/>
      <c r="V209" s="2"/>
      <c r="W209" s="2"/>
      <c r="X209" s="2"/>
      <c r="Y209" s="2"/>
      <c r="Z209" s="2"/>
      <c r="AA209" s="2"/>
    </row>
    <row r="210" spans="1:27" x14ac:dyDescent="0.25">
      <c r="A210" s="14">
        <f>'Notes &amp; Assumptions'!A63</f>
        <v>50</v>
      </c>
      <c r="E210" s="10"/>
      <c r="F210" t="s">
        <v>7</v>
      </c>
      <c r="G210" s="24">
        <v>0</v>
      </c>
      <c r="H210" s="10">
        <f>H107*($G$210*(1+$G$14)^(H2))</f>
        <v>0</v>
      </c>
      <c r="I210" s="10">
        <f>I107*($G$210*(1+$G$14)^(I2))</f>
        <v>0</v>
      </c>
      <c r="J210" s="10">
        <f t="shared" ref="J210:AA210" si="79">J107*($G$210*(1+$G$14)^(J2))</f>
        <v>0</v>
      </c>
      <c r="K210" s="10">
        <f t="shared" si="79"/>
        <v>0</v>
      </c>
      <c r="L210" s="10">
        <f t="shared" si="79"/>
        <v>0</v>
      </c>
      <c r="M210" s="10">
        <f t="shared" si="79"/>
        <v>0</v>
      </c>
      <c r="N210" s="10">
        <f t="shared" si="79"/>
        <v>0</v>
      </c>
      <c r="O210" s="10">
        <f t="shared" si="79"/>
        <v>0</v>
      </c>
      <c r="P210" s="10">
        <f t="shared" si="79"/>
        <v>0</v>
      </c>
      <c r="Q210" s="10">
        <f t="shared" si="79"/>
        <v>0</v>
      </c>
      <c r="R210" s="10">
        <f t="shared" si="79"/>
        <v>0</v>
      </c>
      <c r="S210" s="10">
        <f t="shared" si="79"/>
        <v>0</v>
      </c>
      <c r="T210" s="10">
        <f t="shared" si="79"/>
        <v>0</v>
      </c>
      <c r="U210" s="10">
        <f t="shared" si="79"/>
        <v>0</v>
      </c>
      <c r="V210" s="10">
        <f t="shared" si="79"/>
        <v>0</v>
      </c>
      <c r="W210" s="10">
        <f t="shared" si="79"/>
        <v>0</v>
      </c>
      <c r="X210" s="10">
        <f t="shared" si="79"/>
        <v>0</v>
      </c>
      <c r="Y210" s="10">
        <f t="shared" si="79"/>
        <v>0</v>
      </c>
      <c r="Z210" s="10">
        <f t="shared" si="79"/>
        <v>0</v>
      </c>
      <c r="AA210" s="10">
        <f t="shared" si="79"/>
        <v>0</v>
      </c>
    </row>
    <row r="211" spans="1:27" x14ac:dyDescent="0.25">
      <c r="A211" s="14">
        <f>'Notes &amp; Assumptions'!A64</f>
        <v>51</v>
      </c>
      <c r="E211" s="10" t="s">
        <v>50</v>
      </c>
      <c r="F211" t="s">
        <v>7</v>
      </c>
      <c r="G211" s="2"/>
      <c r="H211" s="10"/>
      <c r="I211" s="10"/>
      <c r="J211" s="10"/>
      <c r="K211" s="10"/>
      <c r="L211" s="10"/>
      <c r="M211" s="10"/>
      <c r="N211" s="10"/>
      <c r="O211" s="10"/>
      <c r="P211" s="10"/>
      <c r="Q211" s="10"/>
      <c r="R211" s="10"/>
      <c r="S211" s="10"/>
      <c r="T211" s="10"/>
      <c r="U211" s="10"/>
      <c r="V211" s="10"/>
      <c r="W211" s="10"/>
      <c r="X211" s="10"/>
      <c r="Y211" s="10"/>
      <c r="Z211" s="10"/>
      <c r="AA211" s="10"/>
    </row>
    <row r="212" spans="1:27" x14ac:dyDescent="0.25">
      <c r="A212" s="14">
        <f>'Notes &amp; Assumptions'!A65</f>
        <v>52</v>
      </c>
      <c r="E212" s="10" t="s">
        <v>51</v>
      </c>
      <c r="F212" t="s">
        <v>7</v>
      </c>
      <c r="G212" s="2"/>
      <c r="H212" s="10"/>
      <c r="I212" s="10"/>
      <c r="J212" s="10"/>
      <c r="K212" s="10"/>
      <c r="L212" s="10"/>
      <c r="M212" s="10"/>
      <c r="N212" s="10"/>
      <c r="O212" s="10"/>
      <c r="P212" s="10"/>
      <c r="Q212" s="10"/>
      <c r="R212" s="10"/>
      <c r="S212" s="10"/>
      <c r="T212" s="10"/>
      <c r="U212" s="10"/>
      <c r="V212" s="10"/>
      <c r="W212" s="10"/>
      <c r="X212" s="10"/>
      <c r="Y212" s="10"/>
      <c r="Z212" s="10"/>
      <c r="AA212" s="10"/>
    </row>
    <row r="213" spans="1:27" x14ac:dyDescent="0.25">
      <c r="A213" s="14">
        <f>'Notes &amp; Assumptions'!A66</f>
        <v>53</v>
      </c>
      <c r="E213" s="10" t="s">
        <v>52</v>
      </c>
      <c r="F213" t="s">
        <v>7</v>
      </c>
      <c r="G213" s="2"/>
      <c r="H213" s="10"/>
      <c r="I213" s="10"/>
      <c r="J213" s="10"/>
      <c r="K213" s="10"/>
      <c r="L213" s="10"/>
      <c r="M213" s="10"/>
      <c r="N213" s="10"/>
      <c r="O213" s="10"/>
      <c r="P213" s="10"/>
      <c r="Q213" s="10"/>
      <c r="R213" s="10"/>
      <c r="S213" s="10"/>
      <c r="T213" s="10"/>
      <c r="U213" s="10"/>
      <c r="V213" s="10"/>
      <c r="W213" s="10"/>
      <c r="X213" s="10"/>
      <c r="Y213" s="10"/>
      <c r="Z213" s="10"/>
      <c r="AA213" s="10"/>
    </row>
    <row r="214" spans="1:27" x14ac:dyDescent="0.25">
      <c r="E214" t="s">
        <v>17</v>
      </c>
      <c r="G214" s="2"/>
      <c r="H214" s="2">
        <f>SUM(H210:H213)</f>
        <v>0</v>
      </c>
      <c r="I214" s="2">
        <f t="shared" ref="I214:AA214" si="80">SUM(I210:I213)</f>
        <v>0</v>
      </c>
      <c r="J214" s="2">
        <f t="shared" si="80"/>
        <v>0</v>
      </c>
      <c r="K214" s="2">
        <f t="shared" si="80"/>
        <v>0</v>
      </c>
      <c r="L214" s="2">
        <f t="shared" si="80"/>
        <v>0</v>
      </c>
      <c r="M214" s="2">
        <f t="shared" si="80"/>
        <v>0</v>
      </c>
      <c r="N214" s="2">
        <f t="shared" si="80"/>
        <v>0</v>
      </c>
      <c r="O214" s="2">
        <f t="shared" si="80"/>
        <v>0</v>
      </c>
      <c r="P214" s="2">
        <f t="shared" si="80"/>
        <v>0</v>
      </c>
      <c r="Q214" s="2">
        <f t="shared" si="80"/>
        <v>0</v>
      </c>
      <c r="R214" s="2">
        <f t="shared" si="80"/>
        <v>0</v>
      </c>
      <c r="S214" s="2">
        <f t="shared" si="80"/>
        <v>0</v>
      </c>
      <c r="T214" s="2">
        <f t="shared" si="80"/>
        <v>0</v>
      </c>
      <c r="U214" s="2">
        <f t="shared" si="80"/>
        <v>0</v>
      </c>
      <c r="V214" s="2">
        <f t="shared" si="80"/>
        <v>0</v>
      </c>
      <c r="W214" s="2">
        <f t="shared" si="80"/>
        <v>0</v>
      </c>
      <c r="X214" s="2">
        <f t="shared" si="80"/>
        <v>0</v>
      </c>
      <c r="Y214" s="2">
        <f t="shared" si="80"/>
        <v>0</v>
      </c>
      <c r="Z214" s="2">
        <f t="shared" si="80"/>
        <v>0</v>
      </c>
      <c r="AA214" s="2">
        <f t="shared" si="80"/>
        <v>0</v>
      </c>
    </row>
    <row r="215" spans="1:27" x14ac:dyDescent="0.25">
      <c r="G215" s="2"/>
      <c r="H215" s="2"/>
      <c r="I215" s="2"/>
      <c r="J215" s="2"/>
      <c r="K215" s="2"/>
      <c r="L215" s="2"/>
      <c r="M215" s="2"/>
      <c r="N215" s="2"/>
      <c r="O215" s="2"/>
      <c r="P215" s="2"/>
      <c r="Q215" s="2"/>
      <c r="R215" s="2"/>
      <c r="S215" s="2"/>
      <c r="T215" s="2"/>
      <c r="U215" s="2"/>
      <c r="V215" s="2"/>
      <c r="W215" s="2"/>
      <c r="X215" s="2"/>
      <c r="Y215" s="2"/>
      <c r="Z215" s="2"/>
      <c r="AA215" s="2"/>
    </row>
    <row r="216" spans="1:27" x14ac:dyDescent="0.25">
      <c r="C216" s="1" t="s">
        <v>33</v>
      </c>
      <c r="G216" s="2"/>
      <c r="H216" s="2"/>
      <c r="I216" s="2"/>
      <c r="J216" s="2"/>
      <c r="K216" s="2"/>
      <c r="L216" s="2"/>
      <c r="M216" s="2"/>
      <c r="N216" s="2"/>
      <c r="O216" s="2"/>
      <c r="P216" s="2"/>
      <c r="Q216" s="2"/>
      <c r="R216" s="2"/>
      <c r="S216" s="2"/>
      <c r="T216" s="2"/>
      <c r="U216" s="2"/>
      <c r="V216" s="2"/>
      <c r="W216" s="2"/>
      <c r="X216" s="2"/>
      <c r="Y216" s="2"/>
      <c r="Z216" s="2"/>
      <c r="AA216" s="2"/>
    </row>
    <row r="217" spans="1:27" x14ac:dyDescent="0.25">
      <c r="C217" s="1"/>
      <c r="D217" s="1"/>
      <c r="E217" t="s">
        <v>29</v>
      </c>
      <c r="F217" t="s">
        <v>3</v>
      </c>
      <c r="G217" s="44"/>
      <c r="H217" s="2">
        <f t="shared" ref="H217:AA217" si="81">H174</f>
        <v>9974</v>
      </c>
      <c r="I217" s="2">
        <f t="shared" si="81"/>
        <v>9448</v>
      </c>
      <c r="J217" s="2">
        <f t="shared" si="81"/>
        <v>9093.2999999999993</v>
      </c>
      <c r="K217" s="2">
        <f t="shared" si="81"/>
        <v>8278.1999999999989</v>
      </c>
      <c r="L217" s="2">
        <f t="shared" si="81"/>
        <v>7494.2999999999984</v>
      </c>
      <c r="M217" s="2">
        <f t="shared" si="81"/>
        <v>6751.9999999999982</v>
      </c>
      <c r="N217" s="2">
        <f t="shared" si="81"/>
        <v>6052.699999999998</v>
      </c>
      <c r="O217" s="2">
        <f t="shared" si="81"/>
        <v>5394.0999999999976</v>
      </c>
      <c r="P217" s="2">
        <f t="shared" si="81"/>
        <v>5266.8999999999978</v>
      </c>
      <c r="Q217" s="2">
        <f t="shared" si="81"/>
        <v>5114.2999999999984</v>
      </c>
      <c r="R217" s="2">
        <f t="shared" si="81"/>
        <v>5414.4999999999982</v>
      </c>
      <c r="S217" s="2">
        <f t="shared" si="81"/>
        <v>5741.199999999998</v>
      </c>
      <c r="T217" s="2">
        <f t="shared" si="81"/>
        <v>6076.4999999999982</v>
      </c>
      <c r="U217" s="2">
        <f t="shared" si="81"/>
        <v>6034.3999999999978</v>
      </c>
      <c r="V217" s="2">
        <f t="shared" si="81"/>
        <v>5995.3999999999978</v>
      </c>
      <c r="W217" s="2">
        <f t="shared" si="81"/>
        <v>0</v>
      </c>
      <c r="X217" s="2">
        <f t="shared" si="81"/>
        <v>0</v>
      </c>
      <c r="Y217" s="2">
        <f t="shared" si="81"/>
        <v>0</v>
      </c>
      <c r="Z217" s="2">
        <f t="shared" si="81"/>
        <v>0</v>
      </c>
      <c r="AA217" s="2">
        <f t="shared" si="81"/>
        <v>0</v>
      </c>
    </row>
    <row r="218" spans="1:27" x14ac:dyDescent="0.25">
      <c r="E218" t="s">
        <v>18</v>
      </c>
      <c r="F218" t="s">
        <v>22</v>
      </c>
      <c r="G218" s="8">
        <f ca="1">MAX(0,-G245/(NPV($G$16,H217:AA217)))</f>
        <v>0</v>
      </c>
      <c r="H218" s="2">
        <f ca="1">G218*(1+$G$14)</f>
        <v>0</v>
      </c>
      <c r="I218" s="2">
        <f t="shared" ref="I218:AA218" ca="1" si="82">H218*(1+$G$14)</f>
        <v>0</v>
      </c>
      <c r="J218" s="2">
        <f t="shared" ca="1" si="82"/>
        <v>0</v>
      </c>
      <c r="K218" s="2">
        <f t="shared" ca="1" si="82"/>
        <v>0</v>
      </c>
      <c r="L218" s="2">
        <f t="shared" ca="1" si="82"/>
        <v>0</v>
      </c>
      <c r="M218" s="2">
        <f t="shared" ca="1" si="82"/>
        <v>0</v>
      </c>
      <c r="N218" s="2">
        <f t="shared" ca="1" si="82"/>
        <v>0</v>
      </c>
      <c r="O218" s="2">
        <f t="shared" ca="1" si="82"/>
        <v>0</v>
      </c>
      <c r="P218" s="2">
        <f t="shared" ca="1" si="82"/>
        <v>0</v>
      </c>
      <c r="Q218" s="2">
        <f t="shared" ca="1" si="82"/>
        <v>0</v>
      </c>
      <c r="R218" s="2">
        <f t="shared" ca="1" si="82"/>
        <v>0</v>
      </c>
      <c r="S218" s="2">
        <f t="shared" ca="1" si="82"/>
        <v>0</v>
      </c>
      <c r="T218" s="2">
        <f t="shared" ca="1" si="82"/>
        <v>0</v>
      </c>
      <c r="U218" s="2">
        <f t="shared" ca="1" si="82"/>
        <v>0</v>
      </c>
      <c r="V218" s="2">
        <f t="shared" ca="1" si="82"/>
        <v>0</v>
      </c>
      <c r="W218" s="2">
        <f t="shared" ca="1" si="82"/>
        <v>0</v>
      </c>
      <c r="X218" s="2">
        <f t="shared" ca="1" si="82"/>
        <v>0</v>
      </c>
      <c r="Y218" s="2">
        <f t="shared" ca="1" si="82"/>
        <v>0</v>
      </c>
      <c r="Z218" s="2">
        <f t="shared" ca="1" si="82"/>
        <v>0</v>
      </c>
      <c r="AA218" s="2">
        <f t="shared" ca="1" si="82"/>
        <v>0</v>
      </c>
    </row>
    <row r="219" spans="1:27" x14ac:dyDescent="0.25">
      <c r="E219" t="s">
        <v>21</v>
      </c>
      <c r="F219" t="s">
        <v>7</v>
      </c>
      <c r="H219" s="2">
        <f ca="1">H218*H217</f>
        <v>0</v>
      </c>
      <c r="I219" s="2">
        <f t="shared" ref="I219:AA219" ca="1" si="83">I218*I217</f>
        <v>0</v>
      </c>
      <c r="J219" s="2">
        <f t="shared" ca="1" si="83"/>
        <v>0</v>
      </c>
      <c r="K219" s="2">
        <f t="shared" ca="1" si="83"/>
        <v>0</v>
      </c>
      <c r="L219" s="2">
        <f t="shared" ca="1" si="83"/>
        <v>0</v>
      </c>
      <c r="M219" s="2">
        <f t="shared" ca="1" si="83"/>
        <v>0</v>
      </c>
      <c r="N219" s="2">
        <f t="shared" ca="1" si="83"/>
        <v>0</v>
      </c>
      <c r="O219" s="2">
        <f t="shared" ca="1" si="83"/>
        <v>0</v>
      </c>
      <c r="P219" s="2">
        <f t="shared" ca="1" si="83"/>
        <v>0</v>
      </c>
      <c r="Q219" s="2">
        <f t="shared" ca="1" si="83"/>
        <v>0</v>
      </c>
      <c r="R219" s="2">
        <f t="shared" ca="1" si="83"/>
        <v>0</v>
      </c>
      <c r="S219" s="2">
        <f t="shared" ca="1" si="83"/>
        <v>0</v>
      </c>
      <c r="T219" s="2">
        <f t="shared" ca="1" si="83"/>
        <v>0</v>
      </c>
      <c r="U219" s="2">
        <f t="shared" ca="1" si="83"/>
        <v>0</v>
      </c>
      <c r="V219" s="2">
        <f t="shared" ca="1" si="83"/>
        <v>0</v>
      </c>
      <c r="W219" s="2">
        <f t="shared" ca="1" si="83"/>
        <v>0</v>
      </c>
      <c r="X219" s="2">
        <f t="shared" ca="1" si="83"/>
        <v>0</v>
      </c>
      <c r="Y219" s="2">
        <f t="shared" ca="1" si="83"/>
        <v>0</v>
      </c>
      <c r="Z219" s="2">
        <f t="shared" ca="1" si="83"/>
        <v>0</v>
      </c>
      <c r="AA219" s="2">
        <f t="shared" ca="1" si="83"/>
        <v>0</v>
      </c>
    </row>
    <row r="220" spans="1:27" x14ac:dyDescent="0.25">
      <c r="G220" s="8">
        <f ca="1">-G245/(NPV($G$16,H217:AA217))</f>
        <v>-2301.0863294602141</v>
      </c>
    </row>
    <row r="221" spans="1:27" x14ac:dyDescent="0.25">
      <c r="D221" t="s">
        <v>9</v>
      </c>
    </row>
    <row r="222" spans="1:27" x14ac:dyDescent="0.25">
      <c r="E222" t="s">
        <v>107</v>
      </c>
      <c r="F222" t="s">
        <v>7</v>
      </c>
      <c r="G222" s="2">
        <f t="shared" ref="G222:AA222" si="84">G42</f>
        <v>0</v>
      </c>
      <c r="H222" s="2">
        <f t="shared" si="84"/>
        <v>35642088.999999993</v>
      </c>
      <c r="I222" s="2">
        <f t="shared" si="84"/>
        <v>34471438.987999991</v>
      </c>
      <c r="J222" s="2">
        <f t="shared" si="84"/>
        <v>33874023.921329536</v>
      </c>
      <c r="K222" s="2">
        <f t="shared" si="84"/>
        <v>31485234.146776929</v>
      </c>
      <c r="L222" s="2">
        <f t="shared" si="84"/>
        <v>29102334.548788421</v>
      </c>
      <c r="M222" s="2">
        <f t="shared" si="84"/>
        <v>26770404.319784526</v>
      </c>
      <c r="N222" s="2">
        <f t="shared" si="84"/>
        <v>24501765.991871051</v>
      </c>
      <c r="O222" s="2">
        <f t="shared" si="84"/>
        <v>22294255.527520508</v>
      </c>
      <c r="P222" s="2">
        <f t="shared" si="84"/>
        <v>22225666.624848187</v>
      </c>
      <c r="Q222" s="2">
        <f t="shared" si="84"/>
        <v>22034929.480846372</v>
      </c>
      <c r="R222" s="2">
        <f t="shared" si="84"/>
        <v>23818234.423713431</v>
      </c>
      <c r="S222" s="2">
        <f t="shared" si="84"/>
        <v>25785741.558844842</v>
      </c>
      <c r="T222" s="2">
        <f t="shared" si="84"/>
        <v>27864816.90457559</v>
      </c>
      <c r="U222" s="2">
        <f t="shared" si="84"/>
        <v>28252867.210183382</v>
      </c>
      <c r="V222" s="2">
        <f t="shared" si="84"/>
        <v>28659746.141032089</v>
      </c>
      <c r="W222" s="2">
        <f t="shared" si="84"/>
        <v>0</v>
      </c>
      <c r="X222" s="2">
        <f t="shared" si="84"/>
        <v>0</v>
      </c>
      <c r="Y222" s="2">
        <f t="shared" si="84"/>
        <v>0</v>
      </c>
      <c r="Z222" s="2">
        <f t="shared" si="84"/>
        <v>0</v>
      </c>
      <c r="AA222" s="2">
        <f t="shared" si="84"/>
        <v>0</v>
      </c>
    </row>
    <row r="223" spans="1:27" x14ac:dyDescent="0.25">
      <c r="E223" t="s">
        <v>11</v>
      </c>
      <c r="F223" t="s">
        <v>7</v>
      </c>
      <c r="G223" s="2">
        <f t="shared" ref="G223:AA223" si="85">G177</f>
        <v>0</v>
      </c>
      <c r="H223" s="2">
        <f t="shared" si="85"/>
        <v>6467997.8506837934</v>
      </c>
      <c r="I223" s="2">
        <f t="shared" si="85"/>
        <v>12547348.701075982</v>
      </c>
      <c r="J223" s="2">
        <f t="shared" si="85"/>
        <v>18875434.16233049</v>
      </c>
      <c r="K223" s="2">
        <f t="shared" si="85"/>
        <v>24947068.687509734</v>
      </c>
      <c r="L223" s="2">
        <f t="shared" si="85"/>
        <v>30765522.21752084</v>
      </c>
      <c r="M223" s="2">
        <f t="shared" si="85"/>
        <v>36323604.283287503</v>
      </c>
      <c r="N223" s="2">
        <f t="shared" si="85"/>
        <v>41633729.277051948</v>
      </c>
      <c r="O223" s="2">
        <f t="shared" si="85"/>
        <v>46699364.076455534</v>
      </c>
      <c r="P223" s="2">
        <f t="shared" si="85"/>
        <v>51914368.829924114</v>
      </c>
      <c r="Q223" s="2">
        <f t="shared" si="85"/>
        <v>57274632.273385972</v>
      </c>
      <c r="R223" s="2">
        <f t="shared" si="85"/>
        <v>63092559.601128347</v>
      </c>
      <c r="S223" s="2">
        <f t="shared" si="85"/>
        <v>69419107.436178505</v>
      </c>
      <c r="T223" s="2">
        <f t="shared" si="85"/>
        <v>76274841.895825952</v>
      </c>
      <c r="U223" s="2">
        <f t="shared" si="85"/>
        <v>83346592.142628074</v>
      </c>
      <c r="V223" s="2">
        <f t="shared" si="85"/>
        <v>90652729.802196354</v>
      </c>
      <c r="W223" s="2">
        <f t="shared" si="85"/>
        <v>92556437.128042489</v>
      </c>
      <c r="X223" s="2">
        <f t="shared" si="85"/>
        <v>94500122.30773136</v>
      </c>
      <c r="Y223" s="2">
        <f t="shared" si="85"/>
        <v>96484624.876193717</v>
      </c>
      <c r="Z223" s="2">
        <f t="shared" si="85"/>
        <v>98510801.998593777</v>
      </c>
      <c r="AA223" s="2">
        <f t="shared" si="85"/>
        <v>100579528.84056422</v>
      </c>
    </row>
    <row r="224" spans="1:27" x14ac:dyDescent="0.25">
      <c r="E224" t="s">
        <v>57</v>
      </c>
      <c r="F224" t="s">
        <v>7</v>
      </c>
      <c r="G224" s="2">
        <f t="shared" ref="G224:AA224" si="86">-G187</f>
        <v>0</v>
      </c>
      <c r="H224" s="2">
        <f t="shared" si="86"/>
        <v>-4081304.5861971751</v>
      </c>
      <c r="I224" s="2">
        <f t="shared" si="86"/>
        <v>-8124453.3182916604</v>
      </c>
      <c r="J224" s="2">
        <f t="shared" si="86"/>
        <v>-12199213.412921648</v>
      </c>
      <c r="K224" s="2">
        <f t="shared" si="86"/>
        <v>-16078452.883336719</v>
      </c>
      <c r="L224" s="2">
        <f t="shared" si="86"/>
        <v>-19769297.856755786</v>
      </c>
      <c r="M224" s="2">
        <f t="shared" si="86"/>
        <v>-23272672.93213268</v>
      </c>
      <c r="N224" s="2">
        <f t="shared" si="86"/>
        <v>-26592500.398821432</v>
      </c>
      <c r="O224" s="2">
        <f t="shared" si="86"/>
        <v>-29731751.2251908</v>
      </c>
      <c r="P224" s="2">
        <f t="shared" si="86"/>
        <v>-32933959.355104275</v>
      </c>
      <c r="Q224" s="2">
        <f t="shared" si="86"/>
        <v>-36187705.326668009</v>
      </c>
      <c r="R224" s="2">
        <f t="shared" si="86"/>
        <v>-39717092.654547654</v>
      </c>
      <c r="S224" s="2">
        <f t="shared" si="86"/>
        <v>-43549830.841256797</v>
      </c>
      <c r="T224" s="2">
        <f t="shared" si="86"/>
        <v>-47704218.710662022</v>
      </c>
      <c r="U224" s="2">
        <f t="shared" si="86"/>
        <v>-51990689.053647444</v>
      </c>
      <c r="V224" s="2">
        <f t="shared" si="86"/>
        <v>-56415111.355761826</v>
      </c>
      <c r="W224" s="2">
        <f t="shared" si="86"/>
        <v>-57599828.694232821</v>
      </c>
      <c r="X224" s="2">
        <f t="shared" si="86"/>
        <v>-58809425.096811704</v>
      </c>
      <c r="Y224" s="2">
        <f t="shared" si="86"/>
        <v>-60044423.023844734</v>
      </c>
      <c r="Z224" s="2">
        <f t="shared" si="86"/>
        <v>-61305355.907345481</v>
      </c>
      <c r="AA224" s="2">
        <f t="shared" si="86"/>
        <v>-62592768.381399721</v>
      </c>
    </row>
    <row r="225" spans="4:28" customFormat="1" x14ac:dyDescent="0.25">
      <c r="E225" t="s">
        <v>10</v>
      </c>
      <c r="F225" t="s">
        <v>7</v>
      </c>
      <c r="G225" s="2">
        <f t="shared" ref="G225:AA225" si="87">-G200</f>
        <v>0</v>
      </c>
      <c r="H225" s="2">
        <f t="shared" si="87"/>
        <v>-1160913.7559999998</v>
      </c>
      <c r="I225" s="2">
        <f t="shared" si="87"/>
        <v>-2308076.9576279996</v>
      </c>
      <c r="J225" s="2">
        <f t="shared" si="87"/>
        <v>-3459871.9243186354</v>
      </c>
      <c r="K225" s="2">
        <f t="shared" si="87"/>
        <v>-4558048.289795775</v>
      </c>
      <c r="L225" s="2">
        <f t="shared" si="87"/>
        <v>-5601671.9148991657</v>
      </c>
      <c r="M225" s="2">
        <f t="shared" si="87"/>
        <v>-6591257.337242173</v>
      </c>
      <c r="N225" s="2">
        <f t="shared" si="87"/>
        <v>-7527731.2622023439</v>
      </c>
      <c r="O225" s="2">
        <f t="shared" si="87"/>
        <v>-8411969.3701764047</v>
      </c>
      <c r="P225" s="2">
        <f t="shared" si="87"/>
        <v>-9312542.4398737326</v>
      </c>
      <c r="Q225" s="2">
        <f t="shared" si="87"/>
        <v>-10225814.962772934</v>
      </c>
      <c r="R225" s="2">
        <f t="shared" si="87"/>
        <v>-11216350.998220688</v>
      </c>
      <c r="S225" s="2">
        <f t="shared" si="87"/>
        <v>-12291772.808528552</v>
      </c>
      <c r="T225" s="2">
        <f t="shared" si="87"/>
        <v>-13457496.930970971</v>
      </c>
      <c r="U225" s="2">
        <f t="shared" si="87"/>
        <v>-14660340.612795902</v>
      </c>
      <c r="V225" s="2">
        <f t="shared" si="87"/>
        <v>-15901696.639972519</v>
      </c>
      <c r="W225" s="2">
        <f t="shared" si="87"/>
        <v>-16235632.26941194</v>
      </c>
      <c r="X225" s="2">
        <f t="shared" si="87"/>
        <v>-16576580.547069591</v>
      </c>
      <c r="Y225" s="2">
        <f t="shared" si="87"/>
        <v>-16924688.73855805</v>
      </c>
      <c r="Z225" s="2">
        <f t="shared" si="87"/>
        <v>-17280107.202067766</v>
      </c>
      <c r="AA225" s="2">
        <f t="shared" si="87"/>
        <v>-17642989.45331119</v>
      </c>
    </row>
    <row r="226" spans="4:28" customFormat="1" x14ac:dyDescent="0.25">
      <c r="E226" t="s">
        <v>12</v>
      </c>
      <c r="F226" t="s">
        <v>7</v>
      </c>
      <c r="G226" s="2">
        <f t="shared" ref="G226:AA226" si="88">-G34-G50-G85</f>
        <v>-1023946.2365012518</v>
      </c>
      <c r="H226" s="2">
        <f t="shared" si="88"/>
        <v>-1467333.6625978346</v>
      </c>
      <c r="I226" s="2">
        <f t="shared" si="88"/>
        <v>-1850349.65135339</v>
      </c>
      <c r="J226" s="2">
        <f t="shared" si="88"/>
        <v>-2234083.8937163642</v>
      </c>
      <c r="K226" s="2">
        <f t="shared" si="88"/>
        <v>-2621756.3906569011</v>
      </c>
      <c r="L226" s="2">
        <f t="shared" si="88"/>
        <v>-2982646.2804563055</v>
      </c>
      <c r="M226" s="2">
        <f t="shared" si="88"/>
        <v>-3359274.7013886399</v>
      </c>
      <c r="N226" s="2">
        <f t="shared" si="88"/>
        <v>-3631516.5457427627</v>
      </c>
      <c r="O226" s="2">
        <f t="shared" si="88"/>
        <v>-3879230.4960485459</v>
      </c>
      <c r="P226" s="2">
        <f t="shared" si="88"/>
        <v>-4126182.3474357482</v>
      </c>
      <c r="Q226" s="2">
        <f t="shared" si="88"/>
        <v>-4371014.8972229306</v>
      </c>
      <c r="R226" s="2">
        <f t="shared" si="88"/>
        <v>-4635661.9463753011</v>
      </c>
      <c r="S226" s="2">
        <f t="shared" si="88"/>
        <v>-4922170.1859180219</v>
      </c>
      <c r="T226" s="2">
        <f t="shared" si="88"/>
        <v>-5231779.262635529</v>
      </c>
      <c r="U226" s="2">
        <f t="shared" si="88"/>
        <v>-5545700.0094153434</v>
      </c>
      <c r="V226" s="2">
        <f t="shared" si="88"/>
        <v>-5864141.6332045887</v>
      </c>
      <c r="W226" s="2">
        <f t="shared" si="88"/>
        <v>-5864141.6332045887</v>
      </c>
      <c r="X226" s="2">
        <f t="shared" si="88"/>
        <v>-5864141.6332045887</v>
      </c>
      <c r="Y226" s="2">
        <f t="shared" si="88"/>
        <v>-5864141.6332045887</v>
      </c>
      <c r="Z226" s="2">
        <f t="shared" si="88"/>
        <v>-5864141.6332045887</v>
      </c>
      <c r="AA226" s="2">
        <f t="shared" si="88"/>
        <v>-5864141.6332045887</v>
      </c>
    </row>
    <row r="227" spans="4:28" customFormat="1" x14ac:dyDescent="0.25">
      <c r="E227" t="s">
        <v>48</v>
      </c>
      <c r="F227" t="s">
        <v>7</v>
      </c>
      <c r="G227" s="2">
        <f t="shared" ref="G227:AA227" si="89">G207</f>
        <v>0</v>
      </c>
      <c r="H227" s="2">
        <f t="shared" si="89"/>
        <v>0</v>
      </c>
      <c r="I227" s="2">
        <f t="shared" si="89"/>
        <v>0</v>
      </c>
      <c r="J227" s="2">
        <f t="shared" si="89"/>
        <v>0</v>
      </c>
      <c r="K227" s="2">
        <f t="shared" si="89"/>
        <v>0</v>
      </c>
      <c r="L227" s="2">
        <f t="shared" si="89"/>
        <v>0</v>
      </c>
      <c r="M227" s="2">
        <f t="shared" si="89"/>
        <v>0</v>
      </c>
      <c r="N227" s="2">
        <f t="shared" si="89"/>
        <v>0</v>
      </c>
      <c r="O227" s="2">
        <f t="shared" si="89"/>
        <v>0</v>
      </c>
      <c r="P227" s="2">
        <f t="shared" si="89"/>
        <v>0</v>
      </c>
      <c r="Q227" s="2">
        <f t="shared" si="89"/>
        <v>0</v>
      </c>
      <c r="R227" s="2">
        <f t="shared" si="89"/>
        <v>0</v>
      </c>
      <c r="S227" s="2">
        <f t="shared" si="89"/>
        <v>0</v>
      </c>
      <c r="T227" s="2">
        <f t="shared" si="89"/>
        <v>0</v>
      </c>
      <c r="U227" s="2">
        <f t="shared" si="89"/>
        <v>0</v>
      </c>
      <c r="V227" s="2">
        <f t="shared" si="89"/>
        <v>0</v>
      </c>
      <c r="W227" s="2">
        <f t="shared" si="89"/>
        <v>0</v>
      </c>
      <c r="X227" s="2">
        <f t="shared" si="89"/>
        <v>0</v>
      </c>
      <c r="Y227" s="2">
        <f t="shared" si="89"/>
        <v>0</v>
      </c>
      <c r="Z227" s="2">
        <f t="shared" si="89"/>
        <v>0</v>
      </c>
      <c r="AA227" s="2">
        <f t="shared" si="89"/>
        <v>0</v>
      </c>
    </row>
    <row r="228" spans="4:28" customFormat="1" x14ac:dyDescent="0.25">
      <c r="E228" t="s">
        <v>13</v>
      </c>
      <c r="F228" t="s">
        <v>7</v>
      </c>
      <c r="H228" s="2">
        <f ca="1">H219</f>
        <v>0</v>
      </c>
      <c r="I228" s="2">
        <f t="shared" ref="I228:AA228" ca="1" si="90">I219</f>
        <v>0</v>
      </c>
      <c r="J228" s="2">
        <f t="shared" ca="1" si="90"/>
        <v>0</v>
      </c>
      <c r="K228" s="2">
        <f t="shared" ca="1" si="90"/>
        <v>0</v>
      </c>
      <c r="L228" s="2">
        <f t="shared" ca="1" si="90"/>
        <v>0</v>
      </c>
      <c r="M228" s="2">
        <f t="shared" ca="1" si="90"/>
        <v>0</v>
      </c>
      <c r="N228" s="2">
        <f t="shared" ca="1" si="90"/>
        <v>0</v>
      </c>
      <c r="O228" s="2">
        <f t="shared" ca="1" si="90"/>
        <v>0</v>
      </c>
      <c r="P228" s="2">
        <f t="shared" ca="1" si="90"/>
        <v>0</v>
      </c>
      <c r="Q228" s="2">
        <f t="shared" ca="1" si="90"/>
        <v>0</v>
      </c>
      <c r="R228" s="2">
        <f t="shared" ca="1" si="90"/>
        <v>0</v>
      </c>
      <c r="S228" s="2">
        <f t="shared" ca="1" si="90"/>
        <v>0</v>
      </c>
      <c r="T228" s="2">
        <f t="shared" ca="1" si="90"/>
        <v>0</v>
      </c>
      <c r="U228" s="2">
        <f t="shared" ca="1" si="90"/>
        <v>0</v>
      </c>
      <c r="V228" s="2">
        <f t="shared" ca="1" si="90"/>
        <v>0</v>
      </c>
      <c r="W228" s="2">
        <f t="shared" ca="1" si="90"/>
        <v>0</v>
      </c>
      <c r="X228" s="2">
        <f t="shared" ca="1" si="90"/>
        <v>0</v>
      </c>
      <c r="Y228" s="2">
        <f t="shared" ca="1" si="90"/>
        <v>0</v>
      </c>
      <c r="Z228" s="2">
        <f t="shared" ca="1" si="90"/>
        <v>0</v>
      </c>
      <c r="AA228" s="2">
        <f t="shared" ca="1" si="90"/>
        <v>0</v>
      </c>
    </row>
    <row r="229" spans="4:28" customFormat="1" x14ac:dyDescent="0.25"/>
    <row r="230" spans="4:28" customFormat="1" x14ac:dyDescent="0.25">
      <c r="E230" t="s">
        <v>14</v>
      </c>
      <c r="F230" t="s">
        <v>7</v>
      </c>
      <c r="G230" s="2">
        <f t="shared" ref="G230:AA230" si="91">SUM(G222:G228)</f>
        <v>-1023946.2365012518</v>
      </c>
      <c r="H230" s="2">
        <f t="shared" ca="1" si="91"/>
        <v>35400534.845888779</v>
      </c>
      <c r="I230" s="2">
        <f t="shared" ca="1" si="91"/>
        <v>34735907.761802927</v>
      </c>
      <c r="J230" s="2">
        <f t="shared" ca="1" si="91"/>
        <v>34856288.85270337</v>
      </c>
      <c r="K230" s="2">
        <f t="shared" ca="1" si="91"/>
        <v>33174045.270497266</v>
      </c>
      <c r="L230" s="2">
        <f t="shared" ca="1" si="91"/>
        <v>31514240.714198008</v>
      </c>
      <c r="M230" s="2">
        <f t="shared" ca="1" si="91"/>
        <v>29870803.632308546</v>
      </c>
      <c r="N230" s="2">
        <f t="shared" ca="1" si="91"/>
        <v>28383747.062156465</v>
      </c>
      <c r="O230" s="2">
        <f t="shared" ca="1" si="91"/>
        <v>26970668.512560286</v>
      </c>
      <c r="P230" s="2">
        <f t="shared" ca="1" si="91"/>
        <v>27767351.312358536</v>
      </c>
      <c r="Q230" s="2">
        <f t="shared" ca="1" si="91"/>
        <v>28525026.567568474</v>
      </c>
      <c r="R230" s="2">
        <f t="shared" ca="1" si="91"/>
        <v>31341688.425698139</v>
      </c>
      <c r="S230" s="2">
        <f t="shared" ca="1" si="91"/>
        <v>34441075.159319967</v>
      </c>
      <c r="T230" s="2">
        <f t="shared" ca="1" si="91"/>
        <v>37746163.896133021</v>
      </c>
      <c r="U230" s="2">
        <f t="shared" ca="1" si="91"/>
        <v>39402729.676952764</v>
      </c>
      <c r="V230" s="2">
        <f t="shared" ca="1" si="91"/>
        <v>41131526.314289503</v>
      </c>
      <c r="W230" s="2">
        <f t="shared" ca="1" si="91"/>
        <v>12856834.531193139</v>
      </c>
      <c r="X230" s="2">
        <f t="shared" ca="1" si="91"/>
        <v>13249975.030645477</v>
      </c>
      <c r="Y230" s="2">
        <f t="shared" ca="1" si="91"/>
        <v>13651371.480586344</v>
      </c>
      <c r="Z230" s="2">
        <f t="shared" ca="1" si="91"/>
        <v>14061197.255975941</v>
      </c>
      <c r="AA230" s="2">
        <f t="shared" ca="1" si="91"/>
        <v>14479629.372648722</v>
      </c>
    </row>
    <row r="231" spans="4:28" customFormat="1" x14ac:dyDescent="0.25">
      <c r="E231" t="s">
        <v>15</v>
      </c>
      <c r="F231" t="s">
        <v>7</v>
      </c>
      <c r="G231" s="2">
        <f>-G230*G$18</f>
        <v>307183.87095037551</v>
      </c>
      <c r="H231" s="2">
        <f ca="1">-H230*H$18</f>
        <v>-10620160.453766633</v>
      </c>
      <c r="I231" s="2">
        <f t="shared" ref="I231:AA231" ca="1" si="92">-I230*I$18</f>
        <v>-10420772.328540878</v>
      </c>
      <c r="J231" s="2">
        <f t="shared" ca="1" si="92"/>
        <v>-10456886.65581101</v>
      </c>
      <c r="K231" s="2">
        <f t="shared" ca="1" si="92"/>
        <v>-9952213.5811491795</v>
      </c>
      <c r="L231" s="2">
        <f t="shared" ca="1" si="92"/>
        <v>-9454272.2142594028</v>
      </c>
      <c r="M231" s="2">
        <f t="shared" ca="1" si="92"/>
        <v>-8961241.0896925628</v>
      </c>
      <c r="N231" s="2">
        <f t="shared" ca="1" si="92"/>
        <v>-8515124.1186469384</v>
      </c>
      <c r="O231" s="2">
        <f t="shared" ca="1" si="92"/>
        <v>-8091200.5537680853</v>
      </c>
      <c r="P231" s="2">
        <f t="shared" ca="1" si="92"/>
        <v>-8330205.3937075604</v>
      </c>
      <c r="Q231" s="2">
        <f t="shared" ca="1" si="92"/>
        <v>-8557507.9702705424</v>
      </c>
      <c r="R231" s="2">
        <f t="shared" ca="1" si="92"/>
        <v>-9402506.5277094413</v>
      </c>
      <c r="S231" s="2">
        <f t="shared" ca="1" si="92"/>
        <v>-10332322.54779599</v>
      </c>
      <c r="T231" s="2">
        <f t="shared" ca="1" si="92"/>
        <v>-11323849.168839905</v>
      </c>
      <c r="U231" s="2">
        <f t="shared" ca="1" si="92"/>
        <v>-11820818.90308583</v>
      </c>
      <c r="V231" s="2">
        <f t="shared" ca="1" si="92"/>
        <v>-12339457.89428685</v>
      </c>
      <c r="W231" s="2">
        <f t="shared" ca="1" si="92"/>
        <v>-3857050.3593579414</v>
      </c>
      <c r="X231" s="2">
        <f t="shared" ca="1" si="92"/>
        <v>-3974992.509193643</v>
      </c>
      <c r="Y231" s="2">
        <f t="shared" ca="1" si="92"/>
        <v>-4095411.4441759032</v>
      </c>
      <c r="Z231" s="2">
        <f t="shared" ca="1" si="92"/>
        <v>-4218359.1767927818</v>
      </c>
      <c r="AA231" s="2">
        <f t="shared" ca="1" si="92"/>
        <v>-4343888.8117946163</v>
      </c>
    </row>
    <row r="232" spans="4:28" customFormat="1" x14ac:dyDescent="0.25"/>
    <row r="233" spans="4:28" customFormat="1" x14ac:dyDescent="0.25">
      <c r="D233" t="s">
        <v>28</v>
      </c>
    </row>
    <row r="234" spans="4:28" customFormat="1" x14ac:dyDescent="0.25">
      <c r="E234" t="s">
        <v>1</v>
      </c>
      <c r="F234" t="s">
        <v>7</v>
      </c>
      <c r="G234" s="2">
        <f t="shared" ref="G234:AA234" si="93">-G26</f>
        <v>-92155161.285112664</v>
      </c>
      <c r="H234" s="2">
        <f t="shared" si="93"/>
        <v>-4262779.3486924423</v>
      </c>
      <c r="I234" s="2">
        <f t="shared" si="93"/>
        <v>0</v>
      </c>
      <c r="J234" s="2">
        <f t="shared" si="93"/>
        <v>-662057.89133817446</v>
      </c>
      <c r="K234" s="2">
        <f t="shared" si="93"/>
        <v>-3405290.5778713706</v>
      </c>
      <c r="L234" s="2">
        <f t="shared" si="93"/>
        <v>-3377755.5331579824</v>
      </c>
      <c r="M234" s="2">
        <f t="shared" si="93"/>
        <v>-7126153.5641255621</v>
      </c>
      <c r="N234" s="2">
        <f t="shared" si="93"/>
        <v>0</v>
      </c>
      <c r="O234" s="2">
        <f t="shared" si="93"/>
        <v>0</v>
      </c>
      <c r="P234" s="2">
        <f t="shared" si="93"/>
        <v>0</v>
      </c>
      <c r="Q234" s="2">
        <f t="shared" si="93"/>
        <v>0</v>
      </c>
      <c r="R234" s="2">
        <f t="shared" si="93"/>
        <v>0</v>
      </c>
      <c r="S234" s="2">
        <f t="shared" si="93"/>
        <v>0</v>
      </c>
      <c r="T234" s="2">
        <f t="shared" si="93"/>
        <v>0</v>
      </c>
      <c r="U234" s="2">
        <f t="shared" si="93"/>
        <v>0</v>
      </c>
      <c r="V234" s="2">
        <f t="shared" si="93"/>
        <v>0</v>
      </c>
      <c r="W234" s="2">
        <f t="shared" si="93"/>
        <v>0</v>
      </c>
      <c r="X234" s="2">
        <f t="shared" si="93"/>
        <v>0</v>
      </c>
      <c r="Y234" s="2">
        <f t="shared" si="93"/>
        <v>0</v>
      </c>
      <c r="Z234" s="2">
        <f t="shared" si="93"/>
        <v>0</v>
      </c>
      <c r="AA234" s="2">
        <f t="shared" si="93"/>
        <v>0</v>
      </c>
    </row>
    <row r="235" spans="4:28" customFormat="1" x14ac:dyDescent="0.25">
      <c r="E235" t="s">
        <v>19</v>
      </c>
      <c r="F235" t="s">
        <v>7</v>
      </c>
      <c r="G235" s="2">
        <f t="shared" ref="G235:AA235" si="94">G84</f>
        <v>0</v>
      </c>
      <c r="H235" s="2">
        <f t="shared" si="94"/>
        <v>0</v>
      </c>
      <c r="I235" s="2">
        <f t="shared" si="94"/>
        <v>0</v>
      </c>
      <c r="J235" s="2">
        <f t="shared" si="94"/>
        <v>0</v>
      </c>
      <c r="K235" s="2">
        <f t="shared" si="94"/>
        <v>0</v>
      </c>
      <c r="L235" s="2">
        <f t="shared" si="94"/>
        <v>0</v>
      </c>
      <c r="M235" s="2">
        <f t="shared" si="94"/>
        <v>0</v>
      </c>
      <c r="N235" s="2">
        <f t="shared" si="94"/>
        <v>0</v>
      </c>
      <c r="O235" s="2">
        <f t="shared" si="94"/>
        <v>0</v>
      </c>
      <c r="P235" s="2">
        <f t="shared" si="94"/>
        <v>0</v>
      </c>
      <c r="Q235" s="2">
        <f t="shared" si="94"/>
        <v>0</v>
      </c>
      <c r="R235" s="2">
        <f t="shared" si="94"/>
        <v>0</v>
      </c>
      <c r="S235" s="2">
        <f t="shared" si="94"/>
        <v>0</v>
      </c>
      <c r="T235" s="2">
        <f t="shared" si="94"/>
        <v>0</v>
      </c>
      <c r="U235" s="2">
        <f t="shared" si="94"/>
        <v>0</v>
      </c>
      <c r="V235" s="2">
        <f t="shared" si="94"/>
        <v>0</v>
      </c>
      <c r="W235" s="2">
        <f t="shared" si="94"/>
        <v>0</v>
      </c>
      <c r="X235" s="2">
        <f t="shared" si="94"/>
        <v>0</v>
      </c>
      <c r="Y235" s="2">
        <f t="shared" si="94"/>
        <v>0</v>
      </c>
      <c r="Z235" s="2">
        <f t="shared" si="94"/>
        <v>0</v>
      </c>
      <c r="AA235" s="2">
        <f t="shared" si="94"/>
        <v>0</v>
      </c>
    </row>
    <row r="236" spans="4:28" customFormat="1" x14ac:dyDescent="0.25">
      <c r="E236" t="s">
        <v>109</v>
      </c>
      <c r="F236" t="s">
        <v>7</v>
      </c>
      <c r="G236" s="2">
        <f t="shared" ref="G236:AA236" si="95">G53</f>
        <v>0</v>
      </c>
      <c r="H236" s="2">
        <f t="shared" si="95"/>
        <v>0</v>
      </c>
      <c r="I236" s="2">
        <f t="shared" si="95"/>
        <v>0</v>
      </c>
      <c r="J236" s="2">
        <f t="shared" si="95"/>
        <v>0</v>
      </c>
      <c r="K236" s="2">
        <f t="shared" si="95"/>
        <v>0</v>
      </c>
      <c r="L236" s="2">
        <f t="shared" si="95"/>
        <v>0</v>
      </c>
      <c r="M236" s="2">
        <f t="shared" si="95"/>
        <v>0</v>
      </c>
      <c r="N236" s="2">
        <f t="shared" si="95"/>
        <v>0</v>
      </c>
      <c r="O236" s="2">
        <f t="shared" si="95"/>
        <v>0</v>
      </c>
      <c r="P236" s="2">
        <f t="shared" si="95"/>
        <v>0</v>
      </c>
      <c r="Q236" s="2">
        <f t="shared" si="95"/>
        <v>0</v>
      </c>
      <c r="R236" s="2">
        <f t="shared" si="95"/>
        <v>0</v>
      </c>
      <c r="S236" s="2">
        <f t="shared" si="95"/>
        <v>0</v>
      </c>
      <c r="T236" s="2">
        <f t="shared" si="95"/>
        <v>0</v>
      </c>
      <c r="U236" s="2">
        <f t="shared" si="95"/>
        <v>0</v>
      </c>
      <c r="V236" s="2">
        <f t="shared" si="95"/>
        <v>0</v>
      </c>
      <c r="W236" s="2">
        <f t="shared" si="95"/>
        <v>0</v>
      </c>
      <c r="X236" s="2">
        <f t="shared" si="95"/>
        <v>0</v>
      </c>
      <c r="Y236" s="2">
        <f t="shared" si="95"/>
        <v>0</v>
      </c>
      <c r="Z236" s="2">
        <f t="shared" si="95"/>
        <v>0</v>
      </c>
      <c r="AA236" s="2">
        <f t="shared" si="95"/>
        <v>0</v>
      </c>
    </row>
    <row r="237" spans="4:28" customFormat="1" x14ac:dyDescent="0.25">
      <c r="E237" t="s">
        <v>11</v>
      </c>
      <c r="F237" t="s">
        <v>7</v>
      </c>
      <c r="G237" s="2">
        <f t="shared" ref="G237:AA237" si="96">G177</f>
        <v>0</v>
      </c>
      <c r="H237" s="2">
        <f t="shared" si="96"/>
        <v>6467997.8506837934</v>
      </c>
      <c r="I237" s="2">
        <f t="shared" si="96"/>
        <v>12547348.701075982</v>
      </c>
      <c r="J237" s="2">
        <f t="shared" si="96"/>
        <v>18875434.16233049</v>
      </c>
      <c r="K237" s="2">
        <f t="shared" si="96"/>
        <v>24947068.687509734</v>
      </c>
      <c r="L237" s="2">
        <f t="shared" si="96"/>
        <v>30765522.21752084</v>
      </c>
      <c r="M237" s="2">
        <f t="shared" si="96"/>
        <v>36323604.283287503</v>
      </c>
      <c r="N237" s="2">
        <f t="shared" si="96"/>
        <v>41633729.277051948</v>
      </c>
      <c r="O237" s="2">
        <f t="shared" si="96"/>
        <v>46699364.076455534</v>
      </c>
      <c r="P237" s="2">
        <f t="shared" si="96"/>
        <v>51914368.829924114</v>
      </c>
      <c r="Q237" s="2">
        <f t="shared" si="96"/>
        <v>57274632.273385972</v>
      </c>
      <c r="R237" s="2">
        <f t="shared" si="96"/>
        <v>63092559.601128347</v>
      </c>
      <c r="S237" s="2">
        <f t="shared" si="96"/>
        <v>69419107.436178505</v>
      </c>
      <c r="T237" s="2">
        <f t="shared" si="96"/>
        <v>76274841.895825952</v>
      </c>
      <c r="U237" s="2">
        <f t="shared" si="96"/>
        <v>83346592.142628074</v>
      </c>
      <c r="V237" s="2">
        <f t="shared" si="96"/>
        <v>90652729.802196354</v>
      </c>
      <c r="W237" s="2">
        <f t="shared" si="96"/>
        <v>92556437.128042489</v>
      </c>
      <c r="X237" s="2">
        <f t="shared" si="96"/>
        <v>94500122.30773136</v>
      </c>
      <c r="Y237" s="2">
        <f t="shared" si="96"/>
        <v>96484624.876193717</v>
      </c>
      <c r="Z237" s="2">
        <f t="shared" si="96"/>
        <v>98510801.998593777</v>
      </c>
      <c r="AA237" s="2">
        <f t="shared" si="96"/>
        <v>100579528.84056422</v>
      </c>
      <c r="AB237" s="2">
        <f t="shared" ref="AB237:AB241" si="97">IF(V237=0,0,IF($G$15&gt;(AA237/V237)^(1/5)-1+2%,AA237*(AA237/V237)^(1/5)/($G$15-((AA237/V237)^(1/5)-1)),AA237*(1+$G$14)/$G$16))</f>
        <v>3352650961.3521476</v>
      </c>
    </row>
    <row r="238" spans="4:28" customFormat="1" x14ac:dyDescent="0.25">
      <c r="E238" t="s">
        <v>57</v>
      </c>
      <c r="F238" t="s">
        <v>7</v>
      </c>
      <c r="G238" s="2">
        <f t="shared" ref="G238:AA238" si="98">G224</f>
        <v>0</v>
      </c>
      <c r="H238" s="2">
        <f t="shared" si="98"/>
        <v>-4081304.5861971751</v>
      </c>
      <c r="I238" s="2">
        <f t="shared" si="98"/>
        <v>-8124453.3182916604</v>
      </c>
      <c r="J238" s="2">
        <f t="shared" si="98"/>
        <v>-12199213.412921648</v>
      </c>
      <c r="K238" s="2">
        <f t="shared" si="98"/>
        <v>-16078452.883336719</v>
      </c>
      <c r="L238" s="2">
        <f t="shared" si="98"/>
        <v>-19769297.856755786</v>
      </c>
      <c r="M238" s="2">
        <f t="shared" si="98"/>
        <v>-23272672.93213268</v>
      </c>
      <c r="N238" s="2">
        <f t="shared" si="98"/>
        <v>-26592500.398821432</v>
      </c>
      <c r="O238" s="2">
        <f t="shared" si="98"/>
        <v>-29731751.2251908</v>
      </c>
      <c r="P238" s="2">
        <f t="shared" si="98"/>
        <v>-32933959.355104275</v>
      </c>
      <c r="Q238" s="2">
        <f t="shared" si="98"/>
        <v>-36187705.326668009</v>
      </c>
      <c r="R238" s="2">
        <f t="shared" si="98"/>
        <v>-39717092.654547654</v>
      </c>
      <c r="S238" s="2">
        <f t="shared" si="98"/>
        <v>-43549830.841256797</v>
      </c>
      <c r="T238" s="2">
        <f t="shared" si="98"/>
        <v>-47704218.710662022</v>
      </c>
      <c r="U238" s="2">
        <f t="shared" si="98"/>
        <v>-51990689.053647444</v>
      </c>
      <c r="V238" s="2">
        <f t="shared" si="98"/>
        <v>-56415111.355761826</v>
      </c>
      <c r="W238" s="2">
        <f t="shared" si="98"/>
        <v>-57599828.694232821</v>
      </c>
      <c r="X238" s="2">
        <f t="shared" si="98"/>
        <v>-58809425.096811704</v>
      </c>
      <c r="Y238" s="2">
        <f t="shared" si="98"/>
        <v>-60044423.023844734</v>
      </c>
      <c r="Z238" s="2">
        <f t="shared" si="98"/>
        <v>-61305355.907345481</v>
      </c>
      <c r="AA238" s="2">
        <f t="shared" si="98"/>
        <v>-62592768.381399721</v>
      </c>
      <c r="AB238" s="2">
        <f t="shared" si="97"/>
        <v>-2086425612.7133284</v>
      </c>
    </row>
    <row r="239" spans="4:28" customFormat="1" x14ac:dyDescent="0.25">
      <c r="E239" t="s">
        <v>10</v>
      </c>
      <c r="F239" t="s">
        <v>7</v>
      </c>
      <c r="G239" s="2">
        <f t="shared" ref="G239:AA239" si="99">-G200</f>
        <v>0</v>
      </c>
      <c r="H239" s="2">
        <f t="shared" si="99"/>
        <v>-1160913.7559999998</v>
      </c>
      <c r="I239" s="2">
        <f t="shared" si="99"/>
        <v>-2308076.9576279996</v>
      </c>
      <c r="J239" s="2">
        <f t="shared" si="99"/>
        <v>-3459871.9243186354</v>
      </c>
      <c r="K239" s="2">
        <f t="shared" si="99"/>
        <v>-4558048.289795775</v>
      </c>
      <c r="L239" s="2">
        <f t="shared" si="99"/>
        <v>-5601671.9148991657</v>
      </c>
      <c r="M239" s="2">
        <f t="shared" si="99"/>
        <v>-6591257.337242173</v>
      </c>
      <c r="N239" s="2">
        <f t="shared" si="99"/>
        <v>-7527731.2622023439</v>
      </c>
      <c r="O239" s="2">
        <f t="shared" si="99"/>
        <v>-8411969.3701764047</v>
      </c>
      <c r="P239" s="2">
        <f t="shared" si="99"/>
        <v>-9312542.4398737326</v>
      </c>
      <c r="Q239" s="2">
        <f t="shared" si="99"/>
        <v>-10225814.962772934</v>
      </c>
      <c r="R239" s="2">
        <f t="shared" si="99"/>
        <v>-11216350.998220688</v>
      </c>
      <c r="S239" s="2">
        <f t="shared" si="99"/>
        <v>-12291772.808528552</v>
      </c>
      <c r="T239" s="2">
        <f t="shared" si="99"/>
        <v>-13457496.930970971</v>
      </c>
      <c r="U239" s="2">
        <f t="shared" si="99"/>
        <v>-14660340.612795902</v>
      </c>
      <c r="V239" s="2">
        <f t="shared" si="99"/>
        <v>-15901696.639972519</v>
      </c>
      <c r="W239" s="2">
        <f t="shared" si="99"/>
        <v>-16235632.26941194</v>
      </c>
      <c r="X239" s="2">
        <f t="shared" si="99"/>
        <v>-16576580.547069591</v>
      </c>
      <c r="Y239" s="2">
        <f t="shared" si="99"/>
        <v>-16924688.73855805</v>
      </c>
      <c r="Z239" s="2">
        <f t="shared" si="99"/>
        <v>-17280107.202067766</v>
      </c>
      <c r="AA239" s="2">
        <f t="shared" si="99"/>
        <v>-17642989.45331119</v>
      </c>
      <c r="AB239" s="2">
        <f t="shared" si="97"/>
        <v>-588099648.44370759</v>
      </c>
    </row>
    <row r="240" spans="4:28" customFormat="1" x14ac:dyDescent="0.25">
      <c r="E240" t="s">
        <v>48</v>
      </c>
      <c r="F240" t="s">
        <v>7</v>
      </c>
      <c r="G240" s="2">
        <f t="shared" ref="G240:AA240" si="100">G207</f>
        <v>0</v>
      </c>
      <c r="H240" s="2">
        <f t="shared" si="100"/>
        <v>0</v>
      </c>
      <c r="I240" s="2">
        <f t="shared" si="100"/>
        <v>0</v>
      </c>
      <c r="J240" s="2">
        <f t="shared" si="100"/>
        <v>0</v>
      </c>
      <c r="K240" s="2">
        <f t="shared" si="100"/>
        <v>0</v>
      </c>
      <c r="L240" s="2">
        <f t="shared" si="100"/>
        <v>0</v>
      </c>
      <c r="M240" s="2">
        <f t="shared" si="100"/>
        <v>0</v>
      </c>
      <c r="N240" s="2">
        <f t="shared" si="100"/>
        <v>0</v>
      </c>
      <c r="O240" s="2">
        <f t="shared" si="100"/>
        <v>0</v>
      </c>
      <c r="P240" s="2">
        <f t="shared" si="100"/>
        <v>0</v>
      </c>
      <c r="Q240" s="2">
        <f t="shared" si="100"/>
        <v>0</v>
      </c>
      <c r="R240" s="2">
        <f t="shared" si="100"/>
        <v>0</v>
      </c>
      <c r="S240" s="2">
        <f t="shared" si="100"/>
        <v>0</v>
      </c>
      <c r="T240" s="2">
        <f t="shared" si="100"/>
        <v>0</v>
      </c>
      <c r="U240" s="2">
        <f t="shared" si="100"/>
        <v>0</v>
      </c>
      <c r="V240" s="2">
        <f t="shared" si="100"/>
        <v>0</v>
      </c>
      <c r="W240" s="2">
        <f t="shared" si="100"/>
        <v>0</v>
      </c>
      <c r="X240" s="2">
        <f t="shared" si="100"/>
        <v>0</v>
      </c>
      <c r="Y240" s="2">
        <f t="shared" si="100"/>
        <v>0</v>
      </c>
      <c r="Z240" s="2">
        <f t="shared" si="100"/>
        <v>0</v>
      </c>
      <c r="AA240" s="2">
        <f t="shared" si="100"/>
        <v>0</v>
      </c>
      <c r="AB240" s="2">
        <f t="shared" si="97"/>
        <v>0</v>
      </c>
    </row>
    <row r="241" spans="3:28" customFormat="1" x14ac:dyDescent="0.25">
      <c r="E241" t="s">
        <v>49</v>
      </c>
      <c r="F241" t="s">
        <v>7</v>
      </c>
      <c r="G241" s="2">
        <f t="shared" ref="G241:AA241" si="101">G214</f>
        <v>0</v>
      </c>
      <c r="H241" s="2">
        <f t="shared" si="101"/>
        <v>0</v>
      </c>
      <c r="I241" s="2">
        <f t="shared" si="101"/>
        <v>0</v>
      </c>
      <c r="J241" s="2">
        <f t="shared" si="101"/>
        <v>0</v>
      </c>
      <c r="K241" s="2">
        <f t="shared" si="101"/>
        <v>0</v>
      </c>
      <c r="L241" s="2">
        <f t="shared" si="101"/>
        <v>0</v>
      </c>
      <c r="M241" s="2">
        <f t="shared" si="101"/>
        <v>0</v>
      </c>
      <c r="N241" s="2">
        <f t="shared" si="101"/>
        <v>0</v>
      </c>
      <c r="O241" s="2">
        <f t="shared" si="101"/>
        <v>0</v>
      </c>
      <c r="P241" s="2">
        <f t="shared" si="101"/>
        <v>0</v>
      </c>
      <c r="Q241" s="2">
        <f t="shared" si="101"/>
        <v>0</v>
      </c>
      <c r="R241" s="2">
        <f t="shared" si="101"/>
        <v>0</v>
      </c>
      <c r="S241" s="2">
        <f t="shared" si="101"/>
        <v>0</v>
      </c>
      <c r="T241" s="2">
        <f t="shared" si="101"/>
        <v>0</v>
      </c>
      <c r="U241" s="2">
        <f t="shared" si="101"/>
        <v>0</v>
      </c>
      <c r="V241" s="2">
        <f t="shared" si="101"/>
        <v>0</v>
      </c>
      <c r="W241" s="2">
        <f t="shared" si="101"/>
        <v>0</v>
      </c>
      <c r="X241" s="2">
        <f t="shared" si="101"/>
        <v>0</v>
      </c>
      <c r="Y241" s="2">
        <f t="shared" si="101"/>
        <v>0</v>
      </c>
      <c r="Z241" s="2">
        <f t="shared" si="101"/>
        <v>0</v>
      </c>
      <c r="AA241" s="2">
        <f t="shared" si="101"/>
        <v>0</v>
      </c>
      <c r="AB241" s="2">
        <f t="shared" si="97"/>
        <v>0</v>
      </c>
    </row>
    <row r="242" spans="3:28" customFormat="1" x14ac:dyDescent="0.25">
      <c r="E242" t="s">
        <v>20</v>
      </c>
      <c r="F242" t="s">
        <v>7</v>
      </c>
      <c r="G242" s="2">
        <f t="shared" ref="G242:AA242" si="102">G231</f>
        <v>307183.87095037551</v>
      </c>
      <c r="H242" s="2">
        <f ca="1">H231</f>
        <v>-10620160.453766633</v>
      </c>
      <c r="I242" s="2">
        <f t="shared" ca="1" si="102"/>
        <v>-10420772.328540878</v>
      </c>
      <c r="J242" s="2">
        <f t="shared" ca="1" si="102"/>
        <v>-10456886.65581101</v>
      </c>
      <c r="K242" s="2">
        <f t="shared" ca="1" si="102"/>
        <v>-9952213.5811491795</v>
      </c>
      <c r="L242" s="2">
        <f t="shared" ca="1" si="102"/>
        <v>-9454272.2142594028</v>
      </c>
      <c r="M242" s="2">
        <f t="shared" ca="1" si="102"/>
        <v>-8961241.0896925628</v>
      </c>
      <c r="N242" s="2">
        <f t="shared" ca="1" si="102"/>
        <v>-8515124.1186469384</v>
      </c>
      <c r="O242" s="2">
        <f t="shared" ca="1" si="102"/>
        <v>-8091200.5537680853</v>
      </c>
      <c r="P242" s="2">
        <f t="shared" ca="1" si="102"/>
        <v>-8330205.3937075604</v>
      </c>
      <c r="Q242" s="2">
        <f t="shared" ca="1" si="102"/>
        <v>-8557507.9702705424</v>
      </c>
      <c r="R242" s="2">
        <f t="shared" ca="1" si="102"/>
        <v>-9402506.5277094413</v>
      </c>
      <c r="S242" s="2">
        <f t="shared" ca="1" si="102"/>
        <v>-10332322.54779599</v>
      </c>
      <c r="T242" s="2">
        <f t="shared" ca="1" si="102"/>
        <v>-11323849.168839905</v>
      </c>
      <c r="U242" s="2">
        <f t="shared" ca="1" si="102"/>
        <v>-11820818.90308583</v>
      </c>
      <c r="V242" s="2">
        <f t="shared" ca="1" si="102"/>
        <v>-12339457.89428685</v>
      </c>
      <c r="W242" s="2">
        <f t="shared" ca="1" si="102"/>
        <v>-3857050.3593579414</v>
      </c>
      <c r="X242" s="2">
        <f t="shared" ca="1" si="102"/>
        <v>-3974992.509193643</v>
      </c>
      <c r="Y242" s="2">
        <f t="shared" ca="1" si="102"/>
        <v>-4095411.4441759032</v>
      </c>
      <c r="Z242" s="2">
        <f t="shared" ca="1" si="102"/>
        <v>-4218359.1767927818</v>
      </c>
      <c r="AA242" s="2">
        <f t="shared" ca="1" si="102"/>
        <v>-4343888.8117946163</v>
      </c>
      <c r="AB242" s="2">
        <f ca="1">IF(V242=0,0,IF($G$15&gt;(AA242/V242)^(1/5)-1+2%,AA242*(AA242/V242)^(1/5)/($G$15-((AA242/V242)^(1/5)-1)),AA242*(1+$G$14)/$G$16))</f>
        <v>-14683968.356771637</v>
      </c>
    </row>
    <row r="243" spans="3:28" customFormat="1" x14ac:dyDescent="0.25">
      <c r="E243" t="s">
        <v>173</v>
      </c>
      <c r="F243" t="s">
        <v>7</v>
      </c>
      <c r="G243" s="2">
        <f>-$G$17*G242</f>
        <v>-153591.93547518775</v>
      </c>
      <c r="H243" s="2">
        <f ca="1">-$G$17*H242</f>
        <v>5310080.2268833164</v>
      </c>
      <c r="I243" s="2">
        <f t="shared" ref="I243:AA243" ca="1" si="103">-$G$17*I242</f>
        <v>5210386.1642704392</v>
      </c>
      <c r="J243" s="2">
        <f t="shared" ca="1" si="103"/>
        <v>5228443.327905505</v>
      </c>
      <c r="K243" s="2">
        <f t="shared" ca="1" si="103"/>
        <v>4976106.7905745897</v>
      </c>
      <c r="L243" s="2">
        <f t="shared" ca="1" si="103"/>
        <v>4727136.1071297014</v>
      </c>
      <c r="M243" s="2">
        <f t="shared" ca="1" si="103"/>
        <v>4480620.5448462814</v>
      </c>
      <c r="N243" s="2">
        <f t="shared" ca="1" si="103"/>
        <v>4257562.0593234692</v>
      </c>
      <c r="O243" s="2">
        <f t="shared" ca="1" si="103"/>
        <v>4045600.2768840427</v>
      </c>
      <c r="P243" s="2">
        <f t="shared" ca="1" si="103"/>
        <v>4165102.6968537802</v>
      </c>
      <c r="Q243" s="2">
        <f t="shared" ca="1" si="103"/>
        <v>4278753.9851352712</v>
      </c>
      <c r="R243" s="2">
        <f t="shared" ca="1" si="103"/>
        <v>4701253.2638547206</v>
      </c>
      <c r="S243" s="2">
        <f t="shared" ca="1" si="103"/>
        <v>5166161.2738979952</v>
      </c>
      <c r="T243" s="2">
        <f t="shared" ca="1" si="103"/>
        <v>5661924.5844199527</v>
      </c>
      <c r="U243" s="2">
        <f t="shared" ca="1" si="103"/>
        <v>5910409.4515429148</v>
      </c>
      <c r="V243" s="2">
        <f t="shared" ca="1" si="103"/>
        <v>6169728.9471434252</v>
      </c>
      <c r="W243" s="2">
        <f t="shared" ca="1" si="103"/>
        <v>1928525.1796789707</v>
      </c>
      <c r="X243" s="2">
        <f t="shared" ca="1" si="103"/>
        <v>1987496.2545968215</v>
      </c>
      <c r="Y243" s="2">
        <f t="shared" ca="1" si="103"/>
        <v>2047705.7220879516</v>
      </c>
      <c r="Z243" s="2">
        <f t="shared" ca="1" si="103"/>
        <v>2109179.5883963909</v>
      </c>
      <c r="AA243" s="2">
        <f t="shared" ca="1" si="103"/>
        <v>2171944.4058973081</v>
      </c>
      <c r="AB243" s="2">
        <f t="shared" ref="AB243" ca="1" si="104">IF(V243=0,0,IF($G$15&gt;(AA243/V243)^(1/5)-1+2%,AA243*(AA243/V243)^(1/5)/($G$15-((AA243/V243)^(1/5)-1)),AA243*(1+$G$14)/$G$16))</f>
        <v>7341984.1783858184</v>
      </c>
    </row>
    <row r="244" spans="3:28" customFormat="1" x14ac:dyDescent="0.25">
      <c r="E244" t="s">
        <v>23</v>
      </c>
      <c r="F244" t="s">
        <v>7</v>
      </c>
      <c r="G244" s="2">
        <f>SUM(G234:G243)</f>
        <v>-92001569.349637479</v>
      </c>
      <c r="H244" s="2">
        <f ca="1">SUM(H234:H243)</f>
        <v>-8347080.0670891404</v>
      </c>
      <c r="I244" s="2">
        <f t="shared" ref="I244:AB244" ca="1" si="105">SUM(I234:I243)</f>
        <v>-3095567.7391141169</v>
      </c>
      <c r="J244" s="2">
        <f t="shared" ca="1" si="105"/>
        <v>-2674152.394153473</v>
      </c>
      <c r="K244" s="2">
        <f t="shared" ca="1" si="105"/>
        <v>-4070829.8540687207</v>
      </c>
      <c r="L244" s="2">
        <f t="shared" ca="1" si="105"/>
        <v>-2710339.1944217943</v>
      </c>
      <c r="M244" s="2">
        <f t="shared" ca="1" si="105"/>
        <v>-5147100.0950591918</v>
      </c>
      <c r="N244" s="2">
        <f t="shared" ca="1" si="105"/>
        <v>3255935.5567047028</v>
      </c>
      <c r="O244" s="2">
        <f t="shared" ca="1" si="105"/>
        <v>4510043.2042042864</v>
      </c>
      <c r="P244" s="2">
        <f t="shared" ca="1" si="105"/>
        <v>5502764.3380923262</v>
      </c>
      <c r="Q244" s="2">
        <f t="shared" ca="1" si="105"/>
        <v>6582357.9988097576</v>
      </c>
      <c r="R244" s="2">
        <f t="shared" ca="1" si="105"/>
        <v>7457862.6845052848</v>
      </c>
      <c r="S244" s="2">
        <f t="shared" ca="1" si="105"/>
        <v>8411342.5124951601</v>
      </c>
      <c r="T244" s="2">
        <f t="shared" ca="1" si="105"/>
        <v>9451201.6697730068</v>
      </c>
      <c r="U244" s="2">
        <f t="shared" ca="1" si="105"/>
        <v>10785153.024641812</v>
      </c>
      <c r="V244" s="2">
        <f t="shared" ca="1" si="105"/>
        <v>12166192.859318584</v>
      </c>
      <c r="W244" s="2">
        <f t="shared" ca="1" si="105"/>
        <v>16792450.984718755</v>
      </c>
      <c r="X244" s="2">
        <f t="shared" ca="1" si="105"/>
        <v>17126620.409253243</v>
      </c>
      <c r="Y244" s="2">
        <f t="shared" ca="1" si="105"/>
        <v>17467807.391702984</v>
      </c>
      <c r="Z244" s="2">
        <f t="shared" ca="1" si="105"/>
        <v>17816159.300784141</v>
      </c>
      <c r="AA244" s="2">
        <f t="shared" ca="1" si="105"/>
        <v>18171826.599956002</v>
      </c>
      <c r="AB244" s="2">
        <f t="shared" ca="1" si="105"/>
        <v>670783716.0167259</v>
      </c>
    </row>
    <row r="245" spans="3:28" customFormat="1" x14ac:dyDescent="0.25">
      <c r="E245" t="s">
        <v>31</v>
      </c>
      <c r="F245" t="s">
        <v>7</v>
      </c>
      <c r="G245" s="2">
        <f ca="1">NPV($G$15,H244:AB244)+G244</f>
        <v>191728141.38684246</v>
      </c>
    </row>
    <row r="247" spans="3:28" customFormat="1" x14ac:dyDescent="0.25">
      <c r="E247" t="s">
        <v>13</v>
      </c>
      <c r="F247" t="s">
        <v>7</v>
      </c>
      <c r="H247" s="2">
        <f t="shared" ref="H247:AA247" ca="1" si="106">H219</f>
        <v>0</v>
      </c>
      <c r="I247" s="2">
        <f t="shared" ca="1" si="106"/>
        <v>0</v>
      </c>
      <c r="J247" s="2">
        <f t="shared" ca="1" si="106"/>
        <v>0</v>
      </c>
      <c r="K247" s="2">
        <f t="shared" ca="1" si="106"/>
        <v>0</v>
      </c>
      <c r="L247" s="2">
        <f t="shared" ca="1" si="106"/>
        <v>0</v>
      </c>
      <c r="M247" s="2">
        <f t="shared" ca="1" si="106"/>
        <v>0</v>
      </c>
      <c r="N247" s="2">
        <f t="shared" ca="1" si="106"/>
        <v>0</v>
      </c>
      <c r="O247" s="2">
        <f t="shared" ca="1" si="106"/>
        <v>0</v>
      </c>
      <c r="P247" s="2">
        <f t="shared" ca="1" si="106"/>
        <v>0</v>
      </c>
      <c r="Q247" s="2">
        <f t="shared" ca="1" si="106"/>
        <v>0</v>
      </c>
      <c r="R247" s="2">
        <f t="shared" ca="1" si="106"/>
        <v>0</v>
      </c>
      <c r="S247" s="2">
        <f t="shared" ca="1" si="106"/>
        <v>0</v>
      </c>
      <c r="T247" s="2">
        <f t="shared" ca="1" si="106"/>
        <v>0</v>
      </c>
      <c r="U247" s="2">
        <f t="shared" ca="1" si="106"/>
        <v>0</v>
      </c>
      <c r="V247" s="2">
        <f t="shared" ca="1" si="106"/>
        <v>0</v>
      </c>
      <c r="W247" s="2">
        <f t="shared" ca="1" si="106"/>
        <v>0</v>
      </c>
      <c r="X247" s="2">
        <f t="shared" ca="1" si="106"/>
        <v>0</v>
      </c>
      <c r="Y247" s="2">
        <f t="shared" ca="1" si="106"/>
        <v>0</v>
      </c>
      <c r="Z247" s="2">
        <f t="shared" ca="1" si="106"/>
        <v>0</v>
      </c>
      <c r="AA247" s="2">
        <f t="shared" ca="1" si="106"/>
        <v>0</v>
      </c>
    </row>
    <row r="248" spans="3:28" customFormat="1" x14ac:dyDescent="0.25">
      <c r="E248" t="s">
        <v>24</v>
      </c>
      <c r="F248" t="s">
        <v>7</v>
      </c>
      <c r="G248" s="2">
        <f ca="1">NPV($G$15,H247:AA247)+G247</f>
        <v>0</v>
      </c>
    </row>
    <row r="249" spans="3:28" customFormat="1" x14ac:dyDescent="0.25">
      <c r="E249" s="3" t="s">
        <v>34</v>
      </c>
      <c r="F249" s="3"/>
      <c r="G249" s="4" t="str">
        <f ca="1">IF(G245&gt;0,"N/A",IF(ABS(G245+G248)&gt;1,"Error","OK"))</f>
        <v>N/A</v>
      </c>
    </row>
    <row r="251" spans="3:28" customFormat="1" x14ac:dyDescent="0.25">
      <c r="C251" s="1" t="s">
        <v>35</v>
      </c>
      <c r="D251" s="1"/>
    </row>
    <row r="252" spans="3:28" customFormat="1" x14ac:dyDescent="0.25">
      <c r="C252" s="1"/>
      <c r="D252" s="1"/>
      <c r="G252" s="44"/>
    </row>
    <row r="253" spans="3:28" customFormat="1" x14ac:dyDescent="0.25">
      <c r="C253" s="1"/>
      <c r="D253" t="s">
        <v>35</v>
      </c>
      <c r="F253" t="s">
        <v>7</v>
      </c>
      <c r="G253" s="8">
        <f ca="1">MAX(0,-G279)</f>
        <v>0</v>
      </c>
    </row>
    <row r="255" spans="3:28" customFormat="1" x14ac:dyDescent="0.25">
      <c r="D255" t="s">
        <v>9</v>
      </c>
    </row>
    <row r="256" spans="3:28" customFormat="1" x14ac:dyDescent="0.25">
      <c r="E256" t="s">
        <v>107</v>
      </c>
      <c r="F256" t="s">
        <v>7</v>
      </c>
      <c r="G256" s="2">
        <f t="shared" ref="G256:AA261" si="107">G222</f>
        <v>0</v>
      </c>
      <c r="H256" s="2">
        <f t="shared" si="107"/>
        <v>35642088.999999993</v>
      </c>
      <c r="I256" s="2">
        <f t="shared" si="107"/>
        <v>34471438.987999991</v>
      </c>
      <c r="J256" s="2">
        <f t="shared" si="107"/>
        <v>33874023.921329536</v>
      </c>
      <c r="K256" s="2">
        <f t="shared" si="107"/>
        <v>31485234.146776929</v>
      </c>
      <c r="L256" s="2">
        <f t="shared" si="107"/>
        <v>29102334.548788421</v>
      </c>
      <c r="M256" s="2">
        <f t="shared" si="107"/>
        <v>26770404.319784526</v>
      </c>
      <c r="N256" s="2">
        <f t="shared" si="107"/>
        <v>24501765.991871051</v>
      </c>
      <c r="O256" s="2">
        <f t="shared" si="107"/>
        <v>22294255.527520508</v>
      </c>
      <c r="P256" s="2">
        <f t="shared" si="107"/>
        <v>22225666.624848187</v>
      </c>
      <c r="Q256" s="2">
        <f t="shared" si="107"/>
        <v>22034929.480846372</v>
      </c>
      <c r="R256" s="2">
        <f t="shared" si="107"/>
        <v>23818234.423713431</v>
      </c>
      <c r="S256" s="2">
        <f t="shared" si="107"/>
        <v>25785741.558844842</v>
      </c>
      <c r="T256" s="2">
        <f t="shared" si="107"/>
        <v>27864816.90457559</v>
      </c>
      <c r="U256" s="2">
        <f t="shared" si="107"/>
        <v>28252867.210183382</v>
      </c>
      <c r="V256" s="2">
        <f t="shared" si="107"/>
        <v>28659746.141032089</v>
      </c>
      <c r="W256" s="2">
        <f t="shared" si="107"/>
        <v>0</v>
      </c>
      <c r="X256" s="2">
        <f t="shared" si="107"/>
        <v>0</v>
      </c>
      <c r="Y256" s="2">
        <f t="shared" si="107"/>
        <v>0</v>
      </c>
      <c r="Z256" s="2">
        <f t="shared" si="107"/>
        <v>0</v>
      </c>
      <c r="AA256" s="2">
        <f t="shared" si="107"/>
        <v>0</v>
      </c>
    </row>
    <row r="257" spans="4:28" customFormat="1" x14ac:dyDescent="0.25">
      <c r="E257" t="s">
        <v>11</v>
      </c>
      <c r="F257" t="s">
        <v>7</v>
      </c>
      <c r="G257" s="2">
        <f t="shared" si="107"/>
        <v>0</v>
      </c>
      <c r="H257" s="2">
        <f t="shared" si="107"/>
        <v>6467997.8506837934</v>
      </c>
      <c r="I257" s="2">
        <f t="shared" si="107"/>
        <v>12547348.701075982</v>
      </c>
      <c r="J257" s="2">
        <f t="shared" si="107"/>
        <v>18875434.16233049</v>
      </c>
      <c r="K257" s="2">
        <f t="shared" si="107"/>
        <v>24947068.687509734</v>
      </c>
      <c r="L257" s="2">
        <f t="shared" si="107"/>
        <v>30765522.21752084</v>
      </c>
      <c r="M257" s="2">
        <f t="shared" si="107"/>
        <v>36323604.283287503</v>
      </c>
      <c r="N257" s="2">
        <f t="shared" si="107"/>
        <v>41633729.277051948</v>
      </c>
      <c r="O257" s="2">
        <f t="shared" si="107"/>
        <v>46699364.076455534</v>
      </c>
      <c r="P257" s="2">
        <f t="shared" si="107"/>
        <v>51914368.829924114</v>
      </c>
      <c r="Q257" s="2">
        <f t="shared" si="107"/>
        <v>57274632.273385972</v>
      </c>
      <c r="R257" s="2">
        <f t="shared" si="107"/>
        <v>63092559.601128347</v>
      </c>
      <c r="S257" s="2">
        <f t="shared" si="107"/>
        <v>69419107.436178505</v>
      </c>
      <c r="T257" s="2">
        <f t="shared" si="107"/>
        <v>76274841.895825952</v>
      </c>
      <c r="U257" s="2">
        <f t="shared" si="107"/>
        <v>83346592.142628074</v>
      </c>
      <c r="V257" s="2">
        <f t="shared" si="107"/>
        <v>90652729.802196354</v>
      </c>
      <c r="W257" s="2">
        <f t="shared" si="107"/>
        <v>92556437.128042489</v>
      </c>
      <c r="X257" s="2">
        <f t="shared" si="107"/>
        <v>94500122.30773136</v>
      </c>
      <c r="Y257" s="2">
        <f t="shared" si="107"/>
        <v>96484624.876193717</v>
      </c>
      <c r="Z257" s="2">
        <f t="shared" si="107"/>
        <v>98510801.998593777</v>
      </c>
      <c r="AA257" s="2">
        <f t="shared" si="107"/>
        <v>100579528.84056422</v>
      </c>
    </row>
    <row r="258" spans="4:28" customFormat="1" x14ac:dyDescent="0.25">
      <c r="E258" t="s">
        <v>57</v>
      </c>
      <c r="F258" t="s">
        <v>7</v>
      </c>
      <c r="G258" s="2">
        <f t="shared" si="107"/>
        <v>0</v>
      </c>
      <c r="H258" s="2">
        <f t="shared" si="107"/>
        <v>-4081304.5861971751</v>
      </c>
      <c r="I258" s="2">
        <f t="shared" si="107"/>
        <v>-8124453.3182916604</v>
      </c>
      <c r="J258" s="2">
        <f t="shared" si="107"/>
        <v>-12199213.412921648</v>
      </c>
      <c r="K258" s="2">
        <f t="shared" si="107"/>
        <v>-16078452.883336719</v>
      </c>
      <c r="L258" s="2">
        <f t="shared" si="107"/>
        <v>-19769297.856755786</v>
      </c>
      <c r="M258" s="2">
        <f t="shared" si="107"/>
        <v>-23272672.93213268</v>
      </c>
      <c r="N258" s="2">
        <f t="shared" si="107"/>
        <v>-26592500.398821432</v>
      </c>
      <c r="O258" s="2">
        <f t="shared" si="107"/>
        <v>-29731751.2251908</v>
      </c>
      <c r="P258" s="2">
        <f t="shared" si="107"/>
        <v>-32933959.355104275</v>
      </c>
      <c r="Q258" s="2">
        <f t="shared" si="107"/>
        <v>-36187705.326668009</v>
      </c>
      <c r="R258" s="2">
        <f t="shared" si="107"/>
        <v>-39717092.654547654</v>
      </c>
      <c r="S258" s="2">
        <f t="shared" si="107"/>
        <v>-43549830.841256797</v>
      </c>
      <c r="T258" s="2">
        <f t="shared" si="107"/>
        <v>-47704218.710662022</v>
      </c>
      <c r="U258" s="2">
        <f t="shared" si="107"/>
        <v>-51990689.053647444</v>
      </c>
      <c r="V258" s="2">
        <f t="shared" si="107"/>
        <v>-56415111.355761826</v>
      </c>
      <c r="W258" s="2">
        <f t="shared" si="107"/>
        <v>-57599828.694232821</v>
      </c>
      <c r="X258" s="2">
        <f t="shared" si="107"/>
        <v>-58809425.096811704</v>
      </c>
      <c r="Y258" s="2">
        <f t="shared" si="107"/>
        <v>-60044423.023844734</v>
      </c>
      <c r="Z258" s="2">
        <f t="shared" si="107"/>
        <v>-61305355.907345481</v>
      </c>
      <c r="AA258" s="2">
        <f t="shared" si="107"/>
        <v>-62592768.381399721</v>
      </c>
    </row>
    <row r="259" spans="4:28" customFormat="1" x14ac:dyDescent="0.25">
      <c r="E259" t="s">
        <v>10</v>
      </c>
      <c r="F259" t="s">
        <v>7</v>
      </c>
      <c r="G259" s="2">
        <f t="shared" si="107"/>
        <v>0</v>
      </c>
      <c r="H259" s="2">
        <f t="shared" si="107"/>
        <v>-1160913.7559999998</v>
      </c>
      <c r="I259" s="2">
        <f t="shared" si="107"/>
        <v>-2308076.9576279996</v>
      </c>
      <c r="J259" s="2">
        <f t="shared" si="107"/>
        <v>-3459871.9243186354</v>
      </c>
      <c r="K259" s="2">
        <f t="shared" si="107"/>
        <v>-4558048.289795775</v>
      </c>
      <c r="L259" s="2">
        <f t="shared" si="107"/>
        <v>-5601671.9148991657</v>
      </c>
      <c r="M259" s="2">
        <f t="shared" si="107"/>
        <v>-6591257.337242173</v>
      </c>
      <c r="N259" s="2">
        <f t="shared" si="107"/>
        <v>-7527731.2622023439</v>
      </c>
      <c r="O259" s="2">
        <f t="shared" si="107"/>
        <v>-8411969.3701764047</v>
      </c>
      <c r="P259" s="2">
        <f t="shared" si="107"/>
        <v>-9312542.4398737326</v>
      </c>
      <c r="Q259" s="2">
        <f t="shared" si="107"/>
        <v>-10225814.962772934</v>
      </c>
      <c r="R259" s="2">
        <f t="shared" si="107"/>
        <v>-11216350.998220688</v>
      </c>
      <c r="S259" s="2">
        <f t="shared" si="107"/>
        <v>-12291772.808528552</v>
      </c>
      <c r="T259" s="2">
        <f t="shared" si="107"/>
        <v>-13457496.930970971</v>
      </c>
      <c r="U259" s="2">
        <f t="shared" si="107"/>
        <v>-14660340.612795902</v>
      </c>
      <c r="V259" s="2">
        <f t="shared" si="107"/>
        <v>-15901696.639972519</v>
      </c>
      <c r="W259" s="2">
        <f t="shared" si="107"/>
        <v>-16235632.26941194</v>
      </c>
      <c r="X259" s="2">
        <f t="shared" si="107"/>
        <v>-16576580.547069591</v>
      </c>
      <c r="Y259" s="2">
        <f t="shared" si="107"/>
        <v>-16924688.73855805</v>
      </c>
      <c r="Z259" s="2">
        <f t="shared" si="107"/>
        <v>-17280107.202067766</v>
      </c>
      <c r="AA259" s="2">
        <f t="shared" si="107"/>
        <v>-17642989.45331119</v>
      </c>
    </row>
    <row r="260" spans="4:28" customFormat="1" x14ac:dyDescent="0.25">
      <c r="E260" t="s">
        <v>12</v>
      </c>
      <c r="F260" t="s">
        <v>7</v>
      </c>
      <c r="G260" s="2">
        <f t="shared" si="107"/>
        <v>-1023946.2365012518</v>
      </c>
      <c r="H260" s="2">
        <f t="shared" si="107"/>
        <v>-1467333.6625978346</v>
      </c>
      <c r="I260" s="2">
        <f t="shared" si="107"/>
        <v>-1850349.65135339</v>
      </c>
      <c r="J260" s="2">
        <f t="shared" si="107"/>
        <v>-2234083.8937163642</v>
      </c>
      <c r="K260" s="2">
        <f t="shared" si="107"/>
        <v>-2621756.3906569011</v>
      </c>
      <c r="L260" s="2">
        <f t="shared" si="107"/>
        <v>-2982646.2804563055</v>
      </c>
      <c r="M260" s="2">
        <f t="shared" si="107"/>
        <v>-3359274.7013886399</v>
      </c>
      <c r="N260" s="2">
        <f t="shared" si="107"/>
        <v>-3631516.5457427627</v>
      </c>
      <c r="O260" s="2">
        <f t="shared" si="107"/>
        <v>-3879230.4960485459</v>
      </c>
      <c r="P260" s="2">
        <f t="shared" si="107"/>
        <v>-4126182.3474357482</v>
      </c>
      <c r="Q260" s="2">
        <f t="shared" si="107"/>
        <v>-4371014.8972229306</v>
      </c>
      <c r="R260" s="2">
        <f t="shared" si="107"/>
        <v>-4635661.9463753011</v>
      </c>
      <c r="S260" s="2">
        <f t="shared" si="107"/>
        <v>-4922170.1859180219</v>
      </c>
      <c r="T260" s="2">
        <f t="shared" si="107"/>
        <v>-5231779.262635529</v>
      </c>
      <c r="U260" s="2">
        <f t="shared" si="107"/>
        <v>-5545700.0094153434</v>
      </c>
      <c r="V260" s="2">
        <f t="shared" si="107"/>
        <v>-5864141.6332045887</v>
      </c>
      <c r="W260" s="2">
        <f t="shared" si="107"/>
        <v>-5864141.6332045887</v>
      </c>
      <c r="X260" s="2">
        <f t="shared" si="107"/>
        <v>-5864141.6332045887</v>
      </c>
      <c r="Y260" s="2">
        <f t="shared" si="107"/>
        <v>-5864141.6332045887</v>
      </c>
      <c r="Z260" s="2">
        <f t="shared" si="107"/>
        <v>-5864141.6332045887</v>
      </c>
      <c r="AA260" s="2">
        <f t="shared" si="107"/>
        <v>-5864141.6332045887</v>
      </c>
    </row>
    <row r="261" spans="4:28" customFormat="1" x14ac:dyDescent="0.25">
      <c r="E261" t="s">
        <v>48</v>
      </c>
      <c r="F261" t="s">
        <v>7</v>
      </c>
      <c r="G261" s="2">
        <f t="shared" si="107"/>
        <v>0</v>
      </c>
      <c r="H261" s="2">
        <f t="shared" si="107"/>
        <v>0</v>
      </c>
      <c r="I261" s="2">
        <f t="shared" si="107"/>
        <v>0</v>
      </c>
      <c r="J261" s="2">
        <f t="shared" si="107"/>
        <v>0</v>
      </c>
      <c r="K261" s="2">
        <f t="shared" si="107"/>
        <v>0</v>
      </c>
      <c r="L261" s="2">
        <f t="shared" si="107"/>
        <v>0</v>
      </c>
      <c r="M261" s="2">
        <f t="shared" si="107"/>
        <v>0</v>
      </c>
      <c r="N261" s="2">
        <f t="shared" si="107"/>
        <v>0</v>
      </c>
      <c r="O261" s="2">
        <f t="shared" si="107"/>
        <v>0</v>
      </c>
      <c r="P261" s="2">
        <f t="shared" si="107"/>
        <v>0</v>
      </c>
      <c r="Q261" s="2">
        <f t="shared" si="107"/>
        <v>0</v>
      </c>
      <c r="R261" s="2">
        <f t="shared" si="107"/>
        <v>0</v>
      </c>
      <c r="S261" s="2">
        <f t="shared" si="107"/>
        <v>0</v>
      </c>
      <c r="T261" s="2">
        <f t="shared" si="107"/>
        <v>0</v>
      </c>
      <c r="U261" s="2">
        <f t="shared" si="107"/>
        <v>0</v>
      </c>
      <c r="V261" s="2">
        <f t="shared" si="107"/>
        <v>0</v>
      </c>
      <c r="W261" s="2">
        <f t="shared" si="107"/>
        <v>0</v>
      </c>
      <c r="X261" s="2">
        <f t="shared" si="107"/>
        <v>0</v>
      </c>
      <c r="Y261" s="2">
        <f t="shared" si="107"/>
        <v>0</v>
      </c>
      <c r="Z261" s="2">
        <f t="shared" si="107"/>
        <v>0</v>
      </c>
      <c r="AA261" s="2">
        <f t="shared" si="107"/>
        <v>0</v>
      </c>
    </row>
    <row r="262" spans="4:28" customFormat="1" x14ac:dyDescent="0.25">
      <c r="E262" t="s">
        <v>13</v>
      </c>
      <c r="F262" t="s">
        <v>7</v>
      </c>
      <c r="G262" s="2">
        <f ca="1">G253</f>
        <v>0</v>
      </c>
      <c r="H262" s="2"/>
      <c r="I262" s="2"/>
      <c r="J262" s="2"/>
      <c r="K262" s="2"/>
      <c r="L262" s="2"/>
      <c r="M262" s="2"/>
      <c r="N262" s="2"/>
      <c r="O262" s="2"/>
      <c r="P262" s="2"/>
      <c r="Q262" s="2"/>
      <c r="R262" s="2"/>
      <c r="S262" s="2"/>
      <c r="T262" s="2"/>
      <c r="U262" s="2"/>
      <c r="V262" s="2"/>
      <c r="W262" s="2"/>
      <c r="X262" s="2"/>
      <c r="Y262" s="2"/>
      <c r="Z262" s="2"/>
      <c r="AA262" s="2"/>
    </row>
    <row r="263" spans="4:28" customFormat="1" x14ac:dyDescent="0.25"/>
    <row r="264" spans="4:28" customFormat="1" x14ac:dyDescent="0.25">
      <c r="E264" t="s">
        <v>14</v>
      </c>
      <c r="F264" t="s">
        <v>7</v>
      </c>
      <c r="G264" s="2">
        <f t="shared" ref="G264:AA264" ca="1" si="108">SUM(G256:G262)</f>
        <v>-1023946.2365012518</v>
      </c>
      <c r="H264" s="2">
        <f t="shared" si="108"/>
        <v>35400534.845888779</v>
      </c>
      <c r="I264" s="2">
        <f t="shared" si="108"/>
        <v>34735907.761802927</v>
      </c>
      <c r="J264" s="2">
        <f t="shared" si="108"/>
        <v>34856288.85270337</v>
      </c>
      <c r="K264" s="2">
        <f t="shared" si="108"/>
        <v>33174045.270497266</v>
      </c>
      <c r="L264" s="2">
        <f t="shared" si="108"/>
        <v>31514240.714198008</v>
      </c>
      <c r="M264" s="2">
        <f t="shared" si="108"/>
        <v>29870803.632308546</v>
      </c>
      <c r="N264" s="2">
        <f t="shared" si="108"/>
        <v>28383747.062156465</v>
      </c>
      <c r="O264" s="2">
        <f t="shared" si="108"/>
        <v>26970668.512560286</v>
      </c>
      <c r="P264" s="2">
        <f t="shared" si="108"/>
        <v>27767351.312358536</v>
      </c>
      <c r="Q264" s="2">
        <f t="shared" si="108"/>
        <v>28525026.567568474</v>
      </c>
      <c r="R264" s="2">
        <f t="shared" si="108"/>
        <v>31341688.425698139</v>
      </c>
      <c r="S264" s="2">
        <f t="shared" si="108"/>
        <v>34441075.159319967</v>
      </c>
      <c r="T264" s="2">
        <f t="shared" si="108"/>
        <v>37746163.896133021</v>
      </c>
      <c r="U264" s="2">
        <f t="shared" si="108"/>
        <v>39402729.676952764</v>
      </c>
      <c r="V264" s="2">
        <f t="shared" si="108"/>
        <v>41131526.314289503</v>
      </c>
      <c r="W264" s="2">
        <f t="shared" si="108"/>
        <v>12856834.531193139</v>
      </c>
      <c r="X264" s="2">
        <f t="shared" si="108"/>
        <v>13249975.030645477</v>
      </c>
      <c r="Y264" s="2">
        <f t="shared" si="108"/>
        <v>13651371.480586344</v>
      </c>
      <c r="Z264" s="2">
        <f t="shared" si="108"/>
        <v>14061197.255975941</v>
      </c>
      <c r="AA264" s="2">
        <f t="shared" si="108"/>
        <v>14479629.372648722</v>
      </c>
    </row>
    <row r="265" spans="4:28" customFormat="1" x14ac:dyDescent="0.25">
      <c r="E265" t="s">
        <v>15</v>
      </c>
      <c r="F265" t="s">
        <v>7</v>
      </c>
      <c r="G265" s="2">
        <f ca="1">-G264*G$18</f>
        <v>307183.87095037551</v>
      </c>
      <c r="H265" s="2">
        <f t="shared" ref="H265:AA265" si="109">-H264*H$18</f>
        <v>-10620160.453766633</v>
      </c>
      <c r="I265" s="2">
        <f t="shared" si="109"/>
        <v>-10420772.328540878</v>
      </c>
      <c r="J265" s="2">
        <f t="shared" si="109"/>
        <v>-10456886.65581101</v>
      </c>
      <c r="K265" s="2">
        <f t="shared" si="109"/>
        <v>-9952213.5811491795</v>
      </c>
      <c r="L265" s="2">
        <f t="shared" si="109"/>
        <v>-9454272.2142594028</v>
      </c>
      <c r="M265" s="2">
        <f t="shared" si="109"/>
        <v>-8961241.0896925628</v>
      </c>
      <c r="N265" s="2">
        <f t="shared" si="109"/>
        <v>-8515124.1186469384</v>
      </c>
      <c r="O265" s="2">
        <f t="shared" si="109"/>
        <v>-8091200.5537680853</v>
      </c>
      <c r="P265" s="2">
        <f t="shared" si="109"/>
        <v>-8330205.3937075604</v>
      </c>
      <c r="Q265" s="2">
        <f t="shared" si="109"/>
        <v>-8557507.9702705424</v>
      </c>
      <c r="R265" s="2">
        <f t="shared" si="109"/>
        <v>-9402506.5277094413</v>
      </c>
      <c r="S265" s="2">
        <f t="shared" si="109"/>
        <v>-10332322.54779599</v>
      </c>
      <c r="T265" s="2">
        <f t="shared" si="109"/>
        <v>-11323849.168839905</v>
      </c>
      <c r="U265" s="2">
        <f t="shared" si="109"/>
        <v>-11820818.90308583</v>
      </c>
      <c r="V265" s="2">
        <f t="shared" si="109"/>
        <v>-12339457.89428685</v>
      </c>
      <c r="W265" s="2">
        <f t="shared" si="109"/>
        <v>-3857050.3593579414</v>
      </c>
      <c r="X265" s="2">
        <f t="shared" si="109"/>
        <v>-3974992.509193643</v>
      </c>
      <c r="Y265" s="2">
        <f t="shared" si="109"/>
        <v>-4095411.4441759032</v>
      </c>
      <c r="Z265" s="2">
        <f t="shared" si="109"/>
        <v>-4218359.1767927818</v>
      </c>
      <c r="AA265" s="2">
        <f t="shared" si="109"/>
        <v>-4343888.8117946163</v>
      </c>
    </row>
    <row r="266" spans="4:28" customFormat="1" x14ac:dyDescent="0.25"/>
    <row r="267" spans="4:28" customFormat="1" x14ac:dyDescent="0.25">
      <c r="D267" t="s">
        <v>28</v>
      </c>
    </row>
    <row r="268" spans="4:28" customFormat="1" x14ac:dyDescent="0.25">
      <c r="E268" t="s">
        <v>1</v>
      </c>
      <c r="F268" t="s">
        <v>7</v>
      </c>
      <c r="G268" s="2">
        <f t="shared" ref="G268:AA275" si="110">G234</f>
        <v>-92155161.285112664</v>
      </c>
      <c r="H268" s="2">
        <f t="shared" si="110"/>
        <v>-4262779.3486924423</v>
      </c>
      <c r="I268" s="2">
        <f t="shared" si="110"/>
        <v>0</v>
      </c>
      <c r="J268" s="2">
        <f t="shared" si="110"/>
        <v>-662057.89133817446</v>
      </c>
      <c r="K268" s="2">
        <f t="shared" si="110"/>
        <v>-3405290.5778713706</v>
      </c>
      <c r="L268" s="2">
        <f t="shared" si="110"/>
        <v>-3377755.5331579824</v>
      </c>
      <c r="M268" s="2">
        <f t="shared" si="110"/>
        <v>-7126153.5641255621</v>
      </c>
      <c r="N268" s="2">
        <f t="shared" si="110"/>
        <v>0</v>
      </c>
      <c r="O268" s="2">
        <f t="shared" si="110"/>
        <v>0</v>
      </c>
      <c r="P268" s="2">
        <f t="shared" si="110"/>
        <v>0</v>
      </c>
      <c r="Q268" s="2">
        <f t="shared" si="110"/>
        <v>0</v>
      </c>
      <c r="R268" s="2">
        <f t="shared" si="110"/>
        <v>0</v>
      </c>
      <c r="S268" s="2">
        <f t="shared" si="110"/>
        <v>0</v>
      </c>
      <c r="T268" s="2">
        <f t="shared" si="110"/>
        <v>0</v>
      </c>
      <c r="U268" s="2">
        <f t="shared" si="110"/>
        <v>0</v>
      </c>
      <c r="V268" s="2">
        <f t="shared" si="110"/>
        <v>0</v>
      </c>
      <c r="W268" s="2">
        <f t="shared" si="110"/>
        <v>0</v>
      </c>
      <c r="X268" s="2">
        <f t="shared" si="110"/>
        <v>0</v>
      </c>
      <c r="Y268" s="2">
        <f t="shared" si="110"/>
        <v>0</v>
      </c>
      <c r="Z268" s="2">
        <f t="shared" si="110"/>
        <v>0</v>
      </c>
      <c r="AA268" s="2">
        <f t="shared" si="110"/>
        <v>0</v>
      </c>
    </row>
    <row r="269" spans="4:28" customFormat="1" x14ac:dyDescent="0.25">
      <c r="E269" t="s">
        <v>19</v>
      </c>
      <c r="F269" t="s">
        <v>7</v>
      </c>
      <c r="G269" s="2">
        <f t="shared" si="110"/>
        <v>0</v>
      </c>
      <c r="H269" s="2">
        <f t="shared" si="110"/>
        <v>0</v>
      </c>
      <c r="I269" s="2">
        <f t="shared" si="110"/>
        <v>0</v>
      </c>
      <c r="J269" s="2">
        <f t="shared" si="110"/>
        <v>0</v>
      </c>
      <c r="K269" s="2">
        <f t="shared" si="110"/>
        <v>0</v>
      </c>
      <c r="L269" s="2">
        <f t="shared" si="110"/>
        <v>0</v>
      </c>
      <c r="M269" s="2">
        <f t="shared" si="110"/>
        <v>0</v>
      </c>
      <c r="N269" s="2">
        <f t="shared" si="110"/>
        <v>0</v>
      </c>
      <c r="O269" s="2">
        <f t="shared" si="110"/>
        <v>0</v>
      </c>
      <c r="P269" s="2">
        <f t="shared" si="110"/>
        <v>0</v>
      </c>
      <c r="Q269" s="2">
        <f t="shared" si="110"/>
        <v>0</v>
      </c>
      <c r="R269" s="2">
        <f t="shared" si="110"/>
        <v>0</v>
      </c>
      <c r="S269" s="2">
        <f t="shared" si="110"/>
        <v>0</v>
      </c>
      <c r="T269" s="2">
        <f t="shared" si="110"/>
        <v>0</v>
      </c>
      <c r="U269" s="2">
        <f t="shared" si="110"/>
        <v>0</v>
      </c>
      <c r="V269" s="2">
        <f t="shared" si="110"/>
        <v>0</v>
      </c>
      <c r="W269" s="2">
        <f t="shared" si="110"/>
        <v>0</v>
      </c>
      <c r="X269" s="2">
        <f t="shared" si="110"/>
        <v>0</v>
      </c>
      <c r="Y269" s="2">
        <f t="shared" si="110"/>
        <v>0</v>
      </c>
      <c r="Z269" s="2">
        <f t="shared" si="110"/>
        <v>0</v>
      </c>
      <c r="AA269" s="2">
        <f t="shared" si="110"/>
        <v>0</v>
      </c>
    </row>
    <row r="270" spans="4:28" customFormat="1" x14ac:dyDescent="0.25">
      <c r="E270" t="s">
        <v>109</v>
      </c>
      <c r="F270" t="s">
        <v>7</v>
      </c>
      <c r="G270" s="2">
        <f t="shared" si="110"/>
        <v>0</v>
      </c>
      <c r="H270" s="2">
        <f t="shared" si="110"/>
        <v>0</v>
      </c>
      <c r="I270" s="2">
        <f t="shared" si="110"/>
        <v>0</v>
      </c>
      <c r="J270" s="2">
        <f t="shared" si="110"/>
        <v>0</v>
      </c>
      <c r="K270" s="2">
        <f t="shared" si="110"/>
        <v>0</v>
      </c>
      <c r="L270" s="2">
        <f t="shared" si="110"/>
        <v>0</v>
      </c>
      <c r="M270" s="2">
        <f t="shared" si="110"/>
        <v>0</v>
      </c>
      <c r="N270" s="2">
        <f t="shared" si="110"/>
        <v>0</v>
      </c>
      <c r="O270" s="2">
        <f t="shared" si="110"/>
        <v>0</v>
      </c>
      <c r="P270" s="2">
        <f t="shared" si="110"/>
        <v>0</v>
      </c>
      <c r="Q270" s="2">
        <f t="shared" si="110"/>
        <v>0</v>
      </c>
      <c r="R270" s="2">
        <f t="shared" si="110"/>
        <v>0</v>
      </c>
      <c r="S270" s="2">
        <f t="shared" si="110"/>
        <v>0</v>
      </c>
      <c r="T270" s="2">
        <f t="shared" si="110"/>
        <v>0</v>
      </c>
      <c r="U270" s="2">
        <f t="shared" si="110"/>
        <v>0</v>
      </c>
      <c r="V270" s="2">
        <f t="shared" si="110"/>
        <v>0</v>
      </c>
      <c r="W270" s="2">
        <f t="shared" si="110"/>
        <v>0</v>
      </c>
      <c r="X270" s="2">
        <f t="shared" si="110"/>
        <v>0</v>
      </c>
      <c r="Y270" s="2">
        <f t="shared" si="110"/>
        <v>0</v>
      </c>
      <c r="Z270" s="2">
        <f t="shared" si="110"/>
        <v>0</v>
      </c>
      <c r="AA270" s="2">
        <f t="shared" si="110"/>
        <v>0</v>
      </c>
    </row>
    <row r="271" spans="4:28" customFormat="1" x14ac:dyDescent="0.25">
      <c r="E271" t="s">
        <v>11</v>
      </c>
      <c r="F271" t="s">
        <v>7</v>
      </c>
      <c r="G271" s="2">
        <f t="shared" si="110"/>
        <v>0</v>
      </c>
      <c r="H271" s="2">
        <f t="shared" si="110"/>
        <v>6467997.8506837934</v>
      </c>
      <c r="I271" s="2">
        <f t="shared" si="110"/>
        <v>12547348.701075982</v>
      </c>
      <c r="J271" s="2">
        <f t="shared" si="110"/>
        <v>18875434.16233049</v>
      </c>
      <c r="K271" s="2">
        <f t="shared" si="110"/>
        <v>24947068.687509734</v>
      </c>
      <c r="L271" s="2">
        <f t="shared" si="110"/>
        <v>30765522.21752084</v>
      </c>
      <c r="M271" s="2">
        <f t="shared" si="110"/>
        <v>36323604.283287503</v>
      </c>
      <c r="N271" s="2">
        <f t="shared" si="110"/>
        <v>41633729.277051948</v>
      </c>
      <c r="O271" s="2">
        <f t="shared" si="110"/>
        <v>46699364.076455534</v>
      </c>
      <c r="P271" s="2">
        <f t="shared" si="110"/>
        <v>51914368.829924114</v>
      </c>
      <c r="Q271" s="2">
        <f t="shared" si="110"/>
        <v>57274632.273385972</v>
      </c>
      <c r="R271" s="2">
        <f t="shared" si="110"/>
        <v>63092559.601128347</v>
      </c>
      <c r="S271" s="2">
        <f t="shared" si="110"/>
        <v>69419107.436178505</v>
      </c>
      <c r="T271" s="2">
        <f t="shared" si="110"/>
        <v>76274841.895825952</v>
      </c>
      <c r="U271" s="2">
        <f t="shared" si="110"/>
        <v>83346592.142628074</v>
      </c>
      <c r="V271" s="2">
        <f t="shared" si="110"/>
        <v>90652729.802196354</v>
      </c>
      <c r="W271" s="2">
        <f t="shared" si="110"/>
        <v>92556437.128042489</v>
      </c>
      <c r="X271" s="2">
        <f t="shared" si="110"/>
        <v>94500122.30773136</v>
      </c>
      <c r="Y271" s="2">
        <f t="shared" si="110"/>
        <v>96484624.876193717</v>
      </c>
      <c r="Z271" s="2">
        <f t="shared" si="110"/>
        <v>98510801.998593777</v>
      </c>
      <c r="AA271" s="2">
        <f t="shared" si="110"/>
        <v>100579528.84056422</v>
      </c>
      <c r="AB271" s="2">
        <f t="shared" ref="AB271:AB275" si="111">IF(V271=0,0,IF($G$15&gt;(AA271/V271)^(1/5)-1+2%,AA271*(AA271/V271)^(1/5)/($G$15-((AA271/V271)^(1/5)-1)),AA271*(1+$G$14)/$G$16))</f>
        <v>3352650961.3521476</v>
      </c>
    </row>
    <row r="272" spans="4:28" customFormat="1" x14ac:dyDescent="0.25">
      <c r="E272" t="s">
        <v>57</v>
      </c>
      <c r="F272" t="s">
        <v>7</v>
      </c>
      <c r="G272" s="2">
        <f t="shared" si="110"/>
        <v>0</v>
      </c>
      <c r="H272" s="2">
        <f t="shared" si="110"/>
        <v>-4081304.5861971751</v>
      </c>
      <c r="I272" s="2">
        <f t="shared" si="110"/>
        <v>-8124453.3182916604</v>
      </c>
      <c r="J272" s="2">
        <f t="shared" si="110"/>
        <v>-12199213.412921648</v>
      </c>
      <c r="K272" s="2">
        <f t="shared" si="110"/>
        <v>-16078452.883336719</v>
      </c>
      <c r="L272" s="2">
        <f t="shared" si="110"/>
        <v>-19769297.856755786</v>
      </c>
      <c r="M272" s="2">
        <f t="shared" si="110"/>
        <v>-23272672.93213268</v>
      </c>
      <c r="N272" s="2">
        <f t="shared" si="110"/>
        <v>-26592500.398821432</v>
      </c>
      <c r="O272" s="2">
        <f t="shared" si="110"/>
        <v>-29731751.2251908</v>
      </c>
      <c r="P272" s="2">
        <f t="shared" si="110"/>
        <v>-32933959.355104275</v>
      </c>
      <c r="Q272" s="2">
        <f t="shared" si="110"/>
        <v>-36187705.326668009</v>
      </c>
      <c r="R272" s="2">
        <f t="shared" si="110"/>
        <v>-39717092.654547654</v>
      </c>
      <c r="S272" s="2">
        <f t="shared" si="110"/>
        <v>-43549830.841256797</v>
      </c>
      <c r="T272" s="2">
        <f t="shared" si="110"/>
        <v>-47704218.710662022</v>
      </c>
      <c r="U272" s="2">
        <f t="shared" si="110"/>
        <v>-51990689.053647444</v>
      </c>
      <c r="V272" s="2">
        <f t="shared" si="110"/>
        <v>-56415111.355761826</v>
      </c>
      <c r="W272" s="2">
        <f t="shared" si="110"/>
        <v>-57599828.694232821</v>
      </c>
      <c r="X272" s="2">
        <f t="shared" si="110"/>
        <v>-58809425.096811704</v>
      </c>
      <c r="Y272" s="2">
        <f t="shared" si="110"/>
        <v>-60044423.023844734</v>
      </c>
      <c r="Z272" s="2">
        <f t="shared" si="110"/>
        <v>-61305355.907345481</v>
      </c>
      <c r="AA272" s="2">
        <f t="shared" si="110"/>
        <v>-62592768.381399721</v>
      </c>
      <c r="AB272" s="2">
        <f t="shared" si="111"/>
        <v>-2086425612.7133284</v>
      </c>
    </row>
    <row r="273" spans="1:28" x14ac:dyDescent="0.25">
      <c r="E273" t="s">
        <v>10</v>
      </c>
      <c r="F273" t="s">
        <v>7</v>
      </c>
      <c r="G273" s="2">
        <f t="shared" si="110"/>
        <v>0</v>
      </c>
      <c r="H273" s="2">
        <f t="shared" si="110"/>
        <v>-1160913.7559999998</v>
      </c>
      <c r="I273" s="2">
        <f t="shared" si="110"/>
        <v>-2308076.9576279996</v>
      </c>
      <c r="J273" s="2">
        <f t="shared" si="110"/>
        <v>-3459871.9243186354</v>
      </c>
      <c r="K273" s="2">
        <f t="shared" si="110"/>
        <v>-4558048.289795775</v>
      </c>
      <c r="L273" s="2">
        <f t="shared" si="110"/>
        <v>-5601671.9148991657</v>
      </c>
      <c r="M273" s="2">
        <f t="shared" si="110"/>
        <v>-6591257.337242173</v>
      </c>
      <c r="N273" s="2">
        <f t="shared" si="110"/>
        <v>-7527731.2622023439</v>
      </c>
      <c r="O273" s="2">
        <f t="shared" si="110"/>
        <v>-8411969.3701764047</v>
      </c>
      <c r="P273" s="2">
        <f t="shared" si="110"/>
        <v>-9312542.4398737326</v>
      </c>
      <c r="Q273" s="2">
        <f t="shared" si="110"/>
        <v>-10225814.962772934</v>
      </c>
      <c r="R273" s="2">
        <f t="shared" si="110"/>
        <v>-11216350.998220688</v>
      </c>
      <c r="S273" s="2">
        <f t="shared" si="110"/>
        <v>-12291772.808528552</v>
      </c>
      <c r="T273" s="2">
        <f t="shared" si="110"/>
        <v>-13457496.930970971</v>
      </c>
      <c r="U273" s="2">
        <f t="shared" si="110"/>
        <v>-14660340.612795902</v>
      </c>
      <c r="V273" s="2">
        <f t="shared" si="110"/>
        <v>-15901696.639972519</v>
      </c>
      <c r="W273" s="2">
        <f t="shared" si="110"/>
        <v>-16235632.26941194</v>
      </c>
      <c r="X273" s="2">
        <f t="shared" si="110"/>
        <v>-16576580.547069591</v>
      </c>
      <c r="Y273" s="2">
        <f t="shared" si="110"/>
        <v>-16924688.73855805</v>
      </c>
      <c r="Z273" s="2">
        <f t="shared" si="110"/>
        <v>-17280107.202067766</v>
      </c>
      <c r="AA273" s="2">
        <f t="shared" si="110"/>
        <v>-17642989.45331119</v>
      </c>
      <c r="AB273" s="2">
        <f t="shared" si="111"/>
        <v>-588099648.44370759</v>
      </c>
    </row>
    <row r="274" spans="1:28" x14ac:dyDescent="0.25">
      <c r="E274" t="s">
        <v>48</v>
      </c>
      <c r="F274" t="s">
        <v>7</v>
      </c>
      <c r="G274" s="2">
        <f t="shared" si="110"/>
        <v>0</v>
      </c>
      <c r="H274" s="2">
        <f t="shared" si="110"/>
        <v>0</v>
      </c>
      <c r="I274" s="2">
        <f t="shared" si="110"/>
        <v>0</v>
      </c>
      <c r="J274" s="2">
        <f t="shared" si="110"/>
        <v>0</v>
      </c>
      <c r="K274" s="2">
        <f t="shared" si="110"/>
        <v>0</v>
      </c>
      <c r="L274" s="2">
        <f t="shared" si="110"/>
        <v>0</v>
      </c>
      <c r="M274" s="2">
        <f t="shared" si="110"/>
        <v>0</v>
      </c>
      <c r="N274" s="2">
        <f t="shared" si="110"/>
        <v>0</v>
      </c>
      <c r="O274" s="2">
        <f t="shared" si="110"/>
        <v>0</v>
      </c>
      <c r="P274" s="2">
        <f t="shared" si="110"/>
        <v>0</v>
      </c>
      <c r="Q274" s="2">
        <f t="shared" si="110"/>
        <v>0</v>
      </c>
      <c r="R274" s="2">
        <f t="shared" si="110"/>
        <v>0</v>
      </c>
      <c r="S274" s="2">
        <f t="shared" si="110"/>
        <v>0</v>
      </c>
      <c r="T274" s="2">
        <f t="shared" si="110"/>
        <v>0</v>
      </c>
      <c r="U274" s="2">
        <f t="shared" si="110"/>
        <v>0</v>
      </c>
      <c r="V274" s="2">
        <f t="shared" si="110"/>
        <v>0</v>
      </c>
      <c r="W274" s="2">
        <f t="shared" si="110"/>
        <v>0</v>
      </c>
      <c r="X274" s="2">
        <f t="shared" si="110"/>
        <v>0</v>
      </c>
      <c r="Y274" s="2">
        <f t="shared" si="110"/>
        <v>0</v>
      </c>
      <c r="Z274" s="2">
        <f t="shared" si="110"/>
        <v>0</v>
      </c>
      <c r="AA274" s="2">
        <f t="shared" si="110"/>
        <v>0</v>
      </c>
      <c r="AB274" s="2">
        <f t="shared" si="111"/>
        <v>0</v>
      </c>
    </row>
    <row r="275" spans="1:28" x14ac:dyDescent="0.25">
      <c r="E275" t="s">
        <v>49</v>
      </c>
      <c r="F275" t="s">
        <v>7</v>
      </c>
      <c r="G275" s="2">
        <f t="shared" si="110"/>
        <v>0</v>
      </c>
      <c r="H275" s="2">
        <f t="shared" si="110"/>
        <v>0</v>
      </c>
      <c r="I275" s="2">
        <f t="shared" si="110"/>
        <v>0</v>
      </c>
      <c r="J275" s="2">
        <f t="shared" si="110"/>
        <v>0</v>
      </c>
      <c r="K275" s="2">
        <f t="shared" si="110"/>
        <v>0</v>
      </c>
      <c r="L275" s="2">
        <f t="shared" si="110"/>
        <v>0</v>
      </c>
      <c r="M275" s="2">
        <f t="shared" si="110"/>
        <v>0</v>
      </c>
      <c r="N275" s="2">
        <f t="shared" si="110"/>
        <v>0</v>
      </c>
      <c r="O275" s="2">
        <f t="shared" si="110"/>
        <v>0</v>
      </c>
      <c r="P275" s="2">
        <f t="shared" si="110"/>
        <v>0</v>
      </c>
      <c r="Q275" s="2">
        <f t="shared" si="110"/>
        <v>0</v>
      </c>
      <c r="R275" s="2">
        <f t="shared" si="110"/>
        <v>0</v>
      </c>
      <c r="S275" s="2">
        <f t="shared" si="110"/>
        <v>0</v>
      </c>
      <c r="T275" s="2">
        <f t="shared" si="110"/>
        <v>0</v>
      </c>
      <c r="U275" s="2">
        <f t="shared" si="110"/>
        <v>0</v>
      </c>
      <c r="V275" s="2">
        <f t="shared" si="110"/>
        <v>0</v>
      </c>
      <c r="W275" s="2">
        <f t="shared" si="110"/>
        <v>0</v>
      </c>
      <c r="X275" s="2">
        <f t="shared" si="110"/>
        <v>0</v>
      </c>
      <c r="Y275" s="2">
        <f t="shared" si="110"/>
        <v>0</v>
      </c>
      <c r="Z275" s="2">
        <f t="shared" si="110"/>
        <v>0</v>
      </c>
      <c r="AA275" s="2">
        <f t="shared" si="110"/>
        <v>0</v>
      </c>
      <c r="AB275" s="2">
        <f t="shared" si="111"/>
        <v>0</v>
      </c>
    </row>
    <row r="276" spans="1:28" x14ac:dyDescent="0.25">
      <c r="E276" t="s">
        <v>20</v>
      </c>
      <c r="F276" t="s">
        <v>7</v>
      </c>
      <c r="G276" s="2">
        <f t="shared" ref="G276:AA276" ca="1" si="112">G265</f>
        <v>307183.87095037551</v>
      </c>
      <c r="H276" s="2">
        <f t="shared" si="112"/>
        <v>-10620160.453766633</v>
      </c>
      <c r="I276" s="2">
        <f t="shared" si="112"/>
        <v>-10420772.328540878</v>
      </c>
      <c r="J276" s="2">
        <f t="shared" si="112"/>
        <v>-10456886.65581101</v>
      </c>
      <c r="K276" s="2">
        <f t="shared" si="112"/>
        <v>-9952213.5811491795</v>
      </c>
      <c r="L276" s="2">
        <f t="shared" si="112"/>
        <v>-9454272.2142594028</v>
      </c>
      <c r="M276" s="2">
        <f t="shared" si="112"/>
        <v>-8961241.0896925628</v>
      </c>
      <c r="N276" s="2">
        <f t="shared" si="112"/>
        <v>-8515124.1186469384</v>
      </c>
      <c r="O276" s="2">
        <f t="shared" si="112"/>
        <v>-8091200.5537680853</v>
      </c>
      <c r="P276" s="2">
        <f t="shared" si="112"/>
        <v>-8330205.3937075604</v>
      </c>
      <c r="Q276" s="2">
        <f t="shared" si="112"/>
        <v>-8557507.9702705424</v>
      </c>
      <c r="R276" s="2">
        <f t="shared" si="112"/>
        <v>-9402506.5277094413</v>
      </c>
      <c r="S276" s="2">
        <f t="shared" si="112"/>
        <v>-10332322.54779599</v>
      </c>
      <c r="T276" s="2">
        <f t="shared" si="112"/>
        <v>-11323849.168839905</v>
      </c>
      <c r="U276" s="2">
        <f t="shared" si="112"/>
        <v>-11820818.90308583</v>
      </c>
      <c r="V276" s="2">
        <f t="shared" si="112"/>
        <v>-12339457.89428685</v>
      </c>
      <c r="W276" s="2">
        <f t="shared" si="112"/>
        <v>-3857050.3593579414</v>
      </c>
      <c r="X276" s="2">
        <f t="shared" si="112"/>
        <v>-3974992.509193643</v>
      </c>
      <c r="Y276" s="2">
        <f t="shared" si="112"/>
        <v>-4095411.4441759032</v>
      </c>
      <c r="Z276" s="2">
        <f t="shared" si="112"/>
        <v>-4218359.1767927818</v>
      </c>
      <c r="AA276" s="2">
        <f t="shared" si="112"/>
        <v>-4343888.8117946163</v>
      </c>
      <c r="AB276" s="2">
        <f>IF(V276=0,0,IF($G$15&gt;(AA276/V276)^(1/5)-1+2%,AA276*(AA276/V276)^(1/5)/($G$15-((AA276/V276)^(1/5)-1)),AA276*(1+$G$14)/$G$16))</f>
        <v>-14683968.356771637</v>
      </c>
    </row>
    <row r="277" spans="1:28" x14ac:dyDescent="0.25">
      <c r="E277" t="s">
        <v>173</v>
      </c>
      <c r="F277" t="s">
        <v>7</v>
      </c>
      <c r="G277" s="2">
        <f ca="1">-$G$17*G276</f>
        <v>-153591.93547518775</v>
      </c>
      <c r="H277" s="2">
        <f t="shared" ref="H277:AA277" si="113">-$G$17*H276</f>
        <v>5310080.2268833164</v>
      </c>
      <c r="I277" s="2">
        <f t="shared" si="113"/>
        <v>5210386.1642704392</v>
      </c>
      <c r="J277" s="2">
        <f t="shared" si="113"/>
        <v>5228443.327905505</v>
      </c>
      <c r="K277" s="2">
        <f t="shared" si="113"/>
        <v>4976106.7905745897</v>
      </c>
      <c r="L277" s="2">
        <f t="shared" si="113"/>
        <v>4727136.1071297014</v>
      </c>
      <c r="M277" s="2">
        <f t="shared" si="113"/>
        <v>4480620.5448462814</v>
      </c>
      <c r="N277" s="2">
        <f t="shared" si="113"/>
        <v>4257562.0593234692</v>
      </c>
      <c r="O277" s="2">
        <f t="shared" si="113"/>
        <v>4045600.2768840427</v>
      </c>
      <c r="P277" s="2">
        <f t="shared" si="113"/>
        <v>4165102.6968537802</v>
      </c>
      <c r="Q277" s="2">
        <f t="shared" si="113"/>
        <v>4278753.9851352712</v>
      </c>
      <c r="R277" s="2">
        <f t="shared" si="113"/>
        <v>4701253.2638547206</v>
      </c>
      <c r="S277" s="2">
        <f t="shared" si="113"/>
        <v>5166161.2738979952</v>
      </c>
      <c r="T277" s="2">
        <f t="shared" si="113"/>
        <v>5661924.5844199527</v>
      </c>
      <c r="U277" s="2">
        <f t="shared" si="113"/>
        <v>5910409.4515429148</v>
      </c>
      <c r="V277" s="2">
        <f t="shared" si="113"/>
        <v>6169728.9471434252</v>
      </c>
      <c r="W277" s="2">
        <f t="shared" si="113"/>
        <v>1928525.1796789707</v>
      </c>
      <c r="X277" s="2">
        <f t="shared" si="113"/>
        <v>1987496.2545968215</v>
      </c>
      <c r="Y277" s="2">
        <f t="shared" si="113"/>
        <v>2047705.7220879516</v>
      </c>
      <c r="Z277" s="2">
        <f t="shared" si="113"/>
        <v>2109179.5883963909</v>
      </c>
      <c r="AA277" s="2">
        <f t="shared" si="113"/>
        <v>2171944.4058973081</v>
      </c>
      <c r="AB277" s="2">
        <f t="shared" ref="AB277" si="114">IF(V277=0,0,IF($G$15&gt;(AA277/V277)^(1/5)-1+2%,AA277*(AA277/V277)^(1/5)/($G$15-((AA277/V277)^(1/5)-1)),AA277*(1+$G$14)/$G$16))</f>
        <v>7341984.1783858184</v>
      </c>
    </row>
    <row r="278" spans="1:28" x14ac:dyDescent="0.25">
      <c r="E278" t="s">
        <v>23</v>
      </c>
      <c r="F278" t="s">
        <v>7</v>
      </c>
      <c r="G278" s="2">
        <f t="shared" ref="G278:AB278" ca="1" si="115">SUM(G268:G277)</f>
        <v>-92001569.349637479</v>
      </c>
      <c r="H278" s="2">
        <f t="shared" si="115"/>
        <v>-8347080.0670891404</v>
      </c>
      <c r="I278" s="2">
        <f t="shared" si="115"/>
        <v>-3095567.7391141169</v>
      </c>
      <c r="J278" s="2">
        <f t="shared" si="115"/>
        <v>-2674152.394153473</v>
      </c>
      <c r="K278" s="2">
        <f t="shared" si="115"/>
        <v>-4070829.8540687207</v>
      </c>
      <c r="L278" s="2">
        <f t="shared" si="115"/>
        <v>-2710339.1944217943</v>
      </c>
      <c r="M278" s="2">
        <f t="shared" si="115"/>
        <v>-5147100.0950591918</v>
      </c>
      <c r="N278" s="2">
        <f t="shared" si="115"/>
        <v>3255935.5567047028</v>
      </c>
      <c r="O278" s="2">
        <f t="shared" si="115"/>
        <v>4510043.2042042864</v>
      </c>
      <c r="P278" s="2">
        <f t="shared" si="115"/>
        <v>5502764.3380923262</v>
      </c>
      <c r="Q278" s="2">
        <f t="shared" si="115"/>
        <v>6582357.9988097576</v>
      </c>
      <c r="R278" s="2">
        <f t="shared" si="115"/>
        <v>7457862.6845052848</v>
      </c>
      <c r="S278" s="2">
        <f t="shared" si="115"/>
        <v>8411342.5124951601</v>
      </c>
      <c r="T278" s="2">
        <f t="shared" si="115"/>
        <v>9451201.6697730068</v>
      </c>
      <c r="U278" s="2">
        <f t="shared" si="115"/>
        <v>10785153.024641812</v>
      </c>
      <c r="V278" s="2">
        <f t="shared" si="115"/>
        <v>12166192.859318584</v>
      </c>
      <c r="W278" s="2">
        <f t="shared" si="115"/>
        <v>16792450.984718755</v>
      </c>
      <c r="X278" s="2">
        <f t="shared" si="115"/>
        <v>17126620.409253243</v>
      </c>
      <c r="Y278" s="2">
        <f t="shared" si="115"/>
        <v>17467807.391702984</v>
      </c>
      <c r="Z278" s="2">
        <f t="shared" si="115"/>
        <v>17816159.300784141</v>
      </c>
      <c r="AA278" s="2">
        <f t="shared" si="115"/>
        <v>18171826.599956002</v>
      </c>
      <c r="AB278" s="2">
        <f t="shared" si="115"/>
        <v>670783716.0167259</v>
      </c>
    </row>
    <row r="279" spans="1:28" x14ac:dyDescent="0.25">
      <c r="E279" t="s">
        <v>31</v>
      </c>
      <c r="F279" t="s">
        <v>7</v>
      </c>
      <c r="G279" s="2">
        <f ca="1">NPV($G$15,H278:AB278)+G278</f>
        <v>191728141.38684246</v>
      </c>
    </row>
    <row r="280" spans="1:28" x14ac:dyDescent="0.25">
      <c r="E280" s="3" t="s">
        <v>34</v>
      </c>
      <c r="F280" s="3"/>
      <c r="G280" s="4" t="str">
        <f ca="1">IF(G279&gt;0,"N/A",IF(ABS(G279+G253)&gt;1,"Error","OK"))</f>
        <v>N/A</v>
      </c>
    </row>
    <row r="282" spans="1:28" x14ac:dyDescent="0.25">
      <c r="C282" s="1" t="s">
        <v>36</v>
      </c>
      <c r="D282" s="1"/>
      <c r="G282" s="44"/>
    </row>
    <row r="283" spans="1:28" x14ac:dyDescent="0.25">
      <c r="A283" s="14">
        <f>'Notes &amp; Assumptions'!A67</f>
        <v>54</v>
      </c>
      <c r="C283" s="1"/>
      <c r="D283" s="1"/>
      <c r="E283" t="s">
        <v>42</v>
      </c>
      <c r="F283" t="s">
        <v>3</v>
      </c>
      <c r="G283" s="10"/>
      <c r="H283" s="10">
        <v>1</v>
      </c>
      <c r="I283" s="10">
        <v>1</v>
      </c>
      <c r="J283" s="10">
        <v>1</v>
      </c>
      <c r="K283" s="10">
        <v>1</v>
      </c>
      <c r="L283" s="10">
        <v>1</v>
      </c>
      <c r="M283" s="10">
        <v>1</v>
      </c>
      <c r="N283" s="10">
        <v>1</v>
      </c>
      <c r="O283" s="10">
        <v>1</v>
      </c>
      <c r="P283" s="10">
        <v>1</v>
      </c>
      <c r="Q283" s="10">
        <v>1</v>
      </c>
      <c r="R283" s="10">
        <v>1</v>
      </c>
      <c r="S283" s="10">
        <v>1</v>
      </c>
      <c r="T283" s="10">
        <v>1</v>
      </c>
      <c r="U283" s="10">
        <v>1</v>
      </c>
      <c r="V283" s="10">
        <v>1</v>
      </c>
      <c r="W283" s="10">
        <v>0</v>
      </c>
      <c r="X283" s="10">
        <v>0</v>
      </c>
      <c r="Y283" s="10">
        <v>0</v>
      </c>
      <c r="Z283" s="10">
        <v>0</v>
      </c>
      <c r="AA283" s="10">
        <v>0</v>
      </c>
    </row>
    <row r="284" spans="1:28" x14ac:dyDescent="0.25">
      <c r="E284" t="s">
        <v>37</v>
      </c>
      <c r="F284" t="s">
        <v>38</v>
      </c>
      <c r="G284" s="8">
        <f ca="1">MAX(0,-G311/(NPV($G$16,H283:AA283)+G283))</f>
        <v>0</v>
      </c>
      <c r="H284" s="2">
        <f t="shared" ref="H284:AA284" ca="1" si="116">G284*(1+$G$14)</f>
        <v>0</v>
      </c>
      <c r="I284" s="2">
        <f t="shared" ca="1" si="116"/>
        <v>0</v>
      </c>
      <c r="J284" s="2">
        <f t="shared" ca="1" si="116"/>
        <v>0</v>
      </c>
      <c r="K284" s="2">
        <f t="shared" ca="1" si="116"/>
        <v>0</v>
      </c>
      <c r="L284" s="2">
        <f t="shared" ca="1" si="116"/>
        <v>0</v>
      </c>
      <c r="M284" s="2">
        <f t="shared" ca="1" si="116"/>
        <v>0</v>
      </c>
      <c r="N284" s="2">
        <f t="shared" ca="1" si="116"/>
        <v>0</v>
      </c>
      <c r="O284" s="2">
        <f t="shared" ca="1" si="116"/>
        <v>0</v>
      </c>
      <c r="P284" s="2">
        <f t="shared" ca="1" si="116"/>
        <v>0</v>
      </c>
      <c r="Q284" s="2">
        <f t="shared" ca="1" si="116"/>
        <v>0</v>
      </c>
      <c r="R284" s="2">
        <f t="shared" ca="1" si="116"/>
        <v>0</v>
      </c>
      <c r="S284" s="2">
        <f t="shared" ca="1" si="116"/>
        <v>0</v>
      </c>
      <c r="T284" s="2">
        <f t="shared" ca="1" si="116"/>
        <v>0</v>
      </c>
      <c r="U284" s="2">
        <f t="shared" ca="1" si="116"/>
        <v>0</v>
      </c>
      <c r="V284" s="2">
        <f t="shared" ca="1" si="116"/>
        <v>0</v>
      </c>
      <c r="W284" s="2">
        <f t="shared" ca="1" si="116"/>
        <v>0</v>
      </c>
      <c r="X284" s="2">
        <f t="shared" ca="1" si="116"/>
        <v>0</v>
      </c>
      <c r="Y284" s="2">
        <f t="shared" ca="1" si="116"/>
        <v>0</v>
      </c>
      <c r="Z284" s="2">
        <f t="shared" ca="1" si="116"/>
        <v>0</v>
      </c>
      <c r="AA284" s="2">
        <f t="shared" ca="1" si="116"/>
        <v>0</v>
      </c>
    </row>
    <row r="285" spans="1:28" x14ac:dyDescent="0.25">
      <c r="E285" t="s">
        <v>21</v>
      </c>
      <c r="F285" t="s">
        <v>7</v>
      </c>
      <c r="G285" s="2">
        <f ca="1">G283*G284</f>
        <v>0</v>
      </c>
      <c r="H285" s="2">
        <f t="shared" ref="H285:AA285" ca="1" si="117">H283*H284</f>
        <v>0</v>
      </c>
      <c r="I285" s="2">
        <f t="shared" ca="1" si="117"/>
        <v>0</v>
      </c>
      <c r="J285" s="2">
        <f t="shared" ca="1" si="117"/>
        <v>0</v>
      </c>
      <c r="K285" s="2">
        <f t="shared" ca="1" si="117"/>
        <v>0</v>
      </c>
      <c r="L285" s="2">
        <f t="shared" ca="1" si="117"/>
        <v>0</v>
      </c>
      <c r="M285" s="2">
        <f t="shared" ca="1" si="117"/>
        <v>0</v>
      </c>
      <c r="N285" s="2">
        <f t="shared" ca="1" si="117"/>
        <v>0</v>
      </c>
      <c r="O285" s="2">
        <f t="shared" ca="1" si="117"/>
        <v>0</v>
      </c>
      <c r="P285" s="2">
        <f t="shared" ca="1" si="117"/>
        <v>0</v>
      </c>
      <c r="Q285" s="2">
        <f t="shared" ca="1" si="117"/>
        <v>0</v>
      </c>
      <c r="R285" s="2">
        <f t="shared" ca="1" si="117"/>
        <v>0</v>
      </c>
      <c r="S285" s="2">
        <f t="shared" ca="1" si="117"/>
        <v>0</v>
      </c>
      <c r="T285" s="2">
        <f t="shared" ca="1" si="117"/>
        <v>0</v>
      </c>
      <c r="U285" s="2">
        <f t="shared" ca="1" si="117"/>
        <v>0</v>
      </c>
      <c r="V285" s="2">
        <f t="shared" ca="1" si="117"/>
        <v>0</v>
      </c>
      <c r="W285" s="2">
        <f t="shared" ca="1" si="117"/>
        <v>0</v>
      </c>
      <c r="X285" s="2">
        <f t="shared" ca="1" si="117"/>
        <v>0</v>
      </c>
      <c r="Y285" s="2">
        <f t="shared" ca="1" si="117"/>
        <v>0</v>
      </c>
      <c r="Z285" s="2">
        <f t="shared" ca="1" si="117"/>
        <v>0</v>
      </c>
      <c r="AA285" s="2">
        <f t="shared" ca="1" si="117"/>
        <v>0</v>
      </c>
    </row>
    <row r="286" spans="1:28" x14ac:dyDescent="0.25">
      <c r="G286" s="8">
        <f ca="1">-G311/(NPV($G$16,H283:AA283)+G283)</f>
        <v>-16060410.782365879</v>
      </c>
    </row>
    <row r="287" spans="1:28" x14ac:dyDescent="0.25">
      <c r="D287" t="s">
        <v>9</v>
      </c>
    </row>
    <row r="288" spans="1:28" x14ac:dyDescent="0.25">
      <c r="E288" t="s">
        <v>107</v>
      </c>
      <c r="F288" t="s">
        <v>7</v>
      </c>
      <c r="G288" s="2">
        <f t="shared" ref="G288:AA293" si="118">G222</f>
        <v>0</v>
      </c>
      <c r="H288" s="2">
        <f t="shared" si="118"/>
        <v>35642088.999999993</v>
      </c>
      <c r="I288" s="2">
        <f t="shared" si="118"/>
        <v>34471438.987999991</v>
      </c>
      <c r="J288" s="2">
        <f t="shared" si="118"/>
        <v>33874023.921329536</v>
      </c>
      <c r="K288" s="2">
        <f t="shared" si="118"/>
        <v>31485234.146776929</v>
      </c>
      <c r="L288" s="2">
        <f t="shared" si="118"/>
        <v>29102334.548788421</v>
      </c>
      <c r="M288" s="2">
        <f t="shared" si="118"/>
        <v>26770404.319784526</v>
      </c>
      <c r="N288" s="2">
        <f t="shared" si="118"/>
        <v>24501765.991871051</v>
      </c>
      <c r="O288" s="2">
        <f t="shared" si="118"/>
        <v>22294255.527520508</v>
      </c>
      <c r="P288" s="2">
        <f t="shared" si="118"/>
        <v>22225666.624848187</v>
      </c>
      <c r="Q288" s="2">
        <f t="shared" si="118"/>
        <v>22034929.480846372</v>
      </c>
      <c r="R288" s="2">
        <f t="shared" si="118"/>
        <v>23818234.423713431</v>
      </c>
      <c r="S288" s="2">
        <f t="shared" si="118"/>
        <v>25785741.558844842</v>
      </c>
      <c r="T288" s="2">
        <f t="shared" si="118"/>
        <v>27864816.90457559</v>
      </c>
      <c r="U288" s="2">
        <f t="shared" si="118"/>
        <v>28252867.210183382</v>
      </c>
      <c r="V288" s="2">
        <f t="shared" si="118"/>
        <v>28659746.141032089</v>
      </c>
      <c r="W288" s="2">
        <f t="shared" si="118"/>
        <v>0</v>
      </c>
      <c r="X288" s="2">
        <f t="shared" si="118"/>
        <v>0</v>
      </c>
      <c r="Y288" s="2">
        <f t="shared" si="118"/>
        <v>0</v>
      </c>
      <c r="Z288" s="2">
        <f t="shared" si="118"/>
        <v>0</v>
      </c>
      <c r="AA288" s="2">
        <f t="shared" si="118"/>
        <v>0</v>
      </c>
    </row>
    <row r="289" spans="4:28" customFormat="1" x14ac:dyDescent="0.25">
      <c r="E289" t="s">
        <v>11</v>
      </c>
      <c r="F289" t="s">
        <v>7</v>
      </c>
      <c r="G289" s="2">
        <f t="shared" si="118"/>
        <v>0</v>
      </c>
      <c r="H289" s="2">
        <f t="shared" si="118"/>
        <v>6467997.8506837934</v>
      </c>
      <c r="I289" s="2">
        <f t="shared" si="118"/>
        <v>12547348.701075982</v>
      </c>
      <c r="J289" s="2">
        <f t="shared" si="118"/>
        <v>18875434.16233049</v>
      </c>
      <c r="K289" s="2">
        <f t="shared" si="118"/>
        <v>24947068.687509734</v>
      </c>
      <c r="L289" s="2">
        <f t="shared" si="118"/>
        <v>30765522.21752084</v>
      </c>
      <c r="M289" s="2">
        <f t="shared" si="118"/>
        <v>36323604.283287503</v>
      </c>
      <c r="N289" s="2">
        <f t="shared" si="118"/>
        <v>41633729.277051948</v>
      </c>
      <c r="O289" s="2">
        <f t="shared" si="118"/>
        <v>46699364.076455534</v>
      </c>
      <c r="P289" s="2">
        <f t="shared" si="118"/>
        <v>51914368.829924114</v>
      </c>
      <c r="Q289" s="2">
        <f t="shared" si="118"/>
        <v>57274632.273385972</v>
      </c>
      <c r="R289" s="2">
        <f t="shared" si="118"/>
        <v>63092559.601128347</v>
      </c>
      <c r="S289" s="2">
        <f t="shared" si="118"/>
        <v>69419107.436178505</v>
      </c>
      <c r="T289" s="2">
        <f t="shared" si="118"/>
        <v>76274841.895825952</v>
      </c>
      <c r="U289" s="2">
        <f t="shared" si="118"/>
        <v>83346592.142628074</v>
      </c>
      <c r="V289" s="2">
        <f t="shared" si="118"/>
        <v>90652729.802196354</v>
      </c>
      <c r="W289" s="2">
        <f t="shared" si="118"/>
        <v>92556437.128042489</v>
      </c>
      <c r="X289" s="2">
        <f t="shared" si="118"/>
        <v>94500122.30773136</v>
      </c>
      <c r="Y289" s="2">
        <f t="shared" si="118"/>
        <v>96484624.876193717</v>
      </c>
      <c r="Z289" s="2">
        <f t="shared" si="118"/>
        <v>98510801.998593777</v>
      </c>
      <c r="AA289" s="2">
        <f t="shared" si="118"/>
        <v>100579528.84056422</v>
      </c>
    </row>
    <row r="290" spans="4:28" customFormat="1" x14ac:dyDescent="0.25">
      <c r="E290" t="s">
        <v>57</v>
      </c>
      <c r="F290" t="s">
        <v>7</v>
      </c>
      <c r="G290" s="2">
        <f t="shared" si="118"/>
        <v>0</v>
      </c>
      <c r="H290" s="2">
        <f t="shared" si="118"/>
        <v>-4081304.5861971751</v>
      </c>
      <c r="I290" s="2">
        <f t="shared" si="118"/>
        <v>-8124453.3182916604</v>
      </c>
      <c r="J290" s="2">
        <f t="shared" si="118"/>
        <v>-12199213.412921648</v>
      </c>
      <c r="K290" s="2">
        <f t="shared" si="118"/>
        <v>-16078452.883336719</v>
      </c>
      <c r="L290" s="2">
        <f t="shared" si="118"/>
        <v>-19769297.856755786</v>
      </c>
      <c r="M290" s="2">
        <f t="shared" si="118"/>
        <v>-23272672.93213268</v>
      </c>
      <c r="N290" s="2">
        <f t="shared" si="118"/>
        <v>-26592500.398821432</v>
      </c>
      <c r="O290" s="2">
        <f t="shared" si="118"/>
        <v>-29731751.2251908</v>
      </c>
      <c r="P290" s="2">
        <f t="shared" si="118"/>
        <v>-32933959.355104275</v>
      </c>
      <c r="Q290" s="2">
        <f t="shared" si="118"/>
        <v>-36187705.326668009</v>
      </c>
      <c r="R290" s="2">
        <f t="shared" si="118"/>
        <v>-39717092.654547654</v>
      </c>
      <c r="S290" s="2">
        <f t="shared" si="118"/>
        <v>-43549830.841256797</v>
      </c>
      <c r="T290" s="2">
        <f t="shared" si="118"/>
        <v>-47704218.710662022</v>
      </c>
      <c r="U290" s="2">
        <f t="shared" si="118"/>
        <v>-51990689.053647444</v>
      </c>
      <c r="V290" s="2">
        <f t="shared" si="118"/>
        <v>-56415111.355761826</v>
      </c>
      <c r="W290" s="2">
        <f t="shared" si="118"/>
        <v>-57599828.694232821</v>
      </c>
      <c r="X290" s="2">
        <f t="shared" si="118"/>
        <v>-58809425.096811704</v>
      </c>
      <c r="Y290" s="2">
        <f t="shared" si="118"/>
        <v>-60044423.023844734</v>
      </c>
      <c r="Z290" s="2">
        <f t="shared" si="118"/>
        <v>-61305355.907345481</v>
      </c>
      <c r="AA290" s="2">
        <f t="shared" si="118"/>
        <v>-62592768.381399721</v>
      </c>
    </row>
    <row r="291" spans="4:28" customFormat="1" x14ac:dyDescent="0.25">
      <c r="E291" t="s">
        <v>10</v>
      </c>
      <c r="F291" t="s">
        <v>7</v>
      </c>
      <c r="G291" s="2">
        <f t="shared" si="118"/>
        <v>0</v>
      </c>
      <c r="H291" s="2">
        <f t="shared" si="118"/>
        <v>-1160913.7559999998</v>
      </c>
      <c r="I291" s="2">
        <f t="shared" si="118"/>
        <v>-2308076.9576279996</v>
      </c>
      <c r="J291" s="2">
        <f t="shared" si="118"/>
        <v>-3459871.9243186354</v>
      </c>
      <c r="K291" s="2">
        <f t="shared" si="118"/>
        <v>-4558048.289795775</v>
      </c>
      <c r="L291" s="2">
        <f t="shared" si="118"/>
        <v>-5601671.9148991657</v>
      </c>
      <c r="M291" s="2">
        <f t="shared" si="118"/>
        <v>-6591257.337242173</v>
      </c>
      <c r="N291" s="2">
        <f t="shared" si="118"/>
        <v>-7527731.2622023439</v>
      </c>
      <c r="O291" s="2">
        <f t="shared" si="118"/>
        <v>-8411969.3701764047</v>
      </c>
      <c r="P291" s="2">
        <f t="shared" si="118"/>
        <v>-9312542.4398737326</v>
      </c>
      <c r="Q291" s="2">
        <f t="shared" si="118"/>
        <v>-10225814.962772934</v>
      </c>
      <c r="R291" s="2">
        <f t="shared" si="118"/>
        <v>-11216350.998220688</v>
      </c>
      <c r="S291" s="2">
        <f t="shared" si="118"/>
        <v>-12291772.808528552</v>
      </c>
      <c r="T291" s="2">
        <f t="shared" si="118"/>
        <v>-13457496.930970971</v>
      </c>
      <c r="U291" s="2">
        <f t="shared" si="118"/>
        <v>-14660340.612795902</v>
      </c>
      <c r="V291" s="2">
        <f t="shared" si="118"/>
        <v>-15901696.639972519</v>
      </c>
      <c r="W291" s="2">
        <f t="shared" si="118"/>
        <v>-16235632.26941194</v>
      </c>
      <c r="X291" s="2">
        <f t="shared" si="118"/>
        <v>-16576580.547069591</v>
      </c>
      <c r="Y291" s="2">
        <f t="shared" si="118"/>
        <v>-16924688.73855805</v>
      </c>
      <c r="Z291" s="2">
        <f t="shared" si="118"/>
        <v>-17280107.202067766</v>
      </c>
      <c r="AA291" s="2">
        <f t="shared" si="118"/>
        <v>-17642989.45331119</v>
      </c>
    </row>
    <row r="292" spans="4:28" customFormat="1" x14ac:dyDescent="0.25">
      <c r="E292" t="s">
        <v>12</v>
      </c>
      <c r="F292" t="s">
        <v>7</v>
      </c>
      <c r="G292" s="2">
        <f t="shared" si="118"/>
        <v>-1023946.2365012518</v>
      </c>
      <c r="H292" s="2">
        <f t="shared" si="118"/>
        <v>-1467333.6625978346</v>
      </c>
      <c r="I292" s="2">
        <f t="shared" si="118"/>
        <v>-1850349.65135339</v>
      </c>
      <c r="J292" s="2">
        <f t="shared" si="118"/>
        <v>-2234083.8937163642</v>
      </c>
      <c r="K292" s="2">
        <f t="shared" si="118"/>
        <v>-2621756.3906569011</v>
      </c>
      <c r="L292" s="2">
        <f t="shared" si="118"/>
        <v>-2982646.2804563055</v>
      </c>
      <c r="M292" s="2">
        <f t="shared" si="118"/>
        <v>-3359274.7013886399</v>
      </c>
      <c r="N292" s="2">
        <f t="shared" si="118"/>
        <v>-3631516.5457427627</v>
      </c>
      <c r="O292" s="2">
        <f t="shared" si="118"/>
        <v>-3879230.4960485459</v>
      </c>
      <c r="P292" s="2">
        <f t="shared" si="118"/>
        <v>-4126182.3474357482</v>
      </c>
      <c r="Q292" s="2">
        <f t="shared" si="118"/>
        <v>-4371014.8972229306</v>
      </c>
      <c r="R292" s="2">
        <f t="shared" si="118"/>
        <v>-4635661.9463753011</v>
      </c>
      <c r="S292" s="2">
        <f t="shared" si="118"/>
        <v>-4922170.1859180219</v>
      </c>
      <c r="T292" s="2">
        <f t="shared" si="118"/>
        <v>-5231779.262635529</v>
      </c>
      <c r="U292" s="2">
        <f t="shared" si="118"/>
        <v>-5545700.0094153434</v>
      </c>
      <c r="V292" s="2">
        <f t="shared" si="118"/>
        <v>-5864141.6332045887</v>
      </c>
      <c r="W292" s="2">
        <f t="shared" si="118"/>
        <v>-5864141.6332045887</v>
      </c>
      <c r="X292" s="2">
        <f t="shared" si="118"/>
        <v>-5864141.6332045887</v>
      </c>
      <c r="Y292" s="2">
        <f t="shared" si="118"/>
        <v>-5864141.6332045887</v>
      </c>
      <c r="Z292" s="2">
        <f t="shared" si="118"/>
        <v>-5864141.6332045887</v>
      </c>
      <c r="AA292" s="2">
        <f t="shared" si="118"/>
        <v>-5864141.6332045887</v>
      </c>
    </row>
    <row r="293" spans="4:28" customFormat="1" x14ac:dyDescent="0.25">
      <c r="E293" t="s">
        <v>48</v>
      </c>
      <c r="F293" t="s">
        <v>7</v>
      </c>
      <c r="G293" s="2">
        <f t="shared" si="118"/>
        <v>0</v>
      </c>
      <c r="H293" s="2">
        <f t="shared" si="118"/>
        <v>0</v>
      </c>
      <c r="I293" s="2">
        <f t="shared" si="118"/>
        <v>0</v>
      </c>
      <c r="J293" s="2">
        <f t="shared" si="118"/>
        <v>0</v>
      </c>
      <c r="K293" s="2">
        <f t="shared" si="118"/>
        <v>0</v>
      </c>
      <c r="L293" s="2">
        <f t="shared" si="118"/>
        <v>0</v>
      </c>
      <c r="M293" s="2">
        <f t="shared" si="118"/>
        <v>0</v>
      </c>
      <c r="N293" s="2">
        <f t="shared" si="118"/>
        <v>0</v>
      </c>
      <c r="O293" s="2">
        <f t="shared" si="118"/>
        <v>0</v>
      </c>
      <c r="P293" s="2">
        <f t="shared" si="118"/>
        <v>0</v>
      </c>
      <c r="Q293" s="2">
        <f t="shared" si="118"/>
        <v>0</v>
      </c>
      <c r="R293" s="2">
        <f t="shared" si="118"/>
        <v>0</v>
      </c>
      <c r="S293" s="2">
        <f t="shared" si="118"/>
        <v>0</v>
      </c>
      <c r="T293" s="2">
        <f t="shared" si="118"/>
        <v>0</v>
      </c>
      <c r="U293" s="2">
        <f t="shared" si="118"/>
        <v>0</v>
      </c>
      <c r="V293" s="2">
        <f t="shared" si="118"/>
        <v>0</v>
      </c>
      <c r="W293" s="2">
        <f t="shared" si="118"/>
        <v>0</v>
      </c>
      <c r="X293" s="2">
        <f t="shared" si="118"/>
        <v>0</v>
      </c>
      <c r="Y293" s="2">
        <f t="shared" si="118"/>
        <v>0</v>
      </c>
      <c r="Z293" s="2">
        <f t="shared" si="118"/>
        <v>0</v>
      </c>
      <c r="AA293" s="2">
        <f t="shared" si="118"/>
        <v>0</v>
      </c>
    </row>
    <row r="294" spans="4:28" customFormat="1" x14ac:dyDescent="0.25">
      <c r="E294" t="s">
        <v>13</v>
      </c>
      <c r="F294" t="s">
        <v>7</v>
      </c>
      <c r="G294" s="2">
        <f t="shared" ref="G294:AA294" ca="1" si="119">G285</f>
        <v>0</v>
      </c>
      <c r="H294" s="2">
        <f t="shared" ca="1" si="119"/>
        <v>0</v>
      </c>
      <c r="I294" s="2">
        <f t="shared" ca="1" si="119"/>
        <v>0</v>
      </c>
      <c r="J294" s="2">
        <f t="shared" ca="1" si="119"/>
        <v>0</v>
      </c>
      <c r="K294" s="2">
        <f t="shared" ca="1" si="119"/>
        <v>0</v>
      </c>
      <c r="L294" s="2">
        <f t="shared" ca="1" si="119"/>
        <v>0</v>
      </c>
      <c r="M294" s="2">
        <f t="shared" ca="1" si="119"/>
        <v>0</v>
      </c>
      <c r="N294" s="2">
        <f t="shared" ca="1" si="119"/>
        <v>0</v>
      </c>
      <c r="O294" s="2">
        <f t="shared" ca="1" si="119"/>
        <v>0</v>
      </c>
      <c r="P294" s="2">
        <f t="shared" ca="1" si="119"/>
        <v>0</v>
      </c>
      <c r="Q294" s="2">
        <f t="shared" ca="1" si="119"/>
        <v>0</v>
      </c>
      <c r="R294" s="2">
        <f t="shared" ca="1" si="119"/>
        <v>0</v>
      </c>
      <c r="S294" s="2">
        <f t="shared" ca="1" si="119"/>
        <v>0</v>
      </c>
      <c r="T294" s="2">
        <f t="shared" ca="1" si="119"/>
        <v>0</v>
      </c>
      <c r="U294" s="2">
        <f t="shared" ca="1" si="119"/>
        <v>0</v>
      </c>
      <c r="V294" s="2">
        <f t="shared" ca="1" si="119"/>
        <v>0</v>
      </c>
      <c r="W294" s="2">
        <f t="shared" ca="1" si="119"/>
        <v>0</v>
      </c>
      <c r="X294" s="2">
        <f t="shared" ca="1" si="119"/>
        <v>0</v>
      </c>
      <c r="Y294" s="2">
        <f t="shared" ca="1" si="119"/>
        <v>0</v>
      </c>
      <c r="Z294" s="2">
        <f t="shared" ca="1" si="119"/>
        <v>0</v>
      </c>
      <c r="AA294" s="2">
        <f t="shared" ca="1" si="119"/>
        <v>0</v>
      </c>
    </row>
    <row r="295" spans="4:28" customFormat="1" x14ac:dyDescent="0.25"/>
    <row r="296" spans="4:28" customFormat="1" x14ac:dyDescent="0.25">
      <c r="E296" t="s">
        <v>14</v>
      </c>
      <c r="F296" t="s">
        <v>7</v>
      </c>
      <c r="G296" s="2">
        <f t="shared" ref="G296:AA296" ca="1" si="120">SUM(G288:G294)</f>
        <v>-1023946.2365012518</v>
      </c>
      <c r="H296" s="2">
        <f t="shared" ca="1" si="120"/>
        <v>35400534.845888779</v>
      </c>
      <c r="I296" s="2">
        <f t="shared" ca="1" si="120"/>
        <v>34735907.761802927</v>
      </c>
      <c r="J296" s="2">
        <f t="shared" ca="1" si="120"/>
        <v>34856288.85270337</v>
      </c>
      <c r="K296" s="2">
        <f t="shared" ca="1" si="120"/>
        <v>33174045.270497266</v>
      </c>
      <c r="L296" s="2">
        <f t="shared" ca="1" si="120"/>
        <v>31514240.714198008</v>
      </c>
      <c r="M296" s="2">
        <f t="shared" ca="1" si="120"/>
        <v>29870803.632308546</v>
      </c>
      <c r="N296" s="2">
        <f t="shared" ca="1" si="120"/>
        <v>28383747.062156465</v>
      </c>
      <c r="O296" s="2">
        <f t="shared" ca="1" si="120"/>
        <v>26970668.512560286</v>
      </c>
      <c r="P296" s="2">
        <f t="shared" ca="1" si="120"/>
        <v>27767351.312358536</v>
      </c>
      <c r="Q296" s="2">
        <f t="shared" ca="1" si="120"/>
        <v>28525026.567568474</v>
      </c>
      <c r="R296" s="2">
        <f t="shared" ca="1" si="120"/>
        <v>31341688.425698139</v>
      </c>
      <c r="S296" s="2">
        <f t="shared" ca="1" si="120"/>
        <v>34441075.159319967</v>
      </c>
      <c r="T296" s="2">
        <f t="shared" ca="1" si="120"/>
        <v>37746163.896133021</v>
      </c>
      <c r="U296" s="2">
        <f t="shared" ca="1" si="120"/>
        <v>39402729.676952764</v>
      </c>
      <c r="V296" s="2">
        <f t="shared" ca="1" si="120"/>
        <v>41131526.314289503</v>
      </c>
      <c r="W296" s="2">
        <f t="shared" ca="1" si="120"/>
        <v>12856834.531193139</v>
      </c>
      <c r="X296" s="2">
        <f t="shared" ca="1" si="120"/>
        <v>13249975.030645477</v>
      </c>
      <c r="Y296" s="2">
        <f t="shared" ca="1" si="120"/>
        <v>13651371.480586344</v>
      </c>
      <c r="Z296" s="2">
        <f t="shared" ca="1" si="120"/>
        <v>14061197.255975941</v>
      </c>
      <c r="AA296" s="2">
        <f t="shared" ca="1" si="120"/>
        <v>14479629.372648722</v>
      </c>
    </row>
    <row r="297" spans="4:28" customFormat="1" x14ac:dyDescent="0.25">
      <c r="E297" t="s">
        <v>15</v>
      </c>
      <c r="F297" t="s">
        <v>7</v>
      </c>
      <c r="G297" s="2">
        <f t="shared" ref="G297:AA297" ca="1" si="121">-G296*G$18</f>
        <v>307183.87095037551</v>
      </c>
      <c r="H297" s="2">
        <f t="shared" ca="1" si="121"/>
        <v>-10620160.453766633</v>
      </c>
      <c r="I297" s="2">
        <f t="shared" ca="1" si="121"/>
        <v>-10420772.328540878</v>
      </c>
      <c r="J297" s="2">
        <f t="shared" ca="1" si="121"/>
        <v>-10456886.65581101</v>
      </c>
      <c r="K297" s="2">
        <f t="shared" ca="1" si="121"/>
        <v>-9952213.5811491795</v>
      </c>
      <c r="L297" s="2">
        <f t="shared" ca="1" si="121"/>
        <v>-9454272.2142594028</v>
      </c>
      <c r="M297" s="2">
        <f t="shared" ca="1" si="121"/>
        <v>-8961241.0896925628</v>
      </c>
      <c r="N297" s="2">
        <f t="shared" ca="1" si="121"/>
        <v>-8515124.1186469384</v>
      </c>
      <c r="O297" s="2">
        <f t="shared" ca="1" si="121"/>
        <v>-8091200.5537680853</v>
      </c>
      <c r="P297" s="2">
        <f t="shared" ca="1" si="121"/>
        <v>-8330205.3937075604</v>
      </c>
      <c r="Q297" s="2">
        <f t="shared" ca="1" si="121"/>
        <v>-8557507.9702705424</v>
      </c>
      <c r="R297" s="2">
        <f t="shared" ca="1" si="121"/>
        <v>-9402506.5277094413</v>
      </c>
      <c r="S297" s="2">
        <f t="shared" ca="1" si="121"/>
        <v>-10332322.54779599</v>
      </c>
      <c r="T297" s="2">
        <f t="shared" ca="1" si="121"/>
        <v>-11323849.168839905</v>
      </c>
      <c r="U297" s="2">
        <f t="shared" ca="1" si="121"/>
        <v>-11820818.90308583</v>
      </c>
      <c r="V297" s="2">
        <f t="shared" ca="1" si="121"/>
        <v>-12339457.89428685</v>
      </c>
      <c r="W297" s="2">
        <f t="shared" ca="1" si="121"/>
        <v>-3857050.3593579414</v>
      </c>
      <c r="X297" s="2">
        <f t="shared" ca="1" si="121"/>
        <v>-3974992.509193643</v>
      </c>
      <c r="Y297" s="2">
        <f t="shared" ca="1" si="121"/>
        <v>-4095411.4441759032</v>
      </c>
      <c r="Z297" s="2">
        <f t="shared" ca="1" si="121"/>
        <v>-4218359.1767927818</v>
      </c>
      <c r="AA297" s="2">
        <f t="shared" ca="1" si="121"/>
        <v>-4343888.8117946163</v>
      </c>
    </row>
    <row r="298" spans="4:28" customFormat="1" x14ac:dyDescent="0.25"/>
    <row r="299" spans="4:28" customFormat="1" x14ac:dyDescent="0.25">
      <c r="D299" t="s">
        <v>28</v>
      </c>
    </row>
    <row r="300" spans="4:28" customFormat="1" x14ac:dyDescent="0.25">
      <c r="E300" t="s">
        <v>1</v>
      </c>
      <c r="F300" t="s">
        <v>7</v>
      </c>
      <c r="G300" s="2">
        <f t="shared" ref="G300:AA307" si="122">G234</f>
        <v>-92155161.285112664</v>
      </c>
      <c r="H300" s="2">
        <f t="shared" si="122"/>
        <v>-4262779.3486924423</v>
      </c>
      <c r="I300" s="2">
        <f t="shared" si="122"/>
        <v>0</v>
      </c>
      <c r="J300" s="2">
        <f t="shared" si="122"/>
        <v>-662057.89133817446</v>
      </c>
      <c r="K300" s="2">
        <f t="shared" si="122"/>
        <v>-3405290.5778713706</v>
      </c>
      <c r="L300" s="2">
        <f t="shared" si="122"/>
        <v>-3377755.5331579824</v>
      </c>
      <c r="M300" s="2">
        <f t="shared" si="122"/>
        <v>-7126153.5641255621</v>
      </c>
      <c r="N300" s="2">
        <f t="shared" si="122"/>
        <v>0</v>
      </c>
      <c r="O300" s="2">
        <f t="shared" si="122"/>
        <v>0</v>
      </c>
      <c r="P300" s="2">
        <f t="shared" si="122"/>
        <v>0</v>
      </c>
      <c r="Q300" s="2">
        <f t="shared" si="122"/>
        <v>0</v>
      </c>
      <c r="R300" s="2">
        <f t="shared" si="122"/>
        <v>0</v>
      </c>
      <c r="S300" s="2">
        <f t="shared" si="122"/>
        <v>0</v>
      </c>
      <c r="T300" s="2">
        <f t="shared" si="122"/>
        <v>0</v>
      </c>
      <c r="U300" s="2">
        <f t="shared" si="122"/>
        <v>0</v>
      </c>
      <c r="V300" s="2">
        <f t="shared" si="122"/>
        <v>0</v>
      </c>
      <c r="W300" s="2">
        <f t="shared" si="122"/>
        <v>0</v>
      </c>
      <c r="X300" s="2">
        <f t="shared" si="122"/>
        <v>0</v>
      </c>
      <c r="Y300" s="2">
        <f t="shared" si="122"/>
        <v>0</v>
      </c>
      <c r="Z300" s="2">
        <f t="shared" si="122"/>
        <v>0</v>
      </c>
      <c r="AA300" s="2">
        <f t="shared" si="122"/>
        <v>0</v>
      </c>
    </row>
    <row r="301" spans="4:28" customFormat="1" x14ac:dyDescent="0.25">
      <c r="E301" t="s">
        <v>19</v>
      </c>
      <c r="F301" t="s">
        <v>7</v>
      </c>
      <c r="G301" s="2">
        <f t="shared" si="122"/>
        <v>0</v>
      </c>
      <c r="H301" s="2">
        <f t="shared" si="122"/>
        <v>0</v>
      </c>
      <c r="I301" s="2">
        <f t="shared" si="122"/>
        <v>0</v>
      </c>
      <c r="J301" s="2">
        <f t="shared" si="122"/>
        <v>0</v>
      </c>
      <c r="K301" s="2">
        <f t="shared" si="122"/>
        <v>0</v>
      </c>
      <c r="L301" s="2">
        <f t="shared" si="122"/>
        <v>0</v>
      </c>
      <c r="M301" s="2">
        <f t="shared" si="122"/>
        <v>0</v>
      </c>
      <c r="N301" s="2">
        <f t="shared" si="122"/>
        <v>0</v>
      </c>
      <c r="O301" s="2">
        <f t="shared" si="122"/>
        <v>0</v>
      </c>
      <c r="P301" s="2">
        <f t="shared" si="122"/>
        <v>0</v>
      </c>
      <c r="Q301" s="2">
        <f t="shared" si="122"/>
        <v>0</v>
      </c>
      <c r="R301" s="2">
        <f t="shared" si="122"/>
        <v>0</v>
      </c>
      <c r="S301" s="2">
        <f t="shared" si="122"/>
        <v>0</v>
      </c>
      <c r="T301" s="2">
        <f t="shared" si="122"/>
        <v>0</v>
      </c>
      <c r="U301" s="2">
        <f t="shared" si="122"/>
        <v>0</v>
      </c>
      <c r="V301" s="2">
        <f t="shared" si="122"/>
        <v>0</v>
      </c>
      <c r="W301" s="2">
        <f t="shared" si="122"/>
        <v>0</v>
      </c>
      <c r="X301" s="2">
        <f t="shared" si="122"/>
        <v>0</v>
      </c>
      <c r="Y301" s="2">
        <f t="shared" si="122"/>
        <v>0</v>
      </c>
      <c r="Z301" s="2">
        <f t="shared" si="122"/>
        <v>0</v>
      </c>
      <c r="AA301" s="2">
        <f t="shared" si="122"/>
        <v>0</v>
      </c>
    </row>
    <row r="302" spans="4:28" customFormat="1" x14ac:dyDescent="0.25">
      <c r="E302" t="s">
        <v>109</v>
      </c>
      <c r="F302" t="s">
        <v>7</v>
      </c>
      <c r="G302" s="2">
        <f t="shared" si="122"/>
        <v>0</v>
      </c>
      <c r="H302" s="2">
        <f t="shared" si="122"/>
        <v>0</v>
      </c>
      <c r="I302" s="2">
        <f t="shared" si="122"/>
        <v>0</v>
      </c>
      <c r="J302" s="2">
        <f t="shared" si="122"/>
        <v>0</v>
      </c>
      <c r="K302" s="2">
        <f t="shared" si="122"/>
        <v>0</v>
      </c>
      <c r="L302" s="2">
        <f t="shared" si="122"/>
        <v>0</v>
      </c>
      <c r="M302" s="2">
        <f t="shared" si="122"/>
        <v>0</v>
      </c>
      <c r="N302" s="2">
        <f t="shared" si="122"/>
        <v>0</v>
      </c>
      <c r="O302" s="2">
        <f t="shared" si="122"/>
        <v>0</v>
      </c>
      <c r="P302" s="2">
        <f t="shared" si="122"/>
        <v>0</v>
      </c>
      <c r="Q302" s="2">
        <f t="shared" si="122"/>
        <v>0</v>
      </c>
      <c r="R302" s="2">
        <f t="shared" si="122"/>
        <v>0</v>
      </c>
      <c r="S302" s="2">
        <f t="shared" si="122"/>
        <v>0</v>
      </c>
      <c r="T302" s="2">
        <f t="shared" si="122"/>
        <v>0</v>
      </c>
      <c r="U302" s="2">
        <f t="shared" si="122"/>
        <v>0</v>
      </c>
      <c r="V302" s="2">
        <f t="shared" si="122"/>
        <v>0</v>
      </c>
      <c r="W302" s="2">
        <f t="shared" si="122"/>
        <v>0</v>
      </c>
      <c r="X302" s="2">
        <f t="shared" si="122"/>
        <v>0</v>
      </c>
      <c r="Y302" s="2">
        <f t="shared" si="122"/>
        <v>0</v>
      </c>
      <c r="Z302" s="2">
        <f t="shared" si="122"/>
        <v>0</v>
      </c>
      <c r="AA302" s="2">
        <f t="shared" si="122"/>
        <v>0</v>
      </c>
    </row>
    <row r="303" spans="4:28" customFormat="1" x14ac:dyDescent="0.25">
      <c r="E303" t="s">
        <v>11</v>
      </c>
      <c r="F303" t="s">
        <v>7</v>
      </c>
      <c r="G303" s="2">
        <f t="shared" si="122"/>
        <v>0</v>
      </c>
      <c r="H303" s="2">
        <f t="shared" si="122"/>
        <v>6467997.8506837934</v>
      </c>
      <c r="I303" s="2">
        <f t="shared" si="122"/>
        <v>12547348.701075982</v>
      </c>
      <c r="J303" s="2">
        <f t="shared" si="122"/>
        <v>18875434.16233049</v>
      </c>
      <c r="K303" s="2">
        <f t="shared" si="122"/>
        <v>24947068.687509734</v>
      </c>
      <c r="L303" s="2">
        <f t="shared" si="122"/>
        <v>30765522.21752084</v>
      </c>
      <c r="M303" s="2">
        <f t="shared" si="122"/>
        <v>36323604.283287503</v>
      </c>
      <c r="N303" s="2">
        <f t="shared" si="122"/>
        <v>41633729.277051948</v>
      </c>
      <c r="O303" s="2">
        <f t="shared" si="122"/>
        <v>46699364.076455534</v>
      </c>
      <c r="P303" s="2">
        <f t="shared" si="122"/>
        <v>51914368.829924114</v>
      </c>
      <c r="Q303" s="2">
        <f t="shared" si="122"/>
        <v>57274632.273385972</v>
      </c>
      <c r="R303" s="2">
        <f t="shared" si="122"/>
        <v>63092559.601128347</v>
      </c>
      <c r="S303" s="2">
        <f t="shared" si="122"/>
        <v>69419107.436178505</v>
      </c>
      <c r="T303" s="2">
        <f t="shared" si="122"/>
        <v>76274841.895825952</v>
      </c>
      <c r="U303" s="2">
        <f t="shared" si="122"/>
        <v>83346592.142628074</v>
      </c>
      <c r="V303" s="2">
        <f t="shared" si="122"/>
        <v>90652729.802196354</v>
      </c>
      <c r="W303" s="2">
        <f t="shared" si="122"/>
        <v>92556437.128042489</v>
      </c>
      <c r="X303" s="2">
        <f t="shared" si="122"/>
        <v>94500122.30773136</v>
      </c>
      <c r="Y303" s="2">
        <f t="shared" si="122"/>
        <v>96484624.876193717</v>
      </c>
      <c r="Z303" s="2">
        <f t="shared" si="122"/>
        <v>98510801.998593777</v>
      </c>
      <c r="AA303" s="2">
        <f t="shared" si="122"/>
        <v>100579528.84056422</v>
      </c>
      <c r="AB303" s="2">
        <f t="shared" ref="AB303:AB307" si="123">IF(V303=0,0,IF($G$15&gt;(AA303/V303)^(1/5)-1+2%,AA303*(AA303/V303)^(1/5)/($G$15-((AA303/V303)^(1/5)-1)),AA303*(1+$G$14)/$G$16))</f>
        <v>3352650961.3521476</v>
      </c>
    </row>
    <row r="304" spans="4:28" customFormat="1" x14ac:dyDescent="0.25">
      <c r="E304" t="s">
        <v>57</v>
      </c>
      <c r="F304" t="s">
        <v>7</v>
      </c>
      <c r="G304" s="2">
        <f t="shared" si="122"/>
        <v>0</v>
      </c>
      <c r="H304" s="2">
        <f t="shared" si="122"/>
        <v>-4081304.5861971751</v>
      </c>
      <c r="I304" s="2">
        <f t="shared" si="122"/>
        <v>-8124453.3182916604</v>
      </c>
      <c r="J304" s="2">
        <f t="shared" si="122"/>
        <v>-12199213.412921648</v>
      </c>
      <c r="K304" s="2">
        <f t="shared" si="122"/>
        <v>-16078452.883336719</v>
      </c>
      <c r="L304" s="2">
        <f t="shared" si="122"/>
        <v>-19769297.856755786</v>
      </c>
      <c r="M304" s="2">
        <f t="shared" si="122"/>
        <v>-23272672.93213268</v>
      </c>
      <c r="N304" s="2">
        <f t="shared" si="122"/>
        <v>-26592500.398821432</v>
      </c>
      <c r="O304" s="2">
        <f t="shared" si="122"/>
        <v>-29731751.2251908</v>
      </c>
      <c r="P304" s="2">
        <f t="shared" si="122"/>
        <v>-32933959.355104275</v>
      </c>
      <c r="Q304" s="2">
        <f t="shared" si="122"/>
        <v>-36187705.326668009</v>
      </c>
      <c r="R304" s="2">
        <f t="shared" si="122"/>
        <v>-39717092.654547654</v>
      </c>
      <c r="S304" s="2">
        <f t="shared" si="122"/>
        <v>-43549830.841256797</v>
      </c>
      <c r="T304" s="2">
        <f t="shared" si="122"/>
        <v>-47704218.710662022</v>
      </c>
      <c r="U304" s="2">
        <f t="shared" si="122"/>
        <v>-51990689.053647444</v>
      </c>
      <c r="V304" s="2">
        <f t="shared" si="122"/>
        <v>-56415111.355761826</v>
      </c>
      <c r="W304" s="2">
        <f t="shared" si="122"/>
        <v>-57599828.694232821</v>
      </c>
      <c r="X304" s="2">
        <f t="shared" si="122"/>
        <v>-58809425.096811704</v>
      </c>
      <c r="Y304" s="2">
        <f t="shared" si="122"/>
        <v>-60044423.023844734</v>
      </c>
      <c r="Z304" s="2">
        <f t="shared" si="122"/>
        <v>-61305355.907345481</v>
      </c>
      <c r="AA304" s="2">
        <f t="shared" si="122"/>
        <v>-62592768.381399721</v>
      </c>
      <c r="AB304" s="2">
        <f t="shared" si="123"/>
        <v>-2086425612.7133284</v>
      </c>
    </row>
    <row r="305" spans="1:28" x14ac:dyDescent="0.25">
      <c r="E305" t="s">
        <v>10</v>
      </c>
      <c r="F305" t="s">
        <v>7</v>
      </c>
      <c r="G305" s="2">
        <f t="shared" si="122"/>
        <v>0</v>
      </c>
      <c r="H305" s="2">
        <f t="shared" si="122"/>
        <v>-1160913.7559999998</v>
      </c>
      <c r="I305" s="2">
        <f t="shared" si="122"/>
        <v>-2308076.9576279996</v>
      </c>
      <c r="J305" s="2">
        <f t="shared" si="122"/>
        <v>-3459871.9243186354</v>
      </c>
      <c r="K305" s="2">
        <f t="shared" si="122"/>
        <v>-4558048.289795775</v>
      </c>
      <c r="L305" s="2">
        <f t="shared" si="122"/>
        <v>-5601671.9148991657</v>
      </c>
      <c r="M305" s="2">
        <f t="shared" si="122"/>
        <v>-6591257.337242173</v>
      </c>
      <c r="N305" s="2">
        <f t="shared" si="122"/>
        <v>-7527731.2622023439</v>
      </c>
      <c r="O305" s="2">
        <f t="shared" si="122"/>
        <v>-8411969.3701764047</v>
      </c>
      <c r="P305" s="2">
        <f t="shared" si="122"/>
        <v>-9312542.4398737326</v>
      </c>
      <c r="Q305" s="2">
        <f t="shared" si="122"/>
        <v>-10225814.962772934</v>
      </c>
      <c r="R305" s="2">
        <f t="shared" si="122"/>
        <v>-11216350.998220688</v>
      </c>
      <c r="S305" s="2">
        <f t="shared" si="122"/>
        <v>-12291772.808528552</v>
      </c>
      <c r="T305" s="2">
        <f t="shared" si="122"/>
        <v>-13457496.930970971</v>
      </c>
      <c r="U305" s="2">
        <f t="shared" si="122"/>
        <v>-14660340.612795902</v>
      </c>
      <c r="V305" s="2">
        <f t="shared" si="122"/>
        <v>-15901696.639972519</v>
      </c>
      <c r="W305" s="2">
        <f t="shared" si="122"/>
        <v>-16235632.26941194</v>
      </c>
      <c r="X305" s="2">
        <f t="shared" si="122"/>
        <v>-16576580.547069591</v>
      </c>
      <c r="Y305" s="2">
        <f t="shared" si="122"/>
        <v>-16924688.73855805</v>
      </c>
      <c r="Z305" s="2">
        <f t="shared" si="122"/>
        <v>-17280107.202067766</v>
      </c>
      <c r="AA305" s="2">
        <f t="shared" si="122"/>
        <v>-17642989.45331119</v>
      </c>
      <c r="AB305" s="2">
        <f t="shared" si="123"/>
        <v>-588099648.44370759</v>
      </c>
    </row>
    <row r="306" spans="1:28" x14ac:dyDescent="0.25">
      <c r="E306" t="s">
        <v>48</v>
      </c>
      <c r="F306" t="s">
        <v>7</v>
      </c>
      <c r="G306" s="2">
        <f t="shared" si="122"/>
        <v>0</v>
      </c>
      <c r="H306" s="2">
        <f t="shared" si="122"/>
        <v>0</v>
      </c>
      <c r="I306" s="2">
        <f t="shared" si="122"/>
        <v>0</v>
      </c>
      <c r="J306" s="2">
        <f t="shared" si="122"/>
        <v>0</v>
      </c>
      <c r="K306" s="2">
        <f t="shared" si="122"/>
        <v>0</v>
      </c>
      <c r="L306" s="2">
        <f t="shared" si="122"/>
        <v>0</v>
      </c>
      <c r="M306" s="2">
        <f t="shared" si="122"/>
        <v>0</v>
      </c>
      <c r="N306" s="2">
        <f t="shared" si="122"/>
        <v>0</v>
      </c>
      <c r="O306" s="2">
        <f t="shared" si="122"/>
        <v>0</v>
      </c>
      <c r="P306" s="2">
        <f t="shared" si="122"/>
        <v>0</v>
      </c>
      <c r="Q306" s="2">
        <f t="shared" si="122"/>
        <v>0</v>
      </c>
      <c r="R306" s="2">
        <f t="shared" si="122"/>
        <v>0</v>
      </c>
      <c r="S306" s="2">
        <f t="shared" si="122"/>
        <v>0</v>
      </c>
      <c r="T306" s="2">
        <f t="shared" si="122"/>
        <v>0</v>
      </c>
      <c r="U306" s="2">
        <f t="shared" si="122"/>
        <v>0</v>
      </c>
      <c r="V306" s="2">
        <f t="shared" si="122"/>
        <v>0</v>
      </c>
      <c r="W306" s="2">
        <f t="shared" si="122"/>
        <v>0</v>
      </c>
      <c r="X306" s="2">
        <f t="shared" si="122"/>
        <v>0</v>
      </c>
      <c r="Y306" s="2">
        <f t="shared" si="122"/>
        <v>0</v>
      </c>
      <c r="Z306" s="2">
        <f t="shared" si="122"/>
        <v>0</v>
      </c>
      <c r="AA306" s="2">
        <f t="shared" si="122"/>
        <v>0</v>
      </c>
      <c r="AB306" s="2">
        <f t="shared" si="123"/>
        <v>0</v>
      </c>
    </row>
    <row r="307" spans="1:28" x14ac:dyDescent="0.25">
      <c r="E307" t="s">
        <v>49</v>
      </c>
      <c r="F307" t="s">
        <v>7</v>
      </c>
      <c r="G307" s="2">
        <f t="shared" si="122"/>
        <v>0</v>
      </c>
      <c r="H307" s="2">
        <f t="shared" si="122"/>
        <v>0</v>
      </c>
      <c r="I307" s="2">
        <f t="shared" si="122"/>
        <v>0</v>
      </c>
      <c r="J307" s="2">
        <f t="shared" si="122"/>
        <v>0</v>
      </c>
      <c r="K307" s="2">
        <f t="shared" si="122"/>
        <v>0</v>
      </c>
      <c r="L307" s="2">
        <f t="shared" si="122"/>
        <v>0</v>
      </c>
      <c r="M307" s="2">
        <f t="shared" si="122"/>
        <v>0</v>
      </c>
      <c r="N307" s="2">
        <f t="shared" si="122"/>
        <v>0</v>
      </c>
      <c r="O307" s="2">
        <f t="shared" si="122"/>
        <v>0</v>
      </c>
      <c r="P307" s="2">
        <f t="shared" si="122"/>
        <v>0</v>
      </c>
      <c r="Q307" s="2">
        <f t="shared" si="122"/>
        <v>0</v>
      </c>
      <c r="R307" s="2">
        <f t="shared" si="122"/>
        <v>0</v>
      </c>
      <c r="S307" s="2">
        <f t="shared" si="122"/>
        <v>0</v>
      </c>
      <c r="T307" s="2">
        <f t="shared" si="122"/>
        <v>0</v>
      </c>
      <c r="U307" s="2">
        <f t="shared" si="122"/>
        <v>0</v>
      </c>
      <c r="V307" s="2">
        <f t="shared" si="122"/>
        <v>0</v>
      </c>
      <c r="W307" s="2">
        <f t="shared" si="122"/>
        <v>0</v>
      </c>
      <c r="X307" s="2">
        <f t="shared" si="122"/>
        <v>0</v>
      </c>
      <c r="Y307" s="2">
        <f t="shared" si="122"/>
        <v>0</v>
      </c>
      <c r="Z307" s="2">
        <f t="shared" si="122"/>
        <v>0</v>
      </c>
      <c r="AA307" s="2">
        <f t="shared" si="122"/>
        <v>0</v>
      </c>
      <c r="AB307" s="2">
        <f t="shared" si="123"/>
        <v>0</v>
      </c>
    </row>
    <row r="308" spans="1:28" x14ac:dyDescent="0.25">
      <c r="E308" t="s">
        <v>20</v>
      </c>
      <c r="F308" t="s">
        <v>7</v>
      </c>
      <c r="G308" s="2">
        <f t="shared" ref="G308:AA308" ca="1" si="124">G297</f>
        <v>307183.87095037551</v>
      </c>
      <c r="H308" s="2">
        <f t="shared" ca="1" si="124"/>
        <v>-10620160.453766633</v>
      </c>
      <c r="I308" s="2">
        <f t="shared" ca="1" si="124"/>
        <v>-10420772.328540878</v>
      </c>
      <c r="J308" s="2">
        <f t="shared" ca="1" si="124"/>
        <v>-10456886.65581101</v>
      </c>
      <c r="K308" s="2">
        <f t="shared" ca="1" si="124"/>
        <v>-9952213.5811491795</v>
      </c>
      <c r="L308" s="2">
        <f t="shared" ca="1" si="124"/>
        <v>-9454272.2142594028</v>
      </c>
      <c r="M308" s="2">
        <f t="shared" ca="1" si="124"/>
        <v>-8961241.0896925628</v>
      </c>
      <c r="N308" s="2">
        <f t="shared" ca="1" si="124"/>
        <v>-8515124.1186469384</v>
      </c>
      <c r="O308" s="2">
        <f t="shared" ca="1" si="124"/>
        <v>-8091200.5537680853</v>
      </c>
      <c r="P308" s="2">
        <f t="shared" ca="1" si="124"/>
        <v>-8330205.3937075604</v>
      </c>
      <c r="Q308" s="2">
        <f t="shared" ca="1" si="124"/>
        <v>-8557507.9702705424</v>
      </c>
      <c r="R308" s="2">
        <f t="shared" ca="1" si="124"/>
        <v>-9402506.5277094413</v>
      </c>
      <c r="S308" s="2">
        <f t="shared" ca="1" si="124"/>
        <v>-10332322.54779599</v>
      </c>
      <c r="T308" s="2">
        <f t="shared" ca="1" si="124"/>
        <v>-11323849.168839905</v>
      </c>
      <c r="U308" s="2">
        <f t="shared" ca="1" si="124"/>
        <v>-11820818.90308583</v>
      </c>
      <c r="V308" s="2">
        <f t="shared" ca="1" si="124"/>
        <v>-12339457.89428685</v>
      </c>
      <c r="W308" s="2">
        <f t="shared" ca="1" si="124"/>
        <v>-3857050.3593579414</v>
      </c>
      <c r="X308" s="2">
        <f t="shared" ca="1" si="124"/>
        <v>-3974992.509193643</v>
      </c>
      <c r="Y308" s="2">
        <f t="shared" ca="1" si="124"/>
        <v>-4095411.4441759032</v>
      </c>
      <c r="Z308" s="2">
        <f t="shared" ca="1" si="124"/>
        <v>-4218359.1767927818</v>
      </c>
      <c r="AA308" s="2">
        <f t="shared" ca="1" si="124"/>
        <v>-4343888.8117946163</v>
      </c>
      <c r="AB308" s="2">
        <f ca="1">IF(V308=0,0,IF($G$15&gt;(AA308/V308)^(1/5)-1+2%,AA308*(AA308/V308)^(1/5)/($G$15-((AA308/V308)^(1/5)-1)),AA308*(1+$G$14)/$G$16))</f>
        <v>-14683968.356771637</v>
      </c>
    </row>
    <row r="309" spans="1:28" x14ac:dyDescent="0.25">
      <c r="E309" t="s">
        <v>173</v>
      </c>
      <c r="F309" t="s">
        <v>7</v>
      </c>
      <c r="G309" s="2">
        <f ca="1">-$G$17*G308</f>
        <v>-153591.93547518775</v>
      </c>
      <c r="H309" s="2">
        <f t="shared" ref="H309:AA309" ca="1" si="125">-$G$17*H308</f>
        <v>5310080.2268833164</v>
      </c>
      <c r="I309" s="2">
        <f t="shared" ca="1" si="125"/>
        <v>5210386.1642704392</v>
      </c>
      <c r="J309" s="2">
        <f t="shared" ca="1" si="125"/>
        <v>5228443.327905505</v>
      </c>
      <c r="K309" s="2">
        <f t="shared" ca="1" si="125"/>
        <v>4976106.7905745897</v>
      </c>
      <c r="L309" s="2">
        <f t="shared" ca="1" si="125"/>
        <v>4727136.1071297014</v>
      </c>
      <c r="M309" s="2">
        <f t="shared" ca="1" si="125"/>
        <v>4480620.5448462814</v>
      </c>
      <c r="N309" s="2">
        <f t="shared" ca="1" si="125"/>
        <v>4257562.0593234692</v>
      </c>
      <c r="O309" s="2">
        <f t="shared" ca="1" si="125"/>
        <v>4045600.2768840427</v>
      </c>
      <c r="P309" s="2">
        <f t="shared" ca="1" si="125"/>
        <v>4165102.6968537802</v>
      </c>
      <c r="Q309" s="2">
        <f t="shared" ca="1" si="125"/>
        <v>4278753.9851352712</v>
      </c>
      <c r="R309" s="2">
        <f t="shared" ca="1" si="125"/>
        <v>4701253.2638547206</v>
      </c>
      <c r="S309" s="2">
        <f t="shared" ca="1" si="125"/>
        <v>5166161.2738979952</v>
      </c>
      <c r="T309" s="2">
        <f t="shared" ca="1" si="125"/>
        <v>5661924.5844199527</v>
      </c>
      <c r="U309" s="2">
        <f t="shared" ca="1" si="125"/>
        <v>5910409.4515429148</v>
      </c>
      <c r="V309" s="2">
        <f t="shared" ca="1" si="125"/>
        <v>6169728.9471434252</v>
      </c>
      <c r="W309" s="2">
        <f t="shared" ca="1" si="125"/>
        <v>1928525.1796789707</v>
      </c>
      <c r="X309" s="2">
        <f t="shared" ca="1" si="125"/>
        <v>1987496.2545968215</v>
      </c>
      <c r="Y309" s="2">
        <f t="shared" ca="1" si="125"/>
        <v>2047705.7220879516</v>
      </c>
      <c r="Z309" s="2">
        <f t="shared" ca="1" si="125"/>
        <v>2109179.5883963909</v>
      </c>
      <c r="AA309" s="2">
        <f t="shared" ca="1" si="125"/>
        <v>2171944.4058973081</v>
      </c>
      <c r="AB309" s="2">
        <f t="shared" ref="AB309" ca="1" si="126">IF(V309=0,0,IF($G$15&gt;(AA309/V309)^(1/5)-1+2%,AA309*(AA309/V309)^(1/5)/($G$15-((AA309/V309)^(1/5)-1)),AA309*(1+$G$14)/$G$16))</f>
        <v>7341984.1783858184</v>
      </c>
    </row>
    <row r="310" spans="1:28" x14ac:dyDescent="0.25">
      <c r="E310" t="s">
        <v>23</v>
      </c>
      <c r="F310" t="s">
        <v>7</v>
      </c>
      <c r="G310" s="2">
        <f t="shared" ref="G310:AB310" ca="1" si="127">SUM(G300:G309)</f>
        <v>-92001569.349637479</v>
      </c>
      <c r="H310" s="2">
        <f t="shared" ca="1" si="127"/>
        <v>-8347080.0670891404</v>
      </c>
      <c r="I310" s="2">
        <f t="shared" ca="1" si="127"/>
        <v>-3095567.7391141169</v>
      </c>
      <c r="J310" s="2">
        <f t="shared" ca="1" si="127"/>
        <v>-2674152.394153473</v>
      </c>
      <c r="K310" s="2">
        <f t="shared" ca="1" si="127"/>
        <v>-4070829.8540687207</v>
      </c>
      <c r="L310" s="2">
        <f t="shared" ca="1" si="127"/>
        <v>-2710339.1944217943</v>
      </c>
      <c r="M310" s="2">
        <f t="shared" ca="1" si="127"/>
        <v>-5147100.0950591918</v>
      </c>
      <c r="N310" s="2">
        <f t="shared" ca="1" si="127"/>
        <v>3255935.5567047028</v>
      </c>
      <c r="O310" s="2">
        <f t="shared" ca="1" si="127"/>
        <v>4510043.2042042864</v>
      </c>
      <c r="P310" s="2">
        <f t="shared" ca="1" si="127"/>
        <v>5502764.3380923262</v>
      </c>
      <c r="Q310" s="2">
        <f t="shared" ca="1" si="127"/>
        <v>6582357.9988097576</v>
      </c>
      <c r="R310" s="2">
        <f t="shared" ca="1" si="127"/>
        <v>7457862.6845052848</v>
      </c>
      <c r="S310" s="2">
        <f t="shared" ca="1" si="127"/>
        <v>8411342.5124951601</v>
      </c>
      <c r="T310" s="2">
        <f t="shared" ca="1" si="127"/>
        <v>9451201.6697730068</v>
      </c>
      <c r="U310" s="2">
        <f t="shared" ca="1" si="127"/>
        <v>10785153.024641812</v>
      </c>
      <c r="V310" s="2">
        <f t="shared" ca="1" si="127"/>
        <v>12166192.859318584</v>
      </c>
      <c r="W310" s="2">
        <f t="shared" ca="1" si="127"/>
        <v>16792450.984718755</v>
      </c>
      <c r="X310" s="2">
        <f t="shared" ca="1" si="127"/>
        <v>17126620.409253243</v>
      </c>
      <c r="Y310" s="2">
        <f t="shared" ca="1" si="127"/>
        <v>17467807.391702984</v>
      </c>
      <c r="Z310" s="2">
        <f t="shared" ca="1" si="127"/>
        <v>17816159.300784141</v>
      </c>
      <c r="AA310" s="2">
        <f t="shared" ca="1" si="127"/>
        <v>18171826.599956002</v>
      </c>
      <c r="AB310" s="2">
        <f t="shared" ca="1" si="127"/>
        <v>670783716.0167259</v>
      </c>
    </row>
    <row r="311" spans="1:28" x14ac:dyDescent="0.25">
      <c r="E311" t="s">
        <v>31</v>
      </c>
      <c r="F311" t="s">
        <v>7</v>
      </c>
      <c r="G311" s="2">
        <f ca="1">NPV($G$15,H310:AB310)+G310</f>
        <v>191728141.38684246</v>
      </c>
    </row>
    <row r="313" spans="1:28" x14ac:dyDescent="0.25">
      <c r="E313" t="s">
        <v>13</v>
      </c>
      <c r="F313" t="s">
        <v>7</v>
      </c>
      <c r="G313" s="2">
        <f t="shared" ref="G313:AA313" ca="1" si="128">G285</f>
        <v>0</v>
      </c>
      <c r="H313" s="2">
        <f t="shared" ca="1" si="128"/>
        <v>0</v>
      </c>
      <c r="I313" s="2">
        <f t="shared" ca="1" si="128"/>
        <v>0</v>
      </c>
      <c r="J313" s="2">
        <f t="shared" ca="1" si="128"/>
        <v>0</v>
      </c>
      <c r="K313" s="2">
        <f t="shared" ca="1" si="128"/>
        <v>0</v>
      </c>
      <c r="L313" s="2">
        <f t="shared" ca="1" si="128"/>
        <v>0</v>
      </c>
      <c r="M313" s="2">
        <f t="shared" ca="1" si="128"/>
        <v>0</v>
      </c>
      <c r="N313" s="2">
        <f t="shared" ca="1" si="128"/>
        <v>0</v>
      </c>
      <c r="O313" s="2">
        <f t="shared" ca="1" si="128"/>
        <v>0</v>
      </c>
      <c r="P313" s="2">
        <f t="shared" ca="1" si="128"/>
        <v>0</v>
      </c>
      <c r="Q313" s="2">
        <f t="shared" ca="1" si="128"/>
        <v>0</v>
      </c>
      <c r="R313" s="2">
        <f t="shared" ca="1" si="128"/>
        <v>0</v>
      </c>
      <c r="S313" s="2">
        <f t="shared" ca="1" si="128"/>
        <v>0</v>
      </c>
      <c r="T313" s="2">
        <f t="shared" ca="1" si="128"/>
        <v>0</v>
      </c>
      <c r="U313" s="2">
        <f t="shared" ca="1" si="128"/>
        <v>0</v>
      </c>
      <c r="V313" s="2">
        <f t="shared" ca="1" si="128"/>
        <v>0</v>
      </c>
      <c r="W313" s="2">
        <f t="shared" ca="1" si="128"/>
        <v>0</v>
      </c>
      <c r="X313" s="2">
        <f t="shared" ca="1" si="128"/>
        <v>0</v>
      </c>
      <c r="Y313" s="2">
        <f t="shared" ca="1" si="128"/>
        <v>0</v>
      </c>
      <c r="Z313" s="2">
        <f t="shared" ca="1" si="128"/>
        <v>0</v>
      </c>
      <c r="AA313" s="2">
        <f t="shared" ca="1" si="128"/>
        <v>0</v>
      </c>
    </row>
    <row r="314" spans="1:28" x14ac:dyDescent="0.25">
      <c r="E314" t="s">
        <v>24</v>
      </c>
      <c r="F314" t="s">
        <v>7</v>
      </c>
      <c r="G314" s="2">
        <f ca="1">NPV($G$15,H313:AA313)+G313</f>
        <v>0</v>
      </c>
    </row>
    <row r="315" spans="1:28" x14ac:dyDescent="0.25">
      <c r="E315" s="3" t="s">
        <v>34</v>
      </c>
      <c r="F315" s="3"/>
      <c r="G315" s="4" t="str">
        <f ca="1">IF(G311&gt;0,"N/A",IF(ABS(G311+G314)&gt;1,"Error","OK"))</f>
        <v>N/A</v>
      </c>
    </row>
    <row r="318" spans="1:28" x14ac:dyDescent="0.25">
      <c r="C318" s="1" t="s">
        <v>110</v>
      </c>
    </row>
    <row r="319" spans="1:28" x14ac:dyDescent="0.25">
      <c r="E319" t="s">
        <v>116</v>
      </c>
      <c r="F319" t="s">
        <v>117</v>
      </c>
    </row>
    <row r="320" spans="1:28" x14ac:dyDescent="0.25">
      <c r="A320" s="14">
        <f>'Notes &amp; Assumptions'!A68</f>
        <v>55</v>
      </c>
      <c r="E320" s="19" t="s">
        <v>111</v>
      </c>
      <c r="F320" s="19" t="s">
        <v>119</v>
      </c>
    </row>
    <row r="321" spans="5:6" customFormat="1" x14ac:dyDescent="0.25">
      <c r="E321" s="19" t="s">
        <v>112</v>
      </c>
      <c r="F321" s="19" t="s">
        <v>120</v>
      </c>
    </row>
    <row r="322" spans="5:6" customFormat="1" x14ac:dyDescent="0.25">
      <c r="E322" s="19" t="s">
        <v>113</v>
      </c>
      <c r="F322" s="19" t="s">
        <v>121</v>
      </c>
    </row>
  </sheetData>
  <mergeCells count="1">
    <mergeCell ref="G4:H4"/>
  </mergeCells>
  <dataValidations count="1">
    <dataValidation type="list" showInputMessage="1" showErrorMessage="1" sqref="G4" xr:uid="{DD0E92A9-DD20-4817-97E0-A94E7BB40C38}">
      <formula1>$E$320:$E$322</formula1>
    </dataValidation>
  </dataValidation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9E404C-6FE0-4CB9-8BD3-1B2894FE2D78}">
  <dimension ref="A2:AC322"/>
  <sheetViews>
    <sheetView topLeftCell="F7" workbookViewId="0">
      <selection activeCell="K37" sqref="K37"/>
    </sheetView>
  </sheetViews>
  <sheetFormatPr defaultColWidth="11" defaultRowHeight="15.75" x14ac:dyDescent="0.25"/>
  <cols>
    <col min="1" max="1" width="7.625" style="14" customWidth="1"/>
    <col min="2" max="2" width="3.125" customWidth="1"/>
    <col min="3" max="3" width="3.375" customWidth="1"/>
    <col min="4" max="4" width="2.875" customWidth="1"/>
    <col min="5" max="5" width="36.5" bestFit="1" customWidth="1"/>
    <col min="6" max="6" width="17.5" customWidth="1"/>
    <col min="7" max="27" width="15.625" customWidth="1"/>
    <col min="28" max="28" width="11.125" customWidth="1"/>
  </cols>
  <sheetData>
    <row r="2" spans="1:27" x14ac:dyDescent="0.25">
      <c r="C2" s="1" t="s">
        <v>0</v>
      </c>
      <c r="D2" s="1"/>
      <c r="G2">
        <v>0</v>
      </c>
      <c r="H2">
        <v>1</v>
      </c>
      <c r="I2">
        <v>2</v>
      </c>
      <c r="J2">
        <v>3</v>
      </c>
      <c r="K2">
        <v>4</v>
      </c>
      <c r="L2">
        <v>5</v>
      </c>
      <c r="M2">
        <v>6</v>
      </c>
      <c r="N2">
        <v>7</v>
      </c>
      <c r="O2">
        <v>8</v>
      </c>
      <c r="P2">
        <v>9</v>
      </c>
      <c r="Q2">
        <v>10</v>
      </c>
      <c r="R2">
        <v>11</v>
      </c>
      <c r="S2">
        <v>12</v>
      </c>
      <c r="T2">
        <v>13</v>
      </c>
      <c r="U2">
        <v>14</v>
      </c>
      <c r="V2">
        <v>15</v>
      </c>
      <c r="W2">
        <v>16</v>
      </c>
      <c r="X2">
        <v>17</v>
      </c>
      <c r="Y2">
        <v>18</v>
      </c>
      <c r="Z2">
        <v>19</v>
      </c>
      <c r="AA2">
        <v>20</v>
      </c>
    </row>
    <row r="4" spans="1:27" x14ac:dyDescent="0.25">
      <c r="A4" s="14">
        <f>'Notes &amp; Assumptions'!A14</f>
        <v>1</v>
      </c>
      <c r="C4" s="1" t="s">
        <v>114</v>
      </c>
      <c r="F4" t="s">
        <v>115</v>
      </c>
      <c r="G4" s="368" t="s">
        <v>111</v>
      </c>
      <c r="H4" s="368"/>
    </row>
    <row r="6" spans="1:27" x14ac:dyDescent="0.25">
      <c r="C6" s="1" t="s">
        <v>126</v>
      </c>
    </row>
    <row r="7" spans="1:27" x14ac:dyDescent="0.25">
      <c r="A7" s="14">
        <f>'Notes &amp; Assumptions'!A15</f>
        <v>2</v>
      </c>
      <c r="E7" s="10" t="s">
        <v>309</v>
      </c>
      <c r="F7" t="s">
        <v>145</v>
      </c>
      <c r="G7" s="10">
        <v>90</v>
      </c>
    </row>
    <row r="8" spans="1:27" x14ac:dyDescent="0.25">
      <c r="A8" s="14">
        <f>'Notes &amp; Assumptions'!A16</f>
        <v>3</v>
      </c>
      <c r="E8" s="10" t="s">
        <v>129</v>
      </c>
      <c r="F8" t="s">
        <v>145</v>
      </c>
      <c r="G8" s="10">
        <v>25</v>
      </c>
    </row>
    <row r="9" spans="1:27" x14ac:dyDescent="0.25">
      <c r="A9" s="14">
        <f>'Notes &amp; Assumptions'!A17</f>
        <v>4</v>
      </c>
      <c r="E9" s="10" t="s">
        <v>130</v>
      </c>
      <c r="F9" t="s">
        <v>145</v>
      </c>
      <c r="G9" s="10">
        <v>30</v>
      </c>
    </row>
    <row r="10" spans="1:27" x14ac:dyDescent="0.25">
      <c r="A10" s="14">
        <f>'Notes &amp; Assumptions'!A18</f>
        <v>5</v>
      </c>
      <c r="E10" t="s">
        <v>127</v>
      </c>
      <c r="F10" t="s">
        <v>145</v>
      </c>
      <c r="G10" s="10">
        <v>5</v>
      </c>
    </row>
    <row r="13" spans="1:27" x14ac:dyDescent="0.25">
      <c r="C13" s="1" t="s">
        <v>92</v>
      </c>
    </row>
    <row r="14" spans="1:27" x14ac:dyDescent="0.25">
      <c r="A14" s="14">
        <f>'Notes &amp; Assumptions'!A19</f>
        <v>6</v>
      </c>
      <c r="E14" t="s">
        <v>5</v>
      </c>
      <c r="F14" t="s">
        <v>8</v>
      </c>
      <c r="G14" s="17">
        <f>'Key assumptions'!B9</f>
        <v>2.1000000000000001E-2</v>
      </c>
    </row>
    <row r="15" spans="1:27" x14ac:dyDescent="0.25">
      <c r="A15" s="14">
        <f>'Notes &amp; Assumptions'!A20</f>
        <v>7</v>
      </c>
      <c r="E15" t="s">
        <v>32</v>
      </c>
      <c r="F15" t="s">
        <v>8</v>
      </c>
      <c r="G15" s="17">
        <f>'Key assumptions'!B8</f>
        <v>5.1629999999999843E-2</v>
      </c>
    </row>
    <row r="16" spans="1:27" x14ac:dyDescent="0.25">
      <c r="E16" t="s">
        <v>30</v>
      </c>
      <c r="F16" t="s">
        <v>8</v>
      </c>
      <c r="G16" s="18">
        <f>(1+G15)/(1+G14)-1</f>
        <v>3.0000000000000027E-2</v>
      </c>
    </row>
    <row r="17" spans="1:27" x14ac:dyDescent="0.25">
      <c r="E17" t="s">
        <v>171</v>
      </c>
      <c r="F17" t="s">
        <v>8</v>
      </c>
      <c r="G17" s="11">
        <v>0.5</v>
      </c>
    </row>
    <row r="18" spans="1:27" x14ac:dyDescent="0.25">
      <c r="A18" s="14">
        <f>'Notes &amp; Assumptions'!A22</f>
        <v>9</v>
      </c>
      <c r="E18" t="s">
        <v>16</v>
      </c>
      <c r="F18" t="s">
        <v>8</v>
      </c>
      <c r="G18" s="11">
        <v>0.3</v>
      </c>
      <c r="H18" s="11">
        <v>0.3</v>
      </c>
      <c r="I18" s="11">
        <v>0.3</v>
      </c>
      <c r="J18" s="11">
        <v>0.3</v>
      </c>
      <c r="K18" s="11">
        <v>0.3</v>
      </c>
      <c r="L18" s="11">
        <v>0.3</v>
      </c>
      <c r="M18" s="11">
        <v>0.3</v>
      </c>
      <c r="N18" s="11">
        <v>0.3</v>
      </c>
      <c r="O18" s="11">
        <v>0.3</v>
      </c>
      <c r="P18" s="11">
        <v>0.3</v>
      </c>
      <c r="Q18" s="11">
        <v>0.3</v>
      </c>
      <c r="R18" s="11">
        <v>0.3</v>
      </c>
      <c r="S18" s="11">
        <v>0.3</v>
      </c>
      <c r="T18" s="11">
        <v>0.3</v>
      </c>
      <c r="U18" s="11">
        <v>0.3</v>
      </c>
      <c r="V18" s="11">
        <v>0.3</v>
      </c>
      <c r="W18" s="11">
        <v>0.3</v>
      </c>
      <c r="X18" s="11">
        <v>0.3</v>
      </c>
      <c r="Y18" s="11">
        <v>0.3</v>
      </c>
      <c r="Z18" s="11">
        <v>0.3</v>
      </c>
      <c r="AA18" s="11">
        <v>0.3</v>
      </c>
    </row>
    <row r="20" spans="1:27" x14ac:dyDescent="0.25">
      <c r="A20" s="14">
        <f>'Notes &amp; Assumptions'!A23</f>
        <v>10</v>
      </c>
      <c r="C20" s="1" t="s">
        <v>1</v>
      </c>
      <c r="D20" s="1"/>
    </row>
    <row r="21" spans="1:27" x14ac:dyDescent="0.25">
      <c r="E21" s="2" t="str">
        <f>E7</f>
        <v>Average asset life for all growth assets</v>
      </c>
      <c r="F21" t="s">
        <v>7</v>
      </c>
      <c r="G21" s="43">
        <f>'Net infill water capex 05-06'!W33*10^6</f>
        <v>98667902.649392962</v>
      </c>
      <c r="H21" s="10">
        <f>'Forecast capex'!J76*1000*(1+$G$14)^H2+'Renewal capex'!H57</f>
        <v>16611346.053988967</v>
      </c>
      <c r="I21" s="10">
        <f ca="1">'Forecast capex'!K76*1000*(1+$G$14)^I2+'Renewal capex'!I57</f>
        <v>26433040.489605837</v>
      </c>
      <c r="J21" s="10">
        <f ca="1">'Forecast capex'!L76*1000*(1+$G$14)^J2+'Renewal capex'!J57</f>
        <v>26801069.266667921</v>
      </c>
      <c r="K21" s="10">
        <f ca="1">'Forecast capex'!M76*1000*(1+$G$14)^K2+'Renewal capex'!K57</f>
        <v>28523650.631986063</v>
      </c>
      <c r="L21" s="10">
        <f ca="1">'Forecast capex'!N76*1000*(1+$G$14)^L2+'Renewal capex'!L57</f>
        <v>27757298.869013589</v>
      </c>
      <c r="M21" s="10">
        <f ca="1">'Forecast capex'!O76*1000*(1+$G$14)^M2+'Renewal capex'!M57</f>
        <v>33173724.674259342</v>
      </c>
      <c r="N21" s="10">
        <f ca="1">'Forecast capex'!P76*1000*(1+$G$14)^N2+'Renewal capex'!N57</f>
        <v>27254633.045682486</v>
      </c>
      <c r="O21" s="10">
        <f ca="1">'Forecast capex'!Q76*1000*(1+$G$14)^O2+'Renewal capex'!O57</f>
        <v>27723766.875344969</v>
      </c>
      <c r="P21" s="10">
        <f ca="1">'Forecast capex'!R76*1000*(1+$G$14)^P2+'Renewal capex'!P57</f>
        <v>27815790.945794858</v>
      </c>
      <c r="Q21" s="10">
        <f ca="1">'Forecast capex'!S76*1000*(1+$G$14)^Q2+'Renewal capex'!Q57</f>
        <v>28607622.415160112</v>
      </c>
      <c r="R21" s="10">
        <f ca="1">'Renewal capex'!R57</f>
        <v>29245805.87295869</v>
      </c>
      <c r="S21" s="10">
        <f ca="1">'Renewal capex'!S57</f>
        <v>29873903.505322564</v>
      </c>
      <c r="T21" s="10">
        <f ca="1">'Renewal capex'!T57</f>
        <v>30426148.174185529</v>
      </c>
      <c r="U21" s="10">
        <f ca="1">'Renewal capex'!U57</f>
        <v>31009280.188611764</v>
      </c>
      <c r="V21" s="10">
        <f ca="1">'Renewal capex'!V57</f>
        <v>31710612.11390594</v>
      </c>
      <c r="W21" s="10">
        <f ca="1">'Renewal capex'!W57</f>
        <v>32399441.562038191</v>
      </c>
      <c r="X21" s="10">
        <f ca="1">'Renewal capex'!X57</f>
        <v>33069847.529322453</v>
      </c>
      <c r="Y21" s="10">
        <f ca="1">'Renewal capex'!Y57</f>
        <v>33748926.723666266</v>
      </c>
      <c r="Z21" s="10">
        <f ca="1">'Renewal capex'!Z57</f>
        <v>34455817.651180692</v>
      </c>
      <c r="AA21" s="10">
        <f ca="1">'Renewal capex'!AA57</f>
        <v>35189785.657632954</v>
      </c>
    </row>
    <row r="22" spans="1:27" x14ac:dyDescent="0.25">
      <c r="E22" s="2" t="str">
        <f>E8</f>
        <v>Pumps</v>
      </c>
      <c r="F22" t="s">
        <v>7</v>
      </c>
      <c r="G22" s="10"/>
      <c r="H22" s="10"/>
      <c r="I22" s="10"/>
      <c r="J22" s="10"/>
      <c r="K22" s="10"/>
      <c r="L22" s="10"/>
      <c r="M22" s="10"/>
      <c r="N22" s="10"/>
      <c r="O22" s="10"/>
      <c r="P22" s="10"/>
      <c r="Q22" s="10"/>
      <c r="R22" s="10"/>
      <c r="S22" s="10"/>
      <c r="T22" s="10"/>
      <c r="U22" s="10"/>
      <c r="V22" s="10"/>
      <c r="W22" s="10"/>
      <c r="X22" s="10"/>
      <c r="Y22" s="10"/>
      <c r="Z22" s="10"/>
      <c r="AA22" s="10"/>
    </row>
    <row r="23" spans="1:27" x14ac:dyDescent="0.25">
      <c r="E23" s="2" t="str">
        <f>E9</f>
        <v>Valves and Meters</v>
      </c>
      <c r="F23" t="s">
        <v>7</v>
      </c>
      <c r="G23" s="10"/>
      <c r="H23" s="10"/>
      <c r="I23" s="10"/>
      <c r="J23" s="10"/>
      <c r="K23" s="10"/>
      <c r="L23" s="10"/>
      <c r="M23" s="10"/>
      <c r="N23" s="10"/>
      <c r="O23" s="10"/>
      <c r="P23" s="10"/>
      <c r="Q23" s="10"/>
      <c r="R23" s="10"/>
      <c r="S23" s="10"/>
      <c r="T23" s="10"/>
      <c r="U23" s="10"/>
      <c r="V23" s="10"/>
      <c r="W23" s="10"/>
      <c r="X23" s="10"/>
      <c r="Y23" s="10"/>
      <c r="Z23" s="10"/>
      <c r="AA23" s="10"/>
    </row>
    <row r="24" spans="1:27" x14ac:dyDescent="0.25">
      <c r="E24" t="s">
        <v>127</v>
      </c>
      <c r="F24" t="s">
        <v>7</v>
      </c>
      <c r="G24" s="10"/>
      <c r="H24" s="10"/>
      <c r="I24" s="10"/>
      <c r="J24" s="10"/>
      <c r="K24" s="10"/>
      <c r="L24" s="10"/>
      <c r="M24" s="10"/>
      <c r="N24" s="10"/>
      <c r="O24" s="10"/>
      <c r="P24" s="10"/>
      <c r="Q24" s="10"/>
      <c r="R24" s="10"/>
      <c r="S24" s="10"/>
      <c r="T24" s="10"/>
      <c r="U24" s="10"/>
      <c r="V24" s="10"/>
      <c r="W24" s="10"/>
      <c r="X24" s="10"/>
      <c r="Y24" s="10"/>
      <c r="Z24" s="10"/>
      <c r="AA24" s="10"/>
    </row>
    <row r="25" spans="1:27" x14ac:dyDescent="0.25">
      <c r="E25" t="s">
        <v>131</v>
      </c>
      <c r="F25" t="s">
        <v>7</v>
      </c>
      <c r="G25" s="10"/>
      <c r="H25" s="10"/>
      <c r="I25" s="10"/>
      <c r="J25" s="10"/>
      <c r="K25" s="10"/>
      <c r="L25" s="10"/>
      <c r="M25" s="10"/>
      <c r="N25" s="10"/>
      <c r="O25" s="10"/>
      <c r="P25" s="10"/>
      <c r="Q25" s="10"/>
      <c r="R25" s="10"/>
      <c r="S25" s="10"/>
      <c r="T25" s="10"/>
      <c r="U25" s="10"/>
      <c r="V25" s="10"/>
      <c r="W25" s="10"/>
      <c r="X25" s="10"/>
      <c r="Y25" s="10"/>
      <c r="Z25" s="10"/>
      <c r="AA25" s="10"/>
    </row>
    <row r="26" spans="1:27" x14ac:dyDescent="0.25">
      <c r="G26" s="2">
        <f>SUM(G21:G25)</f>
        <v>98667902.649392962</v>
      </c>
      <c r="H26" s="2">
        <f t="shared" ref="H26:AA26" si="0">SUM(H21:H25)</f>
        <v>16611346.053988967</v>
      </c>
      <c r="I26" s="2">
        <f t="shared" ca="1" si="0"/>
        <v>26433040.489605837</v>
      </c>
      <c r="J26" s="2">
        <f t="shared" ca="1" si="0"/>
        <v>26801069.266667921</v>
      </c>
      <c r="K26" s="2">
        <f t="shared" ca="1" si="0"/>
        <v>28523650.631986063</v>
      </c>
      <c r="L26" s="2">
        <f t="shared" ca="1" si="0"/>
        <v>27757298.869013589</v>
      </c>
      <c r="M26" s="2">
        <f t="shared" ca="1" si="0"/>
        <v>33173724.674259342</v>
      </c>
      <c r="N26" s="2">
        <f t="shared" ca="1" si="0"/>
        <v>27254633.045682486</v>
      </c>
      <c r="O26" s="2">
        <f t="shared" ca="1" si="0"/>
        <v>27723766.875344969</v>
      </c>
      <c r="P26" s="2">
        <f t="shared" ca="1" si="0"/>
        <v>27815790.945794858</v>
      </c>
      <c r="Q26" s="2">
        <f t="shared" ca="1" si="0"/>
        <v>28607622.415160112</v>
      </c>
      <c r="R26" s="2">
        <f t="shared" ca="1" si="0"/>
        <v>29245805.87295869</v>
      </c>
      <c r="S26" s="2">
        <f t="shared" ca="1" si="0"/>
        <v>29873903.505322564</v>
      </c>
      <c r="T26" s="2">
        <f t="shared" ca="1" si="0"/>
        <v>30426148.174185529</v>
      </c>
      <c r="U26" s="2">
        <f t="shared" ca="1" si="0"/>
        <v>31009280.188611764</v>
      </c>
      <c r="V26" s="2">
        <f t="shared" ca="1" si="0"/>
        <v>31710612.11390594</v>
      </c>
      <c r="W26" s="2">
        <f t="shared" ca="1" si="0"/>
        <v>32399441.562038191</v>
      </c>
      <c r="X26" s="2">
        <f t="shared" ca="1" si="0"/>
        <v>33069847.529322453</v>
      </c>
      <c r="Y26" s="2">
        <f t="shared" ca="1" si="0"/>
        <v>33748926.723666266</v>
      </c>
      <c r="Z26" s="2">
        <f t="shared" ca="1" si="0"/>
        <v>34455817.651180692</v>
      </c>
      <c r="AA26" s="2">
        <f t="shared" ca="1" si="0"/>
        <v>35189785.657632954</v>
      </c>
    </row>
    <row r="27" spans="1:27" x14ac:dyDescent="0.25">
      <c r="G27" s="2"/>
      <c r="H27" s="2"/>
      <c r="I27" s="2"/>
      <c r="J27" s="2"/>
      <c r="K27" s="2"/>
      <c r="L27" s="2"/>
      <c r="M27" s="2"/>
      <c r="N27" s="2"/>
      <c r="O27" s="2"/>
      <c r="P27" s="2"/>
      <c r="Q27" s="2"/>
    </row>
    <row r="28" spans="1:27" x14ac:dyDescent="0.25">
      <c r="D28" t="s">
        <v>132</v>
      </c>
      <c r="G28" s="2"/>
      <c r="H28" s="2"/>
      <c r="I28" s="2"/>
      <c r="J28" s="2"/>
      <c r="K28" s="2"/>
      <c r="L28" s="2"/>
      <c r="M28" s="2"/>
      <c r="N28" s="2"/>
      <c r="O28" s="2"/>
      <c r="P28" s="2"/>
      <c r="Q28" s="2"/>
    </row>
    <row r="29" spans="1:27" x14ac:dyDescent="0.25">
      <c r="E29" s="2" t="str">
        <f>E21</f>
        <v>Average asset life for all growth assets</v>
      </c>
      <c r="F29" t="s">
        <v>7</v>
      </c>
      <c r="G29" s="2">
        <f t="shared" ref="G29:AA32" si="1">G21/$G7+IF((G$2-$G7+1)&gt;0,-INDEX($G21:$AA21,1,(G$2-$G7+1))/$G7,0)</f>
        <v>1096310.0294376996</v>
      </c>
      <c r="H29" s="2">
        <f t="shared" si="1"/>
        <v>184570.51171098853</v>
      </c>
      <c r="I29" s="2">
        <f t="shared" ca="1" si="1"/>
        <v>293700.44988450932</v>
      </c>
      <c r="J29" s="2">
        <f t="shared" ca="1" si="1"/>
        <v>297789.65851853247</v>
      </c>
      <c r="K29" s="2">
        <f t="shared" ca="1" si="1"/>
        <v>316929.45146651182</v>
      </c>
      <c r="L29" s="2">
        <f t="shared" ca="1" si="1"/>
        <v>308414.43187792879</v>
      </c>
      <c r="M29" s="2">
        <f t="shared" ca="1" si="1"/>
        <v>368596.94082510378</v>
      </c>
      <c r="N29" s="2">
        <f t="shared" ca="1" si="1"/>
        <v>302829.25606313872</v>
      </c>
      <c r="O29" s="2">
        <f t="shared" ca="1" si="1"/>
        <v>308041.85417049966</v>
      </c>
      <c r="P29" s="2">
        <f t="shared" ca="1" si="1"/>
        <v>309064.34384216508</v>
      </c>
      <c r="Q29" s="2">
        <f t="shared" ca="1" si="1"/>
        <v>317862.4712795568</v>
      </c>
      <c r="R29" s="2">
        <f t="shared" ca="1" si="1"/>
        <v>324953.3985884299</v>
      </c>
      <c r="S29" s="2">
        <f t="shared" ca="1" si="1"/>
        <v>331932.26117025071</v>
      </c>
      <c r="T29" s="2">
        <f t="shared" ca="1" si="1"/>
        <v>338068.31304650591</v>
      </c>
      <c r="U29" s="2">
        <f t="shared" ca="1" si="1"/>
        <v>344547.55765124183</v>
      </c>
      <c r="V29" s="2">
        <f t="shared" ca="1" si="1"/>
        <v>352340.13459895487</v>
      </c>
      <c r="W29" s="2">
        <f t="shared" ca="1" si="1"/>
        <v>359993.7951337577</v>
      </c>
      <c r="X29" s="2">
        <f t="shared" ca="1" si="1"/>
        <v>367442.75032580504</v>
      </c>
      <c r="Y29" s="2">
        <f t="shared" ca="1" si="1"/>
        <v>374988.07470740296</v>
      </c>
      <c r="Z29" s="2">
        <f t="shared" ca="1" si="1"/>
        <v>382842.41834645212</v>
      </c>
      <c r="AA29" s="2">
        <f t="shared" ca="1" si="1"/>
        <v>390997.61841814395</v>
      </c>
    </row>
    <row r="30" spans="1:27" x14ac:dyDescent="0.25">
      <c r="E30" s="2" t="str">
        <f t="shared" ref="E30:E32" si="2">E22</f>
        <v>Pumps</v>
      </c>
      <c r="F30" t="s">
        <v>7</v>
      </c>
      <c r="G30" s="2">
        <f t="shared" si="1"/>
        <v>0</v>
      </c>
      <c r="H30" s="2">
        <f t="shared" si="1"/>
        <v>0</v>
      </c>
      <c r="I30" s="2">
        <f t="shared" si="1"/>
        <v>0</v>
      </c>
      <c r="J30" s="2">
        <f t="shared" si="1"/>
        <v>0</v>
      </c>
      <c r="K30" s="2">
        <f t="shared" si="1"/>
        <v>0</v>
      </c>
      <c r="L30" s="2">
        <f t="shared" si="1"/>
        <v>0</v>
      </c>
      <c r="M30" s="2">
        <f t="shared" si="1"/>
        <v>0</v>
      </c>
      <c r="N30" s="2">
        <f t="shared" si="1"/>
        <v>0</v>
      </c>
      <c r="O30" s="2">
        <f t="shared" si="1"/>
        <v>0</v>
      </c>
      <c r="P30" s="2">
        <f t="shared" si="1"/>
        <v>0</v>
      </c>
      <c r="Q30" s="2">
        <f t="shared" si="1"/>
        <v>0</v>
      </c>
      <c r="R30" s="2">
        <f t="shared" si="1"/>
        <v>0</v>
      </c>
      <c r="S30" s="2">
        <f t="shared" si="1"/>
        <v>0</v>
      </c>
      <c r="T30" s="2">
        <f t="shared" si="1"/>
        <v>0</v>
      </c>
      <c r="U30" s="2">
        <f t="shared" si="1"/>
        <v>0</v>
      </c>
      <c r="V30" s="2">
        <f t="shared" si="1"/>
        <v>0</v>
      </c>
      <c r="W30" s="2">
        <f t="shared" si="1"/>
        <v>0</v>
      </c>
      <c r="X30" s="2">
        <f t="shared" si="1"/>
        <v>0</v>
      </c>
      <c r="Y30" s="2">
        <f t="shared" si="1"/>
        <v>0</v>
      </c>
      <c r="Z30" s="2">
        <f t="shared" si="1"/>
        <v>0</v>
      </c>
      <c r="AA30" s="2">
        <f t="shared" si="1"/>
        <v>0</v>
      </c>
    </row>
    <row r="31" spans="1:27" x14ac:dyDescent="0.25">
      <c r="E31" s="2" t="str">
        <f t="shared" si="2"/>
        <v>Valves and Meters</v>
      </c>
      <c r="F31" t="s">
        <v>7</v>
      </c>
      <c r="G31" s="2">
        <f t="shared" si="1"/>
        <v>0</v>
      </c>
      <c r="H31" s="2">
        <f t="shared" si="1"/>
        <v>0</v>
      </c>
      <c r="I31" s="2">
        <f t="shared" si="1"/>
        <v>0</v>
      </c>
      <c r="J31" s="2">
        <f t="shared" si="1"/>
        <v>0</v>
      </c>
      <c r="K31" s="2">
        <f t="shared" si="1"/>
        <v>0</v>
      </c>
      <c r="L31" s="2">
        <f t="shared" si="1"/>
        <v>0</v>
      </c>
      <c r="M31" s="2">
        <f t="shared" si="1"/>
        <v>0</v>
      </c>
      <c r="N31" s="2">
        <f t="shared" si="1"/>
        <v>0</v>
      </c>
      <c r="O31" s="2">
        <f t="shared" si="1"/>
        <v>0</v>
      </c>
      <c r="P31" s="2">
        <f t="shared" si="1"/>
        <v>0</v>
      </c>
      <c r="Q31" s="2">
        <f t="shared" si="1"/>
        <v>0</v>
      </c>
      <c r="R31" s="2">
        <f t="shared" si="1"/>
        <v>0</v>
      </c>
      <c r="S31" s="2">
        <f t="shared" si="1"/>
        <v>0</v>
      </c>
      <c r="T31" s="2">
        <f t="shared" si="1"/>
        <v>0</v>
      </c>
      <c r="U31" s="2">
        <f t="shared" si="1"/>
        <v>0</v>
      </c>
      <c r="V31" s="2">
        <f t="shared" si="1"/>
        <v>0</v>
      </c>
      <c r="W31" s="2">
        <f t="shared" si="1"/>
        <v>0</v>
      </c>
      <c r="X31" s="2">
        <f t="shared" si="1"/>
        <v>0</v>
      </c>
      <c r="Y31" s="2">
        <f t="shared" si="1"/>
        <v>0</v>
      </c>
      <c r="Z31" s="2">
        <f t="shared" si="1"/>
        <v>0</v>
      </c>
      <c r="AA31" s="2">
        <f t="shared" si="1"/>
        <v>0</v>
      </c>
    </row>
    <row r="32" spans="1:27" x14ac:dyDescent="0.25">
      <c r="E32" s="2" t="str">
        <f t="shared" si="2"/>
        <v>Temporary Assets</v>
      </c>
      <c r="F32" t="s">
        <v>7</v>
      </c>
      <c r="G32" s="2">
        <f t="shared" si="1"/>
        <v>0</v>
      </c>
      <c r="H32" s="2">
        <f t="shared" si="1"/>
        <v>0</v>
      </c>
      <c r="I32" s="2">
        <f t="shared" si="1"/>
        <v>0</v>
      </c>
      <c r="J32" s="2">
        <f t="shared" si="1"/>
        <v>0</v>
      </c>
      <c r="K32" s="2">
        <f t="shared" si="1"/>
        <v>0</v>
      </c>
      <c r="L32" s="2">
        <f t="shared" si="1"/>
        <v>0</v>
      </c>
      <c r="M32" s="2">
        <f t="shared" si="1"/>
        <v>0</v>
      </c>
      <c r="N32" s="2">
        <f t="shared" si="1"/>
        <v>0</v>
      </c>
      <c r="O32" s="2">
        <f t="shared" si="1"/>
        <v>0</v>
      </c>
      <c r="P32" s="2">
        <f t="shared" si="1"/>
        <v>0</v>
      </c>
      <c r="Q32" s="2">
        <f t="shared" si="1"/>
        <v>0</v>
      </c>
      <c r="R32" s="2">
        <f t="shared" si="1"/>
        <v>0</v>
      </c>
      <c r="S32" s="2">
        <f t="shared" si="1"/>
        <v>0</v>
      </c>
      <c r="T32" s="2">
        <f t="shared" si="1"/>
        <v>0</v>
      </c>
      <c r="U32" s="2">
        <f t="shared" si="1"/>
        <v>0</v>
      </c>
      <c r="V32" s="2">
        <f t="shared" si="1"/>
        <v>0</v>
      </c>
      <c r="W32" s="2">
        <f t="shared" si="1"/>
        <v>0</v>
      </c>
      <c r="X32" s="2">
        <f t="shared" si="1"/>
        <v>0</v>
      </c>
      <c r="Y32" s="2">
        <f t="shared" si="1"/>
        <v>0</v>
      </c>
      <c r="Z32" s="2">
        <f t="shared" si="1"/>
        <v>0</v>
      </c>
      <c r="AA32" s="2">
        <f t="shared" si="1"/>
        <v>0</v>
      </c>
    </row>
    <row r="33" spans="1:27" x14ac:dyDescent="0.25">
      <c r="G33" s="2"/>
      <c r="H33" s="2"/>
      <c r="I33" s="2"/>
      <c r="J33" s="2"/>
      <c r="K33" s="2"/>
      <c r="L33" s="2"/>
      <c r="M33" s="2"/>
      <c r="N33" s="2"/>
      <c r="O33" s="2"/>
      <c r="P33" s="2"/>
      <c r="Q33" s="2"/>
    </row>
    <row r="34" spans="1:27" x14ac:dyDescent="0.25">
      <c r="D34" t="s">
        <v>133</v>
      </c>
      <c r="F34" t="s">
        <v>7</v>
      </c>
      <c r="G34" s="2">
        <f>SUM($G$29:G32)</f>
        <v>1096310.0294376996</v>
      </c>
      <c r="H34" s="2">
        <f>SUM($G$29:H32)</f>
        <v>1280880.5411486882</v>
      </c>
      <c r="I34" s="2">
        <f ca="1">SUM($G$29:I32)</f>
        <v>1574580.9910331974</v>
      </c>
      <c r="J34" s="2">
        <f ca="1">SUM($G$29:J32)</f>
        <v>1872370.6495517299</v>
      </c>
      <c r="K34" s="2">
        <f ca="1">SUM($G$29:K32)</f>
        <v>2189300.1010182416</v>
      </c>
      <c r="L34" s="2">
        <f ca="1">SUM($G$29:L32)</f>
        <v>2497714.5328961704</v>
      </c>
      <c r="M34" s="2">
        <f ca="1">SUM($G$29:M32)</f>
        <v>2866311.4737212742</v>
      </c>
      <c r="N34" s="2">
        <f ca="1">SUM($G$29:N32)</f>
        <v>3169140.7297844128</v>
      </c>
      <c r="O34" s="2">
        <f ca="1">SUM($G$29:O32)</f>
        <v>3477182.5839549126</v>
      </c>
      <c r="P34" s="2">
        <f ca="1">SUM($G$29:P32)</f>
        <v>3786246.9277970777</v>
      </c>
      <c r="Q34" s="2">
        <f ca="1">SUM($G$29:Q32)</f>
        <v>4104109.3990766346</v>
      </c>
      <c r="R34" s="2">
        <f ca="1">SUM($G$29:R32)</f>
        <v>4429062.7976650642</v>
      </c>
      <c r="S34" s="2">
        <f ca="1">SUM($G$29:S32)</f>
        <v>4760995.0588353146</v>
      </c>
      <c r="T34" s="2">
        <f ca="1">SUM($G$29:T32)</f>
        <v>5099063.3718818203</v>
      </c>
      <c r="U34" s="2">
        <f ca="1">SUM($G$29:U32)</f>
        <v>5443610.9295330625</v>
      </c>
      <c r="V34" s="2">
        <f ca="1">SUM($G$29:V32)</f>
        <v>5795951.0641320171</v>
      </c>
      <c r="W34" s="2">
        <f ca="1">SUM($G$29:W32)</f>
        <v>6155944.8592657745</v>
      </c>
      <c r="X34" s="2">
        <f ca="1">SUM($G$29:X32)</f>
        <v>6523387.6095915791</v>
      </c>
      <c r="Y34" s="2">
        <f ca="1">SUM($G$29:Y32)</f>
        <v>6898375.6842989819</v>
      </c>
      <c r="Z34" s="2">
        <f ca="1">SUM($G$29:Z32)</f>
        <v>7281218.1026454344</v>
      </c>
      <c r="AA34" s="2">
        <f ca="1">SUM($G$29:AA32)</f>
        <v>7672215.7210635785</v>
      </c>
    </row>
    <row r="35" spans="1:27" x14ac:dyDescent="0.25">
      <c r="G35" s="2"/>
      <c r="H35" s="2"/>
      <c r="I35" s="2"/>
      <c r="J35" s="2"/>
      <c r="K35" s="2"/>
      <c r="L35" s="2"/>
      <c r="M35" s="2"/>
      <c r="N35" s="2"/>
      <c r="O35" s="2"/>
      <c r="P35" s="2"/>
      <c r="Q35" s="2"/>
      <c r="R35" s="2"/>
      <c r="S35" s="2"/>
      <c r="T35" s="2"/>
      <c r="U35" s="2"/>
      <c r="V35" s="2"/>
      <c r="W35" s="2"/>
      <c r="X35" s="2"/>
      <c r="Y35" s="2"/>
      <c r="Z35" s="2"/>
      <c r="AA35" s="2"/>
    </row>
    <row r="36" spans="1:27" x14ac:dyDescent="0.25">
      <c r="A36" s="14">
        <f>'Notes &amp; Assumptions'!A24</f>
        <v>11</v>
      </c>
      <c r="C36" s="1" t="s">
        <v>107</v>
      </c>
      <c r="D36" s="1"/>
    </row>
    <row r="37" spans="1:27" x14ac:dyDescent="0.25">
      <c r="E37" s="2" t="str">
        <f>E7</f>
        <v>Average asset life for all growth assets</v>
      </c>
      <c r="F37" t="s">
        <v>7</v>
      </c>
      <c r="G37" s="10"/>
      <c r="H37" s="10">
        <f>'Key assumptions'!$B31*(1+$G$14)^H2*(H90+H111+H132+H153)</f>
        <v>35642088.999999993</v>
      </c>
      <c r="I37" s="10">
        <f>'Key assumptions'!$B31*(1+$G$14)^I2*(I90+I111+I132+I153)</f>
        <v>34471438.987999991</v>
      </c>
      <c r="J37" s="10">
        <f>'Key assumptions'!$B31*(1+$G$14)^J2*(J90+J111+J132+J153)</f>
        <v>33874023.921329536</v>
      </c>
      <c r="K37" s="10">
        <f>'Key assumptions'!$B31*(1+$G$14)^K2*(K90+K111+K132+K153)</f>
        <v>31485234.146776929</v>
      </c>
      <c r="L37" s="10">
        <f>'Key assumptions'!$B31*(1+$G$14)^L2*(L90+L111+L132+L153)</f>
        <v>29102334.548788421</v>
      </c>
      <c r="M37" s="10">
        <f>'Key assumptions'!$B31*(1+$G$14)^M2*(M90+M111+M132+M153)</f>
        <v>26770404.319784526</v>
      </c>
      <c r="N37" s="10">
        <f>'Key assumptions'!$B31*(1+$G$14)^N2*(N90+N111+N132+N153)</f>
        <v>24501765.991871051</v>
      </c>
      <c r="O37" s="10">
        <f>'Key assumptions'!$B31*(1+$G$14)^O2*(O90+O111+O132+O153)</f>
        <v>22294255.527520508</v>
      </c>
      <c r="P37" s="10">
        <f>'Key assumptions'!$B31*(1+$G$14)^P2*(P90+P111+P132+P153)</f>
        <v>22225666.624848187</v>
      </c>
      <c r="Q37" s="10">
        <f>'Key assumptions'!$B31*(1+$G$14)^Q2*(Q90+Q111+Q132+Q153)</f>
        <v>22034929.480846372</v>
      </c>
      <c r="R37" s="10">
        <f>'Key assumptions'!$B31*(1+$G$14)^R2*(R90+R111+R132+R153)</f>
        <v>23818234.423713431</v>
      </c>
      <c r="S37" s="10">
        <f>'Key assumptions'!$B31*(1+$G$14)^S2*(S90+S111+S132+S153)</f>
        <v>25785741.558844842</v>
      </c>
      <c r="T37" s="10">
        <f>'Key assumptions'!$B31*(1+$G$14)^T2*(T90+T111+T132+T153)</f>
        <v>27864816.90457559</v>
      </c>
      <c r="U37" s="10">
        <f>'Key assumptions'!$B31*(1+$G$14)^U2*(U90+U111+U132+U153)</f>
        <v>28252867.210183382</v>
      </c>
      <c r="V37" s="10">
        <f>'Key assumptions'!$B31*(1+$G$14)^V2*(V90+V111+V132+V153)</f>
        <v>28659746.141032089</v>
      </c>
      <c r="W37" s="10">
        <f t="shared" ref="W37:AA37" si="3">1000*(1+$G$14)^W2*(W90+W111+W132+W153)</f>
        <v>0</v>
      </c>
      <c r="X37" s="10">
        <f t="shared" si="3"/>
        <v>0</v>
      </c>
      <c r="Y37" s="10">
        <f t="shared" si="3"/>
        <v>0</v>
      </c>
      <c r="Z37" s="10">
        <f t="shared" si="3"/>
        <v>0</v>
      </c>
      <c r="AA37" s="10">
        <f t="shared" si="3"/>
        <v>0</v>
      </c>
    </row>
    <row r="38" spans="1:27" x14ac:dyDescent="0.25">
      <c r="E38" s="2" t="str">
        <f>E8</f>
        <v>Pumps</v>
      </c>
      <c r="F38" t="s">
        <v>7</v>
      </c>
      <c r="G38" s="10"/>
      <c r="H38" s="10"/>
      <c r="I38" s="10"/>
      <c r="J38" s="10"/>
      <c r="K38" s="10"/>
      <c r="L38" s="10"/>
      <c r="M38" s="10"/>
      <c r="N38" s="10"/>
      <c r="O38" s="10"/>
      <c r="P38" s="10"/>
      <c r="Q38" s="10"/>
      <c r="R38" s="10"/>
      <c r="S38" s="10"/>
      <c r="T38" s="10"/>
      <c r="U38" s="10"/>
      <c r="V38" s="10"/>
      <c r="W38" s="10"/>
      <c r="X38" s="10"/>
      <c r="Y38" s="10"/>
      <c r="Z38" s="10"/>
      <c r="AA38" s="10"/>
    </row>
    <row r="39" spans="1:27" x14ac:dyDescent="0.25">
      <c r="E39" s="2" t="str">
        <f>E9</f>
        <v>Valves and Meters</v>
      </c>
      <c r="F39" t="s">
        <v>7</v>
      </c>
      <c r="G39" s="10"/>
      <c r="H39" s="10"/>
      <c r="I39" s="10"/>
      <c r="J39" s="10"/>
      <c r="K39" s="10"/>
      <c r="L39" s="10"/>
      <c r="M39" s="10"/>
      <c r="N39" s="10"/>
      <c r="O39" s="10"/>
      <c r="P39" s="10"/>
      <c r="Q39" s="10"/>
      <c r="R39" s="10"/>
      <c r="S39" s="10"/>
      <c r="T39" s="10"/>
      <c r="U39" s="10"/>
      <c r="V39" s="10"/>
      <c r="W39" s="10"/>
      <c r="X39" s="10"/>
      <c r="Y39" s="10"/>
      <c r="Z39" s="10"/>
      <c r="AA39" s="10"/>
    </row>
    <row r="40" spans="1:27" x14ac:dyDescent="0.25">
      <c r="E40" s="2" t="str">
        <f>E10</f>
        <v>Temporary Assets</v>
      </c>
      <c r="F40" t="s">
        <v>7</v>
      </c>
      <c r="G40" s="10"/>
      <c r="H40" s="10"/>
      <c r="I40" s="10"/>
      <c r="J40" s="10"/>
      <c r="K40" s="10"/>
      <c r="L40" s="10"/>
      <c r="M40" s="10"/>
      <c r="N40" s="10"/>
      <c r="O40" s="10"/>
      <c r="P40" s="10"/>
      <c r="Q40" s="10"/>
      <c r="R40" s="10"/>
      <c r="S40" s="10"/>
      <c r="T40" s="10"/>
      <c r="U40" s="10"/>
      <c r="V40" s="10"/>
      <c r="W40" s="10"/>
      <c r="X40" s="10"/>
      <c r="Y40" s="10"/>
      <c r="Z40" s="10"/>
      <c r="AA40" s="10"/>
    </row>
    <row r="41" spans="1:27" x14ac:dyDescent="0.25">
      <c r="E41" t="s">
        <v>131</v>
      </c>
      <c r="F41" t="s">
        <v>7</v>
      </c>
      <c r="G41" s="10"/>
      <c r="H41" s="10"/>
      <c r="I41" s="10"/>
      <c r="J41" s="10"/>
      <c r="K41" s="10"/>
      <c r="L41" s="10"/>
      <c r="M41" s="10"/>
      <c r="N41" s="10"/>
      <c r="O41" s="10"/>
      <c r="P41" s="10"/>
      <c r="Q41" s="10"/>
      <c r="R41" s="10"/>
      <c r="S41" s="10"/>
      <c r="T41" s="10"/>
      <c r="U41" s="10"/>
      <c r="V41" s="10"/>
      <c r="W41" s="10"/>
      <c r="X41" s="10"/>
      <c r="Y41" s="10"/>
      <c r="Z41" s="10"/>
      <c r="AA41" s="10"/>
    </row>
    <row r="42" spans="1:27" x14ac:dyDescent="0.25">
      <c r="G42" s="2">
        <f>SUM(G37:G41)</f>
        <v>0</v>
      </c>
      <c r="H42" s="2">
        <f t="shared" ref="H42:AA42" si="4">SUM(H37:H41)</f>
        <v>35642088.999999993</v>
      </c>
      <c r="I42" s="2">
        <f t="shared" si="4"/>
        <v>34471438.987999991</v>
      </c>
      <c r="J42" s="2">
        <f t="shared" si="4"/>
        <v>33874023.921329536</v>
      </c>
      <c r="K42" s="2">
        <f t="shared" si="4"/>
        <v>31485234.146776929</v>
      </c>
      <c r="L42" s="2">
        <f t="shared" si="4"/>
        <v>29102334.548788421</v>
      </c>
      <c r="M42" s="2">
        <f t="shared" si="4"/>
        <v>26770404.319784526</v>
      </c>
      <c r="N42" s="2">
        <f t="shared" si="4"/>
        <v>24501765.991871051</v>
      </c>
      <c r="O42" s="2">
        <f t="shared" si="4"/>
        <v>22294255.527520508</v>
      </c>
      <c r="P42" s="2">
        <f t="shared" si="4"/>
        <v>22225666.624848187</v>
      </c>
      <c r="Q42" s="2">
        <f t="shared" si="4"/>
        <v>22034929.480846372</v>
      </c>
      <c r="R42" s="2">
        <f t="shared" si="4"/>
        <v>23818234.423713431</v>
      </c>
      <c r="S42" s="2">
        <f t="shared" si="4"/>
        <v>25785741.558844842</v>
      </c>
      <c r="T42" s="2">
        <f t="shared" si="4"/>
        <v>27864816.90457559</v>
      </c>
      <c r="U42" s="2">
        <f t="shared" si="4"/>
        <v>28252867.210183382</v>
      </c>
      <c r="V42" s="2">
        <f t="shared" si="4"/>
        <v>28659746.141032089</v>
      </c>
      <c r="W42" s="2">
        <f t="shared" si="4"/>
        <v>0</v>
      </c>
      <c r="X42" s="2">
        <f t="shared" si="4"/>
        <v>0</v>
      </c>
      <c r="Y42" s="2">
        <f t="shared" si="4"/>
        <v>0</v>
      </c>
      <c r="Z42" s="2">
        <f t="shared" si="4"/>
        <v>0</v>
      </c>
      <c r="AA42" s="2">
        <f t="shared" si="4"/>
        <v>0</v>
      </c>
    </row>
    <row r="43" spans="1:27" x14ac:dyDescent="0.25">
      <c r="G43" s="2"/>
      <c r="H43" s="2"/>
      <c r="I43" s="2"/>
      <c r="J43" s="2"/>
      <c r="K43" s="2"/>
      <c r="L43" s="2"/>
      <c r="M43" s="2"/>
      <c r="N43" s="2"/>
      <c r="O43" s="2"/>
      <c r="P43" s="2"/>
      <c r="Q43" s="2"/>
    </row>
    <row r="44" spans="1:27" x14ac:dyDescent="0.25">
      <c r="D44" t="s">
        <v>134</v>
      </c>
      <c r="G44" s="2"/>
      <c r="H44" s="2"/>
      <c r="I44" s="2"/>
      <c r="J44" s="2"/>
      <c r="K44" s="2"/>
      <c r="L44" s="2"/>
      <c r="M44" s="2"/>
      <c r="N44" s="2"/>
      <c r="O44" s="2"/>
      <c r="P44" s="2"/>
      <c r="Q44" s="2"/>
    </row>
    <row r="45" spans="1:27" x14ac:dyDescent="0.25">
      <c r="E45" s="2" t="str">
        <f>E37</f>
        <v>Average asset life for all growth assets</v>
      </c>
      <c r="F45" t="s">
        <v>7</v>
      </c>
      <c r="G45" s="2">
        <f t="shared" ref="G45:AA48" si="5">G37/$G7+IF((G$2-$G7+1)&gt;0,-INDEX($G37:$AA37,1,(G$2-$G7+1))/$G7,0)</f>
        <v>0</v>
      </c>
      <c r="H45" s="2">
        <f t="shared" si="5"/>
        <v>396023.21111111104</v>
      </c>
      <c r="I45" s="2">
        <f t="shared" si="5"/>
        <v>383015.98875555547</v>
      </c>
      <c r="J45" s="2">
        <f t="shared" si="5"/>
        <v>376378.04357032815</v>
      </c>
      <c r="K45" s="2">
        <f t="shared" si="5"/>
        <v>349835.93496418808</v>
      </c>
      <c r="L45" s="2">
        <f t="shared" si="5"/>
        <v>323359.27276431577</v>
      </c>
      <c r="M45" s="2">
        <f t="shared" si="5"/>
        <v>297448.93688649475</v>
      </c>
      <c r="N45" s="2">
        <f t="shared" si="5"/>
        <v>272241.84435412282</v>
      </c>
      <c r="O45" s="2">
        <f t="shared" si="5"/>
        <v>247713.95030578342</v>
      </c>
      <c r="P45" s="2">
        <f t="shared" si="5"/>
        <v>246951.85138720207</v>
      </c>
      <c r="Q45" s="2">
        <f t="shared" si="5"/>
        <v>244832.5497871819</v>
      </c>
      <c r="R45" s="2">
        <f t="shared" si="5"/>
        <v>264647.04915237147</v>
      </c>
      <c r="S45" s="2">
        <f t="shared" si="5"/>
        <v>286508.23954272049</v>
      </c>
      <c r="T45" s="2">
        <f t="shared" si="5"/>
        <v>309609.07671750657</v>
      </c>
      <c r="U45" s="2">
        <f t="shared" si="5"/>
        <v>313920.74677981535</v>
      </c>
      <c r="V45" s="2">
        <f t="shared" si="5"/>
        <v>318441.62378924544</v>
      </c>
      <c r="W45" s="2">
        <f t="shared" si="5"/>
        <v>0</v>
      </c>
      <c r="X45" s="2">
        <f t="shared" si="5"/>
        <v>0</v>
      </c>
      <c r="Y45" s="2">
        <f t="shared" si="5"/>
        <v>0</v>
      </c>
      <c r="Z45" s="2">
        <f t="shared" si="5"/>
        <v>0</v>
      </c>
      <c r="AA45" s="2">
        <f t="shared" si="5"/>
        <v>0</v>
      </c>
    </row>
    <row r="46" spans="1:27" x14ac:dyDescent="0.25">
      <c r="E46" s="2" t="str">
        <f t="shared" ref="E46:E48" si="6">E38</f>
        <v>Pumps</v>
      </c>
      <c r="F46" t="s">
        <v>7</v>
      </c>
      <c r="G46" s="2">
        <f t="shared" si="5"/>
        <v>0</v>
      </c>
      <c r="H46" s="2">
        <f t="shared" si="5"/>
        <v>0</v>
      </c>
      <c r="I46" s="2">
        <f t="shared" si="5"/>
        <v>0</v>
      </c>
      <c r="J46" s="2">
        <f t="shared" si="5"/>
        <v>0</v>
      </c>
      <c r="K46" s="2">
        <f t="shared" si="5"/>
        <v>0</v>
      </c>
      <c r="L46" s="2">
        <f t="shared" si="5"/>
        <v>0</v>
      </c>
      <c r="M46" s="2">
        <f t="shared" si="5"/>
        <v>0</v>
      </c>
      <c r="N46" s="2">
        <f t="shared" si="5"/>
        <v>0</v>
      </c>
      <c r="O46" s="2">
        <f t="shared" si="5"/>
        <v>0</v>
      </c>
      <c r="P46" s="2">
        <f t="shared" si="5"/>
        <v>0</v>
      </c>
      <c r="Q46" s="2">
        <f t="shared" si="5"/>
        <v>0</v>
      </c>
      <c r="R46" s="2">
        <f t="shared" si="5"/>
        <v>0</v>
      </c>
      <c r="S46" s="2">
        <f t="shared" si="5"/>
        <v>0</v>
      </c>
      <c r="T46" s="2">
        <f t="shared" si="5"/>
        <v>0</v>
      </c>
      <c r="U46" s="2">
        <f t="shared" si="5"/>
        <v>0</v>
      </c>
      <c r="V46" s="2">
        <f t="shared" si="5"/>
        <v>0</v>
      </c>
      <c r="W46" s="2">
        <f t="shared" si="5"/>
        <v>0</v>
      </c>
      <c r="X46" s="2">
        <f t="shared" si="5"/>
        <v>0</v>
      </c>
      <c r="Y46" s="2">
        <f t="shared" si="5"/>
        <v>0</v>
      </c>
      <c r="Z46" s="2">
        <f t="shared" si="5"/>
        <v>0</v>
      </c>
      <c r="AA46" s="2">
        <f t="shared" si="5"/>
        <v>0</v>
      </c>
    </row>
    <row r="47" spans="1:27" x14ac:dyDescent="0.25">
      <c r="E47" s="2" t="str">
        <f t="shared" si="6"/>
        <v>Valves and Meters</v>
      </c>
      <c r="F47" t="s">
        <v>7</v>
      </c>
      <c r="G47" s="2">
        <f t="shared" si="5"/>
        <v>0</v>
      </c>
      <c r="H47" s="2">
        <f t="shared" si="5"/>
        <v>0</v>
      </c>
      <c r="I47" s="2">
        <f t="shared" si="5"/>
        <v>0</v>
      </c>
      <c r="J47" s="2">
        <f t="shared" si="5"/>
        <v>0</v>
      </c>
      <c r="K47" s="2">
        <f t="shared" si="5"/>
        <v>0</v>
      </c>
      <c r="L47" s="2">
        <f t="shared" si="5"/>
        <v>0</v>
      </c>
      <c r="M47" s="2">
        <f t="shared" si="5"/>
        <v>0</v>
      </c>
      <c r="N47" s="2">
        <f t="shared" si="5"/>
        <v>0</v>
      </c>
      <c r="O47" s="2">
        <f t="shared" si="5"/>
        <v>0</v>
      </c>
      <c r="P47" s="2">
        <f t="shared" si="5"/>
        <v>0</v>
      </c>
      <c r="Q47" s="2">
        <f t="shared" si="5"/>
        <v>0</v>
      </c>
      <c r="R47" s="2">
        <f t="shared" si="5"/>
        <v>0</v>
      </c>
      <c r="S47" s="2">
        <f t="shared" si="5"/>
        <v>0</v>
      </c>
      <c r="T47" s="2">
        <f t="shared" si="5"/>
        <v>0</v>
      </c>
      <c r="U47" s="2">
        <f t="shared" si="5"/>
        <v>0</v>
      </c>
      <c r="V47" s="2">
        <f t="shared" si="5"/>
        <v>0</v>
      </c>
      <c r="W47" s="2">
        <f t="shared" si="5"/>
        <v>0</v>
      </c>
      <c r="X47" s="2">
        <f t="shared" si="5"/>
        <v>0</v>
      </c>
      <c r="Y47" s="2">
        <f t="shared" si="5"/>
        <v>0</v>
      </c>
      <c r="Z47" s="2">
        <f t="shared" si="5"/>
        <v>0</v>
      </c>
      <c r="AA47" s="2">
        <f t="shared" si="5"/>
        <v>0</v>
      </c>
    </row>
    <row r="48" spans="1:27" x14ac:dyDescent="0.25">
      <c r="E48" s="2" t="str">
        <f t="shared" si="6"/>
        <v>Temporary Assets</v>
      </c>
      <c r="F48" t="s">
        <v>7</v>
      </c>
      <c r="G48" s="2">
        <f t="shared" si="5"/>
        <v>0</v>
      </c>
      <c r="H48" s="2">
        <f t="shared" si="5"/>
        <v>0</v>
      </c>
      <c r="I48" s="2">
        <f t="shared" si="5"/>
        <v>0</v>
      </c>
      <c r="J48" s="2">
        <f t="shared" si="5"/>
        <v>0</v>
      </c>
      <c r="K48" s="2">
        <f t="shared" si="5"/>
        <v>0</v>
      </c>
      <c r="L48" s="2">
        <f t="shared" si="5"/>
        <v>0</v>
      </c>
      <c r="M48" s="2">
        <f t="shared" si="5"/>
        <v>0</v>
      </c>
      <c r="N48" s="2">
        <f t="shared" si="5"/>
        <v>0</v>
      </c>
      <c r="O48" s="2">
        <f t="shared" si="5"/>
        <v>0</v>
      </c>
      <c r="P48" s="2">
        <f t="shared" si="5"/>
        <v>0</v>
      </c>
      <c r="Q48" s="2">
        <f t="shared" si="5"/>
        <v>0</v>
      </c>
      <c r="R48" s="2">
        <f t="shared" si="5"/>
        <v>0</v>
      </c>
      <c r="S48" s="2">
        <f t="shared" si="5"/>
        <v>0</v>
      </c>
      <c r="T48" s="2">
        <f t="shared" si="5"/>
        <v>0</v>
      </c>
      <c r="U48" s="2">
        <f t="shared" si="5"/>
        <v>0</v>
      </c>
      <c r="V48" s="2">
        <f t="shared" si="5"/>
        <v>0</v>
      </c>
      <c r="W48" s="2">
        <f t="shared" si="5"/>
        <v>0</v>
      </c>
      <c r="X48" s="2">
        <f t="shared" si="5"/>
        <v>0</v>
      </c>
      <c r="Y48" s="2">
        <f t="shared" si="5"/>
        <v>0</v>
      </c>
      <c r="Z48" s="2">
        <f t="shared" si="5"/>
        <v>0</v>
      </c>
      <c r="AA48" s="2">
        <f t="shared" si="5"/>
        <v>0</v>
      </c>
    </row>
    <row r="49" spans="1:27" x14ac:dyDescent="0.25">
      <c r="G49" s="2"/>
      <c r="H49" s="2"/>
      <c r="I49" s="2"/>
      <c r="J49" s="2"/>
      <c r="K49" s="2"/>
      <c r="L49" s="2"/>
      <c r="M49" s="2"/>
      <c r="N49" s="2"/>
      <c r="O49" s="2"/>
      <c r="P49" s="2"/>
      <c r="Q49" s="2"/>
    </row>
    <row r="50" spans="1:27" x14ac:dyDescent="0.25">
      <c r="D50" t="s">
        <v>135</v>
      </c>
      <c r="F50" t="s">
        <v>7</v>
      </c>
      <c r="G50" s="2">
        <f>SUM($G$45:G48)</f>
        <v>0</v>
      </c>
      <c r="H50" s="2">
        <f>SUM($G$45:H48)</f>
        <v>396023.21111111104</v>
      </c>
      <c r="I50" s="2">
        <f>SUM($G$45:I48)</f>
        <v>779039.19986666646</v>
      </c>
      <c r="J50" s="2">
        <f>SUM($G$45:J48)</f>
        <v>1155417.2434369945</v>
      </c>
      <c r="K50" s="2">
        <f>SUM($G$45:K48)</f>
        <v>1505253.1784011826</v>
      </c>
      <c r="L50" s="2">
        <f>SUM($G$45:L48)</f>
        <v>1828612.4511654985</v>
      </c>
      <c r="M50" s="2">
        <f>SUM($G$45:M48)</f>
        <v>2126061.3880519932</v>
      </c>
      <c r="N50" s="2">
        <f>SUM($G$45:N48)</f>
        <v>2398303.2324061161</v>
      </c>
      <c r="O50" s="2">
        <f>SUM($G$45:O48)</f>
        <v>2646017.1827118993</v>
      </c>
      <c r="P50" s="2">
        <f>SUM($G$45:P48)</f>
        <v>2892969.0340991016</v>
      </c>
      <c r="Q50" s="2">
        <f>SUM($G$45:Q48)</f>
        <v>3137801.5838862834</v>
      </c>
      <c r="R50" s="2">
        <f>SUM($G$45:R48)</f>
        <v>3402448.6330386549</v>
      </c>
      <c r="S50" s="2">
        <f>SUM($G$45:S48)</f>
        <v>3688956.8725813753</v>
      </c>
      <c r="T50" s="2">
        <f>SUM($G$45:T48)</f>
        <v>3998565.9492988819</v>
      </c>
      <c r="U50" s="2">
        <f>SUM($G$45:U48)</f>
        <v>4312486.6960786972</v>
      </c>
      <c r="V50" s="2">
        <f>SUM($G$45:V48)</f>
        <v>4630928.3198679425</v>
      </c>
      <c r="W50" s="2">
        <f>SUM($G$45:W48)</f>
        <v>4630928.3198679425</v>
      </c>
      <c r="X50" s="2">
        <f>SUM($G$45:X48)</f>
        <v>4630928.3198679425</v>
      </c>
      <c r="Y50" s="2">
        <f>SUM($G$45:Y48)</f>
        <v>4630928.3198679425</v>
      </c>
      <c r="Z50" s="2">
        <f>SUM($G$45:Z48)</f>
        <v>4630928.3198679425</v>
      </c>
      <c r="AA50" s="2">
        <f>SUM($G$45:AA48)</f>
        <v>4630928.3198679425</v>
      </c>
    </row>
    <row r="51" spans="1:27" x14ac:dyDescent="0.25">
      <c r="G51" s="2"/>
      <c r="H51" s="2"/>
      <c r="I51" s="2"/>
      <c r="J51" s="2"/>
      <c r="K51" s="2"/>
      <c r="L51" s="2"/>
      <c r="M51" s="2"/>
      <c r="N51" s="2"/>
      <c r="O51" s="2"/>
      <c r="P51" s="2"/>
      <c r="Q51" s="2"/>
      <c r="R51" s="2"/>
      <c r="S51" s="2"/>
      <c r="T51" s="2"/>
      <c r="U51" s="2"/>
      <c r="V51" s="2"/>
      <c r="W51" s="2"/>
      <c r="X51" s="2"/>
      <c r="Y51" s="2"/>
      <c r="Z51" s="2"/>
      <c r="AA51" s="2"/>
    </row>
    <row r="52" spans="1:27" x14ac:dyDescent="0.25">
      <c r="A52" s="14">
        <f>'Notes &amp; Assumptions'!A25</f>
        <v>12</v>
      </c>
      <c r="C52" s="1" t="s">
        <v>109</v>
      </c>
      <c r="G52" s="2"/>
      <c r="H52" s="2"/>
      <c r="I52" s="2"/>
      <c r="J52" s="2"/>
      <c r="K52" s="2"/>
      <c r="L52" s="2"/>
      <c r="M52" s="2"/>
      <c r="N52" s="2"/>
      <c r="O52" s="2"/>
      <c r="P52" s="2"/>
      <c r="Q52" s="2"/>
      <c r="R52" s="2"/>
      <c r="S52" s="2"/>
      <c r="T52" s="2"/>
      <c r="U52" s="2"/>
      <c r="V52" s="2"/>
      <c r="W52" s="2"/>
      <c r="X52" s="2"/>
      <c r="Y52" s="2"/>
      <c r="Z52" s="2"/>
      <c r="AA52" s="2"/>
    </row>
    <row r="53" spans="1:27" x14ac:dyDescent="0.25">
      <c r="E53" t="s">
        <v>109</v>
      </c>
      <c r="F53" t="s">
        <v>7</v>
      </c>
      <c r="G53" s="10"/>
      <c r="H53" s="10"/>
      <c r="I53" s="10"/>
      <c r="J53" s="10"/>
      <c r="K53" s="10"/>
      <c r="L53" s="10"/>
      <c r="M53" s="10"/>
      <c r="N53" s="10"/>
      <c r="O53" s="10"/>
      <c r="P53" s="10"/>
      <c r="Q53" s="10"/>
      <c r="R53" s="10"/>
      <c r="S53" s="10"/>
      <c r="T53" s="10"/>
      <c r="U53" s="10"/>
      <c r="V53" s="10"/>
      <c r="W53" s="10"/>
      <c r="X53" s="10"/>
      <c r="Y53" s="10"/>
      <c r="Z53" s="10"/>
      <c r="AA53" s="10"/>
    </row>
    <row r="55" spans="1:27" x14ac:dyDescent="0.25">
      <c r="C55" s="1" t="s">
        <v>25</v>
      </c>
      <c r="D55" s="1"/>
    </row>
    <row r="56" spans="1:27" x14ac:dyDescent="0.25">
      <c r="A56" s="14">
        <f>'Notes &amp; Assumptions'!A26</f>
        <v>13</v>
      </c>
      <c r="D56" t="s">
        <v>2</v>
      </c>
    </row>
    <row r="57" spans="1:27" x14ac:dyDescent="0.25">
      <c r="E57" s="2" t="str">
        <f>E7</f>
        <v>Average asset life for all growth assets</v>
      </c>
      <c r="F57" t="s">
        <v>7</v>
      </c>
      <c r="G57" s="10"/>
      <c r="H57" s="10"/>
      <c r="I57" s="10"/>
      <c r="J57" s="10"/>
      <c r="K57" s="10"/>
      <c r="L57" s="10"/>
      <c r="M57" s="10"/>
      <c r="N57" s="10"/>
      <c r="O57" s="10"/>
      <c r="P57" s="10"/>
      <c r="Q57" s="10"/>
      <c r="R57" s="10"/>
      <c r="S57" s="10"/>
      <c r="T57" s="10"/>
      <c r="U57" s="10"/>
      <c r="V57" s="10"/>
      <c r="W57" s="10"/>
      <c r="X57" s="10"/>
      <c r="Y57" s="10"/>
      <c r="Z57" s="10"/>
      <c r="AA57" s="10"/>
    </row>
    <row r="58" spans="1:27" x14ac:dyDescent="0.25">
      <c r="E58" s="2" t="str">
        <f>E8</f>
        <v>Pumps</v>
      </c>
      <c r="F58" t="s">
        <v>7</v>
      </c>
      <c r="G58" s="10"/>
      <c r="H58" s="10"/>
      <c r="I58" s="10"/>
      <c r="J58" s="10"/>
      <c r="K58" s="10"/>
      <c r="L58" s="10"/>
      <c r="M58" s="10"/>
      <c r="N58" s="10"/>
      <c r="O58" s="10"/>
      <c r="P58" s="10"/>
      <c r="Q58" s="10"/>
      <c r="R58" s="10"/>
      <c r="S58" s="10"/>
      <c r="T58" s="10"/>
      <c r="U58" s="10"/>
      <c r="V58" s="10"/>
      <c r="W58" s="10"/>
      <c r="X58" s="10"/>
      <c r="Y58" s="10"/>
      <c r="Z58" s="10"/>
      <c r="AA58" s="10"/>
    </row>
    <row r="59" spans="1:27" x14ac:dyDescent="0.25">
      <c r="E59" s="2" t="str">
        <f>E9</f>
        <v>Valves and Meters</v>
      </c>
      <c r="F59" t="s">
        <v>7</v>
      </c>
      <c r="G59" s="10"/>
      <c r="H59" s="10"/>
      <c r="I59" s="10"/>
      <c r="J59" s="10"/>
      <c r="K59" s="10"/>
      <c r="L59" s="10"/>
      <c r="M59" s="10"/>
      <c r="N59" s="10"/>
      <c r="O59" s="10"/>
      <c r="P59" s="10"/>
      <c r="Q59" s="10"/>
      <c r="R59" s="10"/>
      <c r="S59" s="10"/>
      <c r="T59" s="10"/>
      <c r="U59" s="10"/>
      <c r="V59" s="10"/>
      <c r="W59" s="10"/>
      <c r="X59" s="10"/>
      <c r="Y59" s="10"/>
      <c r="Z59" s="10"/>
      <c r="AA59" s="10"/>
    </row>
    <row r="60" spans="1:27" x14ac:dyDescent="0.25">
      <c r="E60" t="s">
        <v>131</v>
      </c>
      <c r="F60" t="s">
        <v>7</v>
      </c>
      <c r="G60" s="10"/>
      <c r="H60" s="10"/>
      <c r="I60" s="10"/>
      <c r="J60" s="10"/>
      <c r="K60" s="10"/>
      <c r="L60" s="10"/>
      <c r="M60" s="10"/>
      <c r="N60" s="10"/>
      <c r="O60" s="10"/>
      <c r="P60" s="10"/>
      <c r="Q60" s="10"/>
      <c r="R60" s="10"/>
      <c r="S60" s="10"/>
      <c r="T60" s="10"/>
      <c r="U60" s="10"/>
      <c r="V60" s="10"/>
      <c r="W60" s="10"/>
      <c r="X60" s="10"/>
      <c r="Y60" s="10"/>
      <c r="Z60" s="10"/>
      <c r="AA60" s="10"/>
    </row>
    <row r="61" spans="1:27" x14ac:dyDescent="0.25">
      <c r="G61" s="2">
        <f>SUM(G57:G60)</f>
        <v>0</v>
      </c>
      <c r="H61" s="2">
        <f t="shared" ref="H61:AA61" si="7">SUM(H57:H60)</f>
        <v>0</v>
      </c>
      <c r="I61" s="2">
        <f t="shared" si="7"/>
        <v>0</v>
      </c>
      <c r="J61" s="2">
        <f t="shared" si="7"/>
        <v>0</v>
      </c>
      <c r="K61" s="2">
        <f t="shared" si="7"/>
        <v>0</v>
      </c>
      <c r="L61" s="2">
        <f t="shared" si="7"/>
        <v>0</v>
      </c>
      <c r="M61" s="2">
        <f t="shared" si="7"/>
        <v>0</v>
      </c>
      <c r="N61" s="2">
        <f t="shared" si="7"/>
        <v>0</v>
      </c>
      <c r="O61" s="2">
        <f t="shared" si="7"/>
        <v>0</v>
      </c>
      <c r="P61" s="2">
        <f t="shared" si="7"/>
        <v>0</v>
      </c>
      <c r="Q61" s="2">
        <f t="shared" si="7"/>
        <v>0</v>
      </c>
      <c r="R61" s="2">
        <f t="shared" si="7"/>
        <v>0</v>
      </c>
      <c r="S61" s="2">
        <f t="shared" si="7"/>
        <v>0</v>
      </c>
      <c r="T61" s="2">
        <f t="shared" si="7"/>
        <v>0</v>
      </c>
      <c r="U61" s="2">
        <f t="shared" si="7"/>
        <v>0</v>
      </c>
      <c r="V61" s="2">
        <f t="shared" si="7"/>
        <v>0</v>
      </c>
      <c r="W61" s="2">
        <f t="shared" si="7"/>
        <v>0</v>
      </c>
      <c r="X61" s="2">
        <f t="shared" si="7"/>
        <v>0</v>
      </c>
      <c r="Y61" s="2">
        <f t="shared" si="7"/>
        <v>0</v>
      </c>
      <c r="Z61" s="2">
        <f t="shared" si="7"/>
        <v>0</v>
      </c>
      <c r="AA61" s="2">
        <f t="shared" si="7"/>
        <v>0</v>
      </c>
    </row>
    <row r="63" spans="1:27" x14ac:dyDescent="0.25">
      <c r="D63" t="s">
        <v>136</v>
      </c>
      <c r="G63" s="2"/>
      <c r="H63" s="2"/>
      <c r="I63" s="2"/>
      <c r="J63" s="2"/>
      <c r="K63" s="2"/>
      <c r="L63" s="2"/>
      <c r="M63" s="2"/>
      <c r="N63" s="2"/>
      <c r="O63" s="2"/>
      <c r="P63" s="2"/>
      <c r="Q63" s="2"/>
    </row>
    <row r="64" spans="1:27" x14ac:dyDescent="0.25">
      <c r="E64" s="2" t="str">
        <f>E57</f>
        <v>Average asset life for all growth assets</v>
      </c>
      <c r="F64" t="s">
        <v>7</v>
      </c>
      <c r="G64" s="2">
        <f t="shared" ref="G64:AA66" si="8">G57/$G7+IF((G$2-$G7+1)&gt;0,-INDEX($G57:$AA57,1,(G$2-$G7+1))/$G7,0)</f>
        <v>0</v>
      </c>
      <c r="H64" s="2">
        <f t="shared" si="8"/>
        <v>0</v>
      </c>
      <c r="I64" s="2">
        <f t="shared" si="8"/>
        <v>0</v>
      </c>
      <c r="J64" s="2">
        <f t="shared" si="8"/>
        <v>0</v>
      </c>
      <c r="K64" s="2">
        <f t="shared" si="8"/>
        <v>0</v>
      </c>
      <c r="L64" s="2">
        <f t="shared" si="8"/>
        <v>0</v>
      </c>
      <c r="M64" s="2">
        <f t="shared" si="8"/>
        <v>0</v>
      </c>
      <c r="N64" s="2">
        <f t="shared" si="8"/>
        <v>0</v>
      </c>
      <c r="O64" s="2">
        <f t="shared" si="8"/>
        <v>0</v>
      </c>
      <c r="P64" s="2">
        <f t="shared" si="8"/>
        <v>0</v>
      </c>
      <c r="Q64" s="2">
        <f t="shared" si="8"/>
        <v>0</v>
      </c>
      <c r="R64" s="2">
        <f t="shared" si="8"/>
        <v>0</v>
      </c>
      <c r="S64" s="2">
        <f t="shared" si="8"/>
        <v>0</v>
      </c>
      <c r="T64" s="2">
        <f t="shared" si="8"/>
        <v>0</v>
      </c>
      <c r="U64" s="2">
        <f t="shared" si="8"/>
        <v>0</v>
      </c>
      <c r="V64" s="2">
        <f t="shared" si="8"/>
        <v>0</v>
      </c>
      <c r="W64" s="2">
        <f t="shared" si="8"/>
        <v>0</v>
      </c>
      <c r="X64" s="2">
        <f t="shared" si="8"/>
        <v>0</v>
      </c>
      <c r="Y64" s="2">
        <f t="shared" si="8"/>
        <v>0</v>
      </c>
      <c r="Z64" s="2">
        <f t="shared" si="8"/>
        <v>0</v>
      </c>
      <c r="AA64" s="2">
        <f t="shared" si="8"/>
        <v>0</v>
      </c>
    </row>
    <row r="65" spans="1:27" x14ac:dyDescent="0.25">
      <c r="E65" s="2" t="str">
        <f t="shared" ref="E65:E66" si="9">E58</f>
        <v>Pumps</v>
      </c>
      <c r="F65" t="s">
        <v>7</v>
      </c>
      <c r="G65" s="2">
        <f t="shared" si="8"/>
        <v>0</v>
      </c>
      <c r="H65" s="2">
        <f t="shared" si="8"/>
        <v>0</v>
      </c>
      <c r="I65" s="2">
        <f t="shared" si="8"/>
        <v>0</v>
      </c>
      <c r="J65" s="2">
        <f t="shared" si="8"/>
        <v>0</v>
      </c>
      <c r="K65" s="2">
        <f t="shared" si="8"/>
        <v>0</v>
      </c>
      <c r="L65" s="2">
        <f t="shared" si="8"/>
        <v>0</v>
      </c>
      <c r="M65" s="2">
        <f t="shared" si="8"/>
        <v>0</v>
      </c>
      <c r="N65" s="2">
        <f t="shared" si="8"/>
        <v>0</v>
      </c>
      <c r="O65" s="2">
        <f t="shared" si="8"/>
        <v>0</v>
      </c>
      <c r="P65" s="2">
        <f t="shared" si="8"/>
        <v>0</v>
      </c>
      <c r="Q65" s="2">
        <f t="shared" si="8"/>
        <v>0</v>
      </c>
      <c r="R65" s="2">
        <f t="shared" si="8"/>
        <v>0</v>
      </c>
      <c r="S65" s="2">
        <f t="shared" si="8"/>
        <v>0</v>
      </c>
      <c r="T65" s="2">
        <f t="shared" si="8"/>
        <v>0</v>
      </c>
      <c r="U65" s="2">
        <f t="shared" si="8"/>
        <v>0</v>
      </c>
      <c r="V65" s="2">
        <f t="shared" si="8"/>
        <v>0</v>
      </c>
      <c r="W65" s="2">
        <f t="shared" si="8"/>
        <v>0</v>
      </c>
      <c r="X65" s="2">
        <f t="shared" si="8"/>
        <v>0</v>
      </c>
      <c r="Y65" s="2">
        <f t="shared" si="8"/>
        <v>0</v>
      </c>
      <c r="Z65" s="2">
        <f t="shared" si="8"/>
        <v>0</v>
      </c>
      <c r="AA65" s="2">
        <f t="shared" si="8"/>
        <v>0</v>
      </c>
    </row>
    <row r="66" spans="1:27" x14ac:dyDescent="0.25">
      <c r="E66" s="2" t="str">
        <f t="shared" si="9"/>
        <v>Valves and Meters</v>
      </c>
      <c r="F66" t="s">
        <v>7</v>
      </c>
      <c r="G66" s="2">
        <f t="shared" si="8"/>
        <v>0</v>
      </c>
      <c r="H66" s="2">
        <f t="shared" si="8"/>
        <v>0</v>
      </c>
      <c r="I66" s="2">
        <f t="shared" si="8"/>
        <v>0</v>
      </c>
      <c r="J66" s="2">
        <f t="shared" si="8"/>
        <v>0</v>
      </c>
      <c r="K66" s="2">
        <f t="shared" si="8"/>
        <v>0</v>
      </c>
      <c r="L66" s="2">
        <f t="shared" si="8"/>
        <v>0</v>
      </c>
      <c r="M66" s="2">
        <f t="shared" si="8"/>
        <v>0</v>
      </c>
      <c r="N66" s="2">
        <f t="shared" si="8"/>
        <v>0</v>
      </c>
      <c r="O66" s="2">
        <f t="shared" si="8"/>
        <v>0</v>
      </c>
      <c r="P66" s="2">
        <f t="shared" si="8"/>
        <v>0</v>
      </c>
      <c r="Q66" s="2">
        <f t="shared" si="8"/>
        <v>0</v>
      </c>
      <c r="R66" s="2">
        <f t="shared" si="8"/>
        <v>0</v>
      </c>
      <c r="S66" s="2">
        <f t="shared" si="8"/>
        <v>0</v>
      </c>
      <c r="T66" s="2">
        <f t="shared" si="8"/>
        <v>0</v>
      </c>
      <c r="U66" s="2">
        <f t="shared" si="8"/>
        <v>0</v>
      </c>
      <c r="V66" s="2">
        <f t="shared" si="8"/>
        <v>0</v>
      </c>
      <c r="W66" s="2">
        <f t="shared" si="8"/>
        <v>0</v>
      </c>
      <c r="X66" s="2">
        <f t="shared" si="8"/>
        <v>0</v>
      </c>
      <c r="Y66" s="2">
        <f t="shared" si="8"/>
        <v>0</v>
      </c>
      <c r="Z66" s="2">
        <f t="shared" si="8"/>
        <v>0</v>
      </c>
      <c r="AA66" s="2">
        <f t="shared" si="8"/>
        <v>0</v>
      </c>
    </row>
    <row r="68" spans="1:27" x14ac:dyDescent="0.25">
      <c r="D68" t="s">
        <v>137</v>
      </c>
      <c r="F68" t="s">
        <v>7</v>
      </c>
      <c r="G68" s="2">
        <f>SUM($G$64:G66)</f>
        <v>0</v>
      </c>
      <c r="H68" s="2">
        <f>SUM($G$64:H66)</f>
        <v>0</v>
      </c>
      <c r="I68" s="2">
        <f>SUM($G$64:I66)</f>
        <v>0</v>
      </c>
      <c r="J68" s="2">
        <f>SUM($G$64:J66)</f>
        <v>0</v>
      </c>
      <c r="K68" s="2">
        <f>SUM($G$64:K66)</f>
        <v>0</v>
      </c>
      <c r="L68" s="2">
        <f>SUM($G$64:L66)</f>
        <v>0</v>
      </c>
      <c r="M68" s="2">
        <f>SUM($G$64:M66)</f>
        <v>0</v>
      </c>
      <c r="N68" s="2">
        <f>SUM($G$64:N66)</f>
        <v>0</v>
      </c>
      <c r="O68" s="2">
        <f>SUM($G$64:O66)</f>
        <v>0</v>
      </c>
      <c r="P68" s="2">
        <f>SUM($G$64:P66)</f>
        <v>0</v>
      </c>
      <c r="Q68" s="2">
        <f>SUM($G$64:Q66)</f>
        <v>0</v>
      </c>
      <c r="R68" s="2">
        <f>SUM($G$64:R66)</f>
        <v>0</v>
      </c>
      <c r="S68" s="2">
        <f>SUM($G$64:S66)</f>
        <v>0</v>
      </c>
      <c r="T68" s="2">
        <f>SUM($G$64:T66)</f>
        <v>0</v>
      </c>
      <c r="U68" s="2">
        <f>SUM($G$64:U66)</f>
        <v>0</v>
      </c>
      <c r="V68" s="2">
        <f>SUM($G$64:V66)</f>
        <v>0</v>
      </c>
      <c r="W68" s="2">
        <f>SUM($G$64:W66)</f>
        <v>0</v>
      </c>
      <c r="X68" s="2">
        <f>SUM($G$64:X66)</f>
        <v>0</v>
      </c>
      <c r="Y68" s="2">
        <f>SUM($G$64:Y66)</f>
        <v>0</v>
      </c>
      <c r="Z68" s="2">
        <f>SUM($G$64:Z66)</f>
        <v>0</v>
      </c>
      <c r="AA68" s="2">
        <f>SUM($G$64:AA66)</f>
        <v>0</v>
      </c>
    </row>
    <row r="70" spans="1:27" x14ac:dyDescent="0.25">
      <c r="A70" s="14">
        <f>'Notes &amp; Assumptions'!A27</f>
        <v>14</v>
      </c>
      <c r="D70" t="s">
        <v>6</v>
      </c>
    </row>
    <row r="71" spans="1:27" x14ac:dyDescent="0.25">
      <c r="E71" s="2" t="str">
        <f>E7</f>
        <v>Average asset life for all growth assets</v>
      </c>
      <c r="F71" t="s">
        <v>7</v>
      </c>
      <c r="G71" s="10"/>
      <c r="H71" s="10"/>
      <c r="I71" s="10"/>
      <c r="J71" s="10"/>
      <c r="K71" s="10"/>
      <c r="L71" s="10"/>
      <c r="M71" s="10"/>
      <c r="N71" s="10"/>
      <c r="O71" s="10"/>
      <c r="P71" s="10"/>
      <c r="Q71" s="10"/>
      <c r="R71" s="10"/>
      <c r="S71" s="10"/>
      <c r="T71" s="10"/>
      <c r="U71" s="10"/>
      <c r="V71" s="10"/>
      <c r="W71" s="10"/>
      <c r="X71" s="10"/>
      <c r="Y71" s="10"/>
      <c r="Z71" s="10"/>
      <c r="AA71" s="10"/>
    </row>
    <row r="72" spans="1:27" x14ac:dyDescent="0.25">
      <c r="E72" s="2" t="str">
        <f>E8</f>
        <v>Pumps</v>
      </c>
      <c r="F72" t="s">
        <v>7</v>
      </c>
      <c r="G72" s="10"/>
      <c r="H72" s="10"/>
      <c r="I72" s="10"/>
      <c r="J72" s="10"/>
      <c r="K72" s="10"/>
      <c r="L72" s="10"/>
      <c r="M72" s="10"/>
      <c r="N72" s="10"/>
      <c r="O72" s="10"/>
      <c r="P72" s="10"/>
      <c r="Q72" s="10"/>
      <c r="R72" s="10"/>
      <c r="S72" s="10"/>
      <c r="T72" s="10"/>
      <c r="U72" s="10"/>
      <c r="V72" s="10"/>
      <c r="W72" s="10"/>
      <c r="X72" s="10"/>
      <c r="Y72" s="10"/>
      <c r="Z72" s="10"/>
      <c r="AA72" s="10"/>
    </row>
    <row r="73" spans="1:27" x14ac:dyDescent="0.25">
      <c r="E73" s="2" t="str">
        <f>E9</f>
        <v>Valves and Meters</v>
      </c>
      <c r="F73" t="s">
        <v>7</v>
      </c>
      <c r="G73" s="10"/>
      <c r="H73" s="10"/>
      <c r="I73" s="10"/>
      <c r="J73" s="10"/>
      <c r="K73" s="10"/>
      <c r="L73" s="10"/>
      <c r="M73" s="10"/>
      <c r="N73" s="10"/>
      <c r="O73" s="10"/>
      <c r="P73" s="10"/>
      <c r="Q73" s="10"/>
      <c r="R73" s="10"/>
      <c r="S73" s="10"/>
      <c r="T73" s="10"/>
      <c r="U73" s="10"/>
      <c r="V73" s="10"/>
      <c r="W73" s="10"/>
      <c r="X73" s="10"/>
      <c r="Y73" s="10"/>
      <c r="Z73" s="10"/>
      <c r="AA73" s="10"/>
    </row>
    <row r="74" spans="1:27" x14ac:dyDescent="0.25">
      <c r="E74" t="s">
        <v>131</v>
      </c>
      <c r="F74" t="s">
        <v>7</v>
      </c>
      <c r="G74" s="10"/>
      <c r="H74" s="10"/>
      <c r="I74" s="10"/>
      <c r="J74" s="10"/>
      <c r="K74" s="10"/>
      <c r="L74" s="10"/>
      <c r="M74" s="10"/>
      <c r="N74" s="10"/>
      <c r="O74" s="10"/>
      <c r="P74" s="10"/>
      <c r="Q74" s="10"/>
      <c r="R74" s="10"/>
      <c r="S74" s="10"/>
      <c r="T74" s="10"/>
      <c r="U74" s="10"/>
      <c r="V74" s="10"/>
      <c r="W74" s="10"/>
      <c r="X74" s="10"/>
      <c r="Y74" s="10"/>
      <c r="Z74" s="10"/>
      <c r="AA74" s="10"/>
    </row>
    <row r="75" spans="1:27" x14ac:dyDescent="0.25">
      <c r="G75" s="2">
        <f>SUM(G71:G74)</f>
        <v>0</v>
      </c>
      <c r="H75" s="2">
        <f t="shared" ref="H75:AA75" si="10">SUM(H71:H74)</f>
        <v>0</v>
      </c>
      <c r="I75" s="2">
        <f t="shared" si="10"/>
        <v>0</v>
      </c>
      <c r="J75" s="2">
        <f t="shared" si="10"/>
        <v>0</v>
      </c>
      <c r="K75" s="2">
        <f t="shared" si="10"/>
        <v>0</v>
      </c>
      <c r="L75" s="2">
        <f t="shared" si="10"/>
        <v>0</v>
      </c>
      <c r="M75" s="2">
        <f t="shared" si="10"/>
        <v>0</v>
      </c>
      <c r="N75" s="2">
        <f t="shared" si="10"/>
        <v>0</v>
      </c>
      <c r="O75" s="2">
        <f t="shared" si="10"/>
        <v>0</v>
      </c>
      <c r="P75" s="2">
        <f t="shared" si="10"/>
        <v>0</v>
      </c>
      <c r="Q75" s="2">
        <f t="shared" si="10"/>
        <v>0</v>
      </c>
      <c r="R75" s="2">
        <f t="shared" si="10"/>
        <v>0</v>
      </c>
      <c r="S75" s="2">
        <f t="shared" si="10"/>
        <v>0</v>
      </c>
      <c r="T75" s="2">
        <f t="shared" si="10"/>
        <v>0</v>
      </c>
      <c r="U75" s="2">
        <f t="shared" si="10"/>
        <v>0</v>
      </c>
      <c r="V75" s="2">
        <f t="shared" si="10"/>
        <v>0</v>
      </c>
      <c r="W75" s="2">
        <f t="shared" si="10"/>
        <v>0</v>
      </c>
      <c r="X75" s="2">
        <f t="shared" si="10"/>
        <v>0</v>
      </c>
      <c r="Y75" s="2">
        <f t="shared" si="10"/>
        <v>0</v>
      </c>
      <c r="Z75" s="2">
        <f t="shared" si="10"/>
        <v>0</v>
      </c>
      <c r="AA75" s="2">
        <f t="shared" si="10"/>
        <v>0</v>
      </c>
    </row>
    <row r="76" spans="1:27" x14ac:dyDescent="0.25">
      <c r="G76" s="2"/>
      <c r="H76" s="2"/>
      <c r="I76" s="2"/>
      <c r="J76" s="2"/>
      <c r="K76" s="2"/>
      <c r="L76" s="2"/>
      <c r="M76" s="2"/>
      <c r="N76" s="2"/>
      <c r="O76" s="2"/>
      <c r="P76" s="2"/>
      <c r="Q76" s="2"/>
      <c r="R76" s="2"/>
      <c r="S76" s="2"/>
      <c r="T76" s="2"/>
      <c r="U76" s="2"/>
      <c r="V76" s="2"/>
      <c r="W76" s="2"/>
      <c r="X76" s="2"/>
      <c r="Y76" s="2"/>
      <c r="Z76" s="2"/>
      <c r="AA76" s="2"/>
    </row>
    <row r="77" spans="1:27" x14ac:dyDescent="0.25">
      <c r="D77" t="s">
        <v>136</v>
      </c>
      <c r="G77" s="2"/>
      <c r="H77" s="2"/>
      <c r="I77" s="2"/>
      <c r="J77" s="2"/>
      <c r="K77" s="2"/>
      <c r="L77" s="2"/>
      <c r="M77" s="2"/>
      <c r="N77" s="2"/>
      <c r="O77" s="2"/>
      <c r="P77" s="2"/>
      <c r="Q77" s="2"/>
    </row>
    <row r="78" spans="1:27" x14ac:dyDescent="0.25">
      <c r="E78" s="2" t="str">
        <f>E71</f>
        <v>Average asset life for all growth assets</v>
      </c>
      <c r="F78" t="s">
        <v>7</v>
      </c>
      <c r="G78" s="2">
        <f t="shared" ref="G78:AA80" si="11">G71/$G7+IF((G$2-$G7+1)&gt;0,-INDEX($G71:$AA71,1,(G$2-$G7+1))/$G7,0)</f>
        <v>0</v>
      </c>
      <c r="H78" s="2">
        <f t="shared" si="11"/>
        <v>0</v>
      </c>
      <c r="I78" s="2">
        <f t="shared" si="11"/>
        <v>0</v>
      </c>
      <c r="J78" s="2">
        <f t="shared" si="11"/>
        <v>0</v>
      </c>
      <c r="K78" s="2">
        <f t="shared" si="11"/>
        <v>0</v>
      </c>
      <c r="L78" s="2">
        <f t="shared" si="11"/>
        <v>0</v>
      </c>
      <c r="M78" s="2">
        <f t="shared" si="11"/>
        <v>0</v>
      </c>
      <c r="N78" s="2">
        <f t="shared" si="11"/>
        <v>0</v>
      </c>
      <c r="O78" s="2">
        <f t="shared" si="11"/>
        <v>0</v>
      </c>
      <c r="P78" s="2">
        <f t="shared" si="11"/>
        <v>0</v>
      </c>
      <c r="Q78" s="2">
        <f t="shared" si="11"/>
        <v>0</v>
      </c>
      <c r="R78" s="2">
        <f t="shared" si="11"/>
        <v>0</v>
      </c>
      <c r="S78" s="2">
        <f t="shared" si="11"/>
        <v>0</v>
      </c>
      <c r="T78" s="2">
        <f t="shared" si="11"/>
        <v>0</v>
      </c>
      <c r="U78" s="2">
        <f t="shared" si="11"/>
        <v>0</v>
      </c>
      <c r="V78" s="2">
        <f t="shared" si="11"/>
        <v>0</v>
      </c>
      <c r="W78" s="2">
        <f t="shared" si="11"/>
        <v>0</v>
      </c>
      <c r="X78" s="2">
        <f t="shared" si="11"/>
        <v>0</v>
      </c>
      <c r="Y78" s="2">
        <f t="shared" si="11"/>
        <v>0</v>
      </c>
      <c r="Z78" s="2">
        <f t="shared" si="11"/>
        <v>0</v>
      </c>
      <c r="AA78" s="2">
        <f t="shared" si="11"/>
        <v>0</v>
      </c>
    </row>
    <row r="79" spans="1:27" x14ac:dyDescent="0.25">
      <c r="E79" s="2" t="str">
        <f t="shared" ref="E79:E80" si="12">E72</f>
        <v>Pumps</v>
      </c>
      <c r="F79" t="s">
        <v>7</v>
      </c>
      <c r="G79" s="2">
        <f t="shared" si="11"/>
        <v>0</v>
      </c>
      <c r="H79" s="2">
        <f t="shared" si="11"/>
        <v>0</v>
      </c>
      <c r="I79" s="2">
        <f t="shared" si="11"/>
        <v>0</v>
      </c>
      <c r="J79" s="2">
        <f t="shared" si="11"/>
        <v>0</v>
      </c>
      <c r="K79" s="2">
        <f t="shared" si="11"/>
        <v>0</v>
      </c>
      <c r="L79" s="2">
        <f t="shared" si="11"/>
        <v>0</v>
      </c>
      <c r="M79" s="2">
        <f t="shared" si="11"/>
        <v>0</v>
      </c>
      <c r="N79" s="2">
        <f t="shared" si="11"/>
        <v>0</v>
      </c>
      <c r="O79" s="2">
        <f t="shared" si="11"/>
        <v>0</v>
      </c>
      <c r="P79" s="2">
        <f t="shared" si="11"/>
        <v>0</v>
      </c>
      <c r="Q79" s="2">
        <f t="shared" si="11"/>
        <v>0</v>
      </c>
      <c r="R79" s="2">
        <f t="shared" si="11"/>
        <v>0</v>
      </c>
      <c r="S79" s="2">
        <f t="shared" si="11"/>
        <v>0</v>
      </c>
      <c r="T79" s="2">
        <f t="shared" si="11"/>
        <v>0</v>
      </c>
      <c r="U79" s="2">
        <f t="shared" si="11"/>
        <v>0</v>
      </c>
      <c r="V79" s="2">
        <f t="shared" si="11"/>
        <v>0</v>
      </c>
      <c r="W79" s="2">
        <f t="shared" si="11"/>
        <v>0</v>
      </c>
      <c r="X79" s="2">
        <f t="shared" si="11"/>
        <v>0</v>
      </c>
      <c r="Y79" s="2">
        <f t="shared" si="11"/>
        <v>0</v>
      </c>
      <c r="Z79" s="2">
        <f t="shared" si="11"/>
        <v>0</v>
      </c>
      <c r="AA79" s="2">
        <f t="shared" si="11"/>
        <v>0</v>
      </c>
    </row>
    <row r="80" spans="1:27" x14ac:dyDescent="0.25">
      <c r="E80" s="2" t="str">
        <f t="shared" si="12"/>
        <v>Valves and Meters</v>
      </c>
      <c r="F80" t="s">
        <v>7</v>
      </c>
      <c r="G80" s="2">
        <f t="shared" si="11"/>
        <v>0</v>
      </c>
      <c r="H80" s="2">
        <f t="shared" si="11"/>
        <v>0</v>
      </c>
      <c r="I80" s="2">
        <f t="shared" si="11"/>
        <v>0</v>
      </c>
      <c r="J80" s="2">
        <f t="shared" si="11"/>
        <v>0</v>
      </c>
      <c r="K80" s="2">
        <f t="shared" si="11"/>
        <v>0</v>
      </c>
      <c r="L80" s="2">
        <f t="shared" si="11"/>
        <v>0</v>
      </c>
      <c r="M80" s="2">
        <f t="shared" si="11"/>
        <v>0</v>
      </c>
      <c r="N80" s="2">
        <f t="shared" si="11"/>
        <v>0</v>
      </c>
      <c r="O80" s="2">
        <f t="shared" si="11"/>
        <v>0</v>
      </c>
      <c r="P80" s="2">
        <f t="shared" si="11"/>
        <v>0</v>
      </c>
      <c r="Q80" s="2">
        <f t="shared" si="11"/>
        <v>0</v>
      </c>
      <c r="R80" s="2">
        <f t="shared" si="11"/>
        <v>0</v>
      </c>
      <c r="S80" s="2">
        <f t="shared" si="11"/>
        <v>0</v>
      </c>
      <c r="T80" s="2">
        <f t="shared" si="11"/>
        <v>0</v>
      </c>
      <c r="U80" s="2">
        <f t="shared" si="11"/>
        <v>0</v>
      </c>
      <c r="V80" s="2">
        <f t="shared" si="11"/>
        <v>0</v>
      </c>
      <c r="W80" s="2">
        <f t="shared" si="11"/>
        <v>0</v>
      </c>
      <c r="X80" s="2">
        <f t="shared" si="11"/>
        <v>0</v>
      </c>
      <c r="Y80" s="2">
        <f t="shared" si="11"/>
        <v>0</v>
      </c>
      <c r="Z80" s="2">
        <f t="shared" si="11"/>
        <v>0</v>
      </c>
      <c r="AA80" s="2">
        <f t="shared" si="11"/>
        <v>0</v>
      </c>
    </row>
    <row r="82" spans="1:27" x14ac:dyDescent="0.25">
      <c r="D82" t="s">
        <v>137</v>
      </c>
      <c r="F82" t="s">
        <v>7</v>
      </c>
      <c r="G82" s="2">
        <f>SUM($G$77:G80)</f>
        <v>0</v>
      </c>
      <c r="H82" s="2">
        <f>SUM($G$77:H80)</f>
        <v>0</v>
      </c>
      <c r="I82" s="2">
        <f>SUM($G$77:I80)</f>
        <v>0</v>
      </c>
      <c r="J82" s="2">
        <f>SUM($G$77:J80)</f>
        <v>0</v>
      </c>
      <c r="K82" s="2">
        <f>SUM($G$77:K80)</f>
        <v>0</v>
      </c>
      <c r="L82" s="2">
        <f>SUM($G$77:L80)</f>
        <v>0</v>
      </c>
      <c r="M82" s="2">
        <f>SUM($G$77:M80)</f>
        <v>0</v>
      </c>
      <c r="N82" s="2">
        <f>SUM($G$77:N80)</f>
        <v>0</v>
      </c>
      <c r="O82" s="2">
        <f>SUM($G$77:O80)</f>
        <v>0</v>
      </c>
      <c r="P82" s="2">
        <f>SUM($G$77:P80)</f>
        <v>0</v>
      </c>
      <c r="Q82" s="2">
        <f>SUM($G$77:Q80)</f>
        <v>0</v>
      </c>
      <c r="R82" s="2">
        <f>SUM($G$77:R80)</f>
        <v>0</v>
      </c>
      <c r="S82" s="2">
        <f>SUM($G$77:S80)</f>
        <v>0</v>
      </c>
      <c r="T82" s="2">
        <f>SUM($G$77:T80)</f>
        <v>0</v>
      </c>
      <c r="U82" s="2">
        <f>SUM($G$77:U80)</f>
        <v>0</v>
      </c>
      <c r="V82" s="2">
        <f>SUM($G$77:V80)</f>
        <v>0</v>
      </c>
      <c r="W82" s="2">
        <f>SUM($G$77:W80)</f>
        <v>0</v>
      </c>
      <c r="X82" s="2">
        <f>SUM($G$77:X80)</f>
        <v>0</v>
      </c>
      <c r="Y82" s="2">
        <f>SUM($G$77:Y80)</f>
        <v>0</v>
      </c>
      <c r="Z82" s="2">
        <f>SUM($G$77:Z80)</f>
        <v>0</v>
      </c>
      <c r="AA82" s="2">
        <f>SUM($G$77:AA80)</f>
        <v>0</v>
      </c>
    </row>
    <row r="83" spans="1:27" x14ac:dyDescent="0.25">
      <c r="G83" s="2"/>
      <c r="H83" s="2"/>
      <c r="I83" s="2"/>
      <c r="J83" s="2"/>
      <c r="K83" s="2"/>
      <c r="L83" s="2"/>
      <c r="M83" s="2"/>
      <c r="N83" s="2"/>
      <c r="O83" s="2"/>
      <c r="P83" s="2"/>
      <c r="Q83" s="2"/>
      <c r="R83" s="2"/>
      <c r="S83" s="2"/>
      <c r="T83" s="2"/>
      <c r="U83" s="2"/>
      <c r="V83" s="2"/>
      <c r="W83" s="2"/>
      <c r="X83" s="2"/>
      <c r="Y83" s="2"/>
      <c r="Z83" s="2"/>
      <c r="AA83" s="2"/>
    </row>
    <row r="84" spans="1:27" x14ac:dyDescent="0.25">
      <c r="D84" t="s">
        <v>138</v>
      </c>
      <c r="F84" t="s">
        <v>7</v>
      </c>
      <c r="G84" s="2">
        <f t="shared" ref="G84:AA84" si="13">G61-G75</f>
        <v>0</v>
      </c>
      <c r="H84" s="2">
        <f t="shared" si="13"/>
        <v>0</v>
      </c>
      <c r="I84" s="2">
        <f t="shared" si="13"/>
        <v>0</v>
      </c>
      <c r="J84" s="2">
        <f t="shared" si="13"/>
        <v>0</v>
      </c>
      <c r="K84" s="2">
        <f t="shared" si="13"/>
        <v>0</v>
      </c>
      <c r="L84" s="2">
        <f t="shared" si="13"/>
        <v>0</v>
      </c>
      <c r="M84" s="2">
        <f t="shared" si="13"/>
        <v>0</v>
      </c>
      <c r="N84" s="2">
        <f t="shared" si="13"/>
        <v>0</v>
      </c>
      <c r="O84" s="2">
        <f t="shared" si="13"/>
        <v>0</v>
      </c>
      <c r="P84" s="2">
        <f t="shared" si="13"/>
        <v>0</v>
      </c>
      <c r="Q84" s="2">
        <f t="shared" si="13"/>
        <v>0</v>
      </c>
      <c r="R84" s="2">
        <f t="shared" si="13"/>
        <v>0</v>
      </c>
      <c r="S84" s="2">
        <f t="shared" si="13"/>
        <v>0</v>
      </c>
      <c r="T84" s="2">
        <f t="shared" si="13"/>
        <v>0</v>
      </c>
      <c r="U84" s="2">
        <f t="shared" si="13"/>
        <v>0</v>
      </c>
      <c r="V84" s="2">
        <f t="shared" si="13"/>
        <v>0</v>
      </c>
      <c r="W84" s="2">
        <f t="shared" si="13"/>
        <v>0</v>
      </c>
      <c r="X84" s="2">
        <f t="shared" si="13"/>
        <v>0</v>
      </c>
      <c r="Y84" s="2">
        <f t="shared" si="13"/>
        <v>0</v>
      </c>
      <c r="Z84" s="2">
        <f t="shared" si="13"/>
        <v>0</v>
      </c>
      <c r="AA84" s="2">
        <f t="shared" si="13"/>
        <v>0</v>
      </c>
    </row>
    <row r="85" spans="1:27" x14ac:dyDescent="0.25">
      <c r="D85" t="s">
        <v>139</v>
      </c>
      <c r="F85" t="s">
        <v>7</v>
      </c>
      <c r="G85" s="2">
        <f t="shared" ref="G85:AA85" si="14">-G68+G82</f>
        <v>0</v>
      </c>
      <c r="H85" s="2">
        <f t="shared" si="14"/>
        <v>0</v>
      </c>
      <c r="I85" s="2">
        <f t="shared" si="14"/>
        <v>0</v>
      </c>
      <c r="J85" s="2">
        <f t="shared" si="14"/>
        <v>0</v>
      </c>
      <c r="K85" s="2">
        <f t="shared" si="14"/>
        <v>0</v>
      </c>
      <c r="L85" s="2">
        <f t="shared" si="14"/>
        <v>0</v>
      </c>
      <c r="M85" s="2">
        <f t="shared" si="14"/>
        <v>0</v>
      </c>
      <c r="N85" s="2">
        <f t="shared" si="14"/>
        <v>0</v>
      </c>
      <c r="O85" s="2">
        <f t="shared" si="14"/>
        <v>0</v>
      </c>
      <c r="P85" s="2">
        <f t="shared" si="14"/>
        <v>0</v>
      </c>
      <c r="Q85" s="2">
        <f t="shared" si="14"/>
        <v>0</v>
      </c>
      <c r="R85" s="2">
        <f t="shared" si="14"/>
        <v>0</v>
      </c>
      <c r="S85" s="2">
        <f t="shared" si="14"/>
        <v>0</v>
      </c>
      <c r="T85" s="2">
        <f t="shared" si="14"/>
        <v>0</v>
      </c>
      <c r="U85" s="2">
        <f t="shared" si="14"/>
        <v>0</v>
      </c>
      <c r="V85" s="2">
        <f t="shared" si="14"/>
        <v>0</v>
      </c>
      <c r="W85" s="2">
        <f t="shared" si="14"/>
        <v>0</v>
      </c>
      <c r="X85" s="2">
        <f t="shared" si="14"/>
        <v>0</v>
      </c>
      <c r="Y85" s="2">
        <f t="shared" si="14"/>
        <v>0</v>
      </c>
      <c r="Z85" s="2">
        <f t="shared" si="14"/>
        <v>0</v>
      </c>
      <c r="AA85" s="2">
        <f t="shared" si="14"/>
        <v>0</v>
      </c>
    </row>
    <row r="87" spans="1:27" x14ac:dyDescent="0.25">
      <c r="C87" s="1" t="str">
        <f>"Incremental "&amp;G4&amp;" Service Revenue"</f>
        <v>Incremental Water Supply Service Revenue</v>
      </c>
      <c r="D87" s="1"/>
    </row>
    <row r="88" spans="1:27" x14ac:dyDescent="0.25">
      <c r="C88" s="1"/>
      <c r="D88" s="1"/>
    </row>
    <row r="89" spans="1:27" x14ac:dyDescent="0.25">
      <c r="C89" s="1"/>
      <c r="D89" t="s">
        <v>59</v>
      </c>
      <c r="F89" t="s">
        <v>325</v>
      </c>
      <c r="G89" t="s">
        <v>326</v>
      </c>
    </row>
    <row r="90" spans="1:27" x14ac:dyDescent="0.25">
      <c r="A90" s="14">
        <f>'Notes &amp; Assumptions'!A28</f>
        <v>15</v>
      </c>
      <c r="C90" s="1"/>
      <c r="D90" s="1"/>
      <c r="E90" t="s">
        <v>87</v>
      </c>
      <c r="F90" t="s">
        <v>3</v>
      </c>
      <c r="H90" s="10">
        <f>'Customer numbers'!P6</f>
        <v>9330</v>
      </c>
      <c r="I90" s="10">
        <f>'Customer numbers'!Q6</f>
        <v>8804</v>
      </c>
      <c r="J90" s="10">
        <f>'Customer numbers'!R6</f>
        <v>8435.2999999999993</v>
      </c>
      <c r="K90" s="10">
        <f>'Customer numbers'!S6</f>
        <v>7648.1999999999989</v>
      </c>
      <c r="L90" s="10">
        <f>'Customer numbers'!T6</f>
        <v>6885.2999999999984</v>
      </c>
      <c r="M90" s="10">
        <f>'Customer numbers'!U6</f>
        <v>6170.9999999999982</v>
      </c>
      <c r="N90" s="10">
        <f>'Customer numbers'!V6</f>
        <v>5492.699999999998</v>
      </c>
      <c r="O90" s="10">
        <f>'Customer numbers'!W6</f>
        <v>4855.0999999999976</v>
      </c>
      <c r="P90" s="10">
        <f>'Customer numbers'!X6</f>
        <v>4699.8999999999978</v>
      </c>
      <c r="Q90" s="10">
        <f>'Customer numbers'!Y6</f>
        <v>4512.2999999999984</v>
      </c>
      <c r="R90" s="10">
        <f>'Customer numbers'!Z6</f>
        <v>4777.4999999999982</v>
      </c>
      <c r="S90" s="10">
        <f>'Customer numbers'!AA6</f>
        <v>5062.199999999998</v>
      </c>
      <c r="T90" s="10">
        <f>'Customer numbers'!AB6</f>
        <v>5362.4999999999982</v>
      </c>
      <c r="U90" s="10">
        <f>'Customer numbers'!AC6</f>
        <v>5327.3999999999978</v>
      </c>
      <c r="V90" s="10">
        <f>'Customer numbers'!AD6</f>
        <v>5288.3999999999978</v>
      </c>
    </row>
    <row r="91" spans="1:27" x14ac:dyDescent="0.25">
      <c r="C91" s="1"/>
      <c r="D91" s="1"/>
      <c r="E91" t="s">
        <v>60</v>
      </c>
      <c r="F91" t="s">
        <v>3</v>
      </c>
      <c r="G91" s="2">
        <f>IF('Key assumptions'!B4="yes",SUM('Customer numbers'!F7:O7),0)</f>
        <v>0</v>
      </c>
      <c r="H91" s="2">
        <f>G91+H90</f>
        <v>9330</v>
      </c>
      <c r="I91" s="2">
        <f t="shared" ref="I91:AA91" si="15">H91+I90</f>
        <v>18134</v>
      </c>
      <c r="J91" s="2">
        <f t="shared" si="15"/>
        <v>26569.3</v>
      </c>
      <c r="K91" s="2">
        <f t="shared" si="15"/>
        <v>34217.5</v>
      </c>
      <c r="L91" s="2">
        <f t="shared" si="15"/>
        <v>41102.799999999996</v>
      </c>
      <c r="M91" s="2">
        <f t="shared" si="15"/>
        <v>47273.799999999996</v>
      </c>
      <c r="N91" s="2">
        <f t="shared" si="15"/>
        <v>52766.499999999993</v>
      </c>
      <c r="O91" s="2">
        <f t="shared" si="15"/>
        <v>57621.599999999991</v>
      </c>
      <c r="P91" s="2">
        <f t="shared" si="15"/>
        <v>62321.499999999985</v>
      </c>
      <c r="Q91" s="2">
        <f t="shared" si="15"/>
        <v>66833.799999999988</v>
      </c>
      <c r="R91" s="2">
        <f t="shared" si="15"/>
        <v>71611.299999999988</v>
      </c>
      <c r="S91" s="2">
        <f t="shared" si="15"/>
        <v>76673.499999999985</v>
      </c>
      <c r="T91" s="2">
        <f t="shared" si="15"/>
        <v>82035.999999999985</v>
      </c>
      <c r="U91" s="2">
        <f t="shared" si="15"/>
        <v>87363.39999999998</v>
      </c>
      <c r="V91" s="2">
        <f t="shared" si="15"/>
        <v>92651.799999999974</v>
      </c>
      <c r="W91" s="2">
        <f t="shared" si="15"/>
        <v>92651.799999999974</v>
      </c>
      <c r="X91" s="2">
        <f t="shared" si="15"/>
        <v>92651.799999999974</v>
      </c>
      <c r="Y91" s="2">
        <f t="shared" si="15"/>
        <v>92651.799999999974</v>
      </c>
      <c r="Z91" s="2">
        <f t="shared" si="15"/>
        <v>92651.799999999974</v>
      </c>
      <c r="AA91" s="2">
        <f t="shared" si="15"/>
        <v>92651.799999999974</v>
      </c>
    </row>
    <row r="92" spans="1:27" x14ac:dyDescent="0.25">
      <c r="A92" s="14">
        <f>'Notes &amp; Assumptions'!A29</f>
        <v>16</v>
      </c>
      <c r="C92" s="1"/>
      <c r="D92" s="1"/>
      <c r="E92" t="s">
        <v>61</v>
      </c>
      <c r="F92" t="s">
        <v>3</v>
      </c>
      <c r="G92" s="10">
        <v>1</v>
      </c>
    </row>
    <row r="93" spans="1:27" x14ac:dyDescent="0.25">
      <c r="C93" s="1"/>
      <c r="D93" s="1"/>
      <c r="E93" t="s">
        <v>88</v>
      </c>
      <c r="F93" t="s">
        <v>3</v>
      </c>
      <c r="H93">
        <f>H90*$G92</f>
        <v>9330</v>
      </c>
      <c r="I93">
        <f t="shared" ref="I93:AA93" si="16">I90*$G92</f>
        <v>8804</v>
      </c>
      <c r="J93">
        <f t="shared" si="16"/>
        <v>8435.2999999999993</v>
      </c>
      <c r="K93">
        <f t="shared" si="16"/>
        <v>7648.1999999999989</v>
      </c>
      <c r="L93">
        <f t="shared" si="16"/>
        <v>6885.2999999999984</v>
      </c>
      <c r="M93">
        <f t="shared" si="16"/>
        <v>6170.9999999999982</v>
      </c>
      <c r="N93">
        <f t="shared" si="16"/>
        <v>5492.699999999998</v>
      </c>
      <c r="O93">
        <f t="shared" si="16"/>
        <v>4855.0999999999976</v>
      </c>
      <c r="P93">
        <f t="shared" si="16"/>
        <v>4699.8999999999978</v>
      </c>
      <c r="Q93">
        <f t="shared" si="16"/>
        <v>4512.2999999999984</v>
      </c>
      <c r="R93">
        <f t="shared" si="16"/>
        <v>4777.4999999999982</v>
      </c>
      <c r="S93">
        <f t="shared" si="16"/>
        <v>5062.199999999998</v>
      </c>
      <c r="T93">
        <f t="shared" si="16"/>
        <v>5362.4999999999982</v>
      </c>
      <c r="U93">
        <f t="shared" si="16"/>
        <v>5327.3999999999978</v>
      </c>
      <c r="V93">
        <f t="shared" si="16"/>
        <v>5288.3999999999978</v>
      </c>
      <c r="W93">
        <f t="shared" si="16"/>
        <v>0</v>
      </c>
      <c r="X93">
        <f t="shared" si="16"/>
        <v>0</v>
      </c>
      <c r="Y93">
        <f t="shared" si="16"/>
        <v>0</v>
      </c>
      <c r="Z93">
        <f t="shared" si="16"/>
        <v>0</v>
      </c>
      <c r="AA93">
        <f t="shared" si="16"/>
        <v>0</v>
      </c>
    </row>
    <row r="94" spans="1:27" x14ac:dyDescent="0.25">
      <c r="C94" s="1"/>
      <c r="D94" s="1"/>
      <c r="E94" t="s">
        <v>89</v>
      </c>
      <c r="F94" t="s">
        <v>3</v>
      </c>
      <c r="H94">
        <f>H91*$G92</f>
        <v>9330</v>
      </c>
      <c r="I94">
        <f>I91*$G92</f>
        <v>18134</v>
      </c>
      <c r="J94">
        <f t="shared" ref="J94:AA94" si="17">J91*$G92</f>
        <v>26569.3</v>
      </c>
      <c r="K94">
        <f t="shared" si="17"/>
        <v>34217.5</v>
      </c>
      <c r="L94">
        <f t="shared" si="17"/>
        <v>41102.799999999996</v>
      </c>
      <c r="M94">
        <f t="shared" si="17"/>
        <v>47273.799999999996</v>
      </c>
      <c r="N94">
        <f t="shared" si="17"/>
        <v>52766.499999999993</v>
      </c>
      <c r="O94">
        <f t="shared" si="17"/>
        <v>57621.599999999991</v>
      </c>
      <c r="P94">
        <f t="shared" si="17"/>
        <v>62321.499999999985</v>
      </c>
      <c r="Q94">
        <f t="shared" si="17"/>
        <v>66833.799999999988</v>
      </c>
      <c r="R94">
        <f t="shared" si="17"/>
        <v>71611.299999999988</v>
      </c>
      <c r="S94">
        <f t="shared" si="17"/>
        <v>76673.499999999985</v>
      </c>
      <c r="T94">
        <f t="shared" si="17"/>
        <v>82035.999999999985</v>
      </c>
      <c r="U94">
        <f t="shared" si="17"/>
        <v>87363.39999999998</v>
      </c>
      <c r="V94">
        <f t="shared" si="17"/>
        <v>92651.799999999974</v>
      </c>
      <c r="W94">
        <f t="shared" si="17"/>
        <v>92651.799999999974</v>
      </c>
      <c r="X94">
        <f t="shared" si="17"/>
        <v>92651.799999999974</v>
      </c>
      <c r="Y94">
        <f t="shared" si="17"/>
        <v>92651.799999999974</v>
      </c>
      <c r="Z94">
        <f t="shared" si="17"/>
        <v>92651.799999999974</v>
      </c>
      <c r="AA94">
        <f t="shared" si="17"/>
        <v>92651.799999999974</v>
      </c>
    </row>
    <row r="95" spans="1:27" x14ac:dyDescent="0.25">
      <c r="A95" s="14">
        <f>'Notes &amp; Assumptions'!A30</f>
        <v>17</v>
      </c>
      <c r="C95" s="1"/>
      <c r="D95" s="1"/>
      <c r="E95" t="s">
        <v>62</v>
      </c>
      <c r="F95" t="s">
        <v>43</v>
      </c>
      <c r="H95" s="10">
        <f>'Key assumptions'!B21</f>
        <v>150</v>
      </c>
      <c r="I95" s="10">
        <f>H95</f>
        <v>150</v>
      </c>
      <c r="J95" s="10">
        <f t="shared" ref="J95:AA95" si="18">I95</f>
        <v>150</v>
      </c>
      <c r="K95" s="10">
        <f t="shared" si="18"/>
        <v>150</v>
      </c>
      <c r="L95" s="10">
        <f t="shared" si="18"/>
        <v>150</v>
      </c>
      <c r="M95" s="10">
        <f t="shared" si="18"/>
        <v>150</v>
      </c>
      <c r="N95" s="10">
        <f t="shared" si="18"/>
        <v>150</v>
      </c>
      <c r="O95" s="10">
        <f t="shared" si="18"/>
        <v>150</v>
      </c>
      <c r="P95" s="10">
        <f t="shared" si="18"/>
        <v>150</v>
      </c>
      <c r="Q95" s="10">
        <f t="shared" si="18"/>
        <v>150</v>
      </c>
      <c r="R95" s="10">
        <f t="shared" si="18"/>
        <v>150</v>
      </c>
      <c r="S95" s="10">
        <f t="shared" si="18"/>
        <v>150</v>
      </c>
      <c r="T95" s="10">
        <f t="shared" si="18"/>
        <v>150</v>
      </c>
      <c r="U95" s="10">
        <f t="shared" si="18"/>
        <v>150</v>
      </c>
      <c r="V95" s="10">
        <f t="shared" si="18"/>
        <v>150</v>
      </c>
      <c r="W95" s="10">
        <f t="shared" si="18"/>
        <v>150</v>
      </c>
      <c r="X95" s="10">
        <f t="shared" si="18"/>
        <v>150</v>
      </c>
      <c r="Y95" s="10">
        <f t="shared" si="18"/>
        <v>150</v>
      </c>
      <c r="Z95" s="10">
        <f t="shared" si="18"/>
        <v>150</v>
      </c>
      <c r="AA95" s="10">
        <f t="shared" si="18"/>
        <v>150</v>
      </c>
    </row>
    <row r="96" spans="1:27" x14ac:dyDescent="0.25">
      <c r="C96" s="1"/>
      <c r="D96" s="1"/>
      <c r="E96" t="s">
        <v>63</v>
      </c>
      <c r="F96" t="s">
        <v>43</v>
      </c>
      <c r="H96" s="10"/>
      <c r="I96" s="10"/>
      <c r="J96" s="10"/>
      <c r="K96" s="10"/>
      <c r="L96" s="10"/>
      <c r="M96" s="10"/>
      <c r="N96" s="10"/>
      <c r="O96" s="10"/>
      <c r="P96" s="10"/>
      <c r="Q96" s="10"/>
      <c r="R96" s="10"/>
      <c r="S96" s="10"/>
      <c r="T96" s="10"/>
      <c r="U96" s="10"/>
      <c r="V96" s="10"/>
      <c r="W96" s="10"/>
      <c r="X96" s="10"/>
      <c r="Y96" s="10"/>
      <c r="Z96" s="10"/>
      <c r="AA96" s="10"/>
    </row>
    <row r="97" spans="1:27" x14ac:dyDescent="0.25">
      <c r="C97" s="1"/>
      <c r="D97" s="1"/>
      <c r="E97" t="s">
        <v>140</v>
      </c>
      <c r="F97" t="s">
        <v>43</v>
      </c>
      <c r="H97" s="10"/>
      <c r="I97" s="10"/>
      <c r="J97" s="10"/>
      <c r="K97" s="10"/>
      <c r="L97" s="10"/>
      <c r="M97" s="10"/>
      <c r="N97" s="10"/>
      <c r="O97" s="10"/>
      <c r="P97" s="10"/>
      <c r="Q97" s="10"/>
      <c r="R97" s="10"/>
      <c r="S97" s="10"/>
      <c r="T97" s="10"/>
      <c r="U97" s="10"/>
      <c r="V97" s="10"/>
      <c r="W97" s="10"/>
      <c r="X97" s="10"/>
      <c r="Y97" s="10"/>
      <c r="Z97" s="10"/>
      <c r="AA97" s="10"/>
    </row>
    <row r="98" spans="1:27" x14ac:dyDescent="0.25">
      <c r="C98" s="1"/>
      <c r="D98" s="1"/>
      <c r="E98" t="s">
        <v>64</v>
      </c>
      <c r="F98" t="s">
        <v>144</v>
      </c>
      <c r="H98" s="2">
        <f>H91*H95</f>
        <v>1399500</v>
      </c>
      <c r="I98" s="2">
        <f t="shared" ref="I98:AA98" si="19">I91*I95</f>
        <v>2720100</v>
      </c>
      <c r="J98" s="2">
        <f t="shared" si="19"/>
        <v>3985395</v>
      </c>
      <c r="K98" s="2">
        <f t="shared" si="19"/>
        <v>5132625</v>
      </c>
      <c r="L98" s="2">
        <f t="shared" si="19"/>
        <v>6165419.9999999991</v>
      </c>
      <c r="M98" s="2">
        <f t="shared" si="19"/>
        <v>7091069.9999999991</v>
      </c>
      <c r="N98" s="2">
        <f t="shared" si="19"/>
        <v>7914974.9999999991</v>
      </c>
      <c r="O98" s="2">
        <f t="shared" si="19"/>
        <v>8643239.9999999981</v>
      </c>
      <c r="P98" s="2">
        <f t="shared" si="19"/>
        <v>9348224.9999999981</v>
      </c>
      <c r="Q98" s="2">
        <f t="shared" si="19"/>
        <v>10025069.999999998</v>
      </c>
      <c r="R98" s="2">
        <f t="shared" si="19"/>
        <v>10741694.999999998</v>
      </c>
      <c r="S98" s="2">
        <f t="shared" si="19"/>
        <v>11501024.999999998</v>
      </c>
      <c r="T98" s="2">
        <f t="shared" si="19"/>
        <v>12305399.999999998</v>
      </c>
      <c r="U98" s="2">
        <f t="shared" si="19"/>
        <v>13104509.999999996</v>
      </c>
      <c r="V98" s="2">
        <f t="shared" si="19"/>
        <v>13897769.999999996</v>
      </c>
      <c r="W98" s="2">
        <f t="shared" si="19"/>
        <v>13897769.999999996</v>
      </c>
      <c r="X98" s="2">
        <f t="shared" si="19"/>
        <v>13897769.999999996</v>
      </c>
      <c r="Y98" s="2">
        <f t="shared" si="19"/>
        <v>13897769.999999996</v>
      </c>
      <c r="Z98" s="2">
        <f t="shared" si="19"/>
        <v>13897769.999999996</v>
      </c>
      <c r="AA98" s="2">
        <f t="shared" si="19"/>
        <v>13897769.999999996</v>
      </c>
    </row>
    <row r="99" spans="1:27" x14ac:dyDescent="0.25">
      <c r="C99" s="1"/>
      <c r="D99" s="1"/>
      <c r="E99" t="s">
        <v>65</v>
      </c>
      <c r="F99" t="s">
        <v>144</v>
      </c>
      <c r="H99" s="2">
        <f>H91*H96</f>
        <v>0</v>
      </c>
      <c r="I99" s="2">
        <f t="shared" ref="I99:AA99" si="20">I91*I96</f>
        <v>0</v>
      </c>
      <c r="J99" s="2">
        <f t="shared" si="20"/>
        <v>0</v>
      </c>
      <c r="K99" s="2">
        <f t="shared" si="20"/>
        <v>0</v>
      </c>
      <c r="L99" s="2">
        <f t="shared" si="20"/>
        <v>0</v>
      </c>
      <c r="M99" s="2">
        <f t="shared" si="20"/>
        <v>0</v>
      </c>
      <c r="N99" s="2">
        <f t="shared" si="20"/>
        <v>0</v>
      </c>
      <c r="O99" s="2">
        <f t="shared" si="20"/>
        <v>0</v>
      </c>
      <c r="P99" s="2">
        <f t="shared" si="20"/>
        <v>0</v>
      </c>
      <c r="Q99" s="2">
        <f t="shared" si="20"/>
        <v>0</v>
      </c>
      <c r="R99" s="2">
        <f t="shared" si="20"/>
        <v>0</v>
      </c>
      <c r="S99" s="2">
        <f t="shared" si="20"/>
        <v>0</v>
      </c>
      <c r="T99" s="2">
        <f t="shared" si="20"/>
        <v>0</v>
      </c>
      <c r="U99" s="2">
        <f t="shared" si="20"/>
        <v>0</v>
      </c>
      <c r="V99" s="2">
        <f t="shared" si="20"/>
        <v>0</v>
      </c>
      <c r="W99" s="2">
        <f t="shared" si="20"/>
        <v>0</v>
      </c>
      <c r="X99" s="2">
        <f t="shared" si="20"/>
        <v>0</v>
      </c>
      <c r="Y99" s="2">
        <f t="shared" si="20"/>
        <v>0</v>
      </c>
      <c r="Z99" s="2">
        <f t="shared" si="20"/>
        <v>0</v>
      </c>
      <c r="AA99" s="2">
        <f t="shared" si="20"/>
        <v>0</v>
      </c>
    </row>
    <row r="100" spans="1:27" x14ac:dyDescent="0.25">
      <c r="C100" s="1"/>
      <c r="D100" s="1"/>
      <c r="E100" t="s">
        <v>141</v>
      </c>
      <c r="F100" t="s">
        <v>144</v>
      </c>
      <c r="H100" s="2">
        <f>H91*H97</f>
        <v>0</v>
      </c>
      <c r="I100" s="2">
        <f t="shared" ref="I100:AA100" si="21">I91*I97</f>
        <v>0</v>
      </c>
      <c r="J100" s="2">
        <f t="shared" si="21"/>
        <v>0</v>
      </c>
      <c r="K100" s="2">
        <f t="shared" si="21"/>
        <v>0</v>
      </c>
      <c r="L100" s="2">
        <f t="shared" si="21"/>
        <v>0</v>
      </c>
      <c r="M100" s="2">
        <f t="shared" si="21"/>
        <v>0</v>
      </c>
      <c r="N100" s="2">
        <f t="shared" si="21"/>
        <v>0</v>
      </c>
      <c r="O100" s="2">
        <f t="shared" si="21"/>
        <v>0</v>
      </c>
      <c r="P100" s="2">
        <f t="shared" si="21"/>
        <v>0</v>
      </c>
      <c r="Q100" s="2">
        <f t="shared" si="21"/>
        <v>0</v>
      </c>
      <c r="R100" s="2">
        <f t="shared" si="21"/>
        <v>0</v>
      </c>
      <c r="S100" s="2">
        <f t="shared" si="21"/>
        <v>0</v>
      </c>
      <c r="T100" s="2">
        <f t="shared" si="21"/>
        <v>0</v>
      </c>
      <c r="U100" s="2">
        <f t="shared" si="21"/>
        <v>0</v>
      </c>
      <c r="V100" s="2">
        <f t="shared" si="21"/>
        <v>0</v>
      </c>
      <c r="W100" s="2">
        <f t="shared" si="21"/>
        <v>0</v>
      </c>
      <c r="X100" s="2">
        <f t="shared" si="21"/>
        <v>0</v>
      </c>
      <c r="Y100" s="2">
        <f t="shared" si="21"/>
        <v>0</v>
      </c>
      <c r="Z100" s="2">
        <f t="shared" si="21"/>
        <v>0</v>
      </c>
      <c r="AA100" s="2">
        <f t="shared" si="21"/>
        <v>0</v>
      </c>
    </row>
    <row r="101" spans="1:27" x14ac:dyDescent="0.25">
      <c r="A101" s="14">
        <f>'Notes &amp; Assumptions'!A31</f>
        <v>18</v>
      </c>
      <c r="C101" s="1"/>
      <c r="D101" s="1"/>
      <c r="E101" t="s">
        <v>66</v>
      </c>
      <c r="F101" t="s">
        <v>8</v>
      </c>
      <c r="H101" s="11">
        <f>'YVW tariffs'!D25</f>
        <v>-4.24E-2</v>
      </c>
      <c r="I101" s="11">
        <f>'YVW tariffs'!E25</f>
        <v>-2.7400000000000001E-2</v>
      </c>
      <c r="J101" s="11">
        <v>0</v>
      </c>
      <c r="K101" s="11">
        <v>0</v>
      </c>
      <c r="L101" s="11">
        <v>0</v>
      </c>
      <c r="M101" s="11">
        <v>0</v>
      </c>
      <c r="N101" s="11">
        <v>0</v>
      </c>
      <c r="O101" s="11">
        <v>0</v>
      </c>
      <c r="P101" s="11">
        <v>0</v>
      </c>
      <c r="Q101" s="11">
        <v>0</v>
      </c>
      <c r="R101" s="11">
        <v>0</v>
      </c>
      <c r="S101" s="11">
        <v>0</v>
      </c>
      <c r="T101" s="11">
        <v>0</v>
      </c>
      <c r="U101" s="11">
        <v>0</v>
      </c>
      <c r="V101" s="11">
        <v>0</v>
      </c>
      <c r="W101" s="11">
        <v>0</v>
      </c>
      <c r="X101" s="11">
        <v>0</v>
      </c>
      <c r="Y101" s="11">
        <v>0</v>
      </c>
      <c r="Z101" s="11">
        <v>0</v>
      </c>
      <c r="AA101" s="11">
        <v>0</v>
      </c>
    </row>
    <row r="102" spans="1:27" x14ac:dyDescent="0.25">
      <c r="A102" s="14">
        <f>'Notes &amp; Assumptions'!A32</f>
        <v>19</v>
      </c>
      <c r="C102" s="1"/>
      <c r="D102" s="1"/>
      <c r="E102" t="s">
        <v>40</v>
      </c>
      <c r="F102" t="s">
        <v>41</v>
      </c>
      <c r="G102" s="20">
        <f>'YVW tariffs'!E4</f>
        <v>79.83198999999999</v>
      </c>
      <c r="H102" s="2">
        <f>G102*(1+$G$14)*(1+H101)</f>
        <v>78.05250301010399</v>
      </c>
      <c r="I102" s="2">
        <f t="shared" ref="I102:AA102" si="22">H102*(1+$G$14)*(1+I101)</f>
        <v>77.508055580607305</v>
      </c>
      <c r="J102" s="2">
        <f t="shared" si="22"/>
        <v>79.135724747800055</v>
      </c>
      <c r="K102" s="2">
        <f t="shared" si="22"/>
        <v>80.797574967503849</v>
      </c>
      <c r="L102" s="2">
        <f t="shared" si="22"/>
        <v>82.494324041821429</v>
      </c>
      <c r="M102" s="2">
        <f t="shared" si="22"/>
        <v>84.226704846699675</v>
      </c>
      <c r="N102" s="2">
        <f t="shared" si="22"/>
        <v>85.995465648480362</v>
      </c>
      <c r="O102" s="2">
        <f t="shared" si="22"/>
        <v>87.801370427098448</v>
      </c>
      <c r="P102" s="2">
        <f t="shared" si="22"/>
        <v>89.645199206067502</v>
      </c>
      <c r="Q102" s="2">
        <f t="shared" si="22"/>
        <v>91.527748389394915</v>
      </c>
      <c r="R102" s="2">
        <f t="shared" si="22"/>
        <v>93.449831105572201</v>
      </c>
      <c r="S102" s="2">
        <f t="shared" si="22"/>
        <v>95.412277558789214</v>
      </c>
      <c r="T102" s="2">
        <f t="shared" si="22"/>
        <v>97.415935387523774</v>
      </c>
      <c r="U102" s="2">
        <f t="shared" si="22"/>
        <v>99.461670030661764</v>
      </c>
      <c r="V102" s="2">
        <f t="shared" si="22"/>
        <v>101.55036510130566</v>
      </c>
      <c r="W102" s="2">
        <f t="shared" si="22"/>
        <v>103.68292276843307</v>
      </c>
      <c r="X102" s="2">
        <f t="shared" si="22"/>
        <v>105.86026414657016</v>
      </c>
      <c r="Y102" s="2">
        <f t="shared" si="22"/>
        <v>108.08332969364812</v>
      </c>
      <c r="Z102" s="2">
        <f t="shared" si="22"/>
        <v>110.35307961721473</v>
      </c>
      <c r="AA102" s="2">
        <f t="shared" si="22"/>
        <v>112.67049428917623</v>
      </c>
    </row>
    <row r="103" spans="1:27" x14ac:dyDescent="0.25">
      <c r="C103" s="1"/>
      <c r="D103" s="1"/>
      <c r="E103" t="s">
        <v>67</v>
      </c>
      <c r="F103" t="s">
        <v>143</v>
      </c>
      <c r="G103" s="20">
        <f>'YVW tariffs'!E5</f>
        <v>2.5268728999999999</v>
      </c>
      <c r="H103" s="21">
        <f>G103*(1+'YVW tariffs'!D26)*(1+H101)</f>
        <v>3.0841923051303834</v>
      </c>
      <c r="I103" s="21">
        <f>H103*(1+$G$14)*(1+I101)</f>
        <v>3.0626788301251766</v>
      </c>
      <c r="J103" s="21">
        <f t="shared" ref="J103:AA103" si="23">I103*(1+$G$14)*(1+J101)</f>
        <v>3.1269950855578053</v>
      </c>
      <c r="K103" s="21">
        <f t="shared" si="23"/>
        <v>3.1926619823545188</v>
      </c>
      <c r="L103" s="21">
        <f t="shared" si="23"/>
        <v>3.2597078839839635</v>
      </c>
      <c r="M103" s="21">
        <f t="shared" si="23"/>
        <v>3.3281617495476263</v>
      </c>
      <c r="N103" s="21">
        <f t="shared" si="23"/>
        <v>3.398053146288126</v>
      </c>
      <c r="O103" s="21">
        <f t="shared" si="23"/>
        <v>3.4694122623601764</v>
      </c>
      <c r="P103" s="21">
        <f t="shared" si="23"/>
        <v>3.5422699198697396</v>
      </c>
      <c r="Q103" s="21">
        <f t="shared" si="23"/>
        <v>3.616657588187004</v>
      </c>
      <c r="R103" s="21">
        <f t="shared" si="23"/>
        <v>3.6926073975389309</v>
      </c>
      <c r="S103" s="21">
        <f t="shared" si="23"/>
        <v>3.7701521528872481</v>
      </c>
      <c r="T103" s="21">
        <f t="shared" si="23"/>
        <v>3.8493253480978802</v>
      </c>
      <c r="U103" s="21">
        <f t="shared" si="23"/>
        <v>3.9301611804079353</v>
      </c>
      <c r="V103" s="21">
        <f t="shared" si="23"/>
        <v>4.0126945651965018</v>
      </c>
      <c r="W103" s="21">
        <f t="shared" si="23"/>
        <v>4.0969611510656279</v>
      </c>
      <c r="X103" s="21">
        <f t="shared" si="23"/>
        <v>4.1829973352380057</v>
      </c>
      <c r="Y103" s="21">
        <f t="shared" si="23"/>
        <v>4.2708402792780031</v>
      </c>
      <c r="Z103" s="21">
        <f t="shared" si="23"/>
        <v>4.3605279251428408</v>
      </c>
      <c r="AA103" s="21">
        <f t="shared" si="23"/>
        <v>4.4520990115708399</v>
      </c>
    </row>
    <row r="104" spans="1:27" x14ac:dyDescent="0.25">
      <c r="C104" s="1"/>
      <c r="D104" s="1"/>
      <c r="E104" t="s">
        <v>68</v>
      </c>
      <c r="F104" t="s">
        <v>143</v>
      </c>
      <c r="G104" s="20">
        <f>'YVW tariffs'!E6</f>
        <v>3.2042042999999998</v>
      </c>
      <c r="H104" s="21">
        <f>G104*(1+'YVW tariffs'!D27)*(1+H101)</f>
        <v>4.0367160471718071</v>
      </c>
      <c r="I104" s="21">
        <f t="shared" ref="I104:AA104" si="24">H104*(1+$G$14)*(1+I101)</f>
        <v>4.008558338056365</v>
      </c>
      <c r="J104" s="21">
        <f t="shared" si="24"/>
        <v>4.0927380631555481</v>
      </c>
      <c r="K104" s="21">
        <f t="shared" si="24"/>
        <v>4.1786855624818147</v>
      </c>
      <c r="L104" s="21">
        <f t="shared" si="24"/>
        <v>4.2664379592939321</v>
      </c>
      <c r="M104" s="21">
        <f t="shared" si="24"/>
        <v>4.3560331564391044</v>
      </c>
      <c r="N104" s="21">
        <f t="shared" si="24"/>
        <v>4.4475098527243251</v>
      </c>
      <c r="O104" s="21">
        <f t="shared" si="24"/>
        <v>4.5409075596315356</v>
      </c>
      <c r="P104" s="21">
        <f t="shared" si="24"/>
        <v>4.6362666183837975</v>
      </c>
      <c r="Q104" s="21">
        <f t="shared" si="24"/>
        <v>4.7336282173698567</v>
      </c>
      <c r="R104" s="21">
        <f t="shared" si="24"/>
        <v>4.8330344099346236</v>
      </c>
      <c r="S104" s="21">
        <f t="shared" si="24"/>
        <v>4.9345281325432504</v>
      </c>
      <c r="T104" s="21">
        <f t="shared" si="24"/>
        <v>5.0381532233266579</v>
      </c>
      <c r="U104" s="21">
        <f t="shared" si="24"/>
        <v>5.1439544410165174</v>
      </c>
      <c r="V104" s="21">
        <f t="shared" si="24"/>
        <v>5.2519774842778641</v>
      </c>
      <c r="W104" s="21">
        <f t="shared" si="24"/>
        <v>5.3622690114476992</v>
      </c>
      <c r="X104" s="21">
        <f t="shared" si="24"/>
        <v>5.4748766606881007</v>
      </c>
      <c r="Y104" s="21">
        <f t="shared" si="24"/>
        <v>5.5898490705625505</v>
      </c>
      <c r="Z104" s="21">
        <f t="shared" si="24"/>
        <v>5.7072359010443634</v>
      </c>
      <c r="AA104" s="21">
        <f t="shared" si="24"/>
        <v>5.8270878549662948</v>
      </c>
    </row>
    <row r="105" spans="1:27" x14ac:dyDescent="0.25">
      <c r="C105" s="1"/>
      <c r="D105" s="1"/>
      <c r="E105" t="s">
        <v>142</v>
      </c>
      <c r="F105" t="s">
        <v>143</v>
      </c>
      <c r="G105" s="20">
        <f>'YVW tariffs'!E7</f>
        <v>4.7208997999999998</v>
      </c>
      <c r="H105" s="21">
        <f>G105*(1+'YVW tariffs'!D28)*(1+H101)</f>
        <v>4.6681095654204476</v>
      </c>
      <c r="I105" s="21">
        <f t="shared" ref="I105:AA105" si="25">H105*(1+$G$14)*(1+I101)</f>
        <v>4.6355476339578132</v>
      </c>
      <c r="J105" s="21">
        <f t="shared" si="25"/>
        <v>4.7328941342709268</v>
      </c>
      <c r="K105" s="21">
        <f t="shared" si="25"/>
        <v>4.8322849110906159</v>
      </c>
      <c r="L105" s="21">
        <f t="shared" si="25"/>
        <v>4.9337628942235181</v>
      </c>
      <c r="M105" s="21">
        <f t="shared" si="25"/>
        <v>5.0373719150022112</v>
      </c>
      <c r="N105" s="21">
        <f t="shared" si="25"/>
        <v>5.1431567252172572</v>
      </c>
      <c r="O105" s="21">
        <f t="shared" si="25"/>
        <v>5.251163016446819</v>
      </c>
      <c r="P105" s="21">
        <f t="shared" si="25"/>
        <v>5.3614374397922013</v>
      </c>
      <c r="Q105" s="21">
        <f t="shared" si="25"/>
        <v>5.4740276260278371</v>
      </c>
      <c r="R105" s="21">
        <f t="shared" si="25"/>
        <v>5.5889822061744212</v>
      </c>
      <c r="S105" s="21">
        <f t="shared" si="25"/>
        <v>5.7063508325040839</v>
      </c>
      <c r="T105" s="21">
        <f t="shared" si="25"/>
        <v>5.8261841999866695</v>
      </c>
      <c r="U105" s="21">
        <f t="shared" si="25"/>
        <v>5.9485340681863894</v>
      </c>
      <c r="V105" s="21">
        <f t="shared" si="25"/>
        <v>6.0734532836183028</v>
      </c>
      <c r="W105" s="21">
        <f t="shared" si="25"/>
        <v>6.2009958025742868</v>
      </c>
      <c r="X105" s="21">
        <f t="shared" si="25"/>
        <v>6.3312167144283462</v>
      </c>
      <c r="Y105" s="21">
        <f t="shared" si="25"/>
        <v>6.4641722654313405</v>
      </c>
      <c r="Z105" s="21">
        <f t="shared" si="25"/>
        <v>6.5999198830053984</v>
      </c>
      <c r="AA105" s="21">
        <f t="shared" si="25"/>
        <v>6.7385182005485111</v>
      </c>
    </row>
    <row r="106" spans="1:27" x14ac:dyDescent="0.25">
      <c r="C106" s="1"/>
      <c r="D106" s="1"/>
    </row>
    <row r="107" spans="1:27" x14ac:dyDescent="0.25">
      <c r="C107" s="1"/>
      <c r="D107" s="1"/>
      <c r="E107" t="s">
        <v>69</v>
      </c>
      <c r="F107" t="s">
        <v>58</v>
      </c>
      <c r="H107" s="2">
        <f>SUM(H98:H100)/1000</f>
        <v>1399.5</v>
      </c>
      <c r="I107" s="2">
        <f t="shared" ref="I107:AA107" si="26">SUM(I98:I100)/1000</f>
        <v>2720.1</v>
      </c>
      <c r="J107" s="2">
        <f t="shared" si="26"/>
        <v>3985.395</v>
      </c>
      <c r="K107" s="2">
        <f t="shared" si="26"/>
        <v>5132.625</v>
      </c>
      <c r="L107" s="2">
        <f t="shared" si="26"/>
        <v>6165.4199999999992</v>
      </c>
      <c r="M107" s="2">
        <f t="shared" si="26"/>
        <v>7091.0699999999988</v>
      </c>
      <c r="N107" s="2">
        <f t="shared" si="26"/>
        <v>7914.9749999999995</v>
      </c>
      <c r="O107" s="2">
        <f t="shared" si="26"/>
        <v>8643.239999999998</v>
      </c>
      <c r="P107" s="2">
        <f t="shared" si="26"/>
        <v>9348.2249999999985</v>
      </c>
      <c r="Q107" s="2">
        <f t="shared" si="26"/>
        <v>10025.069999999998</v>
      </c>
      <c r="R107" s="2">
        <f t="shared" si="26"/>
        <v>10741.694999999998</v>
      </c>
      <c r="S107" s="2">
        <f t="shared" si="26"/>
        <v>11501.024999999998</v>
      </c>
      <c r="T107" s="2">
        <f t="shared" si="26"/>
        <v>12305.399999999998</v>
      </c>
      <c r="U107" s="2">
        <f t="shared" si="26"/>
        <v>13104.509999999997</v>
      </c>
      <c r="V107" s="2">
        <f t="shared" si="26"/>
        <v>13897.769999999997</v>
      </c>
      <c r="W107" s="2">
        <f t="shared" si="26"/>
        <v>13897.769999999997</v>
      </c>
      <c r="X107" s="2">
        <f t="shared" si="26"/>
        <v>13897.769999999997</v>
      </c>
      <c r="Y107" s="2">
        <f t="shared" si="26"/>
        <v>13897.769999999997</v>
      </c>
      <c r="Z107" s="2">
        <f t="shared" si="26"/>
        <v>13897.769999999997</v>
      </c>
      <c r="AA107" s="2">
        <f t="shared" si="26"/>
        <v>13897.769999999997</v>
      </c>
    </row>
    <row r="108" spans="1:27" x14ac:dyDescent="0.25">
      <c r="C108" s="1"/>
      <c r="D108" s="1"/>
      <c r="E108" t="s">
        <v>70</v>
      </c>
      <c r="F108" t="s">
        <v>7</v>
      </c>
      <c r="H108" s="2">
        <f>H91*H102+H98*H103+H99*H104+H100*H105</f>
        <v>5044556.9841142418</v>
      </c>
      <c r="I108" s="2">
        <f t="shared" ref="I108:AA108" si="27">I91*I102+I98*I103+I99*I104+I100*I105</f>
        <v>9736323.7657222264</v>
      </c>
      <c r="J108" s="2">
        <f t="shared" si="27"/>
        <v>14564891.390548375</v>
      </c>
      <c r="K108" s="2">
        <f t="shared" si="27"/>
        <v>19151427.728632927</v>
      </c>
      <c r="L108" s="2">
        <f t="shared" si="27"/>
        <v>23488215.884298582</v>
      </c>
      <c r="M108" s="2">
        <f t="shared" si="27"/>
        <v>27581944.336946592</v>
      </c>
      <c r="N108" s="2">
        <f t="shared" si="27"/>
        <v>31433185.439682394</v>
      </c>
      <c r="O108" s="2">
        <f t="shared" si="27"/>
        <v>35046218.288724065</v>
      </c>
      <c r="P108" s="2">
        <f t="shared" si="27"/>
        <v>38700759.503995225</v>
      </c>
      <c r="Q108" s="2">
        <f t="shared" si="27"/>
        <v>42374392.717913024</v>
      </c>
      <c r="R108" s="2">
        <f t="shared" si="27"/>
        <v>46356926.309357397</v>
      </c>
      <c r="S108" s="2">
        <f t="shared" si="27"/>
        <v>50676207.427563883</v>
      </c>
      <c r="T108" s="2">
        <f t="shared" si="27"/>
        <v>55359101.81393455</v>
      </c>
      <c r="U108" s="2">
        <f t="shared" si="27"/>
        <v>60192146.153824285</v>
      </c>
      <c r="V108" s="2">
        <f t="shared" si="27"/>
        <v>65176330.264644124</v>
      </c>
      <c r="W108" s="2">
        <f t="shared" si="27"/>
        <v>66545033.200201645</v>
      </c>
      <c r="X108" s="2">
        <f t="shared" si="27"/>
        <v>67942478.897405863</v>
      </c>
      <c r="Y108" s="2">
        <f t="shared" si="27"/>
        <v>69369270.954251379</v>
      </c>
      <c r="Z108" s="2">
        <f t="shared" si="27"/>
        <v>70826025.644290656</v>
      </c>
      <c r="AA108" s="2">
        <f t="shared" si="27"/>
        <v>72313372.182820752</v>
      </c>
    </row>
    <row r="109" spans="1:27" x14ac:dyDescent="0.25">
      <c r="C109" s="1"/>
      <c r="D109" s="1"/>
    </row>
    <row r="110" spans="1:27" x14ac:dyDescent="0.25">
      <c r="C110" s="1"/>
      <c r="D110" t="s">
        <v>71</v>
      </c>
    </row>
    <row r="111" spans="1:27" x14ac:dyDescent="0.25">
      <c r="A111" s="14">
        <f>'Notes &amp; Assumptions'!A33</f>
        <v>20</v>
      </c>
      <c r="C111" s="1"/>
      <c r="D111" s="1"/>
      <c r="E111" t="s">
        <v>87</v>
      </c>
      <c r="F111" t="s">
        <v>3</v>
      </c>
      <c r="H111" s="10">
        <f>'Customer numbers'!P30</f>
        <v>644</v>
      </c>
      <c r="I111" s="10">
        <f>'Customer numbers'!Q30</f>
        <v>644</v>
      </c>
      <c r="J111" s="10">
        <f>'Customer numbers'!R30</f>
        <v>658</v>
      </c>
      <c r="K111" s="10">
        <f>'Customer numbers'!S30</f>
        <v>630</v>
      </c>
      <c r="L111" s="10">
        <f>'Customer numbers'!T30</f>
        <v>609</v>
      </c>
      <c r="M111" s="10">
        <f>'Customer numbers'!U30</f>
        <v>581</v>
      </c>
      <c r="N111" s="10">
        <f>'Customer numbers'!V30</f>
        <v>560</v>
      </c>
      <c r="O111" s="10">
        <f>'Customer numbers'!W30</f>
        <v>539</v>
      </c>
      <c r="P111" s="10">
        <f>'Customer numbers'!X30</f>
        <v>567</v>
      </c>
      <c r="Q111" s="10">
        <f>'Customer numbers'!Y30</f>
        <v>602</v>
      </c>
      <c r="R111" s="10">
        <f>'Customer numbers'!Z30</f>
        <v>637</v>
      </c>
      <c r="S111" s="10">
        <f>'Customer numbers'!AA30</f>
        <v>679</v>
      </c>
      <c r="T111" s="10">
        <f>'Customer numbers'!AB30</f>
        <v>714</v>
      </c>
      <c r="U111" s="10">
        <f>'Customer numbers'!AC30</f>
        <v>707</v>
      </c>
      <c r="V111" s="10">
        <f>'Customer numbers'!AD30</f>
        <v>707</v>
      </c>
    </row>
    <row r="112" spans="1:27" x14ac:dyDescent="0.25">
      <c r="C112" s="1"/>
      <c r="D112" s="1"/>
      <c r="E112" t="s">
        <v>60</v>
      </c>
      <c r="F112" t="s">
        <v>3</v>
      </c>
      <c r="G112">
        <f>IF('Key assumptions'!B4="yes",SUM('Customer numbers'!F31:O31),0)</f>
        <v>0</v>
      </c>
      <c r="H112" s="2">
        <f>G112+H111</f>
        <v>644</v>
      </c>
      <c r="I112" s="2">
        <f t="shared" ref="I112:AA112" si="28">H112+I111</f>
        <v>1288</v>
      </c>
      <c r="J112" s="2">
        <f t="shared" si="28"/>
        <v>1946</v>
      </c>
      <c r="K112" s="2">
        <f t="shared" si="28"/>
        <v>2576</v>
      </c>
      <c r="L112" s="2">
        <f t="shared" si="28"/>
        <v>3185</v>
      </c>
      <c r="M112" s="2">
        <f t="shared" si="28"/>
        <v>3766</v>
      </c>
      <c r="N112" s="2">
        <f t="shared" si="28"/>
        <v>4326</v>
      </c>
      <c r="O112" s="2">
        <f t="shared" si="28"/>
        <v>4865</v>
      </c>
      <c r="P112" s="2">
        <f t="shared" si="28"/>
        <v>5432</v>
      </c>
      <c r="Q112" s="2">
        <f t="shared" si="28"/>
        <v>6034</v>
      </c>
      <c r="R112" s="2">
        <f t="shared" si="28"/>
        <v>6671</v>
      </c>
      <c r="S112" s="2">
        <f t="shared" si="28"/>
        <v>7350</v>
      </c>
      <c r="T112" s="2">
        <f t="shared" si="28"/>
        <v>8064</v>
      </c>
      <c r="U112" s="2">
        <f t="shared" si="28"/>
        <v>8771</v>
      </c>
      <c r="V112" s="2">
        <f t="shared" si="28"/>
        <v>9478</v>
      </c>
      <c r="W112" s="2">
        <f t="shared" si="28"/>
        <v>9478</v>
      </c>
      <c r="X112" s="2">
        <f t="shared" si="28"/>
        <v>9478</v>
      </c>
      <c r="Y112" s="2">
        <f t="shared" si="28"/>
        <v>9478</v>
      </c>
      <c r="Z112" s="2">
        <f t="shared" si="28"/>
        <v>9478</v>
      </c>
      <c r="AA112" s="2">
        <f t="shared" si="28"/>
        <v>9478</v>
      </c>
    </row>
    <row r="113" spans="1:27" x14ac:dyDescent="0.25">
      <c r="A113" s="14">
        <f>'Notes &amp; Assumptions'!A34</f>
        <v>21</v>
      </c>
      <c r="C113" s="1"/>
      <c r="D113" s="1"/>
      <c r="E113" t="s">
        <v>61</v>
      </c>
      <c r="F113" t="s">
        <v>3</v>
      </c>
      <c r="G113" s="10">
        <v>1</v>
      </c>
    </row>
    <row r="114" spans="1:27" x14ac:dyDescent="0.25">
      <c r="C114" s="1"/>
      <c r="D114" s="1"/>
      <c r="E114" t="s">
        <v>88</v>
      </c>
      <c r="F114" t="s">
        <v>3</v>
      </c>
      <c r="H114">
        <f>H111*$G113</f>
        <v>644</v>
      </c>
      <c r="I114">
        <f t="shared" ref="I114:AA114" si="29">I111*$G113</f>
        <v>644</v>
      </c>
      <c r="J114">
        <f t="shared" si="29"/>
        <v>658</v>
      </c>
      <c r="K114">
        <f t="shared" si="29"/>
        <v>630</v>
      </c>
      <c r="L114">
        <f t="shared" si="29"/>
        <v>609</v>
      </c>
      <c r="M114">
        <f t="shared" si="29"/>
        <v>581</v>
      </c>
      <c r="N114">
        <f t="shared" si="29"/>
        <v>560</v>
      </c>
      <c r="O114">
        <f t="shared" si="29"/>
        <v>539</v>
      </c>
      <c r="P114">
        <f t="shared" si="29"/>
        <v>567</v>
      </c>
      <c r="Q114">
        <f t="shared" si="29"/>
        <v>602</v>
      </c>
      <c r="R114">
        <f t="shared" si="29"/>
        <v>637</v>
      </c>
      <c r="S114">
        <f t="shared" si="29"/>
        <v>679</v>
      </c>
      <c r="T114">
        <f t="shared" si="29"/>
        <v>714</v>
      </c>
      <c r="U114">
        <f t="shared" si="29"/>
        <v>707</v>
      </c>
      <c r="V114">
        <f t="shared" si="29"/>
        <v>707</v>
      </c>
      <c r="W114">
        <f t="shared" si="29"/>
        <v>0</v>
      </c>
      <c r="X114">
        <f t="shared" si="29"/>
        <v>0</v>
      </c>
      <c r="Y114">
        <f t="shared" si="29"/>
        <v>0</v>
      </c>
      <c r="Z114">
        <f t="shared" si="29"/>
        <v>0</v>
      </c>
      <c r="AA114">
        <f t="shared" si="29"/>
        <v>0</v>
      </c>
    </row>
    <row r="115" spans="1:27" x14ac:dyDescent="0.25">
      <c r="C115" s="1"/>
      <c r="D115" s="1"/>
      <c r="E115" t="s">
        <v>89</v>
      </c>
      <c r="F115" t="s">
        <v>3</v>
      </c>
      <c r="H115">
        <f>H112*$G113</f>
        <v>644</v>
      </c>
      <c r="I115">
        <f t="shared" ref="I115:AA115" si="30">I112*$G113</f>
        <v>1288</v>
      </c>
      <c r="J115">
        <f t="shared" si="30"/>
        <v>1946</v>
      </c>
      <c r="K115">
        <f t="shared" si="30"/>
        <v>2576</v>
      </c>
      <c r="L115">
        <f t="shared" si="30"/>
        <v>3185</v>
      </c>
      <c r="M115">
        <f t="shared" si="30"/>
        <v>3766</v>
      </c>
      <c r="N115">
        <f t="shared" si="30"/>
        <v>4326</v>
      </c>
      <c r="O115">
        <f t="shared" si="30"/>
        <v>4865</v>
      </c>
      <c r="P115">
        <f t="shared" si="30"/>
        <v>5432</v>
      </c>
      <c r="Q115">
        <f t="shared" si="30"/>
        <v>6034</v>
      </c>
      <c r="R115">
        <f t="shared" si="30"/>
        <v>6671</v>
      </c>
      <c r="S115">
        <f t="shared" si="30"/>
        <v>7350</v>
      </c>
      <c r="T115">
        <f t="shared" si="30"/>
        <v>8064</v>
      </c>
      <c r="U115">
        <f t="shared" si="30"/>
        <v>8771</v>
      </c>
      <c r="V115">
        <f t="shared" si="30"/>
        <v>9478</v>
      </c>
      <c r="W115">
        <f t="shared" si="30"/>
        <v>9478</v>
      </c>
      <c r="X115">
        <f t="shared" si="30"/>
        <v>9478</v>
      </c>
      <c r="Y115">
        <f t="shared" si="30"/>
        <v>9478</v>
      </c>
      <c r="Z115">
        <f t="shared" si="30"/>
        <v>9478</v>
      </c>
      <c r="AA115">
        <f t="shared" si="30"/>
        <v>9478</v>
      </c>
    </row>
    <row r="116" spans="1:27" x14ac:dyDescent="0.25">
      <c r="A116" s="14">
        <f>'Notes &amp; Assumptions'!A35</f>
        <v>22</v>
      </c>
      <c r="C116" s="1"/>
      <c r="D116" s="1"/>
      <c r="E116" t="s">
        <v>62</v>
      </c>
      <c r="F116" t="s">
        <v>43</v>
      </c>
      <c r="H116" s="10">
        <f>'Key assumptions'!B26</f>
        <v>520</v>
      </c>
      <c r="I116" s="10">
        <f>H116</f>
        <v>520</v>
      </c>
      <c r="J116" s="10">
        <f t="shared" ref="J116:AA116" si="31">I116</f>
        <v>520</v>
      </c>
      <c r="K116" s="10">
        <f t="shared" si="31"/>
        <v>520</v>
      </c>
      <c r="L116" s="10">
        <f t="shared" si="31"/>
        <v>520</v>
      </c>
      <c r="M116" s="10">
        <f t="shared" si="31"/>
        <v>520</v>
      </c>
      <c r="N116" s="10">
        <f t="shared" si="31"/>
        <v>520</v>
      </c>
      <c r="O116" s="10">
        <f t="shared" si="31"/>
        <v>520</v>
      </c>
      <c r="P116" s="10">
        <f t="shared" si="31"/>
        <v>520</v>
      </c>
      <c r="Q116" s="10">
        <f t="shared" si="31"/>
        <v>520</v>
      </c>
      <c r="R116" s="10">
        <f t="shared" si="31"/>
        <v>520</v>
      </c>
      <c r="S116" s="10">
        <f t="shared" si="31"/>
        <v>520</v>
      </c>
      <c r="T116" s="10">
        <f t="shared" si="31"/>
        <v>520</v>
      </c>
      <c r="U116" s="10">
        <f t="shared" si="31"/>
        <v>520</v>
      </c>
      <c r="V116" s="10">
        <f t="shared" si="31"/>
        <v>520</v>
      </c>
      <c r="W116" s="10">
        <f t="shared" si="31"/>
        <v>520</v>
      </c>
      <c r="X116" s="10">
        <f t="shared" si="31"/>
        <v>520</v>
      </c>
      <c r="Y116" s="10">
        <f t="shared" si="31"/>
        <v>520</v>
      </c>
      <c r="Z116" s="10">
        <f t="shared" si="31"/>
        <v>520</v>
      </c>
      <c r="AA116" s="10">
        <f t="shared" si="31"/>
        <v>520</v>
      </c>
    </row>
    <row r="117" spans="1:27" x14ac:dyDescent="0.25">
      <c r="C117" s="1"/>
      <c r="D117" s="1"/>
      <c r="E117" t="s">
        <v>63</v>
      </c>
      <c r="F117" t="s">
        <v>43</v>
      </c>
      <c r="H117" s="10"/>
      <c r="I117" s="10"/>
      <c r="J117" s="10"/>
      <c r="K117" s="10"/>
      <c r="L117" s="10"/>
      <c r="M117" s="10"/>
      <c r="N117" s="10"/>
      <c r="O117" s="10"/>
      <c r="P117" s="10"/>
      <c r="Q117" s="10"/>
      <c r="R117" s="10"/>
      <c r="S117" s="10"/>
      <c r="T117" s="10"/>
      <c r="U117" s="10"/>
      <c r="V117" s="10"/>
      <c r="W117" s="10"/>
      <c r="X117" s="10"/>
      <c r="Y117" s="10"/>
      <c r="Z117" s="10"/>
      <c r="AA117" s="10"/>
    </row>
    <row r="118" spans="1:27" x14ac:dyDescent="0.25">
      <c r="C118" s="1"/>
      <c r="D118" s="1"/>
      <c r="E118" t="s">
        <v>140</v>
      </c>
      <c r="F118" t="s">
        <v>43</v>
      </c>
      <c r="H118" s="10"/>
      <c r="I118" s="10"/>
      <c r="J118" s="10"/>
      <c r="K118" s="10"/>
      <c r="L118" s="10"/>
      <c r="M118" s="10"/>
      <c r="N118" s="10"/>
      <c r="O118" s="10"/>
      <c r="P118" s="10"/>
      <c r="Q118" s="10"/>
      <c r="R118" s="10"/>
      <c r="S118" s="10"/>
      <c r="T118" s="10"/>
      <c r="U118" s="10"/>
      <c r="V118" s="10"/>
      <c r="W118" s="10"/>
      <c r="X118" s="10"/>
      <c r="Y118" s="10"/>
      <c r="Z118" s="10"/>
      <c r="AA118" s="10"/>
    </row>
    <row r="119" spans="1:27" x14ac:dyDescent="0.25">
      <c r="C119" s="1"/>
      <c r="D119" s="1"/>
      <c r="E119" t="s">
        <v>64</v>
      </c>
      <c r="F119" t="s">
        <v>144</v>
      </c>
      <c r="H119" s="2">
        <f>H112*H116</f>
        <v>334880</v>
      </c>
      <c r="I119" s="2">
        <f t="shared" ref="I119:AA119" si="32">I112*I116</f>
        <v>669760</v>
      </c>
      <c r="J119" s="2">
        <f t="shared" si="32"/>
        <v>1011920</v>
      </c>
      <c r="K119" s="2">
        <f t="shared" si="32"/>
        <v>1339520</v>
      </c>
      <c r="L119" s="2">
        <f t="shared" si="32"/>
        <v>1656200</v>
      </c>
      <c r="M119" s="2">
        <f t="shared" si="32"/>
        <v>1958320</v>
      </c>
      <c r="N119" s="2">
        <f t="shared" si="32"/>
        <v>2249520</v>
      </c>
      <c r="O119" s="2">
        <f t="shared" si="32"/>
        <v>2529800</v>
      </c>
      <c r="P119" s="2">
        <f t="shared" si="32"/>
        <v>2824640</v>
      </c>
      <c r="Q119" s="2">
        <f t="shared" si="32"/>
        <v>3137680</v>
      </c>
      <c r="R119" s="2">
        <f t="shared" si="32"/>
        <v>3468920</v>
      </c>
      <c r="S119" s="2">
        <f t="shared" si="32"/>
        <v>3822000</v>
      </c>
      <c r="T119" s="2">
        <f t="shared" si="32"/>
        <v>4193280</v>
      </c>
      <c r="U119" s="2">
        <f t="shared" si="32"/>
        <v>4560920</v>
      </c>
      <c r="V119" s="2">
        <f t="shared" si="32"/>
        <v>4928560</v>
      </c>
      <c r="W119" s="2">
        <f t="shared" si="32"/>
        <v>4928560</v>
      </c>
      <c r="X119" s="2">
        <f t="shared" si="32"/>
        <v>4928560</v>
      </c>
      <c r="Y119" s="2">
        <f t="shared" si="32"/>
        <v>4928560</v>
      </c>
      <c r="Z119" s="2">
        <f t="shared" si="32"/>
        <v>4928560</v>
      </c>
      <c r="AA119" s="2">
        <f t="shared" si="32"/>
        <v>4928560</v>
      </c>
    </row>
    <row r="120" spans="1:27" x14ac:dyDescent="0.25">
      <c r="C120" s="1"/>
      <c r="D120" s="1"/>
      <c r="E120" t="s">
        <v>65</v>
      </c>
      <c r="F120" t="s">
        <v>144</v>
      </c>
      <c r="H120" s="2">
        <f>H112*H117</f>
        <v>0</v>
      </c>
      <c r="I120" s="2">
        <f t="shared" ref="I120:AA120" si="33">I112*I117</f>
        <v>0</v>
      </c>
      <c r="J120" s="2">
        <f t="shared" si="33"/>
        <v>0</v>
      </c>
      <c r="K120" s="2">
        <f t="shared" si="33"/>
        <v>0</v>
      </c>
      <c r="L120" s="2">
        <f t="shared" si="33"/>
        <v>0</v>
      </c>
      <c r="M120" s="2">
        <f t="shared" si="33"/>
        <v>0</v>
      </c>
      <c r="N120" s="2">
        <f t="shared" si="33"/>
        <v>0</v>
      </c>
      <c r="O120" s="2">
        <f t="shared" si="33"/>
        <v>0</v>
      </c>
      <c r="P120" s="2">
        <f t="shared" si="33"/>
        <v>0</v>
      </c>
      <c r="Q120" s="2">
        <f t="shared" si="33"/>
        <v>0</v>
      </c>
      <c r="R120" s="2">
        <f t="shared" si="33"/>
        <v>0</v>
      </c>
      <c r="S120" s="2">
        <f t="shared" si="33"/>
        <v>0</v>
      </c>
      <c r="T120" s="2">
        <f t="shared" si="33"/>
        <v>0</v>
      </c>
      <c r="U120" s="2">
        <f t="shared" si="33"/>
        <v>0</v>
      </c>
      <c r="V120" s="2">
        <f t="shared" si="33"/>
        <v>0</v>
      </c>
      <c r="W120" s="2">
        <f t="shared" si="33"/>
        <v>0</v>
      </c>
      <c r="X120" s="2">
        <f t="shared" si="33"/>
        <v>0</v>
      </c>
      <c r="Y120" s="2">
        <f t="shared" si="33"/>
        <v>0</v>
      </c>
      <c r="Z120" s="2">
        <f t="shared" si="33"/>
        <v>0</v>
      </c>
      <c r="AA120" s="2">
        <f t="shared" si="33"/>
        <v>0</v>
      </c>
    </row>
    <row r="121" spans="1:27" x14ac:dyDescent="0.25">
      <c r="C121" s="1"/>
      <c r="D121" s="1"/>
      <c r="E121" t="s">
        <v>141</v>
      </c>
      <c r="F121" t="s">
        <v>144</v>
      </c>
      <c r="H121" s="2">
        <f>H112*H118</f>
        <v>0</v>
      </c>
      <c r="I121" s="2">
        <f t="shared" ref="I121:AA121" si="34">I112*I118</f>
        <v>0</v>
      </c>
      <c r="J121" s="2">
        <f t="shared" si="34"/>
        <v>0</v>
      </c>
      <c r="K121" s="2">
        <f t="shared" si="34"/>
        <v>0</v>
      </c>
      <c r="L121" s="2">
        <f t="shared" si="34"/>
        <v>0</v>
      </c>
      <c r="M121" s="2">
        <f t="shared" si="34"/>
        <v>0</v>
      </c>
      <c r="N121" s="2">
        <f t="shared" si="34"/>
        <v>0</v>
      </c>
      <c r="O121" s="2">
        <f t="shared" si="34"/>
        <v>0</v>
      </c>
      <c r="P121" s="2">
        <f t="shared" si="34"/>
        <v>0</v>
      </c>
      <c r="Q121" s="2">
        <f t="shared" si="34"/>
        <v>0</v>
      </c>
      <c r="R121" s="2">
        <f t="shared" si="34"/>
        <v>0</v>
      </c>
      <c r="S121" s="2">
        <f t="shared" si="34"/>
        <v>0</v>
      </c>
      <c r="T121" s="2">
        <f t="shared" si="34"/>
        <v>0</v>
      </c>
      <c r="U121" s="2">
        <f t="shared" si="34"/>
        <v>0</v>
      </c>
      <c r="V121" s="2">
        <f t="shared" si="34"/>
        <v>0</v>
      </c>
      <c r="W121" s="2">
        <f t="shared" si="34"/>
        <v>0</v>
      </c>
      <c r="X121" s="2">
        <f t="shared" si="34"/>
        <v>0</v>
      </c>
      <c r="Y121" s="2">
        <f t="shared" si="34"/>
        <v>0</v>
      </c>
      <c r="Z121" s="2">
        <f t="shared" si="34"/>
        <v>0</v>
      </c>
      <c r="AA121" s="2">
        <f t="shared" si="34"/>
        <v>0</v>
      </c>
    </row>
    <row r="122" spans="1:27" x14ac:dyDescent="0.25">
      <c r="A122" s="14">
        <f>'Notes &amp; Assumptions'!A36</f>
        <v>23</v>
      </c>
      <c r="C122" s="1"/>
      <c r="D122" s="1"/>
      <c r="E122" t="s">
        <v>66</v>
      </c>
      <c r="F122" t="s">
        <v>8</v>
      </c>
      <c r="H122" s="11">
        <f>'YVW tariffs'!D35</f>
        <v>-4.24E-2</v>
      </c>
      <c r="I122" s="11">
        <f>'YVW tariffs'!E35</f>
        <v>-2.7400000000000001E-2</v>
      </c>
      <c r="J122" s="11">
        <f>'YVW tariffs'!F35</f>
        <v>0</v>
      </c>
      <c r="K122" s="11">
        <f>'YVW tariffs'!G35</f>
        <v>0</v>
      </c>
      <c r="L122" s="11">
        <f>'YVW tariffs'!H35</f>
        <v>0</v>
      </c>
      <c r="M122" s="11"/>
      <c r="N122" s="11"/>
      <c r="O122" s="11"/>
      <c r="P122" s="11"/>
      <c r="Q122" s="11"/>
      <c r="R122" s="11"/>
      <c r="S122" s="11"/>
      <c r="T122" s="11"/>
      <c r="U122" s="11"/>
      <c r="V122" s="11"/>
      <c r="W122" s="11"/>
      <c r="X122" s="11"/>
      <c r="Y122" s="11"/>
      <c r="Z122" s="11"/>
      <c r="AA122" s="11"/>
    </row>
    <row r="123" spans="1:27" x14ac:dyDescent="0.25">
      <c r="A123" s="14">
        <f>'Notes &amp; Assumptions'!A37</f>
        <v>24</v>
      </c>
      <c r="C123" s="1"/>
      <c r="D123" s="1"/>
      <c r="E123" t="s">
        <v>40</v>
      </c>
      <c r="F123" t="s">
        <v>41</v>
      </c>
      <c r="G123" s="20">
        <f>'YVW tariffs'!D10</f>
        <v>289.95</v>
      </c>
      <c r="H123" s="2">
        <f>G123*(1+$G$14)*(1+H122)</f>
        <v>283.48689851999995</v>
      </c>
      <c r="I123" s="2">
        <f t="shared" ref="I123:AA123" si="35">H123*(1+$G$14)*(1+I122)</f>
        <v>281.5094640080635</v>
      </c>
      <c r="J123" s="2">
        <f>I123*(1+$G$14)*(1+J122)</f>
        <v>287.42116275223282</v>
      </c>
      <c r="K123" s="2">
        <f t="shared" si="35"/>
        <v>293.45700717002967</v>
      </c>
      <c r="L123" s="2">
        <f t="shared" si="35"/>
        <v>299.61960432060027</v>
      </c>
      <c r="M123" s="2">
        <f t="shared" si="35"/>
        <v>305.91161601133285</v>
      </c>
      <c r="N123" s="2">
        <f t="shared" si="35"/>
        <v>312.33575994757081</v>
      </c>
      <c r="O123" s="2">
        <f t="shared" si="35"/>
        <v>318.89481090646979</v>
      </c>
      <c r="P123" s="2">
        <f t="shared" si="35"/>
        <v>325.59160193550559</v>
      </c>
      <c r="Q123" s="2">
        <f t="shared" si="35"/>
        <v>332.42902557615116</v>
      </c>
      <c r="R123" s="2">
        <f t="shared" si="35"/>
        <v>339.41003511325033</v>
      </c>
      <c r="S123" s="2">
        <f t="shared" si="35"/>
        <v>346.53764585062856</v>
      </c>
      <c r="T123" s="2">
        <f t="shared" si="35"/>
        <v>353.81493641349175</v>
      </c>
      <c r="U123" s="2">
        <f t="shared" si="35"/>
        <v>361.24505007817504</v>
      </c>
      <c r="V123" s="2">
        <f t="shared" si="35"/>
        <v>368.8311961298167</v>
      </c>
      <c r="W123" s="2">
        <f t="shared" si="35"/>
        <v>376.57665124854282</v>
      </c>
      <c r="X123" s="2">
        <f t="shared" si="35"/>
        <v>384.48476092476216</v>
      </c>
      <c r="Y123" s="2">
        <f t="shared" si="35"/>
        <v>392.55894090418212</v>
      </c>
      <c r="Z123" s="2">
        <f t="shared" si="35"/>
        <v>400.8026786631699</v>
      </c>
      <c r="AA123" s="2">
        <f t="shared" si="35"/>
        <v>409.2195349150964</v>
      </c>
    </row>
    <row r="124" spans="1:27" x14ac:dyDescent="0.25">
      <c r="C124" s="1"/>
      <c r="D124" s="1"/>
      <c r="E124" t="s">
        <v>67</v>
      </c>
      <c r="F124" t="s">
        <v>143</v>
      </c>
      <c r="G124" s="20">
        <f>'YVW tariffs'!D11</f>
        <v>2.9171</v>
      </c>
      <c r="H124" s="21">
        <f>G124*(1+$G$14)*(1+H122)</f>
        <v>2.8520766741599997</v>
      </c>
      <c r="I124" s="21">
        <f t="shared" ref="I124:AA124" si="36">H124*(1+$G$14)*(1+I122)</f>
        <v>2.8321822985270639</v>
      </c>
      <c r="J124" s="21">
        <f t="shared" si="36"/>
        <v>2.8916581267961319</v>
      </c>
      <c r="K124" s="21">
        <f t="shared" si="36"/>
        <v>2.9523829474588505</v>
      </c>
      <c r="L124" s="21">
        <f t="shared" si="36"/>
        <v>3.0143829893554863</v>
      </c>
      <c r="M124" s="21">
        <f t="shared" si="36"/>
        <v>3.0776850321319511</v>
      </c>
      <c r="N124" s="21">
        <f t="shared" si="36"/>
        <v>3.1423164178067218</v>
      </c>
      <c r="O124" s="21">
        <f t="shared" si="36"/>
        <v>3.2083050625806626</v>
      </c>
      <c r="P124" s="21">
        <f t="shared" si="36"/>
        <v>3.2756794688948561</v>
      </c>
      <c r="Q124" s="21">
        <f t="shared" si="36"/>
        <v>3.3444687377416478</v>
      </c>
      <c r="R124" s="21">
        <f t="shared" si="36"/>
        <v>3.4147025812342222</v>
      </c>
      <c r="S124" s="21">
        <f t="shared" si="36"/>
        <v>3.4864113354401405</v>
      </c>
      <c r="T124" s="21">
        <f t="shared" si="36"/>
        <v>3.5596259734843829</v>
      </c>
      <c r="U124" s="21">
        <f t="shared" si="36"/>
        <v>3.6343781189275548</v>
      </c>
      <c r="V124" s="21">
        <f t="shared" si="36"/>
        <v>3.710700059425033</v>
      </c>
      <c r="W124" s="21">
        <f t="shared" si="36"/>
        <v>3.7886247606729584</v>
      </c>
      <c r="X124" s="21">
        <f t="shared" si="36"/>
        <v>3.8681858806470903</v>
      </c>
      <c r="Y124" s="21">
        <f t="shared" si="36"/>
        <v>3.949417784140679</v>
      </c>
      <c r="Z124" s="21">
        <f t="shared" si="36"/>
        <v>4.0323555576076329</v>
      </c>
      <c r="AA124" s="21">
        <f t="shared" si="36"/>
        <v>4.117035024317393</v>
      </c>
    </row>
    <row r="125" spans="1:27" x14ac:dyDescent="0.25">
      <c r="C125" s="1"/>
      <c r="D125" s="1"/>
      <c r="E125" t="s">
        <v>68</v>
      </c>
      <c r="F125" t="s">
        <v>143</v>
      </c>
      <c r="G125" s="20"/>
      <c r="H125" s="21">
        <f>G125*(1+$G$14)*(1+H122)</f>
        <v>0</v>
      </c>
      <c r="I125" s="21">
        <f t="shared" ref="I125:AA125" si="37">H125*(1+$G$14)*(1+I122)</f>
        <v>0</v>
      </c>
      <c r="J125" s="21">
        <f t="shared" si="37"/>
        <v>0</v>
      </c>
      <c r="K125" s="21">
        <f t="shared" si="37"/>
        <v>0</v>
      </c>
      <c r="L125" s="21">
        <f t="shared" si="37"/>
        <v>0</v>
      </c>
      <c r="M125" s="21">
        <f t="shared" si="37"/>
        <v>0</v>
      </c>
      <c r="N125" s="21">
        <f t="shared" si="37"/>
        <v>0</v>
      </c>
      <c r="O125" s="21">
        <f t="shared" si="37"/>
        <v>0</v>
      </c>
      <c r="P125" s="21">
        <f t="shared" si="37"/>
        <v>0</v>
      </c>
      <c r="Q125" s="21">
        <f t="shared" si="37"/>
        <v>0</v>
      </c>
      <c r="R125" s="21">
        <f t="shared" si="37"/>
        <v>0</v>
      </c>
      <c r="S125" s="21">
        <f t="shared" si="37"/>
        <v>0</v>
      </c>
      <c r="T125" s="21">
        <f t="shared" si="37"/>
        <v>0</v>
      </c>
      <c r="U125" s="21">
        <f t="shared" si="37"/>
        <v>0</v>
      </c>
      <c r="V125" s="21">
        <f t="shared" si="37"/>
        <v>0</v>
      </c>
      <c r="W125" s="21">
        <f t="shared" si="37"/>
        <v>0</v>
      </c>
      <c r="X125" s="21">
        <f t="shared" si="37"/>
        <v>0</v>
      </c>
      <c r="Y125" s="21">
        <f t="shared" si="37"/>
        <v>0</v>
      </c>
      <c r="Z125" s="21">
        <f t="shared" si="37"/>
        <v>0</v>
      </c>
      <c r="AA125" s="21">
        <f t="shared" si="37"/>
        <v>0</v>
      </c>
    </row>
    <row r="126" spans="1:27" x14ac:dyDescent="0.25">
      <c r="C126" s="1"/>
      <c r="D126" s="1"/>
      <c r="E126" t="s">
        <v>142</v>
      </c>
      <c r="F126" t="s">
        <v>143</v>
      </c>
      <c r="G126" s="20"/>
      <c r="H126" s="21">
        <f>G126*(1+$G$14)*(1+H122)</f>
        <v>0</v>
      </c>
      <c r="I126" s="21">
        <f t="shared" ref="I126:AA126" si="38">H126*(1+$G$14)*(1+I122)</f>
        <v>0</v>
      </c>
      <c r="J126" s="21">
        <f t="shared" si="38"/>
        <v>0</v>
      </c>
      <c r="K126" s="21">
        <f t="shared" si="38"/>
        <v>0</v>
      </c>
      <c r="L126" s="21">
        <f t="shared" si="38"/>
        <v>0</v>
      </c>
      <c r="M126" s="21">
        <f t="shared" si="38"/>
        <v>0</v>
      </c>
      <c r="N126" s="21">
        <f t="shared" si="38"/>
        <v>0</v>
      </c>
      <c r="O126" s="21">
        <f t="shared" si="38"/>
        <v>0</v>
      </c>
      <c r="P126" s="21">
        <f t="shared" si="38"/>
        <v>0</v>
      </c>
      <c r="Q126" s="21">
        <f t="shared" si="38"/>
        <v>0</v>
      </c>
      <c r="R126" s="21">
        <f t="shared" si="38"/>
        <v>0</v>
      </c>
      <c r="S126" s="21">
        <f t="shared" si="38"/>
        <v>0</v>
      </c>
      <c r="T126" s="21">
        <f t="shared" si="38"/>
        <v>0</v>
      </c>
      <c r="U126" s="21">
        <f t="shared" si="38"/>
        <v>0</v>
      </c>
      <c r="V126" s="21">
        <f t="shared" si="38"/>
        <v>0</v>
      </c>
      <c r="W126" s="21">
        <f t="shared" si="38"/>
        <v>0</v>
      </c>
      <c r="X126" s="21">
        <f t="shared" si="38"/>
        <v>0</v>
      </c>
      <c r="Y126" s="21">
        <f t="shared" si="38"/>
        <v>0</v>
      </c>
      <c r="Z126" s="21">
        <f t="shared" si="38"/>
        <v>0</v>
      </c>
      <c r="AA126" s="21">
        <f t="shared" si="38"/>
        <v>0</v>
      </c>
    </row>
    <row r="127" spans="1:27" x14ac:dyDescent="0.25">
      <c r="C127" s="1"/>
      <c r="D127" s="1"/>
    </row>
    <row r="128" spans="1:27" x14ac:dyDescent="0.25">
      <c r="C128" s="1"/>
      <c r="D128" s="1"/>
      <c r="E128" t="s">
        <v>72</v>
      </c>
      <c r="F128" t="s">
        <v>58</v>
      </c>
      <c r="H128" s="2">
        <f>SUM(H119:H121)/1000</f>
        <v>334.88</v>
      </c>
      <c r="I128" s="2">
        <f t="shared" ref="I128:AA128" si="39">SUM(I119:I121)/1000</f>
        <v>669.76</v>
      </c>
      <c r="J128" s="2">
        <f t="shared" si="39"/>
        <v>1011.92</v>
      </c>
      <c r="K128" s="2">
        <f t="shared" si="39"/>
        <v>1339.52</v>
      </c>
      <c r="L128" s="2">
        <f t="shared" si="39"/>
        <v>1656.2</v>
      </c>
      <c r="M128" s="2">
        <f t="shared" si="39"/>
        <v>1958.32</v>
      </c>
      <c r="N128" s="2">
        <f t="shared" si="39"/>
        <v>2249.52</v>
      </c>
      <c r="O128" s="2">
        <f t="shared" si="39"/>
        <v>2529.8000000000002</v>
      </c>
      <c r="P128" s="2">
        <f t="shared" si="39"/>
        <v>2824.64</v>
      </c>
      <c r="Q128" s="2">
        <f t="shared" si="39"/>
        <v>3137.68</v>
      </c>
      <c r="R128" s="2">
        <f t="shared" si="39"/>
        <v>3468.92</v>
      </c>
      <c r="S128" s="2">
        <f t="shared" si="39"/>
        <v>3822</v>
      </c>
      <c r="T128" s="2">
        <f t="shared" si="39"/>
        <v>4193.28</v>
      </c>
      <c r="U128" s="2">
        <f t="shared" si="39"/>
        <v>4560.92</v>
      </c>
      <c r="V128" s="2">
        <f t="shared" si="39"/>
        <v>4928.5600000000004</v>
      </c>
      <c r="W128" s="2">
        <f t="shared" si="39"/>
        <v>4928.5600000000004</v>
      </c>
      <c r="X128" s="2">
        <f t="shared" si="39"/>
        <v>4928.5600000000004</v>
      </c>
      <c r="Y128" s="2">
        <f t="shared" si="39"/>
        <v>4928.5600000000004</v>
      </c>
      <c r="Z128" s="2">
        <f t="shared" si="39"/>
        <v>4928.5600000000004</v>
      </c>
      <c r="AA128" s="2">
        <f t="shared" si="39"/>
        <v>4928.5600000000004</v>
      </c>
    </row>
    <row r="129" spans="1:27" x14ac:dyDescent="0.25">
      <c r="C129" s="1"/>
      <c r="D129" s="1"/>
      <c r="E129" t="s">
        <v>73</v>
      </c>
      <c r="F129" t="s">
        <v>7</v>
      </c>
      <c r="H129" s="2">
        <f>H112*H123+H119*H124+H120*H125+H121*H126</f>
        <v>1137668.9992895806</v>
      </c>
      <c r="I129" s="2">
        <f t="shared" ref="I129:AA129" si="40">I112*I123+I119*I124+I120*I125+I121*I126</f>
        <v>2259466.6059038723</v>
      </c>
      <c r="J129" s="2">
        <f t="shared" si="40"/>
        <v>3485448.2743833871</v>
      </c>
      <c r="K129" s="2">
        <f t="shared" si="40"/>
        <v>4710721.256250076</v>
      </c>
      <c r="L129" s="2">
        <f t="shared" si="40"/>
        <v>5946709.5467316676</v>
      </c>
      <c r="M129" s="2">
        <f t="shared" si="40"/>
        <v>7179155.2980233217</v>
      </c>
      <c r="N129" s="2">
        <f t="shared" si="40"/>
        <v>8419868.1257177684</v>
      </c>
      <c r="O129" s="2">
        <f t="shared" si="40"/>
        <v>9667793.4023765363</v>
      </c>
      <c r="P129" s="2">
        <f t="shared" si="40"/>
        <v>11021228.836732833</v>
      </c>
      <c r="Q129" s="2">
        <f t="shared" si="40"/>
        <v>12499749.409363709</v>
      </c>
      <c r="R129" s="2">
        <f t="shared" si="40"/>
        <v>14109534.422335513</v>
      </c>
      <c r="S129" s="2">
        <f t="shared" si="40"/>
        <v>15872115.821054338</v>
      </c>
      <c r="T129" s="2">
        <f t="shared" si="40"/>
        <v>17779672.049330991</v>
      </c>
      <c r="U129" s="2">
        <f t="shared" si="40"/>
        <v>19744588.184414737</v>
      </c>
      <c r="V129" s="2">
        <f t="shared" si="40"/>
        <v>21784189.961798243</v>
      </c>
      <c r="W129" s="2">
        <f t="shared" si="40"/>
        <v>22241657.950996004</v>
      </c>
      <c r="X129" s="2">
        <f t="shared" si="40"/>
        <v>22708732.767966919</v>
      </c>
      <c r="Y129" s="2">
        <f t="shared" si="40"/>
        <v>23185616.156094223</v>
      </c>
      <c r="Z129" s="2">
        <f t="shared" si="40"/>
        <v>23672514.0953722</v>
      </c>
      <c r="AA129" s="2">
        <f t="shared" si="40"/>
        <v>24169636.891375013</v>
      </c>
    </row>
    <row r="130" spans="1:27" x14ac:dyDescent="0.25">
      <c r="C130" s="1"/>
      <c r="D130" s="1"/>
    </row>
    <row r="131" spans="1:27" x14ac:dyDescent="0.25">
      <c r="C131" s="1"/>
      <c r="D131" t="s">
        <v>74</v>
      </c>
    </row>
    <row r="132" spans="1:27" x14ac:dyDescent="0.25">
      <c r="A132" s="14">
        <f>'Notes &amp; Assumptions'!A38</f>
        <v>25</v>
      </c>
      <c r="C132" s="1"/>
      <c r="D132" s="1"/>
      <c r="E132" t="s">
        <v>87</v>
      </c>
      <c r="F132" t="s">
        <v>3</v>
      </c>
      <c r="H132" s="10">
        <v>0</v>
      </c>
      <c r="I132" s="10">
        <v>0</v>
      </c>
      <c r="J132" s="10">
        <v>0</v>
      </c>
      <c r="K132" s="10">
        <v>0</v>
      </c>
      <c r="L132" s="10">
        <v>0</v>
      </c>
      <c r="M132" s="10">
        <v>0</v>
      </c>
      <c r="N132" s="10">
        <v>0</v>
      </c>
      <c r="O132" s="10">
        <v>0</v>
      </c>
      <c r="P132" s="10">
        <v>0</v>
      </c>
      <c r="Q132" s="10">
        <v>0</v>
      </c>
      <c r="R132" s="10">
        <f>AVERAGE($O132:$Q132)</f>
        <v>0</v>
      </c>
      <c r="S132" s="10">
        <f t="shared" ref="S132:V132" si="41">AVERAGE($O132:$Q132)</f>
        <v>0</v>
      </c>
      <c r="T132" s="10">
        <f t="shared" si="41"/>
        <v>0</v>
      </c>
      <c r="U132" s="10">
        <f t="shared" si="41"/>
        <v>0</v>
      </c>
      <c r="V132" s="10">
        <f t="shared" si="41"/>
        <v>0</v>
      </c>
    </row>
    <row r="133" spans="1:27" x14ac:dyDescent="0.25">
      <c r="C133" s="1"/>
      <c r="D133" s="1"/>
      <c r="E133" t="s">
        <v>60</v>
      </c>
      <c r="F133" t="s">
        <v>3</v>
      </c>
      <c r="H133" s="2">
        <f>G133+H132</f>
        <v>0</v>
      </c>
      <c r="I133" s="2">
        <f t="shared" ref="I133:AA133" si="42">H133+I132</f>
        <v>0</v>
      </c>
      <c r="J133" s="2">
        <f t="shared" si="42"/>
        <v>0</v>
      </c>
      <c r="K133" s="2">
        <f t="shared" si="42"/>
        <v>0</v>
      </c>
      <c r="L133" s="2">
        <f t="shared" si="42"/>
        <v>0</v>
      </c>
      <c r="M133" s="2">
        <f t="shared" si="42"/>
        <v>0</v>
      </c>
      <c r="N133" s="2">
        <f t="shared" si="42"/>
        <v>0</v>
      </c>
      <c r="O133" s="2">
        <f t="shared" si="42"/>
        <v>0</v>
      </c>
      <c r="P133" s="2">
        <f t="shared" si="42"/>
        <v>0</v>
      </c>
      <c r="Q133" s="2">
        <f t="shared" si="42"/>
        <v>0</v>
      </c>
      <c r="R133" s="2">
        <f t="shared" si="42"/>
        <v>0</v>
      </c>
      <c r="S133" s="2">
        <f t="shared" si="42"/>
        <v>0</v>
      </c>
      <c r="T133" s="2">
        <f t="shared" si="42"/>
        <v>0</v>
      </c>
      <c r="U133" s="2">
        <f t="shared" si="42"/>
        <v>0</v>
      </c>
      <c r="V133" s="2">
        <f t="shared" si="42"/>
        <v>0</v>
      </c>
      <c r="W133" s="2">
        <f t="shared" si="42"/>
        <v>0</v>
      </c>
      <c r="X133" s="2">
        <f t="shared" si="42"/>
        <v>0</v>
      </c>
      <c r="Y133" s="2">
        <f t="shared" si="42"/>
        <v>0</v>
      </c>
      <c r="Z133" s="2">
        <f t="shared" si="42"/>
        <v>0</v>
      </c>
      <c r="AA133" s="2">
        <f t="shared" si="42"/>
        <v>0</v>
      </c>
    </row>
    <row r="134" spans="1:27" x14ac:dyDescent="0.25">
      <c r="A134" s="14">
        <f>'Notes &amp; Assumptions'!A39</f>
        <v>26</v>
      </c>
      <c r="C134" s="1"/>
      <c r="D134" s="1"/>
      <c r="E134" t="s">
        <v>61</v>
      </c>
      <c r="F134" t="s">
        <v>3</v>
      </c>
      <c r="G134" s="10">
        <v>1</v>
      </c>
    </row>
    <row r="135" spans="1:27" x14ac:dyDescent="0.25">
      <c r="C135" s="1"/>
      <c r="D135" s="1"/>
      <c r="E135" t="s">
        <v>88</v>
      </c>
      <c r="F135" t="s">
        <v>3</v>
      </c>
      <c r="H135">
        <f>H132*$G134</f>
        <v>0</v>
      </c>
      <c r="I135">
        <f t="shared" ref="I135:AA135" si="43">I132*$G134</f>
        <v>0</v>
      </c>
      <c r="J135">
        <f t="shared" si="43"/>
        <v>0</v>
      </c>
      <c r="K135">
        <f t="shared" si="43"/>
        <v>0</v>
      </c>
      <c r="L135">
        <f t="shared" si="43"/>
        <v>0</v>
      </c>
      <c r="M135">
        <f t="shared" si="43"/>
        <v>0</v>
      </c>
      <c r="N135">
        <f t="shared" si="43"/>
        <v>0</v>
      </c>
      <c r="O135">
        <f t="shared" si="43"/>
        <v>0</v>
      </c>
      <c r="P135">
        <f t="shared" si="43"/>
        <v>0</v>
      </c>
      <c r="Q135">
        <f t="shared" si="43"/>
        <v>0</v>
      </c>
      <c r="R135">
        <f t="shared" si="43"/>
        <v>0</v>
      </c>
      <c r="S135">
        <f t="shared" si="43"/>
        <v>0</v>
      </c>
      <c r="T135">
        <f t="shared" si="43"/>
        <v>0</v>
      </c>
      <c r="U135">
        <f t="shared" si="43"/>
        <v>0</v>
      </c>
      <c r="V135">
        <f t="shared" si="43"/>
        <v>0</v>
      </c>
      <c r="W135">
        <f t="shared" si="43"/>
        <v>0</v>
      </c>
      <c r="X135">
        <f t="shared" si="43"/>
        <v>0</v>
      </c>
      <c r="Y135">
        <f t="shared" si="43"/>
        <v>0</v>
      </c>
      <c r="Z135">
        <f t="shared" si="43"/>
        <v>0</v>
      </c>
      <c r="AA135">
        <f t="shared" si="43"/>
        <v>0</v>
      </c>
    </row>
    <row r="136" spans="1:27" x14ac:dyDescent="0.25">
      <c r="C136" s="1"/>
      <c r="D136" s="1"/>
      <c r="E136" t="s">
        <v>89</v>
      </c>
      <c r="F136" t="s">
        <v>3</v>
      </c>
      <c r="H136">
        <f>H133*$G134</f>
        <v>0</v>
      </c>
      <c r="I136">
        <f t="shared" ref="I136:AA136" si="44">I133*$G134</f>
        <v>0</v>
      </c>
      <c r="J136">
        <f t="shared" si="44"/>
        <v>0</v>
      </c>
      <c r="K136">
        <f t="shared" si="44"/>
        <v>0</v>
      </c>
      <c r="L136">
        <f t="shared" si="44"/>
        <v>0</v>
      </c>
      <c r="M136">
        <f t="shared" si="44"/>
        <v>0</v>
      </c>
      <c r="N136">
        <f t="shared" si="44"/>
        <v>0</v>
      </c>
      <c r="O136">
        <f t="shared" si="44"/>
        <v>0</v>
      </c>
      <c r="P136">
        <f t="shared" si="44"/>
        <v>0</v>
      </c>
      <c r="Q136">
        <f t="shared" si="44"/>
        <v>0</v>
      </c>
      <c r="R136">
        <f t="shared" si="44"/>
        <v>0</v>
      </c>
      <c r="S136">
        <f t="shared" si="44"/>
        <v>0</v>
      </c>
      <c r="T136">
        <f t="shared" si="44"/>
        <v>0</v>
      </c>
      <c r="U136">
        <f t="shared" si="44"/>
        <v>0</v>
      </c>
      <c r="V136">
        <f t="shared" si="44"/>
        <v>0</v>
      </c>
      <c r="W136">
        <f t="shared" si="44"/>
        <v>0</v>
      </c>
      <c r="X136">
        <f t="shared" si="44"/>
        <v>0</v>
      </c>
      <c r="Y136">
        <f t="shared" si="44"/>
        <v>0</v>
      </c>
      <c r="Z136">
        <f t="shared" si="44"/>
        <v>0</v>
      </c>
      <c r="AA136">
        <f t="shared" si="44"/>
        <v>0</v>
      </c>
    </row>
    <row r="137" spans="1:27" x14ac:dyDescent="0.25">
      <c r="A137" s="14">
        <f>'Notes &amp; Assumptions'!A40</f>
        <v>27</v>
      </c>
      <c r="C137" s="1"/>
      <c r="D137" s="1"/>
      <c r="E137" t="s">
        <v>62</v>
      </c>
      <c r="F137" t="s">
        <v>43</v>
      </c>
      <c r="H137" s="10"/>
      <c r="I137" s="10"/>
      <c r="J137" s="10"/>
      <c r="K137" s="10"/>
      <c r="L137" s="10"/>
      <c r="M137" s="10"/>
      <c r="N137" s="10"/>
      <c r="O137" s="10"/>
      <c r="P137" s="10"/>
      <c r="Q137" s="10"/>
      <c r="R137" s="10"/>
      <c r="S137" s="10"/>
      <c r="T137" s="10"/>
      <c r="U137" s="10"/>
      <c r="V137" s="10"/>
      <c r="W137" s="10"/>
      <c r="X137" s="10"/>
      <c r="Y137" s="10"/>
      <c r="Z137" s="10"/>
      <c r="AA137" s="10"/>
    </row>
    <row r="138" spans="1:27" x14ac:dyDescent="0.25">
      <c r="C138" s="1"/>
      <c r="D138" s="1"/>
      <c r="E138" t="s">
        <v>63</v>
      </c>
      <c r="F138" t="s">
        <v>43</v>
      </c>
      <c r="H138" s="10"/>
      <c r="I138" s="10"/>
      <c r="J138" s="10"/>
      <c r="K138" s="10"/>
      <c r="L138" s="10"/>
      <c r="M138" s="10"/>
      <c r="N138" s="10"/>
      <c r="O138" s="10"/>
      <c r="P138" s="10"/>
      <c r="Q138" s="10"/>
      <c r="R138" s="10"/>
      <c r="S138" s="10"/>
      <c r="T138" s="10"/>
      <c r="U138" s="10"/>
      <c r="V138" s="10"/>
      <c r="W138" s="10"/>
      <c r="X138" s="10"/>
      <c r="Y138" s="10"/>
      <c r="Z138" s="10"/>
      <c r="AA138" s="10"/>
    </row>
    <row r="139" spans="1:27" x14ac:dyDescent="0.25">
      <c r="A139" s="14">
        <f>'Notes &amp; Assumptions'!A41</f>
        <v>28</v>
      </c>
      <c r="C139" s="1"/>
      <c r="D139" s="1"/>
      <c r="E139" t="s">
        <v>140</v>
      </c>
      <c r="F139" t="s">
        <v>43</v>
      </c>
      <c r="H139" s="10"/>
      <c r="I139" s="10"/>
      <c r="J139" s="10"/>
      <c r="K139" s="10"/>
      <c r="L139" s="10"/>
      <c r="M139" s="10"/>
      <c r="N139" s="10"/>
      <c r="O139" s="10"/>
      <c r="P139" s="10"/>
      <c r="Q139" s="10"/>
      <c r="R139" s="10"/>
      <c r="S139" s="10"/>
      <c r="T139" s="10"/>
      <c r="U139" s="10"/>
      <c r="V139" s="10"/>
      <c r="W139" s="10"/>
      <c r="X139" s="10"/>
      <c r="Y139" s="10"/>
      <c r="Z139" s="10"/>
      <c r="AA139" s="10"/>
    </row>
    <row r="140" spans="1:27" x14ac:dyDescent="0.25">
      <c r="C140" s="1"/>
      <c r="D140" s="1"/>
      <c r="E140" t="s">
        <v>64</v>
      </c>
      <c r="F140" t="s">
        <v>144</v>
      </c>
      <c r="H140" s="2">
        <f>H133*H137</f>
        <v>0</v>
      </c>
      <c r="I140" s="2">
        <f t="shared" ref="I140:AA140" si="45">I133*I137</f>
        <v>0</v>
      </c>
      <c r="J140" s="2">
        <f t="shared" si="45"/>
        <v>0</v>
      </c>
      <c r="K140" s="2">
        <f t="shared" si="45"/>
        <v>0</v>
      </c>
      <c r="L140" s="2">
        <f t="shared" si="45"/>
        <v>0</v>
      </c>
      <c r="M140" s="2">
        <f t="shared" si="45"/>
        <v>0</v>
      </c>
      <c r="N140" s="2">
        <f t="shared" si="45"/>
        <v>0</v>
      </c>
      <c r="O140" s="2">
        <f t="shared" si="45"/>
        <v>0</v>
      </c>
      <c r="P140" s="2">
        <f t="shared" si="45"/>
        <v>0</v>
      </c>
      <c r="Q140" s="2">
        <f t="shared" si="45"/>
        <v>0</v>
      </c>
      <c r="R140" s="2">
        <f t="shared" si="45"/>
        <v>0</v>
      </c>
      <c r="S140" s="2">
        <f t="shared" si="45"/>
        <v>0</v>
      </c>
      <c r="T140" s="2">
        <f t="shared" si="45"/>
        <v>0</v>
      </c>
      <c r="U140" s="2">
        <f t="shared" si="45"/>
        <v>0</v>
      </c>
      <c r="V140" s="2">
        <f t="shared" si="45"/>
        <v>0</v>
      </c>
      <c r="W140" s="2">
        <f t="shared" si="45"/>
        <v>0</v>
      </c>
      <c r="X140" s="2">
        <f t="shared" si="45"/>
        <v>0</v>
      </c>
      <c r="Y140" s="2">
        <f t="shared" si="45"/>
        <v>0</v>
      </c>
      <c r="Z140" s="2">
        <f t="shared" si="45"/>
        <v>0</v>
      </c>
      <c r="AA140" s="2">
        <f t="shared" si="45"/>
        <v>0</v>
      </c>
    </row>
    <row r="141" spans="1:27" x14ac:dyDescent="0.25">
      <c r="C141" s="1"/>
      <c r="D141" s="1"/>
      <c r="E141" t="s">
        <v>65</v>
      </c>
      <c r="F141" t="s">
        <v>144</v>
      </c>
      <c r="H141" s="2">
        <f>H133*H138</f>
        <v>0</v>
      </c>
      <c r="I141" s="2">
        <f t="shared" ref="I141:AA141" si="46">I133*I138</f>
        <v>0</v>
      </c>
      <c r="J141" s="2">
        <f t="shared" si="46"/>
        <v>0</v>
      </c>
      <c r="K141" s="2">
        <f t="shared" si="46"/>
        <v>0</v>
      </c>
      <c r="L141" s="2">
        <f t="shared" si="46"/>
        <v>0</v>
      </c>
      <c r="M141" s="2">
        <f t="shared" si="46"/>
        <v>0</v>
      </c>
      <c r="N141" s="2">
        <f t="shared" si="46"/>
        <v>0</v>
      </c>
      <c r="O141" s="2">
        <f t="shared" si="46"/>
        <v>0</v>
      </c>
      <c r="P141" s="2">
        <f t="shared" si="46"/>
        <v>0</v>
      </c>
      <c r="Q141" s="2">
        <f t="shared" si="46"/>
        <v>0</v>
      </c>
      <c r="R141" s="2">
        <f t="shared" si="46"/>
        <v>0</v>
      </c>
      <c r="S141" s="2">
        <f t="shared" si="46"/>
        <v>0</v>
      </c>
      <c r="T141" s="2">
        <f t="shared" si="46"/>
        <v>0</v>
      </c>
      <c r="U141" s="2">
        <f t="shared" si="46"/>
        <v>0</v>
      </c>
      <c r="V141" s="2">
        <f t="shared" si="46"/>
        <v>0</v>
      </c>
      <c r="W141" s="2">
        <f t="shared" si="46"/>
        <v>0</v>
      </c>
      <c r="X141" s="2">
        <f t="shared" si="46"/>
        <v>0</v>
      </c>
      <c r="Y141" s="2">
        <f t="shared" si="46"/>
        <v>0</v>
      </c>
      <c r="Z141" s="2">
        <f t="shared" si="46"/>
        <v>0</v>
      </c>
      <c r="AA141" s="2">
        <f t="shared" si="46"/>
        <v>0</v>
      </c>
    </row>
    <row r="142" spans="1:27" x14ac:dyDescent="0.25">
      <c r="C142" s="1"/>
      <c r="D142" s="1"/>
      <c r="E142" t="s">
        <v>141</v>
      </c>
      <c r="F142" t="s">
        <v>144</v>
      </c>
      <c r="H142" s="2">
        <f>H133*H139</f>
        <v>0</v>
      </c>
      <c r="I142" s="2">
        <f t="shared" ref="I142:AA142" si="47">I133*I139</f>
        <v>0</v>
      </c>
      <c r="J142" s="2">
        <f t="shared" si="47"/>
        <v>0</v>
      </c>
      <c r="K142" s="2">
        <f t="shared" si="47"/>
        <v>0</v>
      </c>
      <c r="L142" s="2">
        <f t="shared" si="47"/>
        <v>0</v>
      </c>
      <c r="M142" s="2">
        <f t="shared" si="47"/>
        <v>0</v>
      </c>
      <c r="N142" s="2">
        <f t="shared" si="47"/>
        <v>0</v>
      </c>
      <c r="O142" s="2">
        <f t="shared" si="47"/>
        <v>0</v>
      </c>
      <c r="P142" s="2">
        <f t="shared" si="47"/>
        <v>0</v>
      </c>
      <c r="Q142" s="2">
        <f t="shared" si="47"/>
        <v>0</v>
      </c>
      <c r="R142" s="2">
        <f t="shared" si="47"/>
        <v>0</v>
      </c>
      <c r="S142" s="2">
        <f t="shared" si="47"/>
        <v>0</v>
      </c>
      <c r="T142" s="2">
        <f t="shared" si="47"/>
        <v>0</v>
      </c>
      <c r="U142" s="2">
        <f t="shared" si="47"/>
        <v>0</v>
      </c>
      <c r="V142" s="2">
        <f t="shared" si="47"/>
        <v>0</v>
      </c>
      <c r="W142" s="2">
        <f t="shared" si="47"/>
        <v>0</v>
      </c>
      <c r="X142" s="2">
        <f t="shared" si="47"/>
        <v>0</v>
      </c>
      <c r="Y142" s="2">
        <f t="shared" si="47"/>
        <v>0</v>
      </c>
      <c r="Z142" s="2">
        <f t="shared" si="47"/>
        <v>0</v>
      </c>
      <c r="AA142" s="2">
        <f t="shared" si="47"/>
        <v>0</v>
      </c>
    </row>
    <row r="143" spans="1:27" x14ac:dyDescent="0.25">
      <c r="A143" s="14">
        <f>'Notes &amp; Assumptions'!A42</f>
        <v>29</v>
      </c>
      <c r="C143" s="1"/>
      <c r="D143" s="1"/>
      <c r="E143" t="s">
        <v>66</v>
      </c>
      <c r="F143" t="s">
        <v>8</v>
      </c>
      <c r="H143" s="11"/>
      <c r="I143" s="11"/>
      <c r="J143" s="11"/>
      <c r="K143" s="11"/>
      <c r="L143" s="11"/>
      <c r="M143" s="11"/>
      <c r="N143" s="11"/>
      <c r="O143" s="11"/>
      <c r="P143" s="11"/>
      <c r="Q143" s="11"/>
      <c r="R143" s="11"/>
      <c r="S143" s="11"/>
      <c r="T143" s="11"/>
      <c r="U143" s="11"/>
      <c r="V143" s="11"/>
      <c r="W143" s="11"/>
      <c r="X143" s="11"/>
      <c r="Y143" s="11"/>
      <c r="Z143" s="11"/>
      <c r="AA143" s="11"/>
    </row>
    <row r="144" spans="1:27" x14ac:dyDescent="0.25">
      <c r="A144" s="14">
        <f>'Notes &amp; Assumptions'!A43</f>
        <v>30</v>
      </c>
      <c r="C144" s="1"/>
      <c r="D144" s="1"/>
      <c r="E144" t="s">
        <v>40</v>
      </c>
      <c r="F144" t="s">
        <v>41</v>
      </c>
      <c r="G144" s="10"/>
      <c r="H144" s="2">
        <f>G144*(1+$G$14)*(1+H143)</f>
        <v>0</v>
      </c>
      <c r="I144" s="2">
        <f t="shared" ref="I144:AA144" si="48">H144*(1+$G$14)*(1+I143)</f>
        <v>0</v>
      </c>
      <c r="J144" s="2">
        <f t="shared" si="48"/>
        <v>0</v>
      </c>
      <c r="K144" s="2">
        <f t="shared" si="48"/>
        <v>0</v>
      </c>
      <c r="L144" s="2">
        <f t="shared" si="48"/>
        <v>0</v>
      </c>
      <c r="M144" s="2">
        <f t="shared" si="48"/>
        <v>0</v>
      </c>
      <c r="N144" s="2">
        <f t="shared" si="48"/>
        <v>0</v>
      </c>
      <c r="O144" s="2">
        <f t="shared" si="48"/>
        <v>0</v>
      </c>
      <c r="P144" s="2">
        <f t="shared" si="48"/>
        <v>0</v>
      </c>
      <c r="Q144" s="2">
        <f t="shared" si="48"/>
        <v>0</v>
      </c>
      <c r="R144" s="2">
        <f t="shared" si="48"/>
        <v>0</v>
      </c>
      <c r="S144" s="2">
        <f t="shared" si="48"/>
        <v>0</v>
      </c>
      <c r="T144" s="2">
        <f t="shared" si="48"/>
        <v>0</v>
      </c>
      <c r="U144" s="2">
        <f t="shared" si="48"/>
        <v>0</v>
      </c>
      <c r="V144" s="2">
        <f t="shared" si="48"/>
        <v>0</v>
      </c>
      <c r="W144" s="2">
        <f t="shared" si="48"/>
        <v>0</v>
      </c>
      <c r="X144" s="2">
        <f t="shared" si="48"/>
        <v>0</v>
      </c>
      <c r="Y144" s="2">
        <f t="shared" si="48"/>
        <v>0</v>
      </c>
      <c r="Z144" s="2">
        <f t="shared" si="48"/>
        <v>0</v>
      </c>
      <c r="AA144" s="2">
        <f t="shared" si="48"/>
        <v>0</v>
      </c>
    </row>
    <row r="145" spans="1:27" x14ac:dyDescent="0.25">
      <c r="C145" s="1"/>
      <c r="D145" s="1"/>
      <c r="E145" t="s">
        <v>67</v>
      </c>
      <c r="F145" t="s">
        <v>143</v>
      </c>
      <c r="G145" s="20"/>
      <c r="H145" s="21">
        <f>G145*(1+$G$14)*(1+H143)</f>
        <v>0</v>
      </c>
      <c r="I145" s="21">
        <f t="shared" ref="I145:AA145" si="49">H145*(1+$G$14)*(1+I143)</f>
        <v>0</v>
      </c>
      <c r="J145" s="21">
        <f t="shared" si="49"/>
        <v>0</v>
      </c>
      <c r="K145" s="21">
        <f t="shared" si="49"/>
        <v>0</v>
      </c>
      <c r="L145" s="21">
        <f t="shared" si="49"/>
        <v>0</v>
      </c>
      <c r="M145" s="21">
        <f t="shared" si="49"/>
        <v>0</v>
      </c>
      <c r="N145" s="21">
        <f t="shared" si="49"/>
        <v>0</v>
      </c>
      <c r="O145" s="21">
        <f t="shared" si="49"/>
        <v>0</v>
      </c>
      <c r="P145" s="21">
        <f t="shared" si="49"/>
        <v>0</v>
      </c>
      <c r="Q145" s="21">
        <f t="shared" si="49"/>
        <v>0</v>
      </c>
      <c r="R145" s="21">
        <f t="shared" si="49"/>
        <v>0</v>
      </c>
      <c r="S145" s="21">
        <f t="shared" si="49"/>
        <v>0</v>
      </c>
      <c r="T145" s="21">
        <f t="shared" si="49"/>
        <v>0</v>
      </c>
      <c r="U145" s="21">
        <f t="shared" si="49"/>
        <v>0</v>
      </c>
      <c r="V145" s="21">
        <f t="shared" si="49"/>
        <v>0</v>
      </c>
      <c r="W145" s="21">
        <f t="shared" si="49"/>
        <v>0</v>
      </c>
      <c r="X145" s="21">
        <f t="shared" si="49"/>
        <v>0</v>
      </c>
      <c r="Y145" s="21">
        <f t="shared" si="49"/>
        <v>0</v>
      </c>
      <c r="Z145" s="21">
        <f t="shared" si="49"/>
        <v>0</v>
      </c>
      <c r="AA145" s="21">
        <f t="shared" si="49"/>
        <v>0</v>
      </c>
    </row>
    <row r="146" spans="1:27" x14ac:dyDescent="0.25">
      <c r="C146" s="1"/>
      <c r="D146" s="1"/>
      <c r="E146" t="s">
        <v>68</v>
      </c>
      <c r="F146" t="s">
        <v>143</v>
      </c>
      <c r="G146" s="20"/>
      <c r="H146" s="21">
        <f>G146*(1+$G$14)*(1+H143)</f>
        <v>0</v>
      </c>
      <c r="I146" s="21">
        <f t="shared" ref="I146:AA146" si="50">H146*(1+$G$14)*(1+I143)</f>
        <v>0</v>
      </c>
      <c r="J146" s="21">
        <f t="shared" si="50"/>
        <v>0</v>
      </c>
      <c r="K146" s="21">
        <f t="shared" si="50"/>
        <v>0</v>
      </c>
      <c r="L146" s="21">
        <f t="shared" si="50"/>
        <v>0</v>
      </c>
      <c r="M146" s="21">
        <f t="shared" si="50"/>
        <v>0</v>
      </c>
      <c r="N146" s="21">
        <f t="shared" si="50"/>
        <v>0</v>
      </c>
      <c r="O146" s="21">
        <f t="shared" si="50"/>
        <v>0</v>
      </c>
      <c r="P146" s="21">
        <f t="shared" si="50"/>
        <v>0</v>
      </c>
      <c r="Q146" s="21">
        <f t="shared" si="50"/>
        <v>0</v>
      </c>
      <c r="R146" s="21">
        <f t="shared" si="50"/>
        <v>0</v>
      </c>
      <c r="S146" s="21">
        <f t="shared" si="50"/>
        <v>0</v>
      </c>
      <c r="T146" s="21">
        <f t="shared" si="50"/>
        <v>0</v>
      </c>
      <c r="U146" s="21">
        <f t="shared" si="50"/>
        <v>0</v>
      </c>
      <c r="V146" s="21">
        <f t="shared" si="50"/>
        <v>0</v>
      </c>
      <c r="W146" s="21">
        <f t="shared" si="50"/>
        <v>0</v>
      </c>
      <c r="X146" s="21">
        <f t="shared" si="50"/>
        <v>0</v>
      </c>
      <c r="Y146" s="21">
        <f t="shared" si="50"/>
        <v>0</v>
      </c>
      <c r="Z146" s="21">
        <f t="shared" si="50"/>
        <v>0</v>
      </c>
      <c r="AA146" s="21">
        <f t="shared" si="50"/>
        <v>0</v>
      </c>
    </row>
    <row r="147" spans="1:27" x14ac:dyDescent="0.25">
      <c r="C147" s="1"/>
      <c r="D147" s="1"/>
      <c r="E147" t="s">
        <v>142</v>
      </c>
      <c r="F147" t="s">
        <v>143</v>
      </c>
      <c r="G147" s="20"/>
      <c r="H147" s="21">
        <f>G147*(1+$G$14)*(1+H143)</f>
        <v>0</v>
      </c>
      <c r="I147" s="21">
        <f t="shared" ref="I147:AA147" si="51">H147*(1+$G$14)*(1+I143)</f>
        <v>0</v>
      </c>
      <c r="J147" s="21">
        <f t="shared" si="51"/>
        <v>0</v>
      </c>
      <c r="K147" s="21">
        <f t="shared" si="51"/>
        <v>0</v>
      </c>
      <c r="L147" s="21">
        <f t="shared" si="51"/>
        <v>0</v>
      </c>
      <c r="M147" s="21">
        <f t="shared" si="51"/>
        <v>0</v>
      </c>
      <c r="N147" s="21">
        <f t="shared" si="51"/>
        <v>0</v>
      </c>
      <c r="O147" s="21">
        <f t="shared" si="51"/>
        <v>0</v>
      </c>
      <c r="P147" s="21">
        <f t="shared" si="51"/>
        <v>0</v>
      </c>
      <c r="Q147" s="21">
        <f t="shared" si="51"/>
        <v>0</v>
      </c>
      <c r="R147" s="21">
        <f t="shared" si="51"/>
        <v>0</v>
      </c>
      <c r="S147" s="21">
        <f t="shared" si="51"/>
        <v>0</v>
      </c>
      <c r="T147" s="21">
        <f t="shared" si="51"/>
        <v>0</v>
      </c>
      <c r="U147" s="21">
        <f t="shared" si="51"/>
        <v>0</v>
      </c>
      <c r="V147" s="21">
        <f t="shared" si="51"/>
        <v>0</v>
      </c>
      <c r="W147" s="21">
        <f t="shared" si="51"/>
        <v>0</v>
      </c>
      <c r="X147" s="21">
        <f t="shared" si="51"/>
        <v>0</v>
      </c>
      <c r="Y147" s="21">
        <f t="shared" si="51"/>
        <v>0</v>
      </c>
      <c r="Z147" s="21">
        <f t="shared" si="51"/>
        <v>0</v>
      </c>
      <c r="AA147" s="21">
        <f t="shared" si="51"/>
        <v>0</v>
      </c>
    </row>
    <row r="148" spans="1:27" x14ac:dyDescent="0.25">
      <c r="C148" s="1"/>
      <c r="D148" s="1"/>
    </row>
    <row r="149" spans="1:27" x14ac:dyDescent="0.25">
      <c r="C149" s="1"/>
      <c r="D149" s="1"/>
      <c r="E149" t="s">
        <v>75</v>
      </c>
      <c r="F149" t="s">
        <v>58</v>
      </c>
      <c r="H149" s="2">
        <f>SUM(H140:H142)/1000</f>
        <v>0</v>
      </c>
      <c r="I149" s="2">
        <f t="shared" ref="I149:AA149" si="52">SUM(I140:I142)/1000</f>
        <v>0</v>
      </c>
      <c r="J149" s="2">
        <f t="shared" si="52"/>
        <v>0</v>
      </c>
      <c r="K149" s="2">
        <f t="shared" si="52"/>
        <v>0</v>
      </c>
      <c r="L149" s="2">
        <f t="shared" si="52"/>
        <v>0</v>
      </c>
      <c r="M149" s="2">
        <f t="shared" si="52"/>
        <v>0</v>
      </c>
      <c r="N149" s="2">
        <f t="shared" si="52"/>
        <v>0</v>
      </c>
      <c r="O149" s="2">
        <f t="shared" si="52"/>
        <v>0</v>
      </c>
      <c r="P149" s="2">
        <f t="shared" si="52"/>
        <v>0</v>
      </c>
      <c r="Q149" s="2">
        <f t="shared" si="52"/>
        <v>0</v>
      </c>
      <c r="R149" s="2">
        <f t="shared" si="52"/>
        <v>0</v>
      </c>
      <c r="S149" s="2">
        <f t="shared" si="52"/>
        <v>0</v>
      </c>
      <c r="T149" s="2">
        <f t="shared" si="52"/>
        <v>0</v>
      </c>
      <c r="U149" s="2">
        <f t="shared" si="52"/>
        <v>0</v>
      </c>
      <c r="V149" s="2">
        <f t="shared" si="52"/>
        <v>0</v>
      </c>
      <c r="W149" s="2">
        <f t="shared" si="52"/>
        <v>0</v>
      </c>
      <c r="X149" s="2">
        <f t="shared" si="52"/>
        <v>0</v>
      </c>
      <c r="Y149" s="2">
        <f t="shared" si="52"/>
        <v>0</v>
      </c>
      <c r="Z149" s="2">
        <f t="shared" si="52"/>
        <v>0</v>
      </c>
      <c r="AA149" s="2">
        <f t="shared" si="52"/>
        <v>0</v>
      </c>
    </row>
    <row r="150" spans="1:27" x14ac:dyDescent="0.25">
      <c r="C150" s="1"/>
      <c r="D150" s="1"/>
      <c r="E150" t="s">
        <v>76</v>
      </c>
      <c r="F150" t="s">
        <v>7</v>
      </c>
      <c r="H150" s="2">
        <f>H133*H144+H140*H145+H141*H146+H142*H147</f>
        <v>0</v>
      </c>
      <c r="I150" s="2">
        <f t="shared" ref="I150:AA150" si="53">I133*I144+I140*I145+I141*I146+I142*I147</f>
        <v>0</v>
      </c>
      <c r="J150" s="2">
        <f t="shared" si="53"/>
        <v>0</v>
      </c>
      <c r="K150" s="2">
        <f t="shared" si="53"/>
        <v>0</v>
      </c>
      <c r="L150" s="2">
        <f t="shared" si="53"/>
        <v>0</v>
      </c>
      <c r="M150" s="2">
        <f t="shared" si="53"/>
        <v>0</v>
      </c>
      <c r="N150" s="2">
        <f t="shared" si="53"/>
        <v>0</v>
      </c>
      <c r="O150" s="2">
        <f t="shared" si="53"/>
        <v>0</v>
      </c>
      <c r="P150" s="2">
        <f t="shared" si="53"/>
        <v>0</v>
      </c>
      <c r="Q150" s="2">
        <f t="shared" si="53"/>
        <v>0</v>
      </c>
      <c r="R150" s="2">
        <f t="shared" si="53"/>
        <v>0</v>
      </c>
      <c r="S150" s="2">
        <f t="shared" si="53"/>
        <v>0</v>
      </c>
      <c r="T150" s="2">
        <f t="shared" si="53"/>
        <v>0</v>
      </c>
      <c r="U150" s="2">
        <f t="shared" si="53"/>
        <v>0</v>
      </c>
      <c r="V150" s="2">
        <f t="shared" si="53"/>
        <v>0</v>
      </c>
      <c r="W150" s="2">
        <f t="shared" si="53"/>
        <v>0</v>
      </c>
      <c r="X150" s="2">
        <f t="shared" si="53"/>
        <v>0</v>
      </c>
      <c r="Y150" s="2">
        <f t="shared" si="53"/>
        <v>0</v>
      </c>
      <c r="Z150" s="2">
        <f t="shared" si="53"/>
        <v>0</v>
      </c>
      <c r="AA150" s="2">
        <f t="shared" si="53"/>
        <v>0</v>
      </c>
    </row>
    <row r="151" spans="1:27" x14ac:dyDescent="0.25">
      <c r="C151" s="1"/>
      <c r="D151" s="1"/>
    </row>
    <row r="152" spans="1:27" x14ac:dyDescent="0.25">
      <c r="C152" s="1"/>
      <c r="D152" t="s">
        <v>77</v>
      </c>
    </row>
    <row r="153" spans="1:27" x14ac:dyDescent="0.25">
      <c r="A153" s="14">
        <f>'Notes &amp; Assumptions'!A44</f>
        <v>31</v>
      </c>
      <c r="C153" s="1"/>
      <c r="D153" s="1"/>
      <c r="E153" t="s">
        <v>87</v>
      </c>
      <c r="F153" t="s">
        <v>3</v>
      </c>
      <c r="H153" s="10">
        <v>0</v>
      </c>
      <c r="I153" s="10">
        <v>0</v>
      </c>
      <c r="J153" s="10">
        <v>0</v>
      </c>
      <c r="K153" s="10">
        <v>0</v>
      </c>
      <c r="L153" s="10">
        <v>0</v>
      </c>
      <c r="M153" s="10">
        <v>0</v>
      </c>
      <c r="N153" s="10">
        <v>0</v>
      </c>
      <c r="O153" s="10">
        <v>0</v>
      </c>
      <c r="P153" s="10">
        <v>0</v>
      </c>
      <c r="Q153" s="10">
        <v>0</v>
      </c>
      <c r="R153" s="10">
        <f>AVERAGE($O153:$Q153)</f>
        <v>0</v>
      </c>
      <c r="S153" s="10">
        <f t="shared" ref="S153:V153" si="54">AVERAGE($O153:$Q153)</f>
        <v>0</v>
      </c>
      <c r="T153" s="10">
        <f t="shared" si="54"/>
        <v>0</v>
      </c>
      <c r="U153" s="10">
        <f t="shared" si="54"/>
        <v>0</v>
      </c>
      <c r="V153" s="10">
        <f t="shared" si="54"/>
        <v>0</v>
      </c>
    </row>
    <row r="154" spans="1:27" x14ac:dyDescent="0.25">
      <c r="C154" s="1"/>
      <c r="D154" s="1"/>
      <c r="E154" t="s">
        <v>60</v>
      </c>
      <c r="F154" t="s">
        <v>3</v>
      </c>
      <c r="H154" s="2">
        <f>G154+H153</f>
        <v>0</v>
      </c>
      <c r="I154" s="2">
        <f t="shared" ref="I154:AA154" si="55">H154+I153</f>
        <v>0</v>
      </c>
      <c r="J154" s="2">
        <f t="shared" si="55"/>
        <v>0</v>
      </c>
      <c r="K154" s="2">
        <f t="shared" si="55"/>
        <v>0</v>
      </c>
      <c r="L154" s="2">
        <f t="shared" si="55"/>
        <v>0</v>
      </c>
      <c r="M154" s="2">
        <f t="shared" si="55"/>
        <v>0</v>
      </c>
      <c r="N154" s="2">
        <f t="shared" si="55"/>
        <v>0</v>
      </c>
      <c r="O154" s="2">
        <f t="shared" si="55"/>
        <v>0</v>
      </c>
      <c r="P154" s="2">
        <f t="shared" si="55"/>
        <v>0</v>
      </c>
      <c r="Q154" s="2">
        <f t="shared" si="55"/>
        <v>0</v>
      </c>
      <c r="R154" s="2">
        <f t="shared" si="55"/>
        <v>0</v>
      </c>
      <c r="S154" s="2">
        <f t="shared" si="55"/>
        <v>0</v>
      </c>
      <c r="T154" s="2">
        <f t="shared" si="55"/>
        <v>0</v>
      </c>
      <c r="U154" s="2">
        <f t="shared" si="55"/>
        <v>0</v>
      </c>
      <c r="V154" s="2">
        <f t="shared" si="55"/>
        <v>0</v>
      </c>
      <c r="W154" s="2">
        <f t="shared" si="55"/>
        <v>0</v>
      </c>
      <c r="X154" s="2">
        <f t="shared" si="55"/>
        <v>0</v>
      </c>
      <c r="Y154" s="2">
        <f t="shared" si="55"/>
        <v>0</v>
      </c>
      <c r="Z154" s="2">
        <f t="shared" si="55"/>
        <v>0</v>
      </c>
      <c r="AA154" s="2">
        <f t="shared" si="55"/>
        <v>0</v>
      </c>
    </row>
    <row r="155" spans="1:27" x14ac:dyDescent="0.25">
      <c r="A155" s="14">
        <f>'Notes &amp; Assumptions'!A45</f>
        <v>32</v>
      </c>
      <c r="C155" s="1"/>
      <c r="D155" s="1"/>
      <c r="E155" t="s">
        <v>61</v>
      </c>
      <c r="F155" t="s">
        <v>3</v>
      </c>
      <c r="G155" s="10">
        <v>1</v>
      </c>
    </row>
    <row r="156" spans="1:27" x14ac:dyDescent="0.25">
      <c r="C156" s="1"/>
      <c r="D156" s="1"/>
      <c r="E156" t="s">
        <v>88</v>
      </c>
      <c r="F156" t="s">
        <v>3</v>
      </c>
      <c r="H156">
        <f>H153*$G155</f>
        <v>0</v>
      </c>
      <c r="I156">
        <f t="shared" ref="I156:AA156" si="56">I153*$G155</f>
        <v>0</v>
      </c>
      <c r="J156">
        <f t="shared" si="56"/>
        <v>0</v>
      </c>
      <c r="K156">
        <f t="shared" si="56"/>
        <v>0</v>
      </c>
      <c r="L156">
        <f t="shared" si="56"/>
        <v>0</v>
      </c>
      <c r="M156">
        <f t="shared" si="56"/>
        <v>0</v>
      </c>
      <c r="N156">
        <f t="shared" si="56"/>
        <v>0</v>
      </c>
      <c r="O156">
        <f t="shared" si="56"/>
        <v>0</v>
      </c>
      <c r="P156">
        <f t="shared" si="56"/>
        <v>0</v>
      </c>
      <c r="Q156">
        <f t="shared" si="56"/>
        <v>0</v>
      </c>
      <c r="R156">
        <f t="shared" si="56"/>
        <v>0</v>
      </c>
      <c r="S156">
        <f t="shared" si="56"/>
        <v>0</v>
      </c>
      <c r="T156">
        <f t="shared" si="56"/>
        <v>0</v>
      </c>
      <c r="U156">
        <f t="shared" si="56"/>
        <v>0</v>
      </c>
      <c r="V156">
        <f t="shared" si="56"/>
        <v>0</v>
      </c>
      <c r="W156">
        <f t="shared" si="56"/>
        <v>0</v>
      </c>
      <c r="X156">
        <f t="shared" si="56"/>
        <v>0</v>
      </c>
      <c r="Y156">
        <f t="shared" si="56"/>
        <v>0</v>
      </c>
      <c r="Z156">
        <f t="shared" si="56"/>
        <v>0</v>
      </c>
      <c r="AA156">
        <f t="shared" si="56"/>
        <v>0</v>
      </c>
    </row>
    <row r="157" spans="1:27" x14ac:dyDescent="0.25">
      <c r="C157" s="1"/>
      <c r="D157" s="1"/>
      <c r="E157" t="s">
        <v>89</v>
      </c>
      <c r="F157" t="s">
        <v>3</v>
      </c>
      <c r="H157">
        <f>H154*$G155</f>
        <v>0</v>
      </c>
      <c r="I157">
        <f t="shared" ref="I157:AA157" si="57">I154*$G155</f>
        <v>0</v>
      </c>
      <c r="J157">
        <f t="shared" si="57"/>
        <v>0</v>
      </c>
      <c r="K157">
        <f t="shared" si="57"/>
        <v>0</v>
      </c>
      <c r="L157">
        <f t="shared" si="57"/>
        <v>0</v>
      </c>
      <c r="M157">
        <f t="shared" si="57"/>
        <v>0</v>
      </c>
      <c r="N157">
        <f t="shared" si="57"/>
        <v>0</v>
      </c>
      <c r="O157">
        <f t="shared" si="57"/>
        <v>0</v>
      </c>
      <c r="P157">
        <f t="shared" si="57"/>
        <v>0</v>
      </c>
      <c r="Q157">
        <f t="shared" si="57"/>
        <v>0</v>
      </c>
      <c r="R157">
        <f t="shared" si="57"/>
        <v>0</v>
      </c>
      <c r="S157">
        <f t="shared" si="57"/>
        <v>0</v>
      </c>
      <c r="T157">
        <f t="shared" si="57"/>
        <v>0</v>
      </c>
      <c r="U157">
        <f t="shared" si="57"/>
        <v>0</v>
      </c>
      <c r="V157">
        <f t="shared" si="57"/>
        <v>0</v>
      </c>
      <c r="W157">
        <f t="shared" si="57"/>
        <v>0</v>
      </c>
      <c r="X157">
        <f t="shared" si="57"/>
        <v>0</v>
      </c>
      <c r="Y157">
        <f t="shared" si="57"/>
        <v>0</v>
      </c>
      <c r="Z157">
        <f t="shared" si="57"/>
        <v>0</v>
      </c>
      <c r="AA157">
        <f t="shared" si="57"/>
        <v>0</v>
      </c>
    </row>
    <row r="158" spans="1:27" x14ac:dyDescent="0.25">
      <c r="A158" s="14">
        <f>'Notes &amp; Assumptions'!A46</f>
        <v>33</v>
      </c>
      <c r="C158" s="1"/>
      <c r="D158" s="1"/>
      <c r="E158" t="s">
        <v>62</v>
      </c>
      <c r="F158" t="s">
        <v>43</v>
      </c>
      <c r="H158" s="10"/>
      <c r="I158" s="10"/>
      <c r="J158" s="10"/>
      <c r="K158" s="10"/>
      <c r="L158" s="10"/>
      <c r="M158" s="10"/>
      <c r="N158" s="10"/>
      <c r="O158" s="10"/>
      <c r="P158" s="10"/>
      <c r="Q158" s="10"/>
      <c r="R158" s="10"/>
      <c r="S158" s="10"/>
      <c r="T158" s="10"/>
      <c r="U158" s="10"/>
      <c r="V158" s="10"/>
      <c r="W158" s="10"/>
      <c r="X158" s="10"/>
      <c r="Y158" s="10"/>
      <c r="Z158" s="10"/>
      <c r="AA158" s="10"/>
    </row>
    <row r="159" spans="1:27" x14ac:dyDescent="0.25">
      <c r="C159" s="1"/>
      <c r="D159" s="1"/>
      <c r="E159" t="s">
        <v>63</v>
      </c>
      <c r="F159" t="s">
        <v>43</v>
      </c>
      <c r="H159" s="10"/>
      <c r="I159" s="10"/>
      <c r="J159" s="10"/>
      <c r="K159" s="10"/>
      <c r="L159" s="10"/>
      <c r="M159" s="10"/>
      <c r="N159" s="10"/>
      <c r="O159" s="10"/>
      <c r="P159" s="10"/>
      <c r="Q159" s="10"/>
      <c r="R159" s="10"/>
      <c r="S159" s="10"/>
      <c r="T159" s="10"/>
      <c r="U159" s="10"/>
      <c r="V159" s="10"/>
      <c r="W159" s="10"/>
      <c r="X159" s="10"/>
      <c r="Y159" s="10"/>
      <c r="Z159" s="10"/>
      <c r="AA159" s="10"/>
    </row>
    <row r="160" spans="1:27" x14ac:dyDescent="0.25">
      <c r="A160" s="14">
        <f>'Notes &amp; Assumptions'!A47</f>
        <v>34</v>
      </c>
      <c r="C160" s="1"/>
      <c r="D160" s="1"/>
      <c r="E160" t="s">
        <v>140</v>
      </c>
      <c r="F160" t="s">
        <v>43</v>
      </c>
      <c r="H160" s="10"/>
      <c r="I160" s="10"/>
      <c r="J160" s="10"/>
      <c r="K160" s="10"/>
      <c r="L160" s="10"/>
      <c r="M160" s="10"/>
      <c r="N160" s="10"/>
      <c r="O160" s="10"/>
      <c r="P160" s="10"/>
      <c r="Q160" s="10"/>
      <c r="R160" s="10"/>
      <c r="S160" s="10"/>
      <c r="T160" s="10"/>
      <c r="U160" s="10"/>
      <c r="V160" s="10"/>
      <c r="W160" s="10"/>
      <c r="X160" s="10"/>
      <c r="Y160" s="10"/>
      <c r="Z160" s="10"/>
      <c r="AA160" s="10"/>
    </row>
    <row r="161" spans="1:27" x14ac:dyDescent="0.25">
      <c r="C161" s="1"/>
      <c r="D161" s="1"/>
      <c r="E161" t="s">
        <v>64</v>
      </c>
      <c r="F161" t="s">
        <v>144</v>
      </c>
      <c r="H161" s="2">
        <f>H154*H158</f>
        <v>0</v>
      </c>
      <c r="I161" s="2">
        <f t="shared" ref="I161:AA161" si="58">I154*I158</f>
        <v>0</v>
      </c>
      <c r="J161" s="2">
        <f t="shared" si="58"/>
        <v>0</v>
      </c>
      <c r="K161" s="2">
        <f t="shared" si="58"/>
        <v>0</v>
      </c>
      <c r="L161" s="2">
        <f t="shared" si="58"/>
        <v>0</v>
      </c>
      <c r="M161" s="2">
        <f t="shared" si="58"/>
        <v>0</v>
      </c>
      <c r="N161" s="2">
        <f t="shared" si="58"/>
        <v>0</v>
      </c>
      <c r="O161" s="2">
        <f t="shared" si="58"/>
        <v>0</v>
      </c>
      <c r="P161" s="2">
        <f t="shared" si="58"/>
        <v>0</v>
      </c>
      <c r="Q161" s="2">
        <f t="shared" si="58"/>
        <v>0</v>
      </c>
      <c r="R161" s="2">
        <f t="shared" si="58"/>
        <v>0</v>
      </c>
      <c r="S161" s="2">
        <f t="shared" si="58"/>
        <v>0</v>
      </c>
      <c r="T161" s="2">
        <f t="shared" si="58"/>
        <v>0</v>
      </c>
      <c r="U161" s="2">
        <f t="shared" si="58"/>
        <v>0</v>
      </c>
      <c r="V161" s="2">
        <f t="shared" si="58"/>
        <v>0</v>
      </c>
      <c r="W161" s="2">
        <f t="shared" si="58"/>
        <v>0</v>
      </c>
      <c r="X161" s="2">
        <f t="shared" si="58"/>
        <v>0</v>
      </c>
      <c r="Y161" s="2">
        <f t="shared" si="58"/>
        <v>0</v>
      </c>
      <c r="Z161" s="2">
        <f t="shared" si="58"/>
        <v>0</v>
      </c>
      <c r="AA161" s="2">
        <f t="shared" si="58"/>
        <v>0</v>
      </c>
    </row>
    <row r="162" spans="1:27" x14ac:dyDescent="0.25">
      <c r="C162" s="1"/>
      <c r="D162" s="1"/>
      <c r="E162" t="s">
        <v>65</v>
      </c>
      <c r="F162" t="s">
        <v>144</v>
      </c>
      <c r="H162" s="2">
        <f>H154*H159</f>
        <v>0</v>
      </c>
      <c r="I162" s="2">
        <f t="shared" ref="I162:AA162" si="59">I154*I159</f>
        <v>0</v>
      </c>
      <c r="J162" s="2">
        <f t="shared" si="59"/>
        <v>0</v>
      </c>
      <c r="K162" s="2">
        <f t="shared" si="59"/>
        <v>0</v>
      </c>
      <c r="L162" s="2">
        <f t="shared" si="59"/>
        <v>0</v>
      </c>
      <c r="M162" s="2">
        <f t="shared" si="59"/>
        <v>0</v>
      </c>
      <c r="N162" s="2">
        <f t="shared" si="59"/>
        <v>0</v>
      </c>
      <c r="O162" s="2">
        <f t="shared" si="59"/>
        <v>0</v>
      </c>
      <c r="P162" s="2">
        <f t="shared" si="59"/>
        <v>0</v>
      </c>
      <c r="Q162" s="2">
        <f t="shared" si="59"/>
        <v>0</v>
      </c>
      <c r="R162" s="2">
        <f t="shared" si="59"/>
        <v>0</v>
      </c>
      <c r="S162" s="2">
        <f t="shared" si="59"/>
        <v>0</v>
      </c>
      <c r="T162" s="2">
        <f t="shared" si="59"/>
        <v>0</v>
      </c>
      <c r="U162" s="2">
        <f t="shared" si="59"/>
        <v>0</v>
      </c>
      <c r="V162" s="2">
        <f t="shared" si="59"/>
        <v>0</v>
      </c>
      <c r="W162" s="2">
        <f t="shared" si="59"/>
        <v>0</v>
      </c>
      <c r="X162" s="2">
        <f t="shared" si="59"/>
        <v>0</v>
      </c>
      <c r="Y162" s="2">
        <f t="shared" si="59"/>
        <v>0</v>
      </c>
      <c r="Z162" s="2">
        <f t="shared" si="59"/>
        <v>0</v>
      </c>
      <c r="AA162" s="2">
        <f t="shared" si="59"/>
        <v>0</v>
      </c>
    </row>
    <row r="163" spans="1:27" x14ac:dyDescent="0.25">
      <c r="C163" s="1"/>
      <c r="D163" s="1"/>
      <c r="E163" t="s">
        <v>141</v>
      </c>
      <c r="F163" t="s">
        <v>144</v>
      </c>
      <c r="H163" s="2">
        <f>H154*H160</f>
        <v>0</v>
      </c>
      <c r="I163" s="2">
        <f t="shared" ref="I163:AA163" si="60">I154*I160</f>
        <v>0</v>
      </c>
      <c r="J163" s="2">
        <f t="shared" si="60"/>
        <v>0</v>
      </c>
      <c r="K163" s="2">
        <f t="shared" si="60"/>
        <v>0</v>
      </c>
      <c r="L163" s="2">
        <f t="shared" si="60"/>
        <v>0</v>
      </c>
      <c r="M163" s="2">
        <f t="shared" si="60"/>
        <v>0</v>
      </c>
      <c r="N163" s="2">
        <f t="shared" si="60"/>
        <v>0</v>
      </c>
      <c r="O163" s="2">
        <f t="shared" si="60"/>
        <v>0</v>
      </c>
      <c r="P163" s="2">
        <f t="shared" si="60"/>
        <v>0</v>
      </c>
      <c r="Q163" s="2">
        <f t="shared" si="60"/>
        <v>0</v>
      </c>
      <c r="R163" s="2">
        <f t="shared" si="60"/>
        <v>0</v>
      </c>
      <c r="S163" s="2">
        <f t="shared" si="60"/>
        <v>0</v>
      </c>
      <c r="T163" s="2">
        <f t="shared" si="60"/>
        <v>0</v>
      </c>
      <c r="U163" s="2">
        <f t="shared" si="60"/>
        <v>0</v>
      </c>
      <c r="V163" s="2">
        <f t="shared" si="60"/>
        <v>0</v>
      </c>
      <c r="W163" s="2">
        <f t="shared" si="60"/>
        <v>0</v>
      </c>
      <c r="X163" s="2">
        <f t="shared" si="60"/>
        <v>0</v>
      </c>
      <c r="Y163" s="2">
        <f t="shared" si="60"/>
        <v>0</v>
      </c>
      <c r="Z163" s="2">
        <f t="shared" si="60"/>
        <v>0</v>
      </c>
      <c r="AA163" s="2">
        <f t="shared" si="60"/>
        <v>0</v>
      </c>
    </row>
    <row r="164" spans="1:27" x14ac:dyDescent="0.25">
      <c r="A164" s="14">
        <f>'Notes &amp; Assumptions'!A48</f>
        <v>35</v>
      </c>
      <c r="C164" s="1"/>
      <c r="D164" s="1"/>
      <c r="E164" t="s">
        <v>66</v>
      </c>
      <c r="F164" t="s">
        <v>8</v>
      </c>
      <c r="H164" s="11"/>
      <c r="I164" s="11"/>
      <c r="J164" s="11"/>
      <c r="K164" s="11"/>
      <c r="L164" s="11"/>
      <c r="M164" s="11"/>
      <c r="N164" s="11"/>
      <c r="O164" s="11"/>
      <c r="P164" s="11"/>
      <c r="Q164" s="11"/>
      <c r="R164" s="11"/>
      <c r="S164" s="11"/>
      <c r="T164" s="11"/>
      <c r="U164" s="11"/>
      <c r="V164" s="11"/>
      <c r="W164" s="11"/>
      <c r="X164" s="11"/>
      <c r="Y164" s="11"/>
      <c r="Z164" s="11"/>
      <c r="AA164" s="11"/>
    </row>
    <row r="165" spans="1:27" x14ac:dyDescent="0.25">
      <c r="A165" s="14">
        <f>'Notes &amp; Assumptions'!A49</f>
        <v>36</v>
      </c>
      <c r="C165" s="1"/>
      <c r="D165" s="1"/>
      <c r="E165" t="s">
        <v>40</v>
      </c>
      <c r="F165" t="s">
        <v>41</v>
      </c>
      <c r="G165" s="10"/>
      <c r="H165" s="2">
        <f>G165*(1+$G$14)*(1+H164)</f>
        <v>0</v>
      </c>
      <c r="I165" s="2">
        <f t="shared" ref="I165:AA165" si="61">H165*(1+$G$14)*(1+I164)</f>
        <v>0</v>
      </c>
      <c r="J165" s="2">
        <f t="shared" si="61"/>
        <v>0</v>
      </c>
      <c r="K165" s="2">
        <f t="shared" si="61"/>
        <v>0</v>
      </c>
      <c r="L165" s="2">
        <f t="shared" si="61"/>
        <v>0</v>
      </c>
      <c r="M165" s="2">
        <f t="shared" si="61"/>
        <v>0</v>
      </c>
      <c r="N165" s="2">
        <f t="shared" si="61"/>
        <v>0</v>
      </c>
      <c r="O165" s="2">
        <f t="shared" si="61"/>
        <v>0</v>
      </c>
      <c r="P165" s="2">
        <f t="shared" si="61"/>
        <v>0</v>
      </c>
      <c r="Q165" s="2">
        <f t="shared" si="61"/>
        <v>0</v>
      </c>
      <c r="R165" s="2">
        <f t="shared" si="61"/>
        <v>0</v>
      </c>
      <c r="S165" s="2">
        <f t="shared" si="61"/>
        <v>0</v>
      </c>
      <c r="T165" s="2">
        <f t="shared" si="61"/>
        <v>0</v>
      </c>
      <c r="U165" s="2">
        <f t="shared" si="61"/>
        <v>0</v>
      </c>
      <c r="V165" s="2">
        <f t="shared" si="61"/>
        <v>0</v>
      </c>
      <c r="W165" s="2">
        <f t="shared" si="61"/>
        <v>0</v>
      </c>
      <c r="X165" s="2">
        <f t="shared" si="61"/>
        <v>0</v>
      </c>
      <c r="Y165" s="2">
        <f t="shared" si="61"/>
        <v>0</v>
      </c>
      <c r="Z165" s="2">
        <f t="shared" si="61"/>
        <v>0</v>
      </c>
      <c r="AA165" s="2">
        <f t="shared" si="61"/>
        <v>0</v>
      </c>
    </row>
    <row r="166" spans="1:27" x14ac:dyDescent="0.25">
      <c r="C166" s="1"/>
      <c r="D166" s="1"/>
      <c r="E166" t="s">
        <v>67</v>
      </c>
      <c r="F166" t="s">
        <v>143</v>
      </c>
      <c r="G166" s="20"/>
      <c r="H166" s="21">
        <f>G166*(1+$G$14)*(1+H164)</f>
        <v>0</v>
      </c>
      <c r="I166" s="21">
        <f t="shared" ref="I166:AA166" si="62">H166*(1+$G$14)*(1+I164)</f>
        <v>0</v>
      </c>
      <c r="J166" s="21">
        <f t="shared" si="62"/>
        <v>0</v>
      </c>
      <c r="K166" s="21">
        <f t="shared" si="62"/>
        <v>0</v>
      </c>
      <c r="L166" s="21">
        <f t="shared" si="62"/>
        <v>0</v>
      </c>
      <c r="M166" s="21">
        <f t="shared" si="62"/>
        <v>0</v>
      </c>
      <c r="N166" s="21">
        <f t="shared" si="62"/>
        <v>0</v>
      </c>
      <c r="O166" s="21">
        <f t="shared" si="62"/>
        <v>0</v>
      </c>
      <c r="P166" s="21">
        <f t="shared" si="62"/>
        <v>0</v>
      </c>
      <c r="Q166" s="21">
        <f t="shared" si="62"/>
        <v>0</v>
      </c>
      <c r="R166" s="21">
        <f t="shared" si="62"/>
        <v>0</v>
      </c>
      <c r="S166" s="21">
        <f t="shared" si="62"/>
        <v>0</v>
      </c>
      <c r="T166" s="21">
        <f t="shared" si="62"/>
        <v>0</v>
      </c>
      <c r="U166" s="21">
        <f t="shared" si="62"/>
        <v>0</v>
      </c>
      <c r="V166" s="21">
        <f t="shared" si="62"/>
        <v>0</v>
      </c>
      <c r="W166" s="21">
        <f t="shared" si="62"/>
        <v>0</v>
      </c>
      <c r="X166" s="21">
        <f t="shared" si="62"/>
        <v>0</v>
      </c>
      <c r="Y166" s="21">
        <f t="shared" si="62"/>
        <v>0</v>
      </c>
      <c r="Z166" s="21">
        <f t="shared" si="62"/>
        <v>0</v>
      </c>
      <c r="AA166" s="21">
        <f t="shared" si="62"/>
        <v>0</v>
      </c>
    </row>
    <row r="167" spans="1:27" x14ac:dyDescent="0.25">
      <c r="C167" s="1"/>
      <c r="D167" s="1"/>
      <c r="E167" t="s">
        <v>68</v>
      </c>
      <c r="F167" t="s">
        <v>143</v>
      </c>
      <c r="G167" s="20"/>
      <c r="H167" s="21">
        <f>G167*(1+$G$14)*(1+H164)</f>
        <v>0</v>
      </c>
      <c r="I167" s="21">
        <f t="shared" ref="I167:AA167" si="63">H167*(1+$G$14)*(1+I164)</f>
        <v>0</v>
      </c>
      <c r="J167" s="21">
        <f t="shared" si="63"/>
        <v>0</v>
      </c>
      <c r="K167" s="21">
        <f t="shared" si="63"/>
        <v>0</v>
      </c>
      <c r="L167" s="21">
        <f t="shared" si="63"/>
        <v>0</v>
      </c>
      <c r="M167" s="21">
        <f t="shared" si="63"/>
        <v>0</v>
      </c>
      <c r="N167" s="21">
        <f t="shared" si="63"/>
        <v>0</v>
      </c>
      <c r="O167" s="21">
        <f t="shared" si="63"/>
        <v>0</v>
      </c>
      <c r="P167" s="21">
        <f t="shared" si="63"/>
        <v>0</v>
      </c>
      <c r="Q167" s="21">
        <f t="shared" si="63"/>
        <v>0</v>
      </c>
      <c r="R167" s="21">
        <f t="shared" si="63"/>
        <v>0</v>
      </c>
      <c r="S167" s="21">
        <f t="shared" si="63"/>
        <v>0</v>
      </c>
      <c r="T167" s="21">
        <f t="shared" si="63"/>
        <v>0</v>
      </c>
      <c r="U167" s="21">
        <f t="shared" si="63"/>
        <v>0</v>
      </c>
      <c r="V167" s="21">
        <f t="shared" si="63"/>
        <v>0</v>
      </c>
      <c r="W167" s="21">
        <f t="shared" si="63"/>
        <v>0</v>
      </c>
      <c r="X167" s="21">
        <f t="shared" si="63"/>
        <v>0</v>
      </c>
      <c r="Y167" s="21">
        <f t="shared" si="63"/>
        <v>0</v>
      </c>
      <c r="Z167" s="21">
        <f t="shared" si="63"/>
        <v>0</v>
      </c>
      <c r="AA167" s="21">
        <f t="shared" si="63"/>
        <v>0</v>
      </c>
    </row>
    <row r="168" spans="1:27" x14ac:dyDescent="0.25">
      <c r="C168" s="1"/>
      <c r="D168" s="1"/>
      <c r="E168" t="s">
        <v>142</v>
      </c>
      <c r="F168" t="s">
        <v>143</v>
      </c>
      <c r="G168" s="20"/>
      <c r="H168" s="21">
        <f>G168*(1+$G$14)*(1+H164)</f>
        <v>0</v>
      </c>
      <c r="I168" s="21">
        <f t="shared" ref="I168:AA168" si="64">H168*(1+$G$14)*(1+I164)</f>
        <v>0</v>
      </c>
      <c r="J168" s="21">
        <f t="shared" si="64"/>
        <v>0</v>
      </c>
      <c r="K168" s="21">
        <f t="shared" si="64"/>
        <v>0</v>
      </c>
      <c r="L168" s="21">
        <f t="shared" si="64"/>
        <v>0</v>
      </c>
      <c r="M168" s="21">
        <f t="shared" si="64"/>
        <v>0</v>
      </c>
      <c r="N168" s="21">
        <f t="shared" si="64"/>
        <v>0</v>
      </c>
      <c r="O168" s="21">
        <f t="shared" si="64"/>
        <v>0</v>
      </c>
      <c r="P168" s="21">
        <f t="shared" si="64"/>
        <v>0</v>
      </c>
      <c r="Q168" s="21">
        <f t="shared" si="64"/>
        <v>0</v>
      </c>
      <c r="R168" s="21">
        <f t="shared" si="64"/>
        <v>0</v>
      </c>
      <c r="S168" s="21">
        <f t="shared" si="64"/>
        <v>0</v>
      </c>
      <c r="T168" s="21">
        <f t="shared" si="64"/>
        <v>0</v>
      </c>
      <c r="U168" s="21">
        <f t="shared" si="64"/>
        <v>0</v>
      </c>
      <c r="V168" s="21">
        <f t="shared" si="64"/>
        <v>0</v>
      </c>
      <c r="W168" s="21">
        <f t="shared" si="64"/>
        <v>0</v>
      </c>
      <c r="X168" s="21">
        <f t="shared" si="64"/>
        <v>0</v>
      </c>
      <c r="Y168" s="21">
        <f t="shared" si="64"/>
        <v>0</v>
      </c>
      <c r="Z168" s="21">
        <f t="shared" si="64"/>
        <v>0</v>
      </c>
      <c r="AA168" s="21">
        <f t="shared" si="64"/>
        <v>0</v>
      </c>
    </row>
    <row r="169" spans="1:27" x14ac:dyDescent="0.25">
      <c r="C169" s="1"/>
      <c r="D169" s="1"/>
    </row>
    <row r="170" spans="1:27" x14ac:dyDescent="0.25">
      <c r="C170" s="1"/>
      <c r="D170" s="1"/>
      <c r="E170" t="s">
        <v>78</v>
      </c>
      <c r="F170" t="s">
        <v>58</v>
      </c>
      <c r="H170" s="2">
        <f>SUM(H161:H163)/1000</f>
        <v>0</v>
      </c>
      <c r="I170" s="2">
        <f t="shared" ref="I170:AA170" si="65">SUM(I161:I163)/1000</f>
        <v>0</v>
      </c>
      <c r="J170" s="2">
        <f t="shared" si="65"/>
        <v>0</v>
      </c>
      <c r="K170" s="2">
        <f t="shared" si="65"/>
        <v>0</v>
      </c>
      <c r="L170" s="2">
        <f t="shared" si="65"/>
        <v>0</v>
      </c>
      <c r="M170" s="2">
        <f t="shared" si="65"/>
        <v>0</v>
      </c>
      <c r="N170" s="2">
        <f t="shared" si="65"/>
        <v>0</v>
      </c>
      <c r="O170" s="2">
        <f t="shared" si="65"/>
        <v>0</v>
      </c>
      <c r="P170" s="2">
        <f t="shared" si="65"/>
        <v>0</v>
      </c>
      <c r="Q170" s="2">
        <f t="shared" si="65"/>
        <v>0</v>
      </c>
      <c r="R170" s="2">
        <f t="shared" si="65"/>
        <v>0</v>
      </c>
      <c r="S170" s="2">
        <f t="shared" si="65"/>
        <v>0</v>
      </c>
      <c r="T170" s="2">
        <f t="shared" si="65"/>
        <v>0</v>
      </c>
      <c r="U170" s="2">
        <f t="shared" si="65"/>
        <v>0</v>
      </c>
      <c r="V170" s="2">
        <f t="shared" si="65"/>
        <v>0</v>
      </c>
      <c r="W170" s="2">
        <f t="shared" si="65"/>
        <v>0</v>
      </c>
      <c r="X170" s="2">
        <f t="shared" si="65"/>
        <v>0</v>
      </c>
      <c r="Y170" s="2">
        <f t="shared" si="65"/>
        <v>0</v>
      </c>
      <c r="Z170" s="2">
        <f t="shared" si="65"/>
        <v>0</v>
      </c>
      <c r="AA170" s="2">
        <f t="shared" si="65"/>
        <v>0</v>
      </c>
    </row>
    <row r="171" spans="1:27" x14ac:dyDescent="0.25">
      <c r="C171" s="1"/>
      <c r="D171" s="1"/>
      <c r="E171" t="s">
        <v>79</v>
      </c>
      <c r="F171" t="s">
        <v>7</v>
      </c>
      <c r="H171" s="2">
        <f>H154*H165+H161*H166+H162*H167+H163*H168</f>
        <v>0</v>
      </c>
      <c r="I171" s="2">
        <f t="shared" ref="I171:AA171" si="66">I154*I165+I161*I166+I162*I167+I163*I168</f>
        <v>0</v>
      </c>
      <c r="J171" s="2">
        <f t="shared" si="66"/>
        <v>0</v>
      </c>
      <c r="K171" s="2">
        <f t="shared" si="66"/>
        <v>0</v>
      </c>
      <c r="L171" s="2">
        <f t="shared" si="66"/>
        <v>0</v>
      </c>
      <c r="M171" s="2">
        <f t="shared" si="66"/>
        <v>0</v>
      </c>
      <c r="N171" s="2">
        <f t="shared" si="66"/>
        <v>0</v>
      </c>
      <c r="O171" s="2">
        <f t="shared" si="66"/>
        <v>0</v>
      </c>
      <c r="P171" s="2">
        <f t="shared" si="66"/>
        <v>0</v>
      </c>
      <c r="Q171" s="2">
        <f t="shared" si="66"/>
        <v>0</v>
      </c>
      <c r="R171" s="2">
        <f t="shared" si="66"/>
        <v>0</v>
      </c>
      <c r="S171" s="2">
        <f t="shared" si="66"/>
        <v>0</v>
      </c>
      <c r="T171" s="2">
        <f t="shared" si="66"/>
        <v>0</v>
      </c>
      <c r="U171" s="2">
        <f t="shared" si="66"/>
        <v>0</v>
      </c>
      <c r="V171" s="2">
        <f t="shared" si="66"/>
        <v>0</v>
      </c>
      <c r="W171" s="2">
        <f t="shared" si="66"/>
        <v>0</v>
      </c>
      <c r="X171" s="2">
        <f t="shared" si="66"/>
        <v>0</v>
      </c>
      <c r="Y171" s="2">
        <f t="shared" si="66"/>
        <v>0</v>
      </c>
      <c r="Z171" s="2">
        <f t="shared" si="66"/>
        <v>0</v>
      </c>
      <c r="AA171" s="2">
        <f t="shared" si="66"/>
        <v>0</v>
      </c>
    </row>
    <row r="172" spans="1:27" x14ac:dyDescent="0.25">
      <c r="C172" s="1"/>
      <c r="D172" s="1"/>
    </row>
    <row r="173" spans="1:27" x14ac:dyDescent="0.25">
      <c r="C173" s="1"/>
      <c r="D173" t="s">
        <v>80</v>
      </c>
    </row>
    <row r="174" spans="1:27" x14ac:dyDescent="0.25">
      <c r="C174" s="1"/>
      <c r="E174" t="s">
        <v>91</v>
      </c>
      <c r="F174" t="s">
        <v>3</v>
      </c>
      <c r="H174">
        <f t="shared" ref="H174:AA175" si="67">SUM(H93,H114,H135,H156)</f>
        <v>9974</v>
      </c>
      <c r="I174">
        <f t="shared" si="67"/>
        <v>9448</v>
      </c>
      <c r="J174">
        <f t="shared" si="67"/>
        <v>9093.2999999999993</v>
      </c>
      <c r="K174">
        <f t="shared" si="67"/>
        <v>8278.1999999999989</v>
      </c>
      <c r="L174">
        <f t="shared" si="67"/>
        <v>7494.2999999999984</v>
      </c>
      <c r="M174">
        <f t="shared" si="67"/>
        <v>6751.9999999999982</v>
      </c>
      <c r="N174">
        <f t="shared" si="67"/>
        <v>6052.699999999998</v>
      </c>
      <c r="O174">
        <f t="shared" si="67"/>
        <v>5394.0999999999976</v>
      </c>
      <c r="P174">
        <f t="shared" si="67"/>
        <v>5266.8999999999978</v>
      </c>
      <c r="Q174">
        <f t="shared" si="67"/>
        <v>5114.2999999999984</v>
      </c>
      <c r="R174">
        <f t="shared" si="67"/>
        <v>5414.4999999999982</v>
      </c>
      <c r="S174">
        <f t="shared" si="67"/>
        <v>5741.199999999998</v>
      </c>
      <c r="T174">
        <f t="shared" si="67"/>
        <v>6076.4999999999982</v>
      </c>
      <c r="U174">
        <f t="shared" si="67"/>
        <v>6034.3999999999978</v>
      </c>
      <c r="V174">
        <f t="shared" si="67"/>
        <v>5995.3999999999978</v>
      </c>
      <c r="W174">
        <f t="shared" si="67"/>
        <v>0</v>
      </c>
      <c r="X174">
        <f t="shared" si="67"/>
        <v>0</v>
      </c>
      <c r="Y174">
        <f t="shared" si="67"/>
        <v>0</v>
      </c>
      <c r="Z174">
        <f t="shared" si="67"/>
        <v>0</v>
      </c>
      <c r="AA174">
        <f t="shared" si="67"/>
        <v>0</v>
      </c>
    </row>
    <row r="175" spans="1:27" x14ac:dyDescent="0.25">
      <c r="C175" s="1"/>
      <c r="D175" s="1"/>
      <c r="E175" t="s">
        <v>90</v>
      </c>
      <c r="F175" t="s">
        <v>3</v>
      </c>
      <c r="H175">
        <f t="shared" si="67"/>
        <v>9974</v>
      </c>
      <c r="I175">
        <f t="shared" si="67"/>
        <v>19422</v>
      </c>
      <c r="J175">
        <f t="shared" si="67"/>
        <v>28515.3</v>
      </c>
      <c r="K175">
        <f t="shared" si="67"/>
        <v>36793.5</v>
      </c>
      <c r="L175">
        <f t="shared" si="67"/>
        <v>44287.799999999996</v>
      </c>
      <c r="M175">
        <f t="shared" si="67"/>
        <v>51039.799999999996</v>
      </c>
      <c r="N175">
        <f t="shared" si="67"/>
        <v>57092.499999999993</v>
      </c>
      <c r="O175">
        <f t="shared" si="67"/>
        <v>62486.599999999991</v>
      </c>
      <c r="P175">
        <f t="shared" si="67"/>
        <v>67753.499999999985</v>
      </c>
      <c r="Q175">
        <f t="shared" si="67"/>
        <v>72867.799999999988</v>
      </c>
      <c r="R175">
        <f t="shared" si="67"/>
        <v>78282.299999999988</v>
      </c>
      <c r="S175">
        <f t="shared" si="67"/>
        <v>84023.499999999985</v>
      </c>
      <c r="T175">
        <f t="shared" si="67"/>
        <v>90099.999999999985</v>
      </c>
      <c r="U175">
        <f t="shared" si="67"/>
        <v>96134.39999999998</v>
      </c>
      <c r="V175">
        <f t="shared" si="67"/>
        <v>102129.79999999997</v>
      </c>
      <c r="W175">
        <f t="shared" si="67"/>
        <v>102129.79999999997</v>
      </c>
      <c r="X175">
        <f t="shared" si="67"/>
        <v>102129.79999999997</v>
      </c>
      <c r="Y175">
        <f t="shared" si="67"/>
        <v>102129.79999999997</v>
      </c>
      <c r="Z175">
        <f t="shared" si="67"/>
        <v>102129.79999999997</v>
      </c>
      <c r="AA175">
        <f t="shared" si="67"/>
        <v>102129.79999999997</v>
      </c>
    </row>
    <row r="176" spans="1:27" x14ac:dyDescent="0.25">
      <c r="C176" s="1"/>
      <c r="D176" s="1"/>
      <c r="E176" t="s">
        <v>81</v>
      </c>
      <c r="F176" t="s">
        <v>58</v>
      </c>
      <c r="H176" s="2">
        <f>SUM(H107,H128,H149,H170)</f>
        <v>1734.38</v>
      </c>
      <c r="I176" s="2">
        <f t="shared" ref="H176:AA177" si="68">SUM(I107,I128,I149,I170)</f>
        <v>3389.8599999999997</v>
      </c>
      <c r="J176" s="2">
        <f t="shared" si="68"/>
        <v>4997.3149999999996</v>
      </c>
      <c r="K176" s="2">
        <f t="shared" si="68"/>
        <v>6472.1450000000004</v>
      </c>
      <c r="L176" s="2">
        <f t="shared" si="68"/>
        <v>7821.619999999999</v>
      </c>
      <c r="M176" s="2">
        <f t="shared" si="68"/>
        <v>9049.39</v>
      </c>
      <c r="N176" s="2">
        <f t="shared" si="68"/>
        <v>10164.494999999999</v>
      </c>
      <c r="O176" s="2">
        <f t="shared" si="68"/>
        <v>11173.039999999997</v>
      </c>
      <c r="P176" s="2">
        <f t="shared" si="68"/>
        <v>12172.864999999998</v>
      </c>
      <c r="Q176" s="2">
        <f t="shared" si="68"/>
        <v>13162.749999999998</v>
      </c>
      <c r="R176" s="2">
        <f t="shared" si="68"/>
        <v>14210.614999999998</v>
      </c>
      <c r="S176" s="2">
        <f t="shared" si="68"/>
        <v>15323.024999999998</v>
      </c>
      <c r="T176" s="2">
        <f t="shared" si="68"/>
        <v>16498.679999999997</v>
      </c>
      <c r="U176" s="2">
        <f t="shared" si="68"/>
        <v>17665.429999999997</v>
      </c>
      <c r="V176" s="2">
        <f t="shared" si="68"/>
        <v>18826.329999999998</v>
      </c>
      <c r="W176" s="2">
        <f t="shared" si="68"/>
        <v>18826.329999999998</v>
      </c>
      <c r="X176" s="2">
        <f t="shared" si="68"/>
        <v>18826.329999999998</v>
      </c>
      <c r="Y176" s="2">
        <f t="shared" si="68"/>
        <v>18826.329999999998</v>
      </c>
      <c r="Z176" s="2">
        <f t="shared" si="68"/>
        <v>18826.329999999998</v>
      </c>
      <c r="AA176" s="2">
        <f t="shared" si="68"/>
        <v>18826.329999999998</v>
      </c>
    </row>
    <row r="177" spans="1:27" x14ac:dyDescent="0.25">
      <c r="C177" s="1"/>
      <c r="D177" s="1"/>
      <c r="E177" t="s">
        <v>82</v>
      </c>
      <c r="F177" t="s">
        <v>7</v>
      </c>
      <c r="H177" s="2">
        <f t="shared" si="68"/>
        <v>6182225.9834038224</v>
      </c>
      <c r="I177" s="2">
        <f t="shared" si="68"/>
        <v>11995790.371626098</v>
      </c>
      <c r="J177" s="2">
        <f t="shared" si="68"/>
        <v>18050339.664931763</v>
      </c>
      <c r="K177" s="2">
        <f t="shared" si="68"/>
        <v>23862148.984883003</v>
      </c>
      <c r="L177" s="2">
        <f t="shared" si="68"/>
        <v>29434925.431030251</v>
      </c>
      <c r="M177" s="2">
        <f t="shared" si="68"/>
        <v>34761099.634969912</v>
      </c>
      <c r="N177" s="2">
        <f t="shared" si="68"/>
        <v>39853053.565400161</v>
      </c>
      <c r="O177" s="2">
        <f t="shared" si="68"/>
        <v>44714011.691100597</v>
      </c>
      <c r="P177" s="2">
        <f t="shared" si="68"/>
        <v>49721988.340728059</v>
      </c>
      <c r="Q177" s="2">
        <f t="shared" si="68"/>
        <v>54874142.127276734</v>
      </c>
      <c r="R177" s="2">
        <f t="shared" si="68"/>
        <v>60466460.73169291</v>
      </c>
      <c r="S177" s="2">
        <f t="shared" si="68"/>
        <v>66548323.248618223</v>
      </c>
      <c r="T177" s="2">
        <f t="shared" si="68"/>
        <v>73138773.863265544</v>
      </c>
      <c r="U177" s="2">
        <f t="shared" si="68"/>
        <v>79936734.338239014</v>
      </c>
      <c r="V177" s="2">
        <f t="shared" si="68"/>
        <v>86960520.226442367</v>
      </c>
      <c r="W177" s="2">
        <f t="shared" si="68"/>
        <v>88786691.151197642</v>
      </c>
      <c r="X177" s="2">
        <f t="shared" si="68"/>
        <v>90651211.665372789</v>
      </c>
      <c r="Y177" s="2">
        <f t="shared" si="68"/>
        <v>92554887.110345602</v>
      </c>
      <c r="Z177" s="2">
        <f t="shared" si="68"/>
        <v>94498539.739662856</v>
      </c>
      <c r="AA177" s="2">
        <f t="shared" si="68"/>
        <v>96483009.074195772</v>
      </c>
    </row>
    <row r="178" spans="1:27" x14ac:dyDescent="0.25">
      <c r="C178" s="1"/>
      <c r="D178" s="1"/>
    </row>
    <row r="179" spans="1:27" x14ac:dyDescent="0.25">
      <c r="C179" s="1"/>
      <c r="D179" s="1"/>
      <c r="E179" s="3" t="s">
        <v>84</v>
      </c>
      <c r="F179" s="3" t="s">
        <v>85</v>
      </c>
      <c r="G179" s="3"/>
      <c r="H179" s="9">
        <f>H176*1000/H175</f>
        <v>173.89011429717266</v>
      </c>
      <c r="I179" s="9">
        <f t="shared" ref="I179:AA179" si="69">I176*1000/I175</f>
        <v>174.53712285037585</v>
      </c>
      <c r="J179" s="9">
        <f t="shared" si="69"/>
        <v>175.25030422264538</v>
      </c>
      <c r="K179" s="9">
        <f t="shared" si="69"/>
        <v>175.90457553643986</v>
      </c>
      <c r="L179" s="9">
        <f t="shared" si="69"/>
        <v>176.60890809658642</v>
      </c>
      <c r="M179" s="9">
        <f t="shared" si="69"/>
        <v>177.30065556683218</v>
      </c>
      <c r="N179" s="9">
        <f t="shared" si="69"/>
        <v>178.03555633401933</v>
      </c>
      <c r="O179" s="9">
        <f t="shared" si="69"/>
        <v>178.80697621570064</v>
      </c>
      <c r="P179" s="9">
        <f t="shared" si="69"/>
        <v>179.6640025976518</v>
      </c>
      <c r="Q179" s="9">
        <f t="shared" si="69"/>
        <v>180.6387732304255</v>
      </c>
      <c r="R179" s="9">
        <f t="shared" si="69"/>
        <v>181.53037148882953</v>
      </c>
      <c r="S179" s="9">
        <f t="shared" si="69"/>
        <v>182.36594524150982</v>
      </c>
      <c r="T179" s="9">
        <f t="shared" si="69"/>
        <v>183.11520532741397</v>
      </c>
      <c r="U179" s="9">
        <f t="shared" si="69"/>
        <v>183.75763514413154</v>
      </c>
      <c r="V179" s="9">
        <f t="shared" si="69"/>
        <v>184.33728451441206</v>
      </c>
      <c r="W179" s="9">
        <f t="shared" si="69"/>
        <v>184.33728451441206</v>
      </c>
      <c r="X179" s="9">
        <f t="shared" si="69"/>
        <v>184.33728451441206</v>
      </c>
      <c r="Y179" s="9">
        <f t="shared" si="69"/>
        <v>184.33728451441206</v>
      </c>
      <c r="Z179" s="9">
        <f t="shared" si="69"/>
        <v>184.33728451441206</v>
      </c>
      <c r="AA179" s="9">
        <f t="shared" si="69"/>
        <v>184.33728451441206</v>
      </c>
    </row>
    <row r="180" spans="1:27" x14ac:dyDescent="0.25">
      <c r="C180" s="1"/>
      <c r="D180" s="1"/>
      <c r="E180" s="3" t="s">
        <v>83</v>
      </c>
      <c r="F180" s="3" t="s">
        <v>22</v>
      </c>
      <c r="G180" s="3"/>
      <c r="H180" s="9">
        <f>H177/H175</f>
        <v>619.83416717503735</v>
      </c>
      <c r="I180" s="9">
        <f t="shared" ref="I180:AA180" si="70">I177/I175</f>
        <v>617.63929418319935</v>
      </c>
      <c r="J180" s="9">
        <f t="shared" si="70"/>
        <v>633.00542743480742</v>
      </c>
      <c r="K180" s="9">
        <f t="shared" si="70"/>
        <v>648.54251389193746</v>
      </c>
      <c r="L180" s="9">
        <f t="shared" si="70"/>
        <v>664.62830465794764</v>
      </c>
      <c r="M180" s="9">
        <f t="shared" si="70"/>
        <v>681.05869605621331</v>
      </c>
      <c r="N180" s="9">
        <f t="shared" si="70"/>
        <v>698.04358830669821</v>
      </c>
      <c r="O180" s="9">
        <f t="shared" si="70"/>
        <v>715.57760689652832</v>
      </c>
      <c r="P180" s="9">
        <f t="shared" si="70"/>
        <v>733.86597505262557</v>
      </c>
      <c r="Q180" s="9">
        <f t="shared" si="70"/>
        <v>753.064345668138</v>
      </c>
      <c r="R180" s="9">
        <f t="shared" si="70"/>
        <v>772.41548513128657</v>
      </c>
      <c r="S180" s="9">
        <f t="shared" si="70"/>
        <v>792.02036630964233</v>
      </c>
      <c r="T180" s="9">
        <f t="shared" si="70"/>
        <v>811.75109726154892</v>
      </c>
      <c r="U180" s="9">
        <f t="shared" si="70"/>
        <v>831.51020174088603</v>
      </c>
      <c r="V180" s="9">
        <f t="shared" si="70"/>
        <v>851.4705818129712</v>
      </c>
      <c r="W180" s="9">
        <f t="shared" si="70"/>
        <v>869.35146403104352</v>
      </c>
      <c r="X180" s="9">
        <f t="shared" si="70"/>
        <v>887.60784477569541</v>
      </c>
      <c r="Y180" s="9">
        <f t="shared" si="70"/>
        <v>906.24760951598478</v>
      </c>
      <c r="Z180" s="9">
        <f t="shared" si="70"/>
        <v>925.27880931582047</v>
      </c>
      <c r="AA180" s="9">
        <f t="shared" si="70"/>
        <v>944.70966431145268</v>
      </c>
    </row>
    <row r="181" spans="1:27" x14ac:dyDescent="0.25">
      <c r="C181" s="1"/>
      <c r="D181" s="1"/>
      <c r="E181" s="3" t="s">
        <v>86</v>
      </c>
      <c r="F181" s="3" t="s">
        <v>4</v>
      </c>
      <c r="G181" s="3"/>
      <c r="H181" s="9">
        <f>H177/H176</f>
        <v>3564.5164170503708</v>
      </c>
      <c r="I181" s="9">
        <f t="shared" ref="I181:AA181" si="71">I177/I176</f>
        <v>3538.7273727015568</v>
      </c>
      <c r="J181" s="9">
        <f t="shared" si="71"/>
        <v>3612.0075810573808</v>
      </c>
      <c r="K181" s="9">
        <f t="shared" si="71"/>
        <v>3686.8996267671691</v>
      </c>
      <c r="L181" s="9">
        <f t="shared" si="71"/>
        <v>3763.2773557179016</v>
      </c>
      <c r="M181" s="9">
        <f t="shared" si="71"/>
        <v>3841.2643984809933</v>
      </c>
      <c r="N181" s="9">
        <f t="shared" si="71"/>
        <v>3920.8099925672809</v>
      </c>
      <c r="O181" s="9">
        <f t="shared" si="71"/>
        <v>4001.9557516218156</v>
      </c>
      <c r="P181" s="9">
        <f t="shared" si="71"/>
        <v>4084.6578304062409</v>
      </c>
      <c r="Q181" s="9">
        <f t="shared" si="71"/>
        <v>4168.8964788723288</v>
      </c>
      <c r="R181" s="9">
        <f t="shared" si="71"/>
        <v>4255.0206821937627</v>
      </c>
      <c r="S181" s="9">
        <f t="shared" si="71"/>
        <v>4343.0277799989381</v>
      </c>
      <c r="T181" s="9">
        <f t="shared" si="71"/>
        <v>4433.007602018195</v>
      </c>
      <c r="U181" s="9">
        <f t="shared" si="71"/>
        <v>4525.0375642279314</v>
      </c>
      <c r="V181" s="9">
        <f t="shared" si="71"/>
        <v>4619.090402985732</v>
      </c>
      <c r="W181" s="9">
        <f t="shared" si="71"/>
        <v>4716.0913014484313</v>
      </c>
      <c r="X181" s="9">
        <f t="shared" si="71"/>
        <v>4815.1292187788486</v>
      </c>
      <c r="Y181" s="9">
        <f t="shared" si="71"/>
        <v>4916.2469323732039</v>
      </c>
      <c r="Z181" s="9">
        <f t="shared" si="71"/>
        <v>5019.4881179530403</v>
      </c>
      <c r="AA181" s="9">
        <f t="shared" si="71"/>
        <v>5124.8973684300545</v>
      </c>
    </row>
    <row r="182" spans="1:27" x14ac:dyDescent="0.25">
      <c r="C182" s="1"/>
      <c r="D182" s="1"/>
    </row>
    <row r="183" spans="1:27" x14ac:dyDescent="0.25">
      <c r="C183" s="1" t="str">
        <f>"Incremental "&amp;VLOOKUP(G4,E320:F322,2,FALSE)&amp;" Charges"</f>
        <v>Incremental Bulk Water Charges</v>
      </c>
      <c r="H183" s="2"/>
      <c r="I183" s="2"/>
      <c r="J183" s="2"/>
      <c r="K183" s="2"/>
      <c r="L183" s="2"/>
      <c r="M183" s="2"/>
      <c r="N183" s="2"/>
      <c r="O183" s="2"/>
      <c r="P183" s="2"/>
      <c r="Q183" s="2"/>
      <c r="R183" s="2"/>
      <c r="S183" s="2"/>
      <c r="T183" s="2"/>
      <c r="U183" s="2"/>
      <c r="V183" s="2"/>
      <c r="W183" s="2"/>
      <c r="X183" s="2"/>
      <c r="Y183" s="2"/>
      <c r="Z183" s="2"/>
      <c r="AA183" s="2"/>
    </row>
    <row r="184" spans="1:27" x14ac:dyDescent="0.25">
      <c r="A184" s="14">
        <f>'Notes &amp; Assumptions'!A50</f>
        <v>37</v>
      </c>
      <c r="E184" t="s">
        <v>118</v>
      </c>
      <c r="F184" t="s">
        <v>8</v>
      </c>
      <c r="H184" s="11">
        <f>'Bulk charges'!E22</f>
        <v>3.4299999999999997E-2</v>
      </c>
      <c r="I184" s="11">
        <f>'Bulk charges'!F22</f>
        <v>7.0000000000000001E-3</v>
      </c>
      <c r="J184" s="11">
        <f>'Bulk charges'!G22</f>
        <v>1.01E-2</v>
      </c>
      <c r="K184" s="11"/>
      <c r="L184" s="11"/>
      <c r="M184" s="11"/>
      <c r="N184" s="11"/>
      <c r="O184" s="11"/>
      <c r="P184" s="11"/>
      <c r="Q184" s="11"/>
      <c r="R184" s="11"/>
      <c r="S184" s="11"/>
      <c r="T184" s="11"/>
      <c r="U184" s="11"/>
      <c r="V184" s="11"/>
      <c r="W184" s="11"/>
      <c r="X184" s="11"/>
      <c r="Y184" s="11"/>
      <c r="Z184" s="11"/>
      <c r="AA184" s="11"/>
    </row>
    <row r="185" spans="1:27" x14ac:dyDescent="0.25">
      <c r="A185" s="14">
        <f>'Notes &amp; Assumptions'!A51</f>
        <v>38</v>
      </c>
      <c r="E185" t="s">
        <v>122</v>
      </c>
      <c r="F185" t="s">
        <v>4</v>
      </c>
      <c r="G185" s="10">
        <f>'Bulk charges'!D23</f>
        <v>260.27774017446001</v>
      </c>
      <c r="H185" s="2">
        <f t="shared" ref="H185:AA185" si="72">G185*(1+$G$14)*(1+H184)</f>
        <v>274.85857726235525</v>
      </c>
      <c r="I185" s="2">
        <f t="shared" si="72"/>
        <v>282.59502163655867</v>
      </c>
      <c r="J185" s="2">
        <f t="shared" si="72"/>
        <v>291.44366521354476</v>
      </c>
      <c r="K185" s="2">
        <f t="shared" si="72"/>
        <v>297.56398218302917</v>
      </c>
      <c r="L185" s="2">
        <f t="shared" si="72"/>
        <v>303.81282580887273</v>
      </c>
      <c r="M185" s="2">
        <f t="shared" si="72"/>
        <v>310.19289515085904</v>
      </c>
      <c r="N185" s="2">
        <f t="shared" si="72"/>
        <v>316.70694594902704</v>
      </c>
      <c r="O185" s="2">
        <f t="shared" si="72"/>
        <v>323.35779181395657</v>
      </c>
      <c r="P185" s="2">
        <f t="shared" si="72"/>
        <v>330.1483054420496</v>
      </c>
      <c r="Q185" s="2">
        <f t="shared" si="72"/>
        <v>337.08141985633262</v>
      </c>
      <c r="R185" s="2">
        <f t="shared" si="72"/>
        <v>344.16012967331557</v>
      </c>
      <c r="S185" s="2">
        <f t="shared" si="72"/>
        <v>351.38749239645517</v>
      </c>
      <c r="T185" s="2">
        <f t="shared" si="72"/>
        <v>358.76662973678071</v>
      </c>
      <c r="U185" s="2">
        <f t="shared" si="72"/>
        <v>366.30072896125307</v>
      </c>
      <c r="V185" s="2">
        <f t="shared" si="72"/>
        <v>373.99304426943934</v>
      </c>
      <c r="W185" s="2">
        <f t="shared" si="72"/>
        <v>381.84689819909755</v>
      </c>
      <c r="X185" s="2">
        <f t="shared" si="72"/>
        <v>389.86568306127856</v>
      </c>
      <c r="Y185" s="2">
        <f t="shared" si="72"/>
        <v>398.05286240556535</v>
      </c>
      <c r="Z185" s="2">
        <f t="shared" si="72"/>
        <v>406.41197251608219</v>
      </c>
      <c r="AA185" s="2">
        <f t="shared" si="72"/>
        <v>414.94662393891986</v>
      </c>
    </row>
    <row r="186" spans="1:27" x14ac:dyDescent="0.25">
      <c r="A186" s="14">
        <f>'Notes &amp; Assumptions'!A52</f>
        <v>39</v>
      </c>
      <c r="E186" t="s">
        <v>123</v>
      </c>
      <c r="F186" t="s">
        <v>7</v>
      </c>
      <c r="G186" s="10">
        <f>'20 New UGB Water'!G186</f>
        <v>353.9658908426249</v>
      </c>
      <c r="H186" s="10">
        <f>$G186*(1+$G$14)^H2*(H154+H133+H112+H91)</f>
        <v>3604595.3669648916</v>
      </c>
      <c r="I186" s="10">
        <f>$G186*(1+$G$14)^I2*(I154+I133+I112+I91)</f>
        <v>7166495.7582467562</v>
      </c>
      <c r="J186" s="10">
        <f t="shared" ref="J186:AA186" si="73">$G186*(1+$G$14)^J2*(J154+J133+J112+J91)</f>
        <v>10742777.613095023</v>
      </c>
      <c r="K186" s="10">
        <f t="shared" si="73"/>
        <v>14152575.643870737</v>
      </c>
      <c r="L186" s="10">
        <f t="shared" si="73"/>
        <v>17392989.382152591</v>
      </c>
      <c r="M186" s="10">
        <f t="shared" si="73"/>
        <v>20465616.448683448</v>
      </c>
      <c r="N186" s="10">
        <f t="shared" si="73"/>
        <v>23373334.230257276</v>
      </c>
      <c r="O186" s="10">
        <f t="shared" si="73"/>
        <v>26118861.682941791</v>
      </c>
      <c r="P186" s="10">
        <f t="shared" si="73"/>
        <v>28915108.60297944</v>
      </c>
      <c r="Q186" s="10">
        <f t="shared" si="73"/>
        <v>31750786.867454067</v>
      </c>
      <c r="R186" s="10">
        <f t="shared" si="73"/>
        <v>34826365.553410091</v>
      </c>
      <c r="S186" s="10">
        <f t="shared" si="73"/>
        <v>38165511.510578603</v>
      </c>
      <c r="T186" s="10">
        <f t="shared" si="73"/>
        <v>41785042.891956396</v>
      </c>
      <c r="U186" s="10">
        <f t="shared" si="73"/>
        <v>45519829.16723346</v>
      </c>
      <c r="V186" s="10">
        <f t="shared" si="73"/>
        <v>49374194.88664075</v>
      </c>
      <c r="W186" s="10">
        <f t="shared" si="73"/>
        <v>50411052.979260206</v>
      </c>
      <c r="X186" s="10">
        <f t="shared" si="73"/>
        <v>51469685.091824666</v>
      </c>
      <c r="Y186" s="10">
        <f t="shared" si="73"/>
        <v>52550548.478752971</v>
      </c>
      <c r="Z186" s="10">
        <f t="shared" si="73"/>
        <v>53654109.996806785</v>
      </c>
      <c r="AA186" s="10">
        <f t="shared" si="73"/>
        <v>54780846.306739718</v>
      </c>
    </row>
    <row r="187" spans="1:27" x14ac:dyDescent="0.25">
      <c r="E187" t="s">
        <v>57</v>
      </c>
      <c r="F187" t="s">
        <v>7</v>
      </c>
      <c r="H187" s="2">
        <f>H185*H176+H186</f>
        <v>4081304.5861971751</v>
      </c>
      <c r="I187" s="2">
        <f t="shared" ref="I187:AA187" si="74">I185*I176+I186</f>
        <v>8124453.3182916604</v>
      </c>
      <c r="J187" s="2">
        <f t="shared" si="74"/>
        <v>12199213.412921648</v>
      </c>
      <c r="K187" s="2">
        <f t="shared" si="74"/>
        <v>16078452.883336719</v>
      </c>
      <c r="L187" s="2">
        <f t="shared" si="74"/>
        <v>19769297.856755786</v>
      </c>
      <c r="M187" s="2">
        <f t="shared" si="74"/>
        <v>23272672.93213268</v>
      </c>
      <c r="N187" s="2">
        <f t="shared" si="74"/>
        <v>26592500.398821432</v>
      </c>
      <c r="O187" s="2">
        <f t="shared" si="74"/>
        <v>29731751.2251908</v>
      </c>
      <c r="P187" s="2">
        <f t="shared" si="74"/>
        <v>32933959.355104275</v>
      </c>
      <c r="Q187" s="2">
        <f t="shared" si="74"/>
        <v>36187705.326668009</v>
      </c>
      <c r="R187" s="2">
        <f t="shared" si="74"/>
        <v>39717092.654547654</v>
      </c>
      <c r="S187" s="2">
        <f t="shared" si="74"/>
        <v>43549830.841256797</v>
      </c>
      <c r="T187" s="2">
        <f t="shared" si="74"/>
        <v>47704218.710662022</v>
      </c>
      <c r="U187" s="2">
        <f t="shared" si="74"/>
        <v>51990689.053647444</v>
      </c>
      <c r="V187" s="2">
        <f t="shared" si="74"/>
        <v>56415111.355761826</v>
      </c>
      <c r="W187" s="2">
        <f t="shared" si="74"/>
        <v>57599828.694232821</v>
      </c>
      <c r="X187" s="2">
        <f t="shared" si="74"/>
        <v>58809425.096811704</v>
      </c>
      <c r="Y187" s="2">
        <f t="shared" si="74"/>
        <v>60044423.023844734</v>
      </c>
      <c r="Z187" s="2">
        <f t="shared" si="74"/>
        <v>61305355.907345481</v>
      </c>
      <c r="AA187" s="2">
        <f t="shared" si="74"/>
        <v>62592768.381399721</v>
      </c>
    </row>
    <row r="188" spans="1:27" x14ac:dyDescent="0.25">
      <c r="H188" s="2"/>
      <c r="I188" s="2"/>
      <c r="J188" s="2"/>
      <c r="K188" s="2"/>
      <c r="L188" s="2"/>
      <c r="M188" s="2"/>
      <c r="N188" s="2"/>
      <c r="O188" s="2"/>
      <c r="P188" s="2"/>
      <c r="Q188" s="2"/>
      <c r="R188" s="2"/>
      <c r="S188" s="2"/>
      <c r="T188" s="2"/>
      <c r="U188" s="2"/>
      <c r="V188" s="2"/>
      <c r="W188" s="2"/>
      <c r="X188" s="2"/>
      <c r="Y188" s="2"/>
      <c r="Z188" s="2"/>
      <c r="AA188" s="2"/>
    </row>
    <row r="189" spans="1:27" x14ac:dyDescent="0.25">
      <c r="C189" s="1" t="s">
        <v>10</v>
      </c>
      <c r="G189" s="2"/>
    </row>
    <row r="190" spans="1:27" x14ac:dyDescent="0.25">
      <c r="C190" s="1"/>
      <c r="D190" t="s">
        <v>149</v>
      </c>
      <c r="G190" s="2"/>
    </row>
    <row r="191" spans="1:27" x14ac:dyDescent="0.25">
      <c r="A191" s="14">
        <f>'Notes &amp; Assumptions'!A53</f>
        <v>40</v>
      </c>
      <c r="C191" s="1"/>
      <c r="E191" t="s">
        <v>125</v>
      </c>
      <c r="G191" s="2"/>
      <c r="H191" s="11"/>
      <c r="I191" s="11"/>
      <c r="J191" s="11"/>
      <c r="K191" s="11"/>
      <c r="L191" s="11"/>
      <c r="M191" s="11"/>
      <c r="N191" s="11"/>
      <c r="O191" s="11"/>
      <c r="P191" s="11"/>
      <c r="Q191" s="11"/>
      <c r="R191" s="11"/>
      <c r="S191" s="11"/>
      <c r="T191" s="11"/>
      <c r="U191" s="11"/>
      <c r="V191" s="11"/>
      <c r="W191" s="11"/>
      <c r="X191" s="11"/>
      <c r="Y191" s="11"/>
      <c r="Z191" s="11"/>
      <c r="AA191" s="11"/>
    </row>
    <row r="192" spans="1:27" x14ac:dyDescent="0.25">
      <c r="A192" s="14">
        <f>'Notes &amp; Assumptions'!A54</f>
        <v>41</v>
      </c>
      <c r="E192" t="s">
        <v>26</v>
      </c>
      <c r="F192" t="s">
        <v>22</v>
      </c>
      <c r="G192" s="10">
        <f>'Key assumptions'!B12</f>
        <v>114</v>
      </c>
      <c r="H192" s="2">
        <f t="shared" ref="H192:W193" si="75">G192*(1+$G$14)*(1+H$191)</f>
        <v>116.39399999999999</v>
      </c>
      <c r="I192" s="2">
        <f t="shared" si="75"/>
        <v>118.83827399999998</v>
      </c>
      <c r="J192" s="2">
        <f t="shared" si="75"/>
        <v>121.33387775399997</v>
      </c>
      <c r="K192" s="2">
        <f t="shared" si="75"/>
        <v>123.88188918683396</v>
      </c>
      <c r="L192" s="2">
        <f t="shared" si="75"/>
        <v>126.48340885975746</v>
      </c>
      <c r="M192" s="2">
        <f t="shared" si="75"/>
        <v>129.13956044581235</v>
      </c>
      <c r="N192" s="2">
        <f t="shared" si="75"/>
        <v>131.85149121517441</v>
      </c>
      <c r="O192" s="2">
        <f t="shared" si="75"/>
        <v>134.62037253069306</v>
      </c>
      <c r="P192" s="2">
        <f t="shared" si="75"/>
        <v>137.44740035383759</v>
      </c>
      <c r="Q192" s="2">
        <f t="shared" si="75"/>
        <v>140.33379576126816</v>
      </c>
      <c r="R192" s="2">
        <f t="shared" si="75"/>
        <v>143.28080547225477</v>
      </c>
      <c r="S192" s="2">
        <f t="shared" si="75"/>
        <v>146.2897023871721</v>
      </c>
      <c r="T192" s="2">
        <f t="shared" si="75"/>
        <v>149.36178613730269</v>
      </c>
      <c r="U192" s="2">
        <f t="shared" si="75"/>
        <v>152.49838364618603</v>
      </c>
      <c r="V192" s="2">
        <f t="shared" si="75"/>
        <v>155.70084970275593</v>
      </c>
      <c r="W192" s="2">
        <f t="shared" si="75"/>
        <v>158.97056754651379</v>
      </c>
      <c r="X192" s="2">
        <f t="shared" ref="X192:AA193" si="76">W192*(1+$G$14)*(1+X$191)</f>
        <v>162.30894946499058</v>
      </c>
      <c r="Y192" s="2">
        <f t="shared" si="76"/>
        <v>165.71743740375535</v>
      </c>
      <c r="Z192" s="2">
        <f t="shared" si="76"/>
        <v>169.1975035892342</v>
      </c>
      <c r="AA192" s="2">
        <f t="shared" si="76"/>
        <v>172.75065116460812</v>
      </c>
    </row>
    <row r="193" spans="1:29" x14ac:dyDescent="0.25">
      <c r="A193" s="14">
        <f>'Notes &amp; Assumptions'!A55</f>
        <v>42</v>
      </c>
      <c r="E193" t="s">
        <v>27</v>
      </c>
      <c r="F193" t="s">
        <v>4</v>
      </c>
      <c r="G193" s="10"/>
      <c r="H193" s="2">
        <f t="shared" si="75"/>
        <v>0</v>
      </c>
      <c r="I193" s="2">
        <f t="shared" si="75"/>
        <v>0</v>
      </c>
      <c r="J193" s="2">
        <f t="shared" si="75"/>
        <v>0</v>
      </c>
      <c r="K193" s="2">
        <f t="shared" si="75"/>
        <v>0</v>
      </c>
      <c r="L193" s="2">
        <f t="shared" si="75"/>
        <v>0</v>
      </c>
      <c r="M193" s="2">
        <f t="shared" si="75"/>
        <v>0</v>
      </c>
      <c r="N193" s="2">
        <f t="shared" si="75"/>
        <v>0</v>
      </c>
      <c r="O193" s="2">
        <f t="shared" si="75"/>
        <v>0</v>
      </c>
      <c r="P193" s="2">
        <f t="shared" si="75"/>
        <v>0</v>
      </c>
      <c r="Q193" s="2">
        <f t="shared" si="75"/>
        <v>0</v>
      </c>
      <c r="R193" s="2">
        <f t="shared" si="75"/>
        <v>0</v>
      </c>
      <c r="S193" s="2">
        <f t="shared" si="75"/>
        <v>0</v>
      </c>
      <c r="T193" s="2">
        <f t="shared" si="75"/>
        <v>0</v>
      </c>
      <c r="U193" s="2">
        <f t="shared" si="75"/>
        <v>0</v>
      </c>
      <c r="V193" s="2">
        <f t="shared" si="75"/>
        <v>0</v>
      </c>
      <c r="W193" s="2">
        <f t="shared" si="75"/>
        <v>0</v>
      </c>
      <c r="X193" s="2">
        <f t="shared" si="76"/>
        <v>0</v>
      </c>
      <c r="Y193" s="2">
        <f t="shared" si="76"/>
        <v>0</v>
      </c>
      <c r="Z193" s="2">
        <f t="shared" si="76"/>
        <v>0</v>
      </c>
      <c r="AA193" s="2">
        <f t="shared" si="76"/>
        <v>0</v>
      </c>
    </row>
    <row r="194" spans="1:29" x14ac:dyDescent="0.25">
      <c r="A194" s="14">
        <f>'Notes &amp; Assumptions'!A56</f>
        <v>43</v>
      </c>
      <c r="E194" t="s">
        <v>39</v>
      </c>
      <c r="F194" t="s">
        <v>7</v>
      </c>
      <c r="G194" s="2"/>
      <c r="H194" s="10"/>
      <c r="I194" s="10"/>
      <c r="J194" s="10"/>
      <c r="K194" s="10"/>
      <c r="L194" s="10"/>
      <c r="M194" s="10"/>
      <c r="N194" s="10"/>
      <c r="O194" s="10"/>
      <c r="P194" s="10"/>
      <c r="Q194" s="10"/>
      <c r="R194" s="10"/>
      <c r="S194" s="10"/>
      <c r="T194" s="10"/>
      <c r="U194" s="10"/>
      <c r="V194" s="10"/>
      <c r="W194" s="10"/>
      <c r="X194" s="10"/>
      <c r="Y194" s="10"/>
      <c r="Z194" s="10"/>
      <c r="AA194" s="10"/>
    </row>
    <row r="195" spans="1:29" x14ac:dyDescent="0.25">
      <c r="B195" s="14"/>
      <c r="C195" s="14"/>
      <c r="D195" s="14"/>
      <c r="E195" s="14"/>
      <c r="F195" s="14"/>
      <c r="G195" s="14"/>
      <c r="H195" s="14"/>
      <c r="I195" s="14"/>
      <c r="J195" s="14"/>
      <c r="K195" s="14"/>
      <c r="L195" s="14"/>
      <c r="M195" s="14"/>
      <c r="N195" s="14"/>
      <c r="O195" s="14"/>
      <c r="P195" s="14"/>
      <c r="Q195" s="14"/>
      <c r="R195" s="14"/>
      <c r="S195" s="14"/>
      <c r="T195" s="14"/>
      <c r="U195" s="14"/>
      <c r="V195" s="14"/>
      <c r="W195" s="14"/>
      <c r="X195" s="14"/>
      <c r="Y195" s="14"/>
      <c r="Z195" s="14"/>
      <c r="AA195" s="14"/>
      <c r="AB195" s="14"/>
      <c r="AC195" s="14"/>
    </row>
    <row r="196" spans="1:29" x14ac:dyDescent="0.25">
      <c r="D196" t="s">
        <v>124</v>
      </c>
      <c r="G196" s="14"/>
      <c r="H196" s="14"/>
      <c r="I196" s="14"/>
      <c r="J196" s="14"/>
      <c r="K196" s="14"/>
      <c r="L196" s="14"/>
      <c r="M196" s="14"/>
      <c r="N196" s="14"/>
      <c r="O196" s="14"/>
      <c r="P196" s="14"/>
      <c r="Q196" s="14"/>
      <c r="R196" s="14"/>
      <c r="S196" s="14"/>
      <c r="T196" s="14"/>
      <c r="U196" s="14"/>
      <c r="V196" s="14"/>
      <c r="W196" s="14"/>
      <c r="X196" s="14"/>
      <c r="Y196" s="14"/>
      <c r="Z196" s="14"/>
      <c r="AA196" s="14"/>
    </row>
    <row r="197" spans="1:29" x14ac:dyDescent="0.25">
      <c r="A197" s="14">
        <f>'Notes &amp; Assumptions'!A57</f>
        <v>44</v>
      </c>
      <c r="E197" t="s">
        <v>27</v>
      </c>
      <c r="F197" t="s">
        <v>4</v>
      </c>
      <c r="G197" s="14"/>
      <c r="H197" s="10"/>
      <c r="I197" s="10"/>
      <c r="J197" s="10"/>
      <c r="K197" s="10"/>
      <c r="L197" s="10"/>
      <c r="M197" s="10"/>
      <c r="N197" s="10"/>
      <c r="O197" s="10"/>
      <c r="P197" s="10"/>
      <c r="Q197" s="10"/>
      <c r="R197" s="10"/>
      <c r="S197" s="10"/>
      <c r="T197" s="10"/>
      <c r="U197" s="10"/>
      <c r="V197" s="10"/>
      <c r="W197" s="10"/>
      <c r="X197" s="10"/>
      <c r="Y197" s="10"/>
      <c r="Z197" s="10"/>
      <c r="AA197" s="10"/>
    </row>
    <row r="198" spans="1:29" x14ac:dyDescent="0.25">
      <c r="A198" s="14">
        <f>'Notes &amp; Assumptions'!A58</f>
        <v>45</v>
      </c>
      <c r="E198" t="s">
        <v>39</v>
      </c>
      <c r="F198" t="s">
        <v>7</v>
      </c>
      <c r="G198" s="2"/>
      <c r="H198" s="10"/>
      <c r="I198" s="10"/>
      <c r="J198" s="10"/>
      <c r="K198" s="10"/>
      <c r="L198" s="10"/>
      <c r="M198" s="10"/>
      <c r="N198" s="10"/>
      <c r="O198" s="10"/>
      <c r="P198" s="10"/>
      <c r="Q198" s="10"/>
      <c r="R198" s="10"/>
      <c r="S198" s="10"/>
      <c r="T198" s="10"/>
      <c r="U198" s="10"/>
      <c r="V198" s="10"/>
      <c r="W198" s="10"/>
      <c r="X198" s="10"/>
      <c r="Y198" s="10"/>
      <c r="Z198" s="10"/>
      <c r="AA198" s="10"/>
    </row>
    <row r="199" spans="1:29" x14ac:dyDescent="0.25">
      <c r="G199" s="2"/>
    </row>
    <row r="200" spans="1:29" x14ac:dyDescent="0.25">
      <c r="E200" t="s">
        <v>10</v>
      </c>
      <c r="F200" t="s">
        <v>7</v>
      </c>
      <c r="G200" s="2"/>
      <c r="H200" s="2">
        <f>H192*H175+(H193+H197)*H176+H194+H198</f>
        <v>1160913.7559999998</v>
      </c>
      <c r="I200" s="2">
        <f t="shared" ref="I200:AA200" si="77">I192*I175+(I193+I197)*I176+I194+I198</f>
        <v>2308076.9576279996</v>
      </c>
      <c r="J200" s="2">
        <f t="shared" si="77"/>
        <v>3459871.9243186354</v>
      </c>
      <c r="K200" s="2">
        <f t="shared" si="77"/>
        <v>4558048.289795775</v>
      </c>
      <c r="L200" s="2">
        <f t="shared" si="77"/>
        <v>5601671.9148991657</v>
      </c>
      <c r="M200" s="2">
        <f t="shared" si="77"/>
        <v>6591257.337242173</v>
      </c>
      <c r="N200" s="2">
        <f t="shared" si="77"/>
        <v>7527731.2622023439</v>
      </c>
      <c r="O200" s="2">
        <f t="shared" si="77"/>
        <v>8411969.3701764047</v>
      </c>
      <c r="P200" s="2">
        <f t="shared" si="77"/>
        <v>9312542.4398737326</v>
      </c>
      <c r="Q200" s="2">
        <f t="shared" si="77"/>
        <v>10225814.962772934</v>
      </c>
      <c r="R200" s="2">
        <f t="shared" si="77"/>
        <v>11216350.998220688</v>
      </c>
      <c r="S200" s="2">
        <f t="shared" si="77"/>
        <v>12291772.808528552</v>
      </c>
      <c r="T200" s="2">
        <f t="shared" si="77"/>
        <v>13457496.930970971</v>
      </c>
      <c r="U200" s="2">
        <f t="shared" si="77"/>
        <v>14660340.612795902</v>
      </c>
      <c r="V200" s="2">
        <f t="shared" si="77"/>
        <v>15901696.639972519</v>
      </c>
      <c r="W200" s="2">
        <f t="shared" si="77"/>
        <v>16235632.26941194</v>
      </c>
      <c r="X200" s="2">
        <f t="shared" si="77"/>
        <v>16576580.547069591</v>
      </c>
      <c r="Y200" s="2">
        <f t="shared" si="77"/>
        <v>16924688.73855805</v>
      </c>
      <c r="Z200" s="2">
        <f t="shared" si="77"/>
        <v>17280107.202067766</v>
      </c>
      <c r="AA200" s="2">
        <f t="shared" si="77"/>
        <v>17642989.45331119</v>
      </c>
    </row>
    <row r="201" spans="1:29" x14ac:dyDescent="0.25">
      <c r="G201" s="2"/>
      <c r="H201" s="2"/>
      <c r="I201" s="2"/>
      <c r="J201" s="2"/>
      <c r="K201" s="2"/>
      <c r="L201" s="2"/>
      <c r="M201" s="2"/>
      <c r="N201" s="2"/>
      <c r="O201" s="2"/>
      <c r="P201" s="2"/>
      <c r="Q201" s="2"/>
      <c r="R201" s="2"/>
      <c r="S201" s="2"/>
      <c r="T201" s="2"/>
      <c r="U201" s="2"/>
      <c r="V201" s="2"/>
      <c r="W201" s="2"/>
      <c r="X201" s="2"/>
      <c r="Y201" s="2"/>
      <c r="Z201" s="2"/>
      <c r="AA201" s="2"/>
    </row>
    <row r="202" spans="1:29" x14ac:dyDescent="0.25">
      <c r="C202" s="1" t="s">
        <v>48</v>
      </c>
      <c r="G202" s="2"/>
      <c r="H202" s="2"/>
      <c r="I202" s="2"/>
      <c r="J202" s="2"/>
      <c r="K202" s="2"/>
      <c r="L202" s="2"/>
      <c r="M202" s="2"/>
      <c r="N202" s="2"/>
      <c r="O202" s="2"/>
      <c r="P202" s="2"/>
      <c r="Q202" s="2"/>
      <c r="R202" s="2"/>
      <c r="S202" s="2"/>
      <c r="T202" s="2"/>
      <c r="U202" s="2"/>
      <c r="V202" s="2"/>
      <c r="W202" s="2"/>
      <c r="X202" s="2"/>
      <c r="Y202" s="2"/>
      <c r="Z202" s="2"/>
      <c r="AA202" s="2"/>
    </row>
    <row r="203" spans="1:29" x14ac:dyDescent="0.25">
      <c r="A203" s="14">
        <f>'Notes &amp; Assumptions'!A59</f>
        <v>46</v>
      </c>
      <c r="E203" s="10" t="s">
        <v>44</v>
      </c>
      <c r="F203" t="s">
        <v>7</v>
      </c>
      <c r="G203" s="2"/>
      <c r="H203" s="10"/>
      <c r="I203" s="10"/>
      <c r="J203" s="10"/>
      <c r="K203" s="10"/>
      <c r="L203" s="10"/>
      <c r="M203" s="10"/>
      <c r="N203" s="10"/>
      <c r="O203" s="10"/>
      <c r="P203" s="10"/>
      <c r="Q203" s="10"/>
      <c r="R203" s="10"/>
      <c r="S203" s="10"/>
      <c r="T203" s="10"/>
      <c r="U203" s="10"/>
      <c r="V203" s="10"/>
      <c r="W203" s="10"/>
      <c r="X203" s="10"/>
      <c r="Y203" s="10"/>
      <c r="Z203" s="10"/>
      <c r="AA203" s="10"/>
    </row>
    <row r="204" spans="1:29" x14ac:dyDescent="0.25">
      <c r="A204" s="14">
        <f>'Notes &amp; Assumptions'!A60</f>
        <v>47</v>
      </c>
      <c r="E204" s="10" t="s">
        <v>45</v>
      </c>
      <c r="F204" t="s">
        <v>7</v>
      </c>
      <c r="G204" s="2"/>
      <c r="H204" s="10"/>
      <c r="I204" s="10"/>
      <c r="J204" s="10"/>
      <c r="K204" s="10"/>
      <c r="L204" s="10"/>
      <c r="M204" s="10"/>
      <c r="N204" s="10"/>
      <c r="O204" s="10"/>
      <c r="P204" s="10"/>
      <c r="Q204" s="10"/>
      <c r="R204" s="10"/>
      <c r="S204" s="10"/>
      <c r="T204" s="10"/>
      <c r="U204" s="10"/>
      <c r="V204" s="10"/>
      <c r="W204" s="10"/>
      <c r="X204" s="10"/>
      <c r="Y204" s="10"/>
      <c r="Z204" s="10"/>
      <c r="AA204" s="10"/>
    </row>
    <row r="205" spans="1:29" x14ac:dyDescent="0.25">
      <c r="A205" s="14">
        <f>'Notes &amp; Assumptions'!A61</f>
        <v>48</v>
      </c>
      <c r="E205" s="10" t="s">
        <v>46</v>
      </c>
      <c r="F205" t="s">
        <v>7</v>
      </c>
      <c r="G205" s="2"/>
      <c r="H205" s="10"/>
      <c r="I205" s="10"/>
      <c r="J205" s="10"/>
      <c r="K205" s="10"/>
      <c r="L205" s="10"/>
      <c r="M205" s="10"/>
      <c r="N205" s="10"/>
      <c r="O205" s="10"/>
      <c r="P205" s="10"/>
      <c r="Q205" s="10"/>
      <c r="R205" s="10"/>
      <c r="S205" s="10"/>
      <c r="T205" s="10"/>
      <c r="U205" s="10"/>
      <c r="V205" s="10"/>
      <c r="W205" s="10"/>
      <c r="X205" s="10"/>
      <c r="Y205" s="10"/>
      <c r="Z205" s="10"/>
      <c r="AA205" s="10"/>
    </row>
    <row r="206" spans="1:29" x14ac:dyDescent="0.25">
      <c r="A206" s="14">
        <f>'Notes &amp; Assumptions'!A62</f>
        <v>49</v>
      </c>
      <c r="E206" s="10" t="s">
        <v>47</v>
      </c>
      <c r="F206" t="s">
        <v>7</v>
      </c>
      <c r="G206" s="2"/>
      <c r="H206" s="10"/>
      <c r="I206" s="10"/>
      <c r="J206" s="10"/>
      <c r="K206" s="10"/>
      <c r="L206" s="10"/>
      <c r="M206" s="10"/>
      <c r="N206" s="10"/>
      <c r="O206" s="10"/>
      <c r="P206" s="10"/>
      <c r="Q206" s="10"/>
      <c r="R206" s="10"/>
      <c r="S206" s="10"/>
      <c r="T206" s="10"/>
      <c r="U206" s="10"/>
      <c r="V206" s="10"/>
      <c r="W206" s="10"/>
      <c r="X206" s="10"/>
      <c r="Y206" s="10"/>
      <c r="Z206" s="10"/>
      <c r="AA206" s="10"/>
    </row>
    <row r="207" spans="1:29" x14ac:dyDescent="0.25">
      <c r="E207" t="s">
        <v>17</v>
      </c>
      <c r="G207" s="2"/>
      <c r="H207" s="2">
        <f>SUM(H203:H206)</f>
        <v>0</v>
      </c>
      <c r="I207" s="2">
        <f t="shared" ref="I207:AA207" si="78">SUM(I203:I206)</f>
        <v>0</v>
      </c>
      <c r="J207" s="2">
        <f t="shared" si="78"/>
        <v>0</v>
      </c>
      <c r="K207" s="2">
        <f t="shared" si="78"/>
        <v>0</v>
      </c>
      <c r="L207" s="2">
        <f t="shared" si="78"/>
        <v>0</v>
      </c>
      <c r="M207" s="2">
        <f t="shared" si="78"/>
        <v>0</v>
      </c>
      <c r="N207" s="2">
        <f t="shared" si="78"/>
        <v>0</v>
      </c>
      <c r="O207" s="2">
        <f t="shared" si="78"/>
        <v>0</v>
      </c>
      <c r="P207" s="2">
        <f t="shared" si="78"/>
        <v>0</v>
      </c>
      <c r="Q207" s="2">
        <f t="shared" si="78"/>
        <v>0</v>
      </c>
      <c r="R207" s="2">
        <f t="shared" si="78"/>
        <v>0</v>
      </c>
      <c r="S207" s="2">
        <f t="shared" si="78"/>
        <v>0</v>
      </c>
      <c r="T207" s="2">
        <f t="shared" si="78"/>
        <v>0</v>
      </c>
      <c r="U207" s="2">
        <f t="shared" si="78"/>
        <v>0</v>
      </c>
      <c r="V207" s="2">
        <f t="shared" si="78"/>
        <v>0</v>
      </c>
      <c r="W207" s="2">
        <f t="shared" si="78"/>
        <v>0</v>
      </c>
      <c r="X207" s="2">
        <f t="shared" si="78"/>
        <v>0</v>
      </c>
      <c r="Y207" s="2">
        <f t="shared" si="78"/>
        <v>0</v>
      </c>
      <c r="Z207" s="2">
        <f t="shared" si="78"/>
        <v>0</v>
      </c>
      <c r="AA207" s="2">
        <f t="shared" si="78"/>
        <v>0</v>
      </c>
    </row>
    <row r="208" spans="1:29" x14ac:dyDescent="0.25">
      <c r="G208" s="2"/>
      <c r="H208" s="2"/>
      <c r="I208" s="2"/>
      <c r="J208" s="2"/>
      <c r="K208" s="2"/>
      <c r="L208" s="2"/>
      <c r="M208" s="2"/>
      <c r="N208" s="2"/>
      <c r="O208" s="2"/>
      <c r="P208" s="2"/>
      <c r="Q208" s="2"/>
      <c r="R208" s="2"/>
      <c r="S208" s="2"/>
      <c r="T208" s="2"/>
      <c r="U208" s="2"/>
      <c r="V208" s="2"/>
      <c r="W208" s="2"/>
      <c r="X208" s="2"/>
      <c r="Y208" s="2"/>
      <c r="Z208" s="2"/>
      <c r="AA208" s="2"/>
    </row>
    <row r="209" spans="1:27" x14ac:dyDescent="0.25">
      <c r="C209" s="1" t="s">
        <v>49</v>
      </c>
      <c r="G209" s="2"/>
      <c r="H209" s="2"/>
      <c r="I209" s="2"/>
      <c r="J209" s="2"/>
      <c r="K209" s="2"/>
      <c r="L209" s="2"/>
      <c r="M209" s="2"/>
      <c r="N209" s="2"/>
      <c r="O209" s="2"/>
      <c r="P209" s="2"/>
      <c r="Q209" s="2"/>
      <c r="R209" s="2"/>
      <c r="S209" s="2"/>
      <c r="T209" s="2"/>
      <c r="U209" s="2"/>
      <c r="V209" s="2"/>
      <c r="W209" s="2"/>
      <c r="X209" s="2"/>
      <c r="Y209" s="2"/>
      <c r="Z209" s="2"/>
      <c r="AA209" s="2"/>
    </row>
    <row r="210" spans="1:27" x14ac:dyDescent="0.25">
      <c r="A210" s="14">
        <f>'Notes &amp; Assumptions'!A63</f>
        <v>50</v>
      </c>
      <c r="E210" s="10"/>
      <c r="F210" t="s">
        <v>7</v>
      </c>
      <c r="G210" s="24">
        <v>0</v>
      </c>
      <c r="H210" s="10">
        <f>H107*($G$210*(1+$G$14)^(H2))</f>
        <v>0</v>
      </c>
      <c r="I210" s="10">
        <f>I107*($G$210*(1+$G$14)^(I2))</f>
        <v>0</v>
      </c>
      <c r="J210" s="10">
        <f t="shared" ref="J210:AA210" si="79">J107*($G$210*(1+$G$14)^(J2))</f>
        <v>0</v>
      </c>
      <c r="K210" s="10">
        <f t="shared" si="79"/>
        <v>0</v>
      </c>
      <c r="L210" s="10">
        <f t="shared" si="79"/>
        <v>0</v>
      </c>
      <c r="M210" s="10">
        <f t="shared" si="79"/>
        <v>0</v>
      </c>
      <c r="N210" s="10">
        <f t="shared" si="79"/>
        <v>0</v>
      </c>
      <c r="O210" s="10">
        <f t="shared" si="79"/>
        <v>0</v>
      </c>
      <c r="P210" s="10">
        <f t="shared" si="79"/>
        <v>0</v>
      </c>
      <c r="Q210" s="10">
        <f t="shared" si="79"/>
        <v>0</v>
      </c>
      <c r="R210" s="10">
        <f t="shared" si="79"/>
        <v>0</v>
      </c>
      <c r="S210" s="10">
        <f t="shared" si="79"/>
        <v>0</v>
      </c>
      <c r="T210" s="10">
        <f t="shared" si="79"/>
        <v>0</v>
      </c>
      <c r="U210" s="10">
        <f t="shared" si="79"/>
        <v>0</v>
      </c>
      <c r="V210" s="10">
        <f t="shared" si="79"/>
        <v>0</v>
      </c>
      <c r="W210" s="10">
        <f t="shared" si="79"/>
        <v>0</v>
      </c>
      <c r="X210" s="10">
        <f t="shared" si="79"/>
        <v>0</v>
      </c>
      <c r="Y210" s="10">
        <f t="shared" si="79"/>
        <v>0</v>
      </c>
      <c r="Z210" s="10">
        <f t="shared" si="79"/>
        <v>0</v>
      </c>
      <c r="AA210" s="10">
        <f t="shared" si="79"/>
        <v>0</v>
      </c>
    </row>
    <row r="211" spans="1:27" x14ac:dyDescent="0.25">
      <c r="A211" s="14">
        <f>'Notes &amp; Assumptions'!A64</f>
        <v>51</v>
      </c>
      <c r="E211" s="10" t="s">
        <v>50</v>
      </c>
      <c r="F211" t="s">
        <v>7</v>
      </c>
      <c r="G211" s="2"/>
      <c r="H211" s="10"/>
      <c r="I211" s="10"/>
      <c r="J211" s="10"/>
      <c r="K211" s="10"/>
      <c r="L211" s="10"/>
      <c r="M211" s="10"/>
      <c r="N211" s="10"/>
      <c r="O211" s="10"/>
      <c r="P211" s="10"/>
      <c r="Q211" s="10"/>
      <c r="R211" s="10"/>
      <c r="S211" s="10"/>
      <c r="T211" s="10"/>
      <c r="U211" s="10"/>
      <c r="V211" s="10"/>
      <c r="W211" s="10"/>
      <c r="X211" s="10"/>
      <c r="Y211" s="10"/>
      <c r="Z211" s="10"/>
      <c r="AA211" s="10"/>
    </row>
    <row r="212" spans="1:27" x14ac:dyDescent="0.25">
      <c r="A212" s="14">
        <f>'Notes &amp; Assumptions'!A65</f>
        <v>52</v>
      </c>
      <c r="E212" s="10" t="s">
        <v>51</v>
      </c>
      <c r="F212" t="s">
        <v>7</v>
      </c>
      <c r="G212" s="2"/>
      <c r="H212" s="10"/>
      <c r="I212" s="10"/>
      <c r="J212" s="10"/>
      <c r="K212" s="10"/>
      <c r="L212" s="10"/>
      <c r="M212" s="10"/>
      <c r="N212" s="10"/>
      <c r="O212" s="10"/>
      <c r="P212" s="10"/>
      <c r="Q212" s="10"/>
      <c r="R212" s="10"/>
      <c r="S212" s="10"/>
      <c r="T212" s="10"/>
      <c r="U212" s="10"/>
      <c r="V212" s="10"/>
      <c r="W212" s="10"/>
      <c r="X212" s="10"/>
      <c r="Y212" s="10"/>
      <c r="Z212" s="10"/>
      <c r="AA212" s="10"/>
    </row>
    <row r="213" spans="1:27" x14ac:dyDescent="0.25">
      <c r="A213" s="14">
        <f>'Notes &amp; Assumptions'!A66</f>
        <v>53</v>
      </c>
      <c r="E213" s="10" t="s">
        <v>52</v>
      </c>
      <c r="F213" t="s">
        <v>7</v>
      </c>
      <c r="G213" s="2"/>
      <c r="H213" s="10"/>
      <c r="I213" s="10"/>
      <c r="J213" s="10"/>
      <c r="K213" s="10"/>
      <c r="L213" s="10"/>
      <c r="M213" s="10"/>
      <c r="N213" s="10"/>
      <c r="O213" s="10"/>
      <c r="P213" s="10"/>
      <c r="Q213" s="10"/>
      <c r="R213" s="10"/>
      <c r="S213" s="10"/>
      <c r="T213" s="10"/>
      <c r="U213" s="10"/>
      <c r="V213" s="10"/>
      <c r="W213" s="10"/>
      <c r="X213" s="10"/>
      <c r="Y213" s="10"/>
      <c r="Z213" s="10"/>
      <c r="AA213" s="10"/>
    </row>
    <row r="214" spans="1:27" x14ac:dyDescent="0.25">
      <c r="E214" t="s">
        <v>17</v>
      </c>
      <c r="G214" s="2"/>
      <c r="H214" s="2">
        <f>SUM(H210:H213)</f>
        <v>0</v>
      </c>
      <c r="I214" s="2">
        <f t="shared" ref="I214:AA214" si="80">SUM(I210:I213)</f>
        <v>0</v>
      </c>
      <c r="J214" s="2">
        <f t="shared" si="80"/>
        <v>0</v>
      </c>
      <c r="K214" s="2">
        <f t="shared" si="80"/>
        <v>0</v>
      </c>
      <c r="L214" s="2">
        <f t="shared" si="80"/>
        <v>0</v>
      </c>
      <c r="M214" s="2">
        <f t="shared" si="80"/>
        <v>0</v>
      </c>
      <c r="N214" s="2">
        <f t="shared" si="80"/>
        <v>0</v>
      </c>
      <c r="O214" s="2">
        <f t="shared" si="80"/>
        <v>0</v>
      </c>
      <c r="P214" s="2">
        <f t="shared" si="80"/>
        <v>0</v>
      </c>
      <c r="Q214" s="2">
        <f t="shared" si="80"/>
        <v>0</v>
      </c>
      <c r="R214" s="2">
        <f t="shared" si="80"/>
        <v>0</v>
      </c>
      <c r="S214" s="2">
        <f t="shared" si="80"/>
        <v>0</v>
      </c>
      <c r="T214" s="2">
        <f t="shared" si="80"/>
        <v>0</v>
      </c>
      <c r="U214" s="2">
        <f t="shared" si="80"/>
        <v>0</v>
      </c>
      <c r="V214" s="2">
        <f t="shared" si="80"/>
        <v>0</v>
      </c>
      <c r="W214" s="2">
        <f t="shared" si="80"/>
        <v>0</v>
      </c>
      <c r="X214" s="2">
        <f t="shared" si="80"/>
        <v>0</v>
      </c>
      <c r="Y214" s="2">
        <f t="shared" si="80"/>
        <v>0</v>
      </c>
      <c r="Z214" s="2">
        <f t="shared" si="80"/>
        <v>0</v>
      </c>
      <c r="AA214" s="2">
        <f t="shared" si="80"/>
        <v>0</v>
      </c>
    </row>
    <row r="215" spans="1:27" x14ac:dyDescent="0.25">
      <c r="G215" s="2"/>
      <c r="H215" s="2"/>
      <c r="I215" s="2"/>
      <c r="J215" s="2"/>
      <c r="K215" s="2"/>
      <c r="L215" s="2"/>
      <c r="M215" s="2"/>
      <c r="N215" s="2"/>
      <c r="O215" s="2"/>
      <c r="P215" s="2"/>
      <c r="Q215" s="2"/>
      <c r="R215" s="2"/>
      <c r="S215" s="2"/>
      <c r="T215" s="2"/>
      <c r="U215" s="2"/>
      <c r="V215" s="2"/>
      <c r="W215" s="2"/>
      <c r="X215" s="2"/>
      <c r="Y215" s="2"/>
      <c r="Z215" s="2"/>
      <c r="AA215" s="2"/>
    </row>
    <row r="216" spans="1:27" x14ac:dyDescent="0.25">
      <c r="C216" s="1" t="s">
        <v>33</v>
      </c>
      <c r="G216" s="2"/>
      <c r="H216" s="2"/>
      <c r="I216" s="2"/>
      <c r="J216" s="2"/>
      <c r="K216" s="2"/>
      <c r="L216" s="2"/>
      <c r="M216" s="2"/>
      <c r="N216" s="2"/>
      <c r="O216" s="2"/>
      <c r="P216" s="2"/>
      <c r="Q216" s="2"/>
      <c r="R216" s="2"/>
      <c r="S216" s="2"/>
      <c r="T216" s="2"/>
      <c r="U216" s="2"/>
      <c r="V216" s="2"/>
      <c r="W216" s="2"/>
      <c r="X216" s="2"/>
      <c r="Y216" s="2"/>
      <c r="Z216" s="2"/>
      <c r="AA216" s="2"/>
    </row>
    <row r="217" spans="1:27" x14ac:dyDescent="0.25">
      <c r="C217" s="1"/>
      <c r="D217" s="1"/>
      <c r="E217" t="s">
        <v>29</v>
      </c>
      <c r="F217" t="s">
        <v>3</v>
      </c>
      <c r="G217" s="44"/>
      <c r="H217" s="2">
        <f t="shared" ref="H217:AA217" si="81">H174</f>
        <v>9974</v>
      </c>
      <c r="I217" s="2">
        <f t="shared" si="81"/>
        <v>9448</v>
      </c>
      <c r="J217" s="2">
        <f t="shared" si="81"/>
        <v>9093.2999999999993</v>
      </c>
      <c r="K217" s="2">
        <f t="shared" si="81"/>
        <v>8278.1999999999989</v>
      </c>
      <c r="L217" s="2">
        <f t="shared" si="81"/>
        <v>7494.2999999999984</v>
      </c>
      <c r="M217" s="2">
        <f t="shared" si="81"/>
        <v>6751.9999999999982</v>
      </c>
      <c r="N217" s="2">
        <f t="shared" si="81"/>
        <v>6052.699999999998</v>
      </c>
      <c r="O217" s="2">
        <f t="shared" si="81"/>
        <v>5394.0999999999976</v>
      </c>
      <c r="P217" s="2">
        <f t="shared" si="81"/>
        <v>5266.8999999999978</v>
      </c>
      <c r="Q217" s="2">
        <f t="shared" si="81"/>
        <v>5114.2999999999984</v>
      </c>
      <c r="R217" s="2">
        <f t="shared" si="81"/>
        <v>5414.4999999999982</v>
      </c>
      <c r="S217" s="2">
        <f t="shared" si="81"/>
        <v>5741.199999999998</v>
      </c>
      <c r="T217" s="2">
        <f t="shared" si="81"/>
        <v>6076.4999999999982</v>
      </c>
      <c r="U217" s="2">
        <f t="shared" si="81"/>
        <v>6034.3999999999978</v>
      </c>
      <c r="V217" s="2">
        <f t="shared" si="81"/>
        <v>5995.3999999999978</v>
      </c>
      <c r="W217" s="2">
        <f t="shared" si="81"/>
        <v>0</v>
      </c>
      <c r="X217" s="2">
        <f t="shared" si="81"/>
        <v>0</v>
      </c>
      <c r="Y217" s="2">
        <f t="shared" si="81"/>
        <v>0</v>
      </c>
      <c r="Z217" s="2">
        <f t="shared" si="81"/>
        <v>0</v>
      </c>
      <c r="AA217" s="2">
        <f t="shared" si="81"/>
        <v>0</v>
      </c>
    </row>
    <row r="218" spans="1:27" x14ac:dyDescent="0.25">
      <c r="E218" t="s">
        <v>18</v>
      </c>
      <c r="F218" t="s">
        <v>22</v>
      </c>
      <c r="G218" s="8">
        <f ca="1">MAX(0,-G245/(NPV($G$16,H217:AA217)))</f>
        <v>3024.9612798458825</v>
      </c>
      <c r="H218" s="2">
        <f ca="1">G218*(1+$G$14)</f>
        <v>3088.4854667226459</v>
      </c>
      <c r="I218" s="2">
        <f t="shared" ref="I218:AA218" ca="1" si="82">H218*(1+$G$14)</f>
        <v>3153.3436615238211</v>
      </c>
      <c r="J218" s="2">
        <f t="shared" ca="1" si="82"/>
        <v>3219.5638784158209</v>
      </c>
      <c r="K218" s="2">
        <f t="shared" ca="1" si="82"/>
        <v>3287.174719862553</v>
      </c>
      <c r="L218" s="2">
        <f t="shared" ca="1" si="82"/>
        <v>3356.2053889796662</v>
      </c>
      <c r="M218" s="2">
        <f t="shared" ca="1" si="82"/>
        <v>3426.6857021482388</v>
      </c>
      <c r="N218" s="2">
        <f t="shared" ca="1" si="82"/>
        <v>3498.6461018933514</v>
      </c>
      <c r="O218" s="2">
        <f t="shared" ca="1" si="82"/>
        <v>3572.1176700331116</v>
      </c>
      <c r="P218" s="2">
        <f t="shared" ca="1" si="82"/>
        <v>3647.1321411038066</v>
      </c>
      <c r="Q218" s="2">
        <f t="shared" ca="1" si="82"/>
        <v>3723.7219160669861</v>
      </c>
      <c r="R218" s="2">
        <f t="shared" ca="1" si="82"/>
        <v>3801.9200763043923</v>
      </c>
      <c r="S218" s="2">
        <f t="shared" ca="1" si="82"/>
        <v>3881.760397906784</v>
      </c>
      <c r="T218" s="2">
        <f t="shared" ca="1" si="82"/>
        <v>3963.277366262826</v>
      </c>
      <c r="U218" s="2">
        <f t="shared" ca="1" si="82"/>
        <v>4046.5061909543451</v>
      </c>
      <c r="V218" s="2">
        <f t="shared" ca="1" si="82"/>
        <v>4131.4828209643856</v>
      </c>
      <c r="W218" s="2">
        <f t="shared" ca="1" si="82"/>
        <v>4218.243960204637</v>
      </c>
      <c r="X218" s="2">
        <f t="shared" ca="1" si="82"/>
        <v>4306.8270833689339</v>
      </c>
      <c r="Y218" s="2">
        <f t="shared" ca="1" si="82"/>
        <v>4397.2704521196811</v>
      </c>
      <c r="Z218" s="2">
        <f t="shared" ca="1" si="82"/>
        <v>4489.6131316141937</v>
      </c>
      <c r="AA218" s="2">
        <f t="shared" ca="1" si="82"/>
        <v>4583.8950073780916</v>
      </c>
    </row>
    <row r="219" spans="1:27" x14ac:dyDescent="0.25">
      <c r="E219" t="s">
        <v>21</v>
      </c>
      <c r="F219" t="s">
        <v>7</v>
      </c>
      <c r="H219" s="2">
        <f ca="1">H218*H217</f>
        <v>30804554.04509167</v>
      </c>
      <c r="I219" s="2">
        <f t="shared" ref="I219:AA219" ca="1" si="83">I218*I217</f>
        <v>29792790.914077062</v>
      </c>
      <c r="J219" s="2">
        <f t="shared" ca="1" si="83"/>
        <v>29276460.215598583</v>
      </c>
      <c r="K219" s="2">
        <f t="shared" ca="1" si="83"/>
        <v>27211889.765966184</v>
      </c>
      <c r="L219" s="2">
        <f t="shared" ca="1" si="83"/>
        <v>25152410.046630308</v>
      </c>
      <c r="M219" s="2">
        <f t="shared" ca="1" si="83"/>
        <v>23136981.860904902</v>
      </c>
      <c r="N219" s="2">
        <f t="shared" ca="1" si="83"/>
        <v>21176255.260929883</v>
      </c>
      <c r="O219" s="2">
        <f t="shared" ca="1" si="83"/>
        <v>19268359.923925597</v>
      </c>
      <c r="P219" s="2">
        <f t="shared" ca="1" si="83"/>
        <v>19209080.27397963</v>
      </c>
      <c r="Q219" s="2">
        <f t="shared" ca="1" si="83"/>
        <v>19044230.995341379</v>
      </c>
      <c r="R219" s="2">
        <f t="shared" ca="1" si="83"/>
        <v>20585496.253150124</v>
      </c>
      <c r="S219" s="2">
        <f t="shared" ca="1" si="83"/>
        <v>22285962.79646242</v>
      </c>
      <c r="T219" s="2">
        <f t="shared" ca="1" si="83"/>
        <v>24082854.916096054</v>
      </c>
      <c r="U219" s="2">
        <f t="shared" ca="1" si="83"/>
        <v>24418236.95869489</v>
      </c>
      <c r="V219" s="2">
        <f t="shared" ca="1" si="83"/>
        <v>24769892.104809869</v>
      </c>
      <c r="W219" s="2">
        <f t="shared" ca="1" si="83"/>
        <v>0</v>
      </c>
      <c r="X219" s="2">
        <f t="shared" ca="1" si="83"/>
        <v>0</v>
      </c>
      <c r="Y219" s="2">
        <f t="shared" ca="1" si="83"/>
        <v>0</v>
      </c>
      <c r="Z219" s="2">
        <f t="shared" ca="1" si="83"/>
        <v>0</v>
      </c>
      <c r="AA219" s="2">
        <f t="shared" ca="1" si="83"/>
        <v>0</v>
      </c>
    </row>
    <row r="220" spans="1:27" x14ac:dyDescent="0.25">
      <c r="G220" s="8">
        <f ca="1">-G245/(NPV($G$16,H217:AA217))</f>
        <v>3024.9612798458825</v>
      </c>
    </row>
    <row r="221" spans="1:27" x14ac:dyDescent="0.25">
      <c r="D221" t="s">
        <v>9</v>
      </c>
    </row>
    <row r="222" spans="1:27" x14ac:dyDescent="0.25">
      <c r="E222" t="s">
        <v>107</v>
      </c>
      <c r="F222" t="s">
        <v>7</v>
      </c>
      <c r="G222" s="2">
        <f t="shared" ref="G222:AA222" si="84">G42</f>
        <v>0</v>
      </c>
      <c r="H222" s="2">
        <f t="shared" si="84"/>
        <v>35642088.999999993</v>
      </c>
      <c r="I222" s="2">
        <f t="shared" si="84"/>
        <v>34471438.987999991</v>
      </c>
      <c r="J222" s="2">
        <f t="shared" si="84"/>
        <v>33874023.921329536</v>
      </c>
      <c r="K222" s="2">
        <f t="shared" si="84"/>
        <v>31485234.146776929</v>
      </c>
      <c r="L222" s="2">
        <f t="shared" si="84"/>
        <v>29102334.548788421</v>
      </c>
      <c r="M222" s="2">
        <f t="shared" si="84"/>
        <v>26770404.319784526</v>
      </c>
      <c r="N222" s="2">
        <f t="shared" si="84"/>
        <v>24501765.991871051</v>
      </c>
      <c r="O222" s="2">
        <f t="shared" si="84"/>
        <v>22294255.527520508</v>
      </c>
      <c r="P222" s="2">
        <f t="shared" si="84"/>
        <v>22225666.624848187</v>
      </c>
      <c r="Q222" s="2">
        <f t="shared" si="84"/>
        <v>22034929.480846372</v>
      </c>
      <c r="R222" s="2">
        <f t="shared" si="84"/>
        <v>23818234.423713431</v>
      </c>
      <c r="S222" s="2">
        <f t="shared" si="84"/>
        <v>25785741.558844842</v>
      </c>
      <c r="T222" s="2">
        <f t="shared" si="84"/>
        <v>27864816.90457559</v>
      </c>
      <c r="U222" s="2">
        <f t="shared" si="84"/>
        <v>28252867.210183382</v>
      </c>
      <c r="V222" s="2">
        <f t="shared" si="84"/>
        <v>28659746.141032089</v>
      </c>
      <c r="W222" s="2">
        <f t="shared" si="84"/>
        <v>0</v>
      </c>
      <c r="X222" s="2">
        <f t="shared" si="84"/>
        <v>0</v>
      </c>
      <c r="Y222" s="2">
        <f t="shared" si="84"/>
        <v>0</v>
      </c>
      <c r="Z222" s="2">
        <f t="shared" si="84"/>
        <v>0</v>
      </c>
      <c r="AA222" s="2">
        <f t="shared" si="84"/>
        <v>0</v>
      </c>
    </row>
    <row r="223" spans="1:27" x14ac:dyDescent="0.25">
      <c r="E223" t="s">
        <v>11</v>
      </c>
      <c r="F223" t="s">
        <v>7</v>
      </c>
      <c r="G223" s="2">
        <f t="shared" ref="G223:AA223" si="85">G177</f>
        <v>0</v>
      </c>
      <c r="H223" s="2">
        <f t="shared" si="85"/>
        <v>6182225.9834038224</v>
      </c>
      <c r="I223" s="2">
        <f t="shared" si="85"/>
        <v>11995790.371626098</v>
      </c>
      <c r="J223" s="2">
        <f t="shared" si="85"/>
        <v>18050339.664931763</v>
      </c>
      <c r="K223" s="2">
        <f t="shared" si="85"/>
        <v>23862148.984883003</v>
      </c>
      <c r="L223" s="2">
        <f t="shared" si="85"/>
        <v>29434925.431030251</v>
      </c>
      <c r="M223" s="2">
        <f t="shared" si="85"/>
        <v>34761099.634969912</v>
      </c>
      <c r="N223" s="2">
        <f t="shared" si="85"/>
        <v>39853053.565400161</v>
      </c>
      <c r="O223" s="2">
        <f t="shared" si="85"/>
        <v>44714011.691100597</v>
      </c>
      <c r="P223" s="2">
        <f t="shared" si="85"/>
        <v>49721988.340728059</v>
      </c>
      <c r="Q223" s="2">
        <f t="shared" si="85"/>
        <v>54874142.127276734</v>
      </c>
      <c r="R223" s="2">
        <f t="shared" si="85"/>
        <v>60466460.73169291</v>
      </c>
      <c r="S223" s="2">
        <f t="shared" si="85"/>
        <v>66548323.248618223</v>
      </c>
      <c r="T223" s="2">
        <f t="shared" si="85"/>
        <v>73138773.863265544</v>
      </c>
      <c r="U223" s="2">
        <f t="shared" si="85"/>
        <v>79936734.338239014</v>
      </c>
      <c r="V223" s="2">
        <f t="shared" si="85"/>
        <v>86960520.226442367</v>
      </c>
      <c r="W223" s="2">
        <f t="shared" si="85"/>
        <v>88786691.151197642</v>
      </c>
      <c r="X223" s="2">
        <f t="shared" si="85"/>
        <v>90651211.665372789</v>
      </c>
      <c r="Y223" s="2">
        <f t="shared" si="85"/>
        <v>92554887.110345602</v>
      </c>
      <c r="Z223" s="2">
        <f t="shared" si="85"/>
        <v>94498539.739662856</v>
      </c>
      <c r="AA223" s="2">
        <f t="shared" si="85"/>
        <v>96483009.074195772</v>
      </c>
    </row>
    <row r="224" spans="1:27" x14ac:dyDescent="0.25">
      <c r="E224" t="s">
        <v>57</v>
      </c>
      <c r="F224" t="s">
        <v>7</v>
      </c>
      <c r="G224" s="2">
        <f t="shared" ref="G224:AA224" si="86">-G187</f>
        <v>0</v>
      </c>
      <c r="H224" s="2">
        <f t="shared" si="86"/>
        <v>-4081304.5861971751</v>
      </c>
      <c r="I224" s="2">
        <f t="shared" si="86"/>
        <v>-8124453.3182916604</v>
      </c>
      <c r="J224" s="2">
        <f t="shared" si="86"/>
        <v>-12199213.412921648</v>
      </c>
      <c r="K224" s="2">
        <f t="shared" si="86"/>
        <v>-16078452.883336719</v>
      </c>
      <c r="L224" s="2">
        <f t="shared" si="86"/>
        <v>-19769297.856755786</v>
      </c>
      <c r="M224" s="2">
        <f t="shared" si="86"/>
        <v>-23272672.93213268</v>
      </c>
      <c r="N224" s="2">
        <f t="shared" si="86"/>
        <v>-26592500.398821432</v>
      </c>
      <c r="O224" s="2">
        <f t="shared" si="86"/>
        <v>-29731751.2251908</v>
      </c>
      <c r="P224" s="2">
        <f t="shared" si="86"/>
        <v>-32933959.355104275</v>
      </c>
      <c r="Q224" s="2">
        <f t="shared" si="86"/>
        <v>-36187705.326668009</v>
      </c>
      <c r="R224" s="2">
        <f t="shared" si="86"/>
        <v>-39717092.654547654</v>
      </c>
      <c r="S224" s="2">
        <f t="shared" si="86"/>
        <v>-43549830.841256797</v>
      </c>
      <c r="T224" s="2">
        <f t="shared" si="86"/>
        <v>-47704218.710662022</v>
      </c>
      <c r="U224" s="2">
        <f t="shared" si="86"/>
        <v>-51990689.053647444</v>
      </c>
      <c r="V224" s="2">
        <f t="shared" si="86"/>
        <v>-56415111.355761826</v>
      </c>
      <c r="W224" s="2">
        <f t="shared" si="86"/>
        <v>-57599828.694232821</v>
      </c>
      <c r="X224" s="2">
        <f t="shared" si="86"/>
        <v>-58809425.096811704</v>
      </c>
      <c r="Y224" s="2">
        <f t="shared" si="86"/>
        <v>-60044423.023844734</v>
      </c>
      <c r="Z224" s="2">
        <f t="shared" si="86"/>
        <v>-61305355.907345481</v>
      </c>
      <c r="AA224" s="2">
        <f t="shared" si="86"/>
        <v>-62592768.381399721</v>
      </c>
    </row>
    <row r="225" spans="4:28" customFormat="1" x14ac:dyDescent="0.25">
      <c r="E225" t="s">
        <v>10</v>
      </c>
      <c r="F225" t="s">
        <v>7</v>
      </c>
      <c r="G225" s="2">
        <f t="shared" ref="G225:AA225" si="87">-G200</f>
        <v>0</v>
      </c>
      <c r="H225" s="2">
        <f t="shared" si="87"/>
        <v>-1160913.7559999998</v>
      </c>
      <c r="I225" s="2">
        <f t="shared" si="87"/>
        <v>-2308076.9576279996</v>
      </c>
      <c r="J225" s="2">
        <f t="shared" si="87"/>
        <v>-3459871.9243186354</v>
      </c>
      <c r="K225" s="2">
        <f t="shared" si="87"/>
        <v>-4558048.289795775</v>
      </c>
      <c r="L225" s="2">
        <f t="shared" si="87"/>
        <v>-5601671.9148991657</v>
      </c>
      <c r="M225" s="2">
        <f t="shared" si="87"/>
        <v>-6591257.337242173</v>
      </c>
      <c r="N225" s="2">
        <f t="shared" si="87"/>
        <v>-7527731.2622023439</v>
      </c>
      <c r="O225" s="2">
        <f t="shared" si="87"/>
        <v>-8411969.3701764047</v>
      </c>
      <c r="P225" s="2">
        <f t="shared" si="87"/>
        <v>-9312542.4398737326</v>
      </c>
      <c r="Q225" s="2">
        <f t="shared" si="87"/>
        <v>-10225814.962772934</v>
      </c>
      <c r="R225" s="2">
        <f t="shared" si="87"/>
        <v>-11216350.998220688</v>
      </c>
      <c r="S225" s="2">
        <f t="shared" si="87"/>
        <v>-12291772.808528552</v>
      </c>
      <c r="T225" s="2">
        <f t="shared" si="87"/>
        <v>-13457496.930970971</v>
      </c>
      <c r="U225" s="2">
        <f t="shared" si="87"/>
        <v>-14660340.612795902</v>
      </c>
      <c r="V225" s="2">
        <f t="shared" si="87"/>
        <v>-15901696.639972519</v>
      </c>
      <c r="W225" s="2">
        <f t="shared" si="87"/>
        <v>-16235632.26941194</v>
      </c>
      <c r="X225" s="2">
        <f t="shared" si="87"/>
        <v>-16576580.547069591</v>
      </c>
      <c r="Y225" s="2">
        <f t="shared" si="87"/>
        <v>-16924688.73855805</v>
      </c>
      <c r="Z225" s="2">
        <f t="shared" si="87"/>
        <v>-17280107.202067766</v>
      </c>
      <c r="AA225" s="2">
        <f t="shared" si="87"/>
        <v>-17642989.45331119</v>
      </c>
    </row>
    <row r="226" spans="4:28" customFormat="1" x14ac:dyDescent="0.25">
      <c r="E226" t="s">
        <v>12</v>
      </c>
      <c r="F226" t="s">
        <v>7</v>
      </c>
      <c r="G226" s="2">
        <f t="shared" ref="G226:AA226" si="88">-G34-G50-G85</f>
        <v>-1096310.0294376996</v>
      </c>
      <c r="H226" s="2">
        <f t="shared" si="88"/>
        <v>-1676903.7522597993</v>
      </c>
      <c r="I226" s="2">
        <f t="shared" ca="1" si="88"/>
        <v>-2353620.1908998638</v>
      </c>
      <c r="J226" s="2">
        <f t="shared" ca="1" si="88"/>
        <v>-3027787.8929887246</v>
      </c>
      <c r="K226" s="2">
        <f t="shared" ca="1" si="88"/>
        <v>-3694553.279419424</v>
      </c>
      <c r="L226" s="2">
        <f t="shared" ca="1" si="88"/>
        <v>-4326326.9840616686</v>
      </c>
      <c r="M226" s="2">
        <f t="shared" ca="1" si="88"/>
        <v>-4992372.8617732674</v>
      </c>
      <c r="N226" s="2">
        <f t="shared" ca="1" si="88"/>
        <v>-5567443.9621905293</v>
      </c>
      <c r="O226" s="2">
        <f t="shared" ca="1" si="88"/>
        <v>-6123199.7666668119</v>
      </c>
      <c r="P226" s="2">
        <f t="shared" ca="1" si="88"/>
        <v>-6679215.9618961792</v>
      </c>
      <c r="Q226" s="2">
        <f t="shared" ca="1" si="88"/>
        <v>-7241910.9829629175</v>
      </c>
      <c r="R226" s="2">
        <f t="shared" ca="1" si="88"/>
        <v>-7831511.4307037191</v>
      </c>
      <c r="S226" s="2">
        <f t="shared" ca="1" si="88"/>
        <v>-8449951.9314166903</v>
      </c>
      <c r="T226" s="2">
        <f t="shared" ca="1" si="88"/>
        <v>-9097629.3211807013</v>
      </c>
      <c r="U226" s="2">
        <f t="shared" ca="1" si="88"/>
        <v>-9756097.6256117597</v>
      </c>
      <c r="V226" s="2">
        <f t="shared" ca="1" si="88"/>
        <v>-10426879.383999959</v>
      </c>
      <c r="W226" s="2">
        <f t="shared" ca="1" si="88"/>
        <v>-10786873.179133717</v>
      </c>
      <c r="X226" s="2">
        <f t="shared" ca="1" si="88"/>
        <v>-11154315.929459522</v>
      </c>
      <c r="Y226" s="2">
        <f t="shared" ca="1" si="88"/>
        <v>-11529304.004166923</v>
      </c>
      <c r="Z226" s="2">
        <f t="shared" ca="1" si="88"/>
        <v>-11912146.422513377</v>
      </c>
      <c r="AA226" s="2">
        <f t="shared" ca="1" si="88"/>
        <v>-12303144.040931521</v>
      </c>
    </row>
    <row r="227" spans="4:28" customFormat="1" x14ac:dyDescent="0.25">
      <c r="E227" t="s">
        <v>48</v>
      </c>
      <c r="F227" t="s">
        <v>7</v>
      </c>
      <c r="G227" s="2">
        <f t="shared" ref="G227:AA227" si="89">G207</f>
        <v>0</v>
      </c>
      <c r="H227" s="2">
        <f t="shared" si="89"/>
        <v>0</v>
      </c>
      <c r="I227" s="2">
        <f t="shared" si="89"/>
        <v>0</v>
      </c>
      <c r="J227" s="2">
        <f t="shared" si="89"/>
        <v>0</v>
      </c>
      <c r="K227" s="2">
        <f t="shared" si="89"/>
        <v>0</v>
      </c>
      <c r="L227" s="2">
        <f t="shared" si="89"/>
        <v>0</v>
      </c>
      <c r="M227" s="2">
        <f t="shared" si="89"/>
        <v>0</v>
      </c>
      <c r="N227" s="2">
        <f t="shared" si="89"/>
        <v>0</v>
      </c>
      <c r="O227" s="2">
        <f t="shared" si="89"/>
        <v>0</v>
      </c>
      <c r="P227" s="2">
        <f t="shared" si="89"/>
        <v>0</v>
      </c>
      <c r="Q227" s="2">
        <f t="shared" si="89"/>
        <v>0</v>
      </c>
      <c r="R227" s="2">
        <f t="shared" si="89"/>
        <v>0</v>
      </c>
      <c r="S227" s="2">
        <f t="shared" si="89"/>
        <v>0</v>
      </c>
      <c r="T227" s="2">
        <f t="shared" si="89"/>
        <v>0</v>
      </c>
      <c r="U227" s="2">
        <f t="shared" si="89"/>
        <v>0</v>
      </c>
      <c r="V227" s="2">
        <f t="shared" si="89"/>
        <v>0</v>
      </c>
      <c r="W227" s="2">
        <f t="shared" si="89"/>
        <v>0</v>
      </c>
      <c r="X227" s="2">
        <f t="shared" si="89"/>
        <v>0</v>
      </c>
      <c r="Y227" s="2">
        <f t="shared" si="89"/>
        <v>0</v>
      </c>
      <c r="Z227" s="2">
        <f t="shared" si="89"/>
        <v>0</v>
      </c>
      <c r="AA227" s="2">
        <f t="shared" si="89"/>
        <v>0</v>
      </c>
    </row>
    <row r="228" spans="4:28" customFormat="1" x14ac:dyDescent="0.25">
      <c r="E228" t="s">
        <v>13</v>
      </c>
      <c r="F228" t="s">
        <v>7</v>
      </c>
      <c r="H228" s="2">
        <f ca="1">H219</f>
        <v>30804554.04509167</v>
      </c>
      <c r="I228" s="2">
        <f t="shared" ref="I228:AA228" ca="1" si="90">I219</f>
        <v>29792790.914077062</v>
      </c>
      <c r="J228" s="2">
        <f t="shared" ca="1" si="90"/>
        <v>29276460.215598583</v>
      </c>
      <c r="K228" s="2">
        <f t="shared" ca="1" si="90"/>
        <v>27211889.765966184</v>
      </c>
      <c r="L228" s="2">
        <f t="shared" ca="1" si="90"/>
        <v>25152410.046630308</v>
      </c>
      <c r="M228" s="2">
        <f t="shared" ca="1" si="90"/>
        <v>23136981.860904902</v>
      </c>
      <c r="N228" s="2">
        <f t="shared" ca="1" si="90"/>
        <v>21176255.260929883</v>
      </c>
      <c r="O228" s="2">
        <f t="shared" ca="1" si="90"/>
        <v>19268359.923925597</v>
      </c>
      <c r="P228" s="2">
        <f t="shared" ca="1" si="90"/>
        <v>19209080.27397963</v>
      </c>
      <c r="Q228" s="2">
        <f t="shared" ca="1" si="90"/>
        <v>19044230.995341379</v>
      </c>
      <c r="R228" s="2">
        <f t="shared" ca="1" si="90"/>
        <v>20585496.253150124</v>
      </c>
      <c r="S228" s="2">
        <f t="shared" ca="1" si="90"/>
        <v>22285962.79646242</v>
      </c>
      <c r="T228" s="2">
        <f t="shared" ca="1" si="90"/>
        <v>24082854.916096054</v>
      </c>
      <c r="U228" s="2">
        <f t="shared" ca="1" si="90"/>
        <v>24418236.95869489</v>
      </c>
      <c r="V228" s="2">
        <f t="shared" ca="1" si="90"/>
        <v>24769892.104809869</v>
      </c>
      <c r="W228" s="2">
        <f t="shared" ca="1" si="90"/>
        <v>0</v>
      </c>
      <c r="X228" s="2">
        <f t="shared" ca="1" si="90"/>
        <v>0</v>
      </c>
      <c r="Y228" s="2">
        <f t="shared" ca="1" si="90"/>
        <v>0</v>
      </c>
      <c r="Z228" s="2">
        <f t="shared" ca="1" si="90"/>
        <v>0</v>
      </c>
      <c r="AA228" s="2">
        <f t="shared" ca="1" si="90"/>
        <v>0</v>
      </c>
    </row>
    <row r="229" spans="4:28" customFormat="1" x14ac:dyDescent="0.25"/>
    <row r="230" spans="4:28" customFormat="1" x14ac:dyDescent="0.25">
      <c r="E230" t="s">
        <v>14</v>
      </c>
      <c r="F230" t="s">
        <v>7</v>
      </c>
      <c r="G230" s="2">
        <f t="shared" ref="G230:AA230" si="91">SUM(G222:G228)</f>
        <v>-1096310.0294376996</v>
      </c>
      <c r="H230" s="2">
        <f t="shared" ca="1" si="91"/>
        <v>65709746.93403852</v>
      </c>
      <c r="I230" s="2">
        <f t="shared" ca="1" si="91"/>
        <v>63473869.806883618</v>
      </c>
      <c r="J230" s="2">
        <f t="shared" ca="1" si="91"/>
        <v>62513950.571630873</v>
      </c>
      <c r="K230" s="2">
        <f t="shared" ca="1" si="91"/>
        <v>58228218.445074208</v>
      </c>
      <c r="L230" s="2">
        <f t="shared" ca="1" si="91"/>
        <v>53992373.270732358</v>
      </c>
      <c r="M230" s="2">
        <f t="shared" ca="1" si="91"/>
        <v>49812182.684511229</v>
      </c>
      <c r="N230" s="2">
        <f t="shared" ca="1" si="91"/>
        <v>45843399.19498679</v>
      </c>
      <c r="O230" s="2">
        <f t="shared" ca="1" si="91"/>
        <v>42009706.780512683</v>
      </c>
      <c r="P230" s="2">
        <f t="shared" ca="1" si="91"/>
        <v>42231017.482681692</v>
      </c>
      <c r="Q230" s="2">
        <f t="shared" ca="1" si="91"/>
        <v>42297871.331060626</v>
      </c>
      <c r="R230" s="2">
        <f t="shared" ca="1" si="91"/>
        <v>46105236.325084403</v>
      </c>
      <c r="S230" s="2">
        <f t="shared" ca="1" si="91"/>
        <v>50328472.022723451</v>
      </c>
      <c r="T230" s="2">
        <f t="shared" ca="1" si="91"/>
        <v>54827100.721123494</v>
      </c>
      <c r="U230" s="2">
        <f t="shared" ca="1" si="91"/>
        <v>56200711.215062179</v>
      </c>
      <c r="V230" s="2">
        <f t="shared" ca="1" si="91"/>
        <v>57646471.092550009</v>
      </c>
      <c r="W230" s="2">
        <f t="shared" ca="1" si="91"/>
        <v>4164357.0084191635</v>
      </c>
      <c r="X230" s="2">
        <f t="shared" ca="1" si="91"/>
        <v>4110890.0920319725</v>
      </c>
      <c r="Y230" s="2">
        <f t="shared" ca="1" si="91"/>
        <v>4056471.3437758945</v>
      </c>
      <c r="Z230" s="2">
        <f t="shared" ca="1" si="91"/>
        <v>4000930.2077362314</v>
      </c>
      <c r="AA230" s="2">
        <f t="shared" ca="1" si="91"/>
        <v>3944107.1985533405</v>
      </c>
    </row>
    <row r="231" spans="4:28" customFormat="1" x14ac:dyDescent="0.25">
      <c r="E231" t="s">
        <v>15</v>
      </c>
      <c r="F231" t="s">
        <v>7</v>
      </c>
      <c r="G231" s="2">
        <f>-G230*G$18</f>
        <v>328893.00883130985</v>
      </c>
      <c r="H231" s="2">
        <f ca="1">-H230*H$18</f>
        <v>-19712924.080211554</v>
      </c>
      <c r="I231" s="2">
        <f t="shared" ref="I231:AA231" ca="1" si="92">-I230*I$18</f>
        <v>-19042160.942065086</v>
      </c>
      <c r="J231" s="2">
        <f t="shared" ca="1" si="92"/>
        <v>-18754185.171489261</v>
      </c>
      <c r="K231" s="2">
        <f t="shared" ca="1" si="92"/>
        <v>-17468465.533522263</v>
      </c>
      <c r="L231" s="2">
        <f t="shared" ca="1" si="92"/>
        <v>-16197711.981219707</v>
      </c>
      <c r="M231" s="2">
        <f t="shared" ca="1" si="92"/>
        <v>-14943654.805353368</v>
      </c>
      <c r="N231" s="2">
        <f t="shared" ca="1" si="92"/>
        <v>-13753019.758496037</v>
      </c>
      <c r="O231" s="2">
        <f t="shared" ca="1" si="92"/>
        <v>-12602912.034153804</v>
      </c>
      <c r="P231" s="2">
        <f t="shared" ca="1" si="92"/>
        <v>-12669305.244804507</v>
      </c>
      <c r="Q231" s="2">
        <f t="shared" ca="1" si="92"/>
        <v>-12689361.399318187</v>
      </c>
      <c r="R231" s="2">
        <f t="shared" ca="1" si="92"/>
        <v>-13831570.89752532</v>
      </c>
      <c r="S231" s="2">
        <f t="shared" ca="1" si="92"/>
        <v>-15098541.606817035</v>
      </c>
      <c r="T231" s="2">
        <f t="shared" ca="1" si="92"/>
        <v>-16448130.216337048</v>
      </c>
      <c r="U231" s="2">
        <f t="shared" ca="1" si="92"/>
        <v>-16860213.364518654</v>
      </c>
      <c r="V231" s="2">
        <f t="shared" ca="1" si="92"/>
        <v>-17293941.327765003</v>
      </c>
      <c r="W231" s="2">
        <f t="shared" ca="1" si="92"/>
        <v>-1249307.102525749</v>
      </c>
      <c r="X231" s="2">
        <f t="shared" ca="1" si="92"/>
        <v>-1233267.0276095916</v>
      </c>
      <c r="Y231" s="2">
        <f t="shared" ca="1" si="92"/>
        <v>-1216941.4031327683</v>
      </c>
      <c r="Z231" s="2">
        <f t="shared" ca="1" si="92"/>
        <v>-1200279.0623208694</v>
      </c>
      <c r="AA231" s="2">
        <f t="shared" ca="1" si="92"/>
        <v>-1183232.1595660022</v>
      </c>
    </row>
    <row r="232" spans="4:28" customFormat="1" x14ac:dyDescent="0.25"/>
    <row r="233" spans="4:28" customFormat="1" x14ac:dyDescent="0.25">
      <c r="D233" t="s">
        <v>28</v>
      </c>
    </row>
    <row r="234" spans="4:28" customFormat="1" x14ac:dyDescent="0.25">
      <c r="E234" t="s">
        <v>1</v>
      </c>
      <c r="F234" t="s">
        <v>7</v>
      </c>
      <c r="G234" s="2">
        <f t="shared" ref="G234:AA234" si="93">-G26</f>
        <v>-98667902.649392962</v>
      </c>
      <c r="H234" s="2">
        <f t="shared" si="93"/>
        <v>-16611346.053988967</v>
      </c>
      <c r="I234" s="2">
        <f t="shared" ca="1" si="93"/>
        <v>-26433040.489605837</v>
      </c>
      <c r="J234" s="2">
        <f t="shared" ca="1" si="93"/>
        <v>-26801069.266667921</v>
      </c>
      <c r="K234" s="2">
        <f t="shared" ca="1" si="93"/>
        <v>-28523650.631986063</v>
      </c>
      <c r="L234" s="2">
        <f t="shared" ca="1" si="93"/>
        <v>-27757298.869013589</v>
      </c>
      <c r="M234" s="2">
        <f t="shared" ca="1" si="93"/>
        <v>-33173724.674259342</v>
      </c>
      <c r="N234" s="2">
        <f t="shared" ca="1" si="93"/>
        <v>-27254633.045682486</v>
      </c>
      <c r="O234" s="2">
        <f t="shared" ca="1" si="93"/>
        <v>-27723766.875344969</v>
      </c>
      <c r="P234" s="2">
        <f t="shared" ca="1" si="93"/>
        <v>-27815790.945794858</v>
      </c>
      <c r="Q234" s="2">
        <f t="shared" ca="1" si="93"/>
        <v>-28607622.415160112</v>
      </c>
      <c r="R234" s="2">
        <f t="shared" ca="1" si="93"/>
        <v>-29245805.87295869</v>
      </c>
      <c r="S234" s="2">
        <f t="shared" ca="1" si="93"/>
        <v>-29873903.505322564</v>
      </c>
      <c r="T234" s="2">
        <f t="shared" ca="1" si="93"/>
        <v>-30426148.174185529</v>
      </c>
      <c r="U234" s="2">
        <f t="shared" ca="1" si="93"/>
        <v>-31009280.188611764</v>
      </c>
      <c r="V234" s="2">
        <f t="shared" ca="1" si="93"/>
        <v>-31710612.11390594</v>
      </c>
      <c r="W234" s="2">
        <f t="shared" ca="1" si="93"/>
        <v>-32399441.562038191</v>
      </c>
      <c r="X234" s="2">
        <f t="shared" ca="1" si="93"/>
        <v>-33069847.529322453</v>
      </c>
      <c r="Y234" s="2">
        <f t="shared" ca="1" si="93"/>
        <v>-33748926.723666266</v>
      </c>
      <c r="Z234" s="2">
        <f t="shared" ca="1" si="93"/>
        <v>-34455817.651180692</v>
      </c>
      <c r="AA234" s="2">
        <f t="shared" ca="1" si="93"/>
        <v>-35189785.657632954</v>
      </c>
    </row>
    <row r="235" spans="4:28" customFormat="1" x14ac:dyDescent="0.25">
      <c r="E235" t="s">
        <v>19</v>
      </c>
      <c r="F235" t="s">
        <v>7</v>
      </c>
      <c r="G235" s="2">
        <f t="shared" ref="G235:AA235" si="94">G84</f>
        <v>0</v>
      </c>
      <c r="H235" s="2">
        <f t="shared" si="94"/>
        <v>0</v>
      </c>
      <c r="I235" s="2">
        <f t="shared" si="94"/>
        <v>0</v>
      </c>
      <c r="J235" s="2">
        <f t="shared" si="94"/>
        <v>0</v>
      </c>
      <c r="K235" s="2">
        <f t="shared" si="94"/>
        <v>0</v>
      </c>
      <c r="L235" s="2">
        <f t="shared" si="94"/>
        <v>0</v>
      </c>
      <c r="M235" s="2">
        <f t="shared" si="94"/>
        <v>0</v>
      </c>
      <c r="N235" s="2">
        <f t="shared" si="94"/>
        <v>0</v>
      </c>
      <c r="O235" s="2">
        <f t="shared" si="94"/>
        <v>0</v>
      </c>
      <c r="P235" s="2">
        <f t="shared" si="94"/>
        <v>0</v>
      </c>
      <c r="Q235" s="2">
        <f t="shared" si="94"/>
        <v>0</v>
      </c>
      <c r="R235" s="2">
        <f t="shared" si="94"/>
        <v>0</v>
      </c>
      <c r="S235" s="2">
        <f t="shared" si="94"/>
        <v>0</v>
      </c>
      <c r="T235" s="2">
        <f t="shared" si="94"/>
        <v>0</v>
      </c>
      <c r="U235" s="2">
        <f t="shared" si="94"/>
        <v>0</v>
      </c>
      <c r="V235" s="2">
        <f t="shared" si="94"/>
        <v>0</v>
      </c>
      <c r="W235" s="2">
        <f t="shared" si="94"/>
        <v>0</v>
      </c>
      <c r="X235" s="2">
        <f t="shared" si="94"/>
        <v>0</v>
      </c>
      <c r="Y235" s="2">
        <f t="shared" si="94"/>
        <v>0</v>
      </c>
      <c r="Z235" s="2">
        <f t="shared" si="94"/>
        <v>0</v>
      </c>
      <c r="AA235" s="2">
        <f t="shared" si="94"/>
        <v>0</v>
      </c>
    </row>
    <row r="236" spans="4:28" customFormat="1" x14ac:dyDescent="0.25">
      <c r="E236" t="s">
        <v>109</v>
      </c>
      <c r="F236" t="s">
        <v>7</v>
      </c>
      <c r="G236" s="2">
        <f t="shared" ref="G236:AA236" si="95">G53</f>
        <v>0</v>
      </c>
      <c r="H236" s="2">
        <f t="shared" si="95"/>
        <v>0</v>
      </c>
      <c r="I236" s="2">
        <f t="shared" si="95"/>
        <v>0</v>
      </c>
      <c r="J236" s="2">
        <f t="shared" si="95"/>
        <v>0</v>
      </c>
      <c r="K236" s="2">
        <f t="shared" si="95"/>
        <v>0</v>
      </c>
      <c r="L236" s="2">
        <f t="shared" si="95"/>
        <v>0</v>
      </c>
      <c r="M236" s="2">
        <f t="shared" si="95"/>
        <v>0</v>
      </c>
      <c r="N236" s="2">
        <f t="shared" si="95"/>
        <v>0</v>
      </c>
      <c r="O236" s="2">
        <f t="shared" si="95"/>
        <v>0</v>
      </c>
      <c r="P236" s="2">
        <f t="shared" si="95"/>
        <v>0</v>
      </c>
      <c r="Q236" s="2">
        <f t="shared" si="95"/>
        <v>0</v>
      </c>
      <c r="R236" s="2">
        <f t="shared" si="95"/>
        <v>0</v>
      </c>
      <c r="S236" s="2">
        <f t="shared" si="95"/>
        <v>0</v>
      </c>
      <c r="T236" s="2">
        <f t="shared" si="95"/>
        <v>0</v>
      </c>
      <c r="U236" s="2">
        <f t="shared" si="95"/>
        <v>0</v>
      </c>
      <c r="V236" s="2">
        <f t="shared" si="95"/>
        <v>0</v>
      </c>
      <c r="W236" s="2">
        <f t="shared" si="95"/>
        <v>0</v>
      </c>
      <c r="X236" s="2">
        <f t="shared" si="95"/>
        <v>0</v>
      </c>
      <c r="Y236" s="2">
        <f t="shared" si="95"/>
        <v>0</v>
      </c>
      <c r="Z236" s="2">
        <f t="shared" si="95"/>
        <v>0</v>
      </c>
      <c r="AA236" s="2">
        <f t="shared" si="95"/>
        <v>0</v>
      </c>
    </row>
    <row r="237" spans="4:28" customFormat="1" x14ac:dyDescent="0.25">
      <c r="E237" t="s">
        <v>11</v>
      </c>
      <c r="F237" t="s">
        <v>7</v>
      </c>
      <c r="G237" s="2">
        <f t="shared" ref="G237:AA237" si="96">G177</f>
        <v>0</v>
      </c>
      <c r="H237" s="2">
        <f t="shared" si="96"/>
        <v>6182225.9834038224</v>
      </c>
      <c r="I237" s="2">
        <f t="shared" si="96"/>
        <v>11995790.371626098</v>
      </c>
      <c r="J237" s="2">
        <f t="shared" si="96"/>
        <v>18050339.664931763</v>
      </c>
      <c r="K237" s="2">
        <f t="shared" si="96"/>
        <v>23862148.984883003</v>
      </c>
      <c r="L237" s="2">
        <f t="shared" si="96"/>
        <v>29434925.431030251</v>
      </c>
      <c r="M237" s="2">
        <f t="shared" si="96"/>
        <v>34761099.634969912</v>
      </c>
      <c r="N237" s="2">
        <f t="shared" si="96"/>
        <v>39853053.565400161</v>
      </c>
      <c r="O237" s="2">
        <f t="shared" si="96"/>
        <v>44714011.691100597</v>
      </c>
      <c r="P237" s="2">
        <f t="shared" si="96"/>
        <v>49721988.340728059</v>
      </c>
      <c r="Q237" s="2">
        <f t="shared" si="96"/>
        <v>54874142.127276734</v>
      </c>
      <c r="R237" s="2">
        <f t="shared" si="96"/>
        <v>60466460.73169291</v>
      </c>
      <c r="S237" s="2">
        <f t="shared" si="96"/>
        <v>66548323.248618223</v>
      </c>
      <c r="T237" s="2">
        <f t="shared" si="96"/>
        <v>73138773.863265544</v>
      </c>
      <c r="U237" s="2">
        <f t="shared" si="96"/>
        <v>79936734.338239014</v>
      </c>
      <c r="V237" s="2">
        <f t="shared" si="96"/>
        <v>86960520.226442367</v>
      </c>
      <c r="W237" s="2">
        <f t="shared" si="96"/>
        <v>88786691.151197642</v>
      </c>
      <c r="X237" s="2">
        <f t="shared" si="96"/>
        <v>90651211.665372789</v>
      </c>
      <c r="Y237" s="2">
        <f t="shared" si="96"/>
        <v>92554887.110345602</v>
      </c>
      <c r="Z237" s="2">
        <f t="shared" si="96"/>
        <v>94498539.739662856</v>
      </c>
      <c r="AA237" s="2">
        <f t="shared" si="96"/>
        <v>96483009.074195772</v>
      </c>
      <c r="AB237" s="2">
        <f t="shared" ref="AB237:AB241" si="97">IF(V237=0,0,IF($G$15&gt;(AA237/V237)^(1/5)-1+2%,AA237*(AA237/V237)^(1/5)/($G$15-((AA237/V237)^(1/5)-1)),AA237*(1+$G$14)/$G$16))</f>
        <v>3216100302.4731989</v>
      </c>
    </row>
    <row r="238" spans="4:28" customFormat="1" x14ac:dyDescent="0.25">
      <c r="E238" t="s">
        <v>57</v>
      </c>
      <c r="F238" t="s">
        <v>7</v>
      </c>
      <c r="G238" s="2">
        <f t="shared" ref="G238:AA238" si="98">G224</f>
        <v>0</v>
      </c>
      <c r="H238" s="2">
        <f t="shared" si="98"/>
        <v>-4081304.5861971751</v>
      </c>
      <c r="I238" s="2">
        <f t="shared" si="98"/>
        <v>-8124453.3182916604</v>
      </c>
      <c r="J238" s="2">
        <f t="shared" si="98"/>
        <v>-12199213.412921648</v>
      </c>
      <c r="K238" s="2">
        <f t="shared" si="98"/>
        <v>-16078452.883336719</v>
      </c>
      <c r="L238" s="2">
        <f t="shared" si="98"/>
        <v>-19769297.856755786</v>
      </c>
      <c r="M238" s="2">
        <f t="shared" si="98"/>
        <v>-23272672.93213268</v>
      </c>
      <c r="N238" s="2">
        <f t="shared" si="98"/>
        <v>-26592500.398821432</v>
      </c>
      <c r="O238" s="2">
        <f t="shared" si="98"/>
        <v>-29731751.2251908</v>
      </c>
      <c r="P238" s="2">
        <f t="shared" si="98"/>
        <v>-32933959.355104275</v>
      </c>
      <c r="Q238" s="2">
        <f t="shared" si="98"/>
        <v>-36187705.326668009</v>
      </c>
      <c r="R238" s="2">
        <f t="shared" si="98"/>
        <v>-39717092.654547654</v>
      </c>
      <c r="S238" s="2">
        <f t="shared" si="98"/>
        <v>-43549830.841256797</v>
      </c>
      <c r="T238" s="2">
        <f t="shared" si="98"/>
        <v>-47704218.710662022</v>
      </c>
      <c r="U238" s="2">
        <f t="shared" si="98"/>
        <v>-51990689.053647444</v>
      </c>
      <c r="V238" s="2">
        <f t="shared" si="98"/>
        <v>-56415111.355761826</v>
      </c>
      <c r="W238" s="2">
        <f t="shared" si="98"/>
        <v>-57599828.694232821</v>
      </c>
      <c r="X238" s="2">
        <f t="shared" si="98"/>
        <v>-58809425.096811704</v>
      </c>
      <c r="Y238" s="2">
        <f t="shared" si="98"/>
        <v>-60044423.023844734</v>
      </c>
      <c r="Z238" s="2">
        <f t="shared" si="98"/>
        <v>-61305355.907345481</v>
      </c>
      <c r="AA238" s="2">
        <f t="shared" si="98"/>
        <v>-62592768.381399721</v>
      </c>
      <c r="AB238" s="2">
        <f t="shared" si="97"/>
        <v>-2086425612.7133284</v>
      </c>
    </row>
    <row r="239" spans="4:28" customFormat="1" x14ac:dyDescent="0.25">
      <c r="E239" t="s">
        <v>10</v>
      </c>
      <c r="F239" t="s">
        <v>7</v>
      </c>
      <c r="G239" s="2">
        <f t="shared" ref="G239:AA239" si="99">-G200</f>
        <v>0</v>
      </c>
      <c r="H239" s="2">
        <f t="shared" si="99"/>
        <v>-1160913.7559999998</v>
      </c>
      <c r="I239" s="2">
        <f t="shared" si="99"/>
        <v>-2308076.9576279996</v>
      </c>
      <c r="J239" s="2">
        <f t="shared" si="99"/>
        <v>-3459871.9243186354</v>
      </c>
      <c r="K239" s="2">
        <f t="shared" si="99"/>
        <v>-4558048.289795775</v>
      </c>
      <c r="L239" s="2">
        <f t="shared" si="99"/>
        <v>-5601671.9148991657</v>
      </c>
      <c r="M239" s="2">
        <f t="shared" si="99"/>
        <v>-6591257.337242173</v>
      </c>
      <c r="N239" s="2">
        <f t="shared" si="99"/>
        <v>-7527731.2622023439</v>
      </c>
      <c r="O239" s="2">
        <f t="shared" si="99"/>
        <v>-8411969.3701764047</v>
      </c>
      <c r="P239" s="2">
        <f t="shared" si="99"/>
        <v>-9312542.4398737326</v>
      </c>
      <c r="Q239" s="2">
        <f t="shared" si="99"/>
        <v>-10225814.962772934</v>
      </c>
      <c r="R239" s="2">
        <f t="shared" si="99"/>
        <v>-11216350.998220688</v>
      </c>
      <c r="S239" s="2">
        <f t="shared" si="99"/>
        <v>-12291772.808528552</v>
      </c>
      <c r="T239" s="2">
        <f t="shared" si="99"/>
        <v>-13457496.930970971</v>
      </c>
      <c r="U239" s="2">
        <f t="shared" si="99"/>
        <v>-14660340.612795902</v>
      </c>
      <c r="V239" s="2">
        <f t="shared" si="99"/>
        <v>-15901696.639972519</v>
      </c>
      <c r="W239" s="2">
        <f t="shared" si="99"/>
        <v>-16235632.26941194</v>
      </c>
      <c r="X239" s="2">
        <f t="shared" si="99"/>
        <v>-16576580.547069591</v>
      </c>
      <c r="Y239" s="2">
        <f t="shared" si="99"/>
        <v>-16924688.73855805</v>
      </c>
      <c r="Z239" s="2">
        <f t="shared" si="99"/>
        <v>-17280107.202067766</v>
      </c>
      <c r="AA239" s="2">
        <f t="shared" si="99"/>
        <v>-17642989.45331119</v>
      </c>
      <c r="AB239" s="2">
        <f t="shared" si="97"/>
        <v>-588099648.44370759</v>
      </c>
    </row>
    <row r="240" spans="4:28" customFormat="1" x14ac:dyDescent="0.25">
      <c r="E240" t="s">
        <v>48</v>
      </c>
      <c r="F240" t="s">
        <v>7</v>
      </c>
      <c r="G240" s="2">
        <f t="shared" ref="G240:AA240" si="100">G207</f>
        <v>0</v>
      </c>
      <c r="H240" s="2">
        <f t="shared" si="100"/>
        <v>0</v>
      </c>
      <c r="I240" s="2">
        <f t="shared" si="100"/>
        <v>0</v>
      </c>
      <c r="J240" s="2">
        <f t="shared" si="100"/>
        <v>0</v>
      </c>
      <c r="K240" s="2">
        <f t="shared" si="100"/>
        <v>0</v>
      </c>
      <c r="L240" s="2">
        <f t="shared" si="100"/>
        <v>0</v>
      </c>
      <c r="M240" s="2">
        <f t="shared" si="100"/>
        <v>0</v>
      </c>
      <c r="N240" s="2">
        <f t="shared" si="100"/>
        <v>0</v>
      </c>
      <c r="O240" s="2">
        <f t="shared" si="100"/>
        <v>0</v>
      </c>
      <c r="P240" s="2">
        <f t="shared" si="100"/>
        <v>0</v>
      </c>
      <c r="Q240" s="2">
        <f t="shared" si="100"/>
        <v>0</v>
      </c>
      <c r="R240" s="2">
        <f t="shared" si="100"/>
        <v>0</v>
      </c>
      <c r="S240" s="2">
        <f t="shared" si="100"/>
        <v>0</v>
      </c>
      <c r="T240" s="2">
        <f t="shared" si="100"/>
        <v>0</v>
      </c>
      <c r="U240" s="2">
        <f t="shared" si="100"/>
        <v>0</v>
      </c>
      <c r="V240" s="2">
        <f t="shared" si="100"/>
        <v>0</v>
      </c>
      <c r="W240" s="2">
        <f t="shared" si="100"/>
        <v>0</v>
      </c>
      <c r="X240" s="2">
        <f t="shared" si="100"/>
        <v>0</v>
      </c>
      <c r="Y240" s="2">
        <f t="shared" si="100"/>
        <v>0</v>
      </c>
      <c r="Z240" s="2">
        <f t="shared" si="100"/>
        <v>0</v>
      </c>
      <c r="AA240" s="2">
        <f t="shared" si="100"/>
        <v>0</v>
      </c>
      <c r="AB240" s="2">
        <f t="shared" si="97"/>
        <v>0</v>
      </c>
    </row>
    <row r="241" spans="1:28" x14ac:dyDescent="0.25">
      <c r="A241"/>
      <c r="E241" t="s">
        <v>49</v>
      </c>
      <c r="F241" t="s">
        <v>7</v>
      </c>
      <c r="G241" s="2">
        <f t="shared" ref="G241:AA241" si="101">G214</f>
        <v>0</v>
      </c>
      <c r="H241" s="2">
        <f t="shared" si="101"/>
        <v>0</v>
      </c>
      <c r="I241" s="2">
        <f t="shared" si="101"/>
        <v>0</v>
      </c>
      <c r="J241" s="2">
        <f t="shared" si="101"/>
        <v>0</v>
      </c>
      <c r="K241" s="2">
        <f t="shared" si="101"/>
        <v>0</v>
      </c>
      <c r="L241" s="2">
        <f t="shared" si="101"/>
        <v>0</v>
      </c>
      <c r="M241" s="2">
        <f t="shared" si="101"/>
        <v>0</v>
      </c>
      <c r="N241" s="2">
        <f t="shared" si="101"/>
        <v>0</v>
      </c>
      <c r="O241" s="2">
        <f t="shared" si="101"/>
        <v>0</v>
      </c>
      <c r="P241" s="2">
        <f t="shared" si="101"/>
        <v>0</v>
      </c>
      <c r="Q241" s="2">
        <f t="shared" si="101"/>
        <v>0</v>
      </c>
      <c r="R241" s="2">
        <f t="shared" si="101"/>
        <v>0</v>
      </c>
      <c r="S241" s="2">
        <f t="shared" si="101"/>
        <v>0</v>
      </c>
      <c r="T241" s="2">
        <f t="shared" si="101"/>
        <v>0</v>
      </c>
      <c r="U241" s="2">
        <f t="shared" si="101"/>
        <v>0</v>
      </c>
      <c r="V241" s="2">
        <f t="shared" si="101"/>
        <v>0</v>
      </c>
      <c r="W241" s="2">
        <f t="shared" si="101"/>
        <v>0</v>
      </c>
      <c r="X241" s="2">
        <f t="shared" si="101"/>
        <v>0</v>
      </c>
      <c r="Y241" s="2">
        <f t="shared" si="101"/>
        <v>0</v>
      </c>
      <c r="Z241" s="2">
        <f t="shared" si="101"/>
        <v>0</v>
      </c>
      <c r="AA241" s="2">
        <f t="shared" si="101"/>
        <v>0</v>
      </c>
      <c r="AB241" s="2">
        <f t="shared" si="97"/>
        <v>0</v>
      </c>
    </row>
    <row r="242" spans="1:28" x14ac:dyDescent="0.25">
      <c r="A242"/>
      <c r="E242" t="s">
        <v>20</v>
      </c>
      <c r="F242" t="s">
        <v>7</v>
      </c>
      <c r="G242" s="2">
        <f t="shared" ref="G242:AA242" si="102">G231</f>
        <v>328893.00883130985</v>
      </c>
      <c r="H242" s="2">
        <f ca="1">H231</f>
        <v>-19712924.080211554</v>
      </c>
      <c r="I242" s="2">
        <f t="shared" ca="1" si="102"/>
        <v>-19042160.942065086</v>
      </c>
      <c r="J242" s="2">
        <f t="shared" ca="1" si="102"/>
        <v>-18754185.171489261</v>
      </c>
      <c r="K242" s="2">
        <f t="shared" ca="1" si="102"/>
        <v>-17468465.533522263</v>
      </c>
      <c r="L242" s="2">
        <f t="shared" ca="1" si="102"/>
        <v>-16197711.981219707</v>
      </c>
      <c r="M242" s="2">
        <f t="shared" ca="1" si="102"/>
        <v>-14943654.805353368</v>
      </c>
      <c r="N242" s="2">
        <f t="shared" ca="1" si="102"/>
        <v>-13753019.758496037</v>
      </c>
      <c r="O242" s="2">
        <f t="shared" ca="1" si="102"/>
        <v>-12602912.034153804</v>
      </c>
      <c r="P242" s="2">
        <f t="shared" ca="1" si="102"/>
        <v>-12669305.244804507</v>
      </c>
      <c r="Q242" s="2">
        <f t="shared" ca="1" si="102"/>
        <v>-12689361.399318187</v>
      </c>
      <c r="R242" s="2">
        <f t="shared" ca="1" si="102"/>
        <v>-13831570.89752532</v>
      </c>
      <c r="S242" s="2">
        <f t="shared" ca="1" si="102"/>
        <v>-15098541.606817035</v>
      </c>
      <c r="T242" s="2">
        <f t="shared" ca="1" si="102"/>
        <v>-16448130.216337048</v>
      </c>
      <c r="U242" s="2">
        <f t="shared" ca="1" si="102"/>
        <v>-16860213.364518654</v>
      </c>
      <c r="V242" s="2">
        <f t="shared" ca="1" si="102"/>
        <v>-17293941.327765003</v>
      </c>
      <c r="W242" s="2">
        <f t="shared" ca="1" si="102"/>
        <v>-1249307.102525749</v>
      </c>
      <c r="X242" s="2">
        <f t="shared" ca="1" si="102"/>
        <v>-1233267.0276095916</v>
      </c>
      <c r="Y242" s="2">
        <f t="shared" ca="1" si="102"/>
        <v>-1216941.4031327683</v>
      </c>
      <c r="Z242" s="2">
        <f t="shared" ca="1" si="102"/>
        <v>-1200279.0623208694</v>
      </c>
      <c r="AA242" s="2">
        <f t="shared" ca="1" si="102"/>
        <v>-1183232.1595660022</v>
      </c>
      <c r="AB242" s="2">
        <f ca="1">IF(V242=0,0,IF($G$15&gt;(AA242/V242)^(1/5)-1+2%,AA242*(AA242/V242)^(1/5)/($G$15-((AA242/V242)^(1/5)-1)),AA242*(1+$G$14)/$G$16))</f>
        <v>-1482454.1600813875</v>
      </c>
    </row>
    <row r="243" spans="1:28" x14ac:dyDescent="0.25">
      <c r="A243"/>
      <c r="E243" t="s">
        <v>173</v>
      </c>
      <c r="F243" t="s">
        <v>7</v>
      </c>
      <c r="G243" s="2">
        <f>-$G$17*G242</f>
        <v>-164446.50441565493</v>
      </c>
      <c r="H243" s="2">
        <f ca="1">-$G$17*H242</f>
        <v>9856462.0401057769</v>
      </c>
      <c r="I243" s="2">
        <f t="shared" ref="I243:AA243" ca="1" si="103">-$G$17*I242</f>
        <v>9521080.4710325431</v>
      </c>
      <c r="J243" s="2">
        <f t="shared" ca="1" si="103"/>
        <v>9377092.5857446305</v>
      </c>
      <c r="K243" s="2">
        <f t="shared" ca="1" si="103"/>
        <v>8734232.7667611316</v>
      </c>
      <c r="L243" s="2">
        <f t="shared" ca="1" si="103"/>
        <v>8098855.9906098535</v>
      </c>
      <c r="M243" s="2">
        <f t="shared" ca="1" si="103"/>
        <v>7471827.4026766839</v>
      </c>
      <c r="N243" s="2">
        <f t="shared" ca="1" si="103"/>
        <v>6876509.8792480184</v>
      </c>
      <c r="O243" s="2">
        <f t="shared" ca="1" si="103"/>
        <v>6301456.0170769021</v>
      </c>
      <c r="P243" s="2">
        <f t="shared" ca="1" si="103"/>
        <v>6334652.6224022536</v>
      </c>
      <c r="Q243" s="2">
        <f t="shared" ca="1" si="103"/>
        <v>6344680.6996590933</v>
      </c>
      <c r="R243" s="2">
        <f t="shared" ca="1" si="103"/>
        <v>6915785.4487626599</v>
      </c>
      <c r="S243" s="2">
        <f t="shared" ca="1" si="103"/>
        <v>7549270.8034085175</v>
      </c>
      <c r="T243" s="2">
        <f t="shared" ca="1" si="103"/>
        <v>8224065.1081685238</v>
      </c>
      <c r="U243" s="2">
        <f t="shared" ca="1" si="103"/>
        <v>8430106.6822593268</v>
      </c>
      <c r="V243" s="2">
        <f t="shared" ca="1" si="103"/>
        <v>8646970.6638825014</v>
      </c>
      <c r="W243" s="2">
        <f t="shared" ca="1" si="103"/>
        <v>624653.55126287451</v>
      </c>
      <c r="X243" s="2">
        <f t="shared" ca="1" si="103"/>
        <v>616633.5138047958</v>
      </c>
      <c r="Y243" s="2">
        <f t="shared" ca="1" si="103"/>
        <v>608470.70156638417</v>
      </c>
      <c r="Z243" s="2">
        <f t="shared" ca="1" si="103"/>
        <v>600139.53116043471</v>
      </c>
      <c r="AA243" s="2">
        <f t="shared" ca="1" si="103"/>
        <v>591616.0797830011</v>
      </c>
      <c r="AB243" s="2">
        <f t="shared" ref="AB243" ca="1" si="104">IF(V243=0,0,IF($G$15&gt;(AA243/V243)^(1/5)-1+2%,AA243*(AA243/V243)^(1/5)/($G$15-((AA243/V243)^(1/5)-1)),AA243*(1+$G$14)/$G$16))</f>
        <v>741227.08004069375</v>
      </c>
    </row>
    <row r="244" spans="1:28" x14ac:dyDescent="0.25">
      <c r="A244"/>
      <c r="E244" t="s">
        <v>23</v>
      </c>
      <c r="F244" t="s">
        <v>7</v>
      </c>
      <c r="G244" s="2">
        <f>SUM(G234:G243)</f>
        <v>-98503456.144977316</v>
      </c>
      <c r="H244" s="2">
        <f ca="1">SUM(H234:H243)</f>
        <v>-25527800.452888101</v>
      </c>
      <c r="I244" s="2">
        <f t="shared" ref="I244:AB244" ca="1" si="105">SUM(I234:I243)</f>
        <v>-34390860.864931941</v>
      </c>
      <c r="J244" s="2">
        <f t="shared" ca="1" si="105"/>
        <v>-33786907.524721071</v>
      </c>
      <c r="K244" s="2">
        <f t="shared" ca="1" si="105"/>
        <v>-34032235.586996682</v>
      </c>
      <c r="L244" s="2">
        <f t="shared" ca="1" si="105"/>
        <v>-31792199.200248145</v>
      </c>
      <c r="M244" s="2">
        <f t="shared" ca="1" si="105"/>
        <v>-35748382.711340964</v>
      </c>
      <c r="N244" s="2">
        <f t="shared" ca="1" si="105"/>
        <v>-28398321.020554122</v>
      </c>
      <c r="O244" s="2">
        <f t="shared" ca="1" si="105"/>
        <v>-27454931.796688475</v>
      </c>
      <c r="P244" s="2">
        <f t="shared" ca="1" si="105"/>
        <v>-26674957.022447061</v>
      </c>
      <c r="Q244" s="2">
        <f t="shared" ca="1" si="105"/>
        <v>-26491681.276983418</v>
      </c>
      <c r="R244" s="2">
        <f t="shared" ca="1" si="105"/>
        <v>-26628574.242796782</v>
      </c>
      <c r="S244" s="2">
        <f t="shared" ca="1" si="105"/>
        <v>-26716454.709898211</v>
      </c>
      <c r="T244" s="2">
        <f t="shared" ca="1" si="105"/>
        <v>-26673155.060721505</v>
      </c>
      <c r="U244" s="2">
        <f t="shared" ca="1" si="105"/>
        <v>-26153682.199075423</v>
      </c>
      <c r="V244" s="2">
        <f t="shared" ca="1" si="105"/>
        <v>-25713870.54708042</v>
      </c>
      <c r="W244" s="2">
        <f t="shared" ca="1" si="105"/>
        <v>-18072864.925748184</v>
      </c>
      <c r="X244" s="2">
        <f t="shared" ca="1" si="105"/>
        <v>-18421275.021635752</v>
      </c>
      <c r="Y244" s="2">
        <f t="shared" ca="1" si="105"/>
        <v>-18771622.077289835</v>
      </c>
      <c r="Z244" s="2">
        <f t="shared" ca="1" si="105"/>
        <v>-19142880.552091517</v>
      </c>
      <c r="AA244" s="2">
        <f t="shared" ca="1" si="105"/>
        <v>-19534150.497931097</v>
      </c>
      <c r="AB244" s="2">
        <f t="shared" ca="1" si="105"/>
        <v>540833814.23612225</v>
      </c>
    </row>
    <row r="245" spans="1:28" x14ac:dyDescent="0.25">
      <c r="A245"/>
      <c r="E245" t="s">
        <v>31</v>
      </c>
      <c r="F245" t="s">
        <v>7</v>
      </c>
      <c r="G245" s="2">
        <f ca="1">NPV($G$15,H244:AB244)+G244</f>
        <v>-252041914.519593</v>
      </c>
    </row>
    <row r="247" spans="1:28" x14ac:dyDescent="0.25">
      <c r="A247"/>
      <c r="E247" t="s">
        <v>13</v>
      </c>
      <c r="F247" t="s">
        <v>7</v>
      </c>
      <c r="H247" s="2">
        <f t="shared" ref="H247:AA247" ca="1" si="106">H219</f>
        <v>30804554.04509167</v>
      </c>
      <c r="I247" s="2">
        <f t="shared" ca="1" si="106"/>
        <v>29792790.914077062</v>
      </c>
      <c r="J247" s="2">
        <f t="shared" ca="1" si="106"/>
        <v>29276460.215598583</v>
      </c>
      <c r="K247" s="2">
        <f t="shared" ca="1" si="106"/>
        <v>27211889.765966184</v>
      </c>
      <c r="L247" s="2">
        <f t="shared" ca="1" si="106"/>
        <v>25152410.046630308</v>
      </c>
      <c r="M247" s="2">
        <f t="shared" ca="1" si="106"/>
        <v>23136981.860904902</v>
      </c>
      <c r="N247" s="2">
        <f t="shared" ca="1" si="106"/>
        <v>21176255.260929883</v>
      </c>
      <c r="O247" s="2">
        <f t="shared" ca="1" si="106"/>
        <v>19268359.923925597</v>
      </c>
      <c r="P247" s="2">
        <f t="shared" ca="1" si="106"/>
        <v>19209080.27397963</v>
      </c>
      <c r="Q247" s="2">
        <f t="shared" ca="1" si="106"/>
        <v>19044230.995341379</v>
      </c>
      <c r="R247" s="2">
        <f t="shared" ca="1" si="106"/>
        <v>20585496.253150124</v>
      </c>
      <c r="S247" s="2">
        <f t="shared" ca="1" si="106"/>
        <v>22285962.79646242</v>
      </c>
      <c r="T247" s="2">
        <f t="shared" ca="1" si="106"/>
        <v>24082854.916096054</v>
      </c>
      <c r="U247" s="2">
        <f t="shared" ca="1" si="106"/>
        <v>24418236.95869489</v>
      </c>
      <c r="V247" s="2">
        <f t="shared" ca="1" si="106"/>
        <v>24769892.104809869</v>
      </c>
      <c r="W247" s="2">
        <f t="shared" ca="1" si="106"/>
        <v>0</v>
      </c>
      <c r="X247" s="2">
        <f t="shared" ca="1" si="106"/>
        <v>0</v>
      </c>
      <c r="Y247" s="2">
        <f t="shared" ca="1" si="106"/>
        <v>0</v>
      </c>
      <c r="Z247" s="2">
        <f t="shared" ca="1" si="106"/>
        <v>0</v>
      </c>
      <c r="AA247" s="2">
        <f t="shared" ca="1" si="106"/>
        <v>0</v>
      </c>
    </row>
    <row r="248" spans="1:28" x14ac:dyDescent="0.25">
      <c r="A248"/>
      <c r="E248" t="s">
        <v>24</v>
      </c>
      <c r="F248" t="s">
        <v>7</v>
      </c>
      <c r="G248" s="2">
        <f ca="1">NPV($G$15,H247:AA247)+G247</f>
        <v>252041914.51959309</v>
      </c>
    </row>
    <row r="249" spans="1:28" x14ac:dyDescent="0.25">
      <c r="A249"/>
      <c r="E249" s="3" t="s">
        <v>34</v>
      </c>
      <c r="F249" s="3"/>
      <c r="G249" s="4" t="str">
        <f ca="1">IF(G245&gt;0,"N/A",IF(ABS(G245+G248)&gt;1,"Error","OK"))</f>
        <v>OK</v>
      </c>
    </row>
    <row r="251" spans="1:28" x14ac:dyDescent="0.25">
      <c r="A251"/>
      <c r="C251" s="1" t="s">
        <v>35</v>
      </c>
      <c r="D251" s="1"/>
    </row>
    <row r="252" spans="1:28" x14ac:dyDescent="0.25">
      <c r="A252"/>
      <c r="C252" s="1"/>
      <c r="D252" s="1"/>
      <c r="G252" s="44"/>
    </row>
    <row r="253" spans="1:28" x14ac:dyDescent="0.25">
      <c r="A253"/>
      <c r="C253" s="1"/>
      <c r="D253" t="s">
        <v>35</v>
      </c>
      <c r="F253" t="s">
        <v>7</v>
      </c>
      <c r="G253" s="8">
        <f ca="1">MAX(0,-G279)</f>
        <v>252137244.54667231</v>
      </c>
    </row>
    <row r="255" spans="1:28" x14ac:dyDescent="0.25">
      <c r="A255"/>
      <c r="D255" t="s">
        <v>9</v>
      </c>
    </row>
    <row r="256" spans="1:28" x14ac:dyDescent="0.25">
      <c r="A256"/>
      <c r="E256" t="s">
        <v>107</v>
      </c>
      <c r="F256" t="s">
        <v>7</v>
      </c>
      <c r="G256" s="2">
        <f t="shared" ref="G256:AA261" si="107">G222</f>
        <v>0</v>
      </c>
      <c r="H256" s="2">
        <f t="shared" si="107"/>
        <v>35642088.999999993</v>
      </c>
      <c r="I256" s="2">
        <f t="shared" si="107"/>
        <v>34471438.987999991</v>
      </c>
      <c r="J256" s="2">
        <f t="shared" si="107"/>
        <v>33874023.921329536</v>
      </c>
      <c r="K256" s="2">
        <f t="shared" si="107"/>
        <v>31485234.146776929</v>
      </c>
      <c r="L256" s="2">
        <f t="shared" si="107"/>
        <v>29102334.548788421</v>
      </c>
      <c r="M256" s="2">
        <f t="shared" si="107"/>
        <v>26770404.319784526</v>
      </c>
      <c r="N256" s="2">
        <f t="shared" si="107"/>
        <v>24501765.991871051</v>
      </c>
      <c r="O256" s="2">
        <f t="shared" si="107"/>
        <v>22294255.527520508</v>
      </c>
      <c r="P256" s="2">
        <f t="shared" si="107"/>
        <v>22225666.624848187</v>
      </c>
      <c r="Q256" s="2">
        <f t="shared" si="107"/>
        <v>22034929.480846372</v>
      </c>
      <c r="R256" s="2">
        <f t="shared" si="107"/>
        <v>23818234.423713431</v>
      </c>
      <c r="S256" s="2">
        <f t="shared" si="107"/>
        <v>25785741.558844842</v>
      </c>
      <c r="T256" s="2">
        <f t="shared" si="107"/>
        <v>27864816.90457559</v>
      </c>
      <c r="U256" s="2">
        <f t="shared" si="107"/>
        <v>28252867.210183382</v>
      </c>
      <c r="V256" s="2">
        <f t="shared" si="107"/>
        <v>28659746.141032089</v>
      </c>
      <c r="W256" s="2">
        <f t="shared" si="107"/>
        <v>0</v>
      </c>
      <c r="X256" s="2">
        <f t="shared" si="107"/>
        <v>0</v>
      </c>
      <c r="Y256" s="2">
        <f t="shared" si="107"/>
        <v>0</v>
      </c>
      <c r="Z256" s="2">
        <f t="shared" si="107"/>
        <v>0</v>
      </c>
      <c r="AA256" s="2">
        <f t="shared" si="107"/>
        <v>0</v>
      </c>
    </row>
    <row r="257" spans="4:28" customFormat="1" x14ac:dyDescent="0.25">
      <c r="E257" t="s">
        <v>11</v>
      </c>
      <c r="F257" t="s">
        <v>7</v>
      </c>
      <c r="G257" s="2">
        <f t="shared" si="107"/>
        <v>0</v>
      </c>
      <c r="H257" s="2">
        <f t="shared" si="107"/>
        <v>6182225.9834038224</v>
      </c>
      <c r="I257" s="2">
        <f t="shared" si="107"/>
        <v>11995790.371626098</v>
      </c>
      <c r="J257" s="2">
        <f t="shared" si="107"/>
        <v>18050339.664931763</v>
      </c>
      <c r="K257" s="2">
        <f t="shared" si="107"/>
        <v>23862148.984883003</v>
      </c>
      <c r="L257" s="2">
        <f t="shared" si="107"/>
        <v>29434925.431030251</v>
      </c>
      <c r="M257" s="2">
        <f t="shared" si="107"/>
        <v>34761099.634969912</v>
      </c>
      <c r="N257" s="2">
        <f t="shared" si="107"/>
        <v>39853053.565400161</v>
      </c>
      <c r="O257" s="2">
        <f t="shared" si="107"/>
        <v>44714011.691100597</v>
      </c>
      <c r="P257" s="2">
        <f t="shared" si="107"/>
        <v>49721988.340728059</v>
      </c>
      <c r="Q257" s="2">
        <f t="shared" si="107"/>
        <v>54874142.127276734</v>
      </c>
      <c r="R257" s="2">
        <f t="shared" si="107"/>
        <v>60466460.73169291</v>
      </c>
      <c r="S257" s="2">
        <f t="shared" si="107"/>
        <v>66548323.248618223</v>
      </c>
      <c r="T257" s="2">
        <f t="shared" si="107"/>
        <v>73138773.863265544</v>
      </c>
      <c r="U257" s="2">
        <f t="shared" si="107"/>
        <v>79936734.338239014</v>
      </c>
      <c r="V257" s="2">
        <f t="shared" si="107"/>
        <v>86960520.226442367</v>
      </c>
      <c r="W257" s="2">
        <f t="shared" si="107"/>
        <v>88786691.151197642</v>
      </c>
      <c r="X257" s="2">
        <f t="shared" si="107"/>
        <v>90651211.665372789</v>
      </c>
      <c r="Y257" s="2">
        <f t="shared" si="107"/>
        <v>92554887.110345602</v>
      </c>
      <c r="Z257" s="2">
        <f t="shared" si="107"/>
        <v>94498539.739662856</v>
      </c>
      <c r="AA257" s="2">
        <f t="shared" si="107"/>
        <v>96483009.074195772</v>
      </c>
    </row>
    <row r="258" spans="4:28" customFormat="1" x14ac:dyDescent="0.25">
      <c r="E258" t="s">
        <v>57</v>
      </c>
      <c r="F258" t="s">
        <v>7</v>
      </c>
      <c r="G258" s="2">
        <f t="shared" si="107"/>
        <v>0</v>
      </c>
      <c r="H258" s="2">
        <f t="shared" si="107"/>
        <v>-4081304.5861971751</v>
      </c>
      <c r="I258" s="2">
        <f t="shared" si="107"/>
        <v>-8124453.3182916604</v>
      </c>
      <c r="J258" s="2">
        <f t="shared" si="107"/>
        <v>-12199213.412921648</v>
      </c>
      <c r="K258" s="2">
        <f t="shared" si="107"/>
        <v>-16078452.883336719</v>
      </c>
      <c r="L258" s="2">
        <f t="shared" si="107"/>
        <v>-19769297.856755786</v>
      </c>
      <c r="M258" s="2">
        <f t="shared" si="107"/>
        <v>-23272672.93213268</v>
      </c>
      <c r="N258" s="2">
        <f t="shared" si="107"/>
        <v>-26592500.398821432</v>
      </c>
      <c r="O258" s="2">
        <f t="shared" si="107"/>
        <v>-29731751.2251908</v>
      </c>
      <c r="P258" s="2">
        <f t="shared" si="107"/>
        <v>-32933959.355104275</v>
      </c>
      <c r="Q258" s="2">
        <f t="shared" si="107"/>
        <v>-36187705.326668009</v>
      </c>
      <c r="R258" s="2">
        <f t="shared" si="107"/>
        <v>-39717092.654547654</v>
      </c>
      <c r="S258" s="2">
        <f t="shared" si="107"/>
        <v>-43549830.841256797</v>
      </c>
      <c r="T258" s="2">
        <f t="shared" si="107"/>
        <v>-47704218.710662022</v>
      </c>
      <c r="U258" s="2">
        <f t="shared" si="107"/>
        <v>-51990689.053647444</v>
      </c>
      <c r="V258" s="2">
        <f t="shared" si="107"/>
        <v>-56415111.355761826</v>
      </c>
      <c r="W258" s="2">
        <f t="shared" si="107"/>
        <v>-57599828.694232821</v>
      </c>
      <c r="X258" s="2">
        <f t="shared" si="107"/>
        <v>-58809425.096811704</v>
      </c>
      <c r="Y258" s="2">
        <f t="shared" si="107"/>
        <v>-60044423.023844734</v>
      </c>
      <c r="Z258" s="2">
        <f t="shared" si="107"/>
        <v>-61305355.907345481</v>
      </c>
      <c r="AA258" s="2">
        <f t="shared" si="107"/>
        <v>-62592768.381399721</v>
      </c>
    </row>
    <row r="259" spans="4:28" customFormat="1" x14ac:dyDescent="0.25">
      <c r="E259" t="s">
        <v>10</v>
      </c>
      <c r="F259" t="s">
        <v>7</v>
      </c>
      <c r="G259" s="2">
        <f t="shared" si="107"/>
        <v>0</v>
      </c>
      <c r="H259" s="2">
        <f t="shared" si="107"/>
        <v>-1160913.7559999998</v>
      </c>
      <c r="I259" s="2">
        <f t="shared" si="107"/>
        <v>-2308076.9576279996</v>
      </c>
      <c r="J259" s="2">
        <f t="shared" si="107"/>
        <v>-3459871.9243186354</v>
      </c>
      <c r="K259" s="2">
        <f t="shared" si="107"/>
        <v>-4558048.289795775</v>
      </c>
      <c r="L259" s="2">
        <f t="shared" si="107"/>
        <v>-5601671.9148991657</v>
      </c>
      <c r="M259" s="2">
        <f t="shared" si="107"/>
        <v>-6591257.337242173</v>
      </c>
      <c r="N259" s="2">
        <f t="shared" si="107"/>
        <v>-7527731.2622023439</v>
      </c>
      <c r="O259" s="2">
        <f t="shared" si="107"/>
        <v>-8411969.3701764047</v>
      </c>
      <c r="P259" s="2">
        <f t="shared" si="107"/>
        <v>-9312542.4398737326</v>
      </c>
      <c r="Q259" s="2">
        <f t="shared" si="107"/>
        <v>-10225814.962772934</v>
      </c>
      <c r="R259" s="2">
        <f t="shared" si="107"/>
        <v>-11216350.998220688</v>
      </c>
      <c r="S259" s="2">
        <f t="shared" si="107"/>
        <v>-12291772.808528552</v>
      </c>
      <c r="T259" s="2">
        <f t="shared" si="107"/>
        <v>-13457496.930970971</v>
      </c>
      <c r="U259" s="2">
        <f t="shared" si="107"/>
        <v>-14660340.612795902</v>
      </c>
      <c r="V259" s="2">
        <f t="shared" si="107"/>
        <v>-15901696.639972519</v>
      </c>
      <c r="W259" s="2">
        <f t="shared" si="107"/>
        <v>-16235632.26941194</v>
      </c>
      <c r="X259" s="2">
        <f t="shared" si="107"/>
        <v>-16576580.547069591</v>
      </c>
      <c r="Y259" s="2">
        <f t="shared" si="107"/>
        <v>-16924688.73855805</v>
      </c>
      <c r="Z259" s="2">
        <f t="shared" si="107"/>
        <v>-17280107.202067766</v>
      </c>
      <c r="AA259" s="2">
        <f t="shared" si="107"/>
        <v>-17642989.45331119</v>
      </c>
    </row>
    <row r="260" spans="4:28" customFormat="1" x14ac:dyDescent="0.25">
      <c r="E260" t="s">
        <v>12</v>
      </c>
      <c r="F260" t="s">
        <v>7</v>
      </c>
      <c r="G260" s="2">
        <f t="shared" si="107"/>
        <v>-1096310.0294376996</v>
      </c>
      <c r="H260" s="2">
        <f t="shared" si="107"/>
        <v>-1676903.7522597993</v>
      </c>
      <c r="I260" s="2">
        <f t="shared" ca="1" si="107"/>
        <v>-2353620.1908998638</v>
      </c>
      <c r="J260" s="2">
        <f t="shared" ca="1" si="107"/>
        <v>-3027787.8929887246</v>
      </c>
      <c r="K260" s="2">
        <f t="shared" ca="1" si="107"/>
        <v>-3694553.279419424</v>
      </c>
      <c r="L260" s="2">
        <f t="shared" ca="1" si="107"/>
        <v>-4326326.9840616686</v>
      </c>
      <c r="M260" s="2">
        <f t="shared" ca="1" si="107"/>
        <v>-4992372.8617732674</v>
      </c>
      <c r="N260" s="2">
        <f t="shared" ca="1" si="107"/>
        <v>-5567443.9621905293</v>
      </c>
      <c r="O260" s="2">
        <f t="shared" ca="1" si="107"/>
        <v>-6123199.7666668119</v>
      </c>
      <c r="P260" s="2">
        <f t="shared" ca="1" si="107"/>
        <v>-6679215.9618961792</v>
      </c>
      <c r="Q260" s="2">
        <f t="shared" ca="1" si="107"/>
        <v>-7241910.9829629175</v>
      </c>
      <c r="R260" s="2">
        <f t="shared" ca="1" si="107"/>
        <v>-7831511.4307037191</v>
      </c>
      <c r="S260" s="2">
        <f t="shared" ca="1" si="107"/>
        <v>-8449951.9314166903</v>
      </c>
      <c r="T260" s="2">
        <f t="shared" ca="1" si="107"/>
        <v>-9097629.3211807013</v>
      </c>
      <c r="U260" s="2">
        <f t="shared" ca="1" si="107"/>
        <v>-9756097.6256117597</v>
      </c>
      <c r="V260" s="2">
        <f t="shared" ca="1" si="107"/>
        <v>-10426879.383999959</v>
      </c>
      <c r="W260" s="2">
        <f t="shared" ca="1" si="107"/>
        <v>-10786873.179133717</v>
      </c>
      <c r="X260" s="2">
        <f t="shared" ca="1" si="107"/>
        <v>-11154315.929459522</v>
      </c>
      <c r="Y260" s="2">
        <f t="shared" ca="1" si="107"/>
        <v>-11529304.004166923</v>
      </c>
      <c r="Z260" s="2">
        <f t="shared" ca="1" si="107"/>
        <v>-11912146.422513377</v>
      </c>
      <c r="AA260" s="2">
        <f t="shared" ca="1" si="107"/>
        <v>-12303144.040931521</v>
      </c>
    </row>
    <row r="261" spans="4:28" customFormat="1" x14ac:dyDescent="0.25">
      <c r="E261" t="s">
        <v>48</v>
      </c>
      <c r="F261" t="s">
        <v>7</v>
      </c>
      <c r="G261" s="2">
        <f t="shared" si="107"/>
        <v>0</v>
      </c>
      <c r="H261" s="2">
        <f t="shared" si="107"/>
        <v>0</v>
      </c>
      <c r="I261" s="2">
        <f t="shared" si="107"/>
        <v>0</v>
      </c>
      <c r="J261" s="2">
        <f t="shared" si="107"/>
        <v>0</v>
      </c>
      <c r="K261" s="2">
        <f t="shared" si="107"/>
        <v>0</v>
      </c>
      <c r="L261" s="2">
        <f t="shared" si="107"/>
        <v>0</v>
      </c>
      <c r="M261" s="2">
        <f t="shared" si="107"/>
        <v>0</v>
      </c>
      <c r="N261" s="2">
        <f t="shared" si="107"/>
        <v>0</v>
      </c>
      <c r="O261" s="2">
        <f t="shared" si="107"/>
        <v>0</v>
      </c>
      <c r="P261" s="2">
        <f t="shared" si="107"/>
        <v>0</v>
      </c>
      <c r="Q261" s="2">
        <f t="shared" si="107"/>
        <v>0</v>
      </c>
      <c r="R261" s="2">
        <f t="shared" si="107"/>
        <v>0</v>
      </c>
      <c r="S261" s="2">
        <f t="shared" si="107"/>
        <v>0</v>
      </c>
      <c r="T261" s="2">
        <f t="shared" si="107"/>
        <v>0</v>
      </c>
      <c r="U261" s="2">
        <f t="shared" si="107"/>
        <v>0</v>
      </c>
      <c r="V261" s="2">
        <f t="shared" si="107"/>
        <v>0</v>
      </c>
      <c r="W261" s="2">
        <f t="shared" si="107"/>
        <v>0</v>
      </c>
      <c r="X261" s="2">
        <f t="shared" si="107"/>
        <v>0</v>
      </c>
      <c r="Y261" s="2">
        <f t="shared" si="107"/>
        <v>0</v>
      </c>
      <c r="Z261" s="2">
        <f t="shared" si="107"/>
        <v>0</v>
      </c>
      <c r="AA261" s="2">
        <f t="shared" si="107"/>
        <v>0</v>
      </c>
    </row>
    <row r="262" spans="4:28" customFormat="1" x14ac:dyDescent="0.25">
      <c r="E262" t="s">
        <v>13</v>
      </c>
      <c r="F262" t="s">
        <v>7</v>
      </c>
      <c r="G262" s="2">
        <f ca="1">G253</f>
        <v>252137244.54667231</v>
      </c>
      <c r="H262" s="2"/>
      <c r="I262" s="2"/>
      <c r="J262" s="2"/>
      <c r="K262" s="2"/>
      <c r="L262" s="2"/>
      <c r="M262" s="2"/>
      <c r="N262" s="2"/>
      <c r="O262" s="2"/>
      <c r="P262" s="2"/>
      <c r="Q262" s="2"/>
      <c r="R262" s="2"/>
      <c r="S262" s="2"/>
      <c r="T262" s="2"/>
      <c r="U262" s="2"/>
      <c r="V262" s="2"/>
      <c r="W262" s="2"/>
      <c r="X262" s="2"/>
      <c r="Y262" s="2"/>
      <c r="Z262" s="2"/>
      <c r="AA262" s="2"/>
    </row>
    <row r="263" spans="4:28" customFormat="1" x14ac:dyDescent="0.25"/>
    <row r="264" spans="4:28" customFormat="1" x14ac:dyDescent="0.25">
      <c r="E264" t="s">
        <v>14</v>
      </c>
      <c r="F264" t="s">
        <v>7</v>
      </c>
      <c r="G264" s="2">
        <f t="shared" ref="G264:AA264" ca="1" si="108">SUM(G256:G262)</f>
        <v>251040934.51723462</v>
      </c>
      <c r="H264" s="2">
        <f t="shared" si="108"/>
        <v>34905192.888946846</v>
      </c>
      <c r="I264" s="2">
        <f t="shared" ca="1" si="108"/>
        <v>33681078.89280656</v>
      </c>
      <c r="J264" s="2">
        <f t="shared" ca="1" si="108"/>
        <v>33237490.35603229</v>
      </c>
      <c r="K264" s="2">
        <f t="shared" ca="1" si="108"/>
        <v>31016328.679108024</v>
      </c>
      <c r="L264" s="2">
        <f t="shared" ca="1" si="108"/>
        <v>28839963.22410205</v>
      </c>
      <c r="M264" s="2">
        <f t="shared" ca="1" si="108"/>
        <v>26675200.823606327</v>
      </c>
      <c r="N264" s="2">
        <f t="shared" ca="1" si="108"/>
        <v>24667143.934056908</v>
      </c>
      <c r="O264" s="2">
        <f t="shared" ca="1" si="108"/>
        <v>22741346.856587086</v>
      </c>
      <c r="P264" s="2">
        <f t="shared" ca="1" si="108"/>
        <v>23021937.208702058</v>
      </c>
      <c r="Q264" s="2">
        <f t="shared" ca="1" si="108"/>
        <v>23253640.335719246</v>
      </c>
      <c r="R264" s="2">
        <f t="shared" ca="1" si="108"/>
        <v>25519740.071934279</v>
      </c>
      <c r="S264" s="2">
        <f t="shared" ca="1" si="108"/>
        <v>28042509.226261027</v>
      </c>
      <c r="T264" s="2">
        <f t="shared" ca="1" si="108"/>
        <v>30744245.80502744</v>
      </c>
      <c r="U264" s="2">
        <f t="shared" ca="1" si="108"/>
        <v>31782474.256367289</v>
      </c>
      <c r="V264" s="2">
        <f t="shared" ca="1" si="108"/>
        <v>32876578.987740144</v>
      </c>
      <c r="W264" s="2">
        <f t="shared" ca="1" si="108"/>
        <v>4164357.0084191635</v>
      </c>
      <c r="X264" s="2">
        <f t="shared" ca="1" si="108"/>
        <v>4110890.0920319725</v>
      </c>
      <c r="Y264" s="2">
        <f t="shared" ca="1" si="108"/>
        <v>4056471.3437758945</v>
      </c>
      <c r="Z264" s="2">
        <f t="shared" ca="1" si="108"/>
        <v>4000930.2077362314</v>
      </c>
      <c r="AA264" s="2">
        <f t="shared" ca="1" si="108"/>
        <v>3944107.1985533405</v>
      </c>
    </row>
    <row r="265" spans="4:28" customFormat="1" x14ac:dyDescent="0.25">
      <c r="E265" t="s">
        <v>15</v>
      </c>
      <c r="F265" t="s">
        <v>7</v>
      </c>
      <c r="G265" s="2">
        <f ca="1">-G264*G$18</f>
        <v>-75312280.355170384</v>
      </c>
      <c r="H265" s="2">
        <f t="shared" ref="H265:AA265" si="109">-H264*H$18</f>
        <v>-10471557.866684053</v>
      </c>
      <c r="I265" s="2">
        <f t="shared" ca="1" si="109"/>
        <v>-10104323.667841967</v>
      </c>
      <c r="J265" s="2">
        <f t="shared" ca="1" si="109"/>
        <v>-9971247.1068096869</v>
      </c>
      <c r="K265" s="2">
        <f t="shared" ca="1" si="109"/>
        <v>-9304898.6037324071</v>
      </c>
      <c r="L265" s="2">
        <f t="shared" ca="1" si="109"/>
        <v>-8651988.9672306143</v>
      </c>
      <c r="M265" s="2">
        <f t="shared" ca="1" si="109"/>
        <v>-8002560.2470818982</v>
      </c>
      <c r="N265" s="2">
        <f t="shared" ca="1" si="109"/>
        <v>-7400143.1802170724</v>
      </c>
      <c r="O265" s="2">
        <f t="shared" ca="1" si="109"/>
        <v>-6822404.0569761256</v>
      </c>
      <c r="P265" s="2">
        <f t="shared" ca="1" si="109"/>
        <v>-6906581.1626106175</v>
      </c>
      <c r="Q265" s="2">
        <f t="shared" ca="1" si="109"/>
        <v>-6976092.1007157741</v>
      </c>
      <c r="R265" s="2">
        <f t="shared" ca="1" si="109"/>
        <v>-7655922.0215802835</v>
      </c>
      <c r="S265" s="2">
        <f t="shared" ca="1" si="109"/>
        <v>-8412752.767878307</v>
      </c>
      <c r="T265" s="2">
        <f t="shared" ca="1" si="109"/>
        <v>-9223273.7415082324</v>
      </c>
      <c r="U265" s="2">
        <f t="shared" ca="1" si="109"/>
        <v>-9534742.2769101858</v>
      </c>
      <c r="V265" s="2">
        <f t="shared" ca="1" si="109"/>
        <v>-9862973.6963220425</v>
      </c>
      <c r="W265" s="2">
        <f t="shared" ca="1" si="109"/>
        <v>-1249307.102525749</v>
      </c>
      <c r="X265" s="2">
        <f t="shared" ca="1" si="109"/>
        <v>-1233267.0276095916</v>
      </c>
      <c r="Y265" s="2">
        <f t="shared" ca="1" si="109"/>
        <v>-1216941.4031327683</v>
      </c>
      <c r="Z265" s="2">
        <f t="shared" ca="1" si="109"/>
        <v>-1200279.0623208694</v>
      </c>
      <c r="AA265" s="2">
        <f t="shared" ca="1" si="109"/>
        <v>-1183232.1595660022</v>
      </c>
    </row>
    <row r="266" spans="4:28" customFormat="1" x14ac:dyDescent="0.25"/>
    <row r="267" spans="4:28" customFormat="1" x14ac:dyDescent="0.25">
      <c r="D267" t="s">
        <v>28</v>
      </c>
    </row>
    <row r="268" spans="4:28" customFormat="1" x14ac:dyDescent="0.25">
      <c r="E268" t="s">
        <v>1</v>
      </c>
      <c r="F268" t="s">
        <v>7</v>
      </c>
      <c r="G268" s="2">
        <f t="shared" ref="G268:AA275" si="110">G234</f>
        <v>-98667902.649392962</v>
      </c>
      <c r="H268" s="2">
        <f t="shared" si="110"/>
        <v>-16611346.053988967</v>
      </c>
      <c r="I268" s="2">
        <f t="shared" ca="1" si="110"/>
        <v>-26433040.489605837</v>
      </c>
      <c r="J268" s="2">
        <f t="shared" ca="1" si="110"/>
        <v>-26801069.266667921</v>
      </c>
      <c r="K268" s="2">
        <f t="shared" ca="1" si="110"/>
        <v>-28523650.631986063</v>
      </c>
      <c r="L268" s="2">
        <f t="shared" ca="1" si="110"/>
        <v>-27757298.869013589</v>
      </c>
      <c r="M268" s="2">
        <f t="shared" ca="1" si="110"/>
        <v>-33173724.674259342</v>
      </c>
      <c r="N268" s="2">
        <f t="shared" ca="1" si="110"/>
        <v>-27254633.045682486</v>
      </c>
      <c r="O268" s="2">
        <f t="shared" ca="1" si="110"/>
        <v>-27723766.875344969</v>
      </c>
      <c r="P268" s="2">
        <f t="shared" ca="1" si="110"/>
        <v>-27815790.945794858</v>
      </c>
      <c r="Q268" s="2">
        <f t="shared" ca="1" si="110"/>
        <v>-28607622.415160112</v>
      </c>
      <c r="R268" s="2">
        <f t="shared" ca="1" si="110"/>
        <v>-29245805.87295869</v>
      </c>
      <c r="S268" s="2">
        <f t="shared" ca="1" si="110"/>
        <v>-29873903.505322564</v>
      </c>
      <c r="T268" s="2">
        <f t="shared" ca="1" si="110"/>
        <v>-30426148.174185529</v>
      </c>
      <c r="U268" s="2">
        <f t="shared" ca="1" si="110"/>
        <v>-31009280.188611764</v>
      </c>
      <c r="V268" s="2">
        <f t="shared" ca="1" si="110"/>
        <v>-31710612.11390594</v>
      </c>
      <c r="W268" s="2">
        <f t="shared" ca="1" si="110"/>
        <v>-32399441.562038191</v>
      </c>
      <c r="X268" s="2">
        <f t="shared" ca="1" si="110"/>
        <v>-33069847.529322453</v>
      </c>
      <c r="Y268" s="2">
        <f t="shared" ca="1" si="110"/>
        <v>-33748926.723666266</v>
      </c>
      <c r="Z268" s="2">
        <f t="shared" ca="1" si="110"/>
        <v>-34455817.651180692</v>
      </c>
      <c r="AA268" s="2">
        <f t="shared" ca="1" si="110"/>
        <v>-35189785.657632954</v>
      </c>
    </row>
    <row r="269" spans="4:28" customFormat="1" x14ac:dyDescent="0.25">
      <c r="E269" t="s">
        <v>19</v>
      </c>
      <c r="F269" t="s">
        <v>7</v>
      </c>
      <c r="G269" s="2">
        <f t="shared" si="110"/>
        <v>0</v>
      </c>
      <c r="H269" s="2">
        <f t="shared" si="110"/>
        <v>0</v>
      </c>
      <c r="I269" s="2">
        <f t="shared" si="110"/>
        <v>0</v>
      </c>
      <c r="J269" s="2">
        <f t="shared" si="110"/>
        <v>0</v>
      </c>
      <c r="K269" s="2">
        <f t="shared" si="110"/>
        <v>0</v>
      </c>
      <c r="L269" s="2">
        <f t="shared" si="110"/>
        <v>0</v>
      </c>
      <c r="M269" s="2">
        <f t="shared" si="110"/>
        <v>0</v>
      </c>
      <c r="N269" s="2">
        <f t="shared" si="110"/>
        <v>0</v>
      </c>
      <c r="O269" s="2">
        <f t="shared" si="110"/>
        <v>0</v>
      </c>
      <c r="P269" s="2">
        <f t="shared" si="110"/>
        <v>0</v>
      </c>
      <c r="Q269" s="2">
        <f t="shared" si="110"/>
        <v>0</v>
      </c>
      <c r="R269" s="2">
        <f t="shared" si="110"/>
        <v>0</v>
      </c>
      <c r="S269" s="2">
        <f t="shared" si="110"/>
        <v>0</v>
      </c>
      <c r="T269" s="2">
        <f t="shared" si="110"/>
        <v>0</v>
      </c>
      <c r="U269" s="2">
        <f t="shared" si="110"/>
        <v>0</v>
      </c>
      <c r="V269" s="2">
        <f t="shared" si="110"/>
        <v>0</v>
      </c>
      <c r="W269" s="2">
        <f t="shared" si="110"/>
        <v>0</v>
      </c>
      <c r="X269" s="2">
        <f t="shared" si="110"/>
        <v>0</v>
      </c>
      <c r="Y269" s="2">
        <f t="shared" si="110"/>
        <v>0</v>
      </c>
      <c r="Z269" s="2">
        <f t="shared" si="110"/>
        <v>0</v>
      </c>
      <c r="AA269" s="2">
        <f t="shared" si="110"/>
        <v>0</v>
      </c>
    </row>
    <row r="270" spans="4:28" customFormat="1" x14ac:dyDescent="0.25">
      <c r="E270" t="s">
        <v>109</v>
      </c>
      <c r="F270" t="s">
        <v>7</v>
      </c>
      <c r="G270" s="2">
        <f t="shared" si="110"/>
        <v>0</v>
      </c>
      <c r="H270" s="2">
        <f t="shared" si="110"/>
        <v>0</v>
      </c>
      <c r="I270" s="2">
        <f t="shared" si="110"/>
        <v>0</v>
      </c>
      <c r="J270" s="2">
        <f t="shared" si="110"/>
        <v>0</v>
      </c>
      <c r="K270" s="2">
        <f t="shared" si="110"/>
        <v>0</v>
      </c>
      <c r="L270" s="2">
        <f t="shared" si="110"/>
        <v>0</v>
      </c>
      <c r="M270" s="2">
        <f t="shared" si="110"/>
        <v>0</v>
      </c>
      <c r="N270" s="2">
        <f t="shared" si="110"/>
        <v>0</v>
      </c>
      <c r="O270" s="2">
        <f t="shared" si="110"/>
        <v>0</v>
      </c>
      <c r="P270" s="2">
        <f t="shared" si="110"/>
        <v>0</v>
      </c>
      <c r="Q270" s="2">
        <f t="shared" si="110"/>
        <v>0</v>
      </c>
      <c r="R270" s="2">
        <f t="shared" si="110"/>
        <v>0</v>
      </c>
      <c r="S270" s="2">
        <f t="shared" si="110"/>
        <v>0</v>
      </c>
      <c r="T270" s="2">
        <f t="shared" si="110"/>
        <v>0</v>
      </c>
      <c r="U270" s="2">
        <f t="shared" si="110"/>
        <v>0</v>
      </c>
      <c r="V270" s="2">
        <f t="shared" si="110"/>
        <v>0</v>
      </c>
      <c r="W270" s="2">
        <f t="shared" si="110"/>
        <v>0</v>
      </c>
      <c r="X270" s="2">
        <f t="shared" si="110"/>
        <v>0</v>
      </c>
      <c r="Y270" s="2">
        <f t="shared" si="110"/>
        <v>0</v>
      </c>
      <c r="Z270" s="2">
        <f t="shared" si="110"/>
        <v>0</v>
      </c>
      <c r="AA270" s="2">
        <f t="shared" si="110"/>
        <v>0</v>
      </c>
    </row>
    <row r="271" spans="4:28" customFormat="1" x14ac:dyDescent="0.25">
      <c r="E271" t="s">
        <v>11</v>
      </c>
      <c r="F271" t="s">
        <v>7</v>
      </c>
      <c r="G271" s="2">
        <f t="shared" si="110"/>
        <v>0</v>
      </c>
      <c r="H271" s="2">
        <f t="shared" si="110"/>
        <v>6182225.9834038224</v>
      </c>
      <c r="I271" s="2">
        <f t="shared" si="110"/>
        <v>11995790.371626098</v>
      </c>
      <c r="J271" s="2">
        <f t="shared" si="110"/>
        <v>18050339.664931763</v>
      </c>
      <c r="K271" s="2">
        <f t="shared" si="110"/>
        <v>23862148.984883003</v>
      </c>
      <c r="L271" s="2">
        <f t="shared" si="110"/>
        <v>29434925.431030251</v>
      </c>
      <c r="M271" s="2">
        <f t="shared" si="110"/>
        <v>34761099.634969912</v>
      </c>
      <c r="N271" s="2">
        <f t="shared" si="110"/>
        <v>39853053.565400161</v>
      </c>
      <c r="O271" s="2">
        <f t="shared" si="110"/>
        <v>44714011.691100597</v>
      </c>
      <c r="P271" s="2">
        <f t="shared" si="110"/>
        <v>49721988.340728059</v>
      </c>
      <c r="Q271" s="2">
        <f t="shared" si="110"/>
        <v>54874142.127276734</v>
      </c>
      <c r="R271" s="2">
        <f t="shared" si="110"/>
        <v>60466460.73169291</v>
      </c>
      <c r="S271" s="2">
        <f t="shared" si="110"/>
        <v>66548323.248618223</v>
      </c>
      <c r="T271" s="2">
        <f t="shared" si="110"/>
        <v>73138773.863265544</v>
      </c>
      <c r="U271" s="2">
        <f t="shared" si="110"/>
        <v>79936734.338239014</v>
      </c>
      <c r="V271" s="2">
        <f t="shared" si="110"/>
        <v>86960520.226442367</v>
      </c>
      <c r="W271" s="2">
        <f t="shared" si="110"/>
        <v>88786691.151197642</v>
      </c>
      <c r="X271" s="2">
        <f t="shared" si="110"/>
        <v>90651211.665372789</v>
      </c>
      <c r="Y271" s="2">
        <f t="shared" si="110"/>
        <v>92554887.110345602</v>
      </c>
      <c r="Z271" s="2">
        <f t="shared" si="110"/>
        <v>94498539.739662856</v>
      </c>
      <c r="AA271" s="2">
        <f t="shared" si="110"/>
        <v>96483009.074195772</v>
      </c>
      <c r="AB271" s="2">
        <f t="shared" ref="AB271:AB275" si="111">IF(V271=0,0,IF($G$15&gt;(AA271/V271)^(1/5)-1+2%,AA271*(AA271/V271)^(1/5)/($G$15-((AA271/V271)^(1/5)-1)),AA271*(1+$G$14)/$G$16))</f>
        <v>3216100302.4731989</v>
      </c>
    </row>
    <row r="272" spans="4:28" customFormat="1" x14ac:dyDescent="0.25">
      <c r="E272" t="s">
        <v>57</v>
      </c>
      <c r="F272" t="s">
        <v>7</v>
      </c>
      <c r="G272" s="2">
        <f t="shared" si="110"/>
        <v>0</v>
      </c>
      <c r="H272" s="2">
        <f t="shared" si="110"/>
        <v>-4081304.5861971751</v>
      </c>
      <c r="I272" s="2">
        <f t="shared" si="110"/>
        <v>-8124453.3182916604</v>
      </c>
      <c r="J272" s="2">
        <f t="shared" si="110"/>
        <v>-12199213.412921648</v>
      </c>
      <c r="K272" s="2">
        <f t="shared" si="110"/>
        <v>-16078452.883336719</v>
      </c>
      <c r="L272" s="2">
        <f t="shared" si="110"/>
        <v>-19769297.856755786</v>
      </c>
      <c r="M272" s="2">
        <f t="shared" si="110"/>
        <v>-23272672.93213268</v>
      </c>
      <c r="N272" s="2">
        <f t="shared" si="110"/>
        <v>-26592500.398821432</v>
      </c>
      <c r="O272" s="2">
        <f t="shared" si="110"/>
        <v>-29731751.2251908</v>
      </c>
      <c r="P272" s="2">
        <f t="shared" si="110"/>
        <v>-32933959.355104275</v>
      </c>
      <c r="Q272" s="2">
        <f t="shared" si="110"/>
        <v>-36187705.326668009</v>
      </c>
      <c r="R272" s="2">
        <f t="shared" si="110"/>
        <v>-39717092.654547654</v>
      </c>
      <c r="S272" s="2">
        <f t="shared" si="110"/>
        <v>-43549830.841256797</v>
      </c>
      <c r="T272" s="2">
        <f t="shared" si="110"/>
        <v>-47704218.710662022</v>
      </c>
      <c r="U272" s="2">
        <f t="shared" si="110"/>
        <v>-51990689.053647444</v>
      </c>
      <c r="V272" s="2">
        <f t="shared" si="110"/>
        <v>-56415111.355761826</v>
      </c>
      <c r="W272" s="2">
        <f t="shared" si="110"/>
        <v>-57599828.694232821</v>
      </c>
      <c r="X272" s="2">
        <f t="shared" si="110"/>
        <v>-58809425.096811704</v>
      </c>
      <c r="Y272" s="2">
        <f t="shared" si="110"/>
        <v>-60044423.023844734</v>
      </c>
      <c r="Z272" s="2">
        <f t="shared" si="110"/>
        <v>-61305355.907345481</v>
      </c>
      <c r="AA272" s="2">
        <f t="shared" si="110"/>
        <v>-62592768.381399721</v>
      </c>
      <c r="AB272" s="2">
        <f t="shared" si="111"/>
        <v>-2086425612.7133284</v>
      </c>
    </row>
    <row r="273" spans="1:28" x14ac:dyDescent="0.25">
      <c r="E273" t="s">
        <v>10</v>
      </c>
      <c r="F273" t="s">
        <v>7</v>
      </c>
      <c r="G273" s="2">
        <f t="shared" si="110"/>
        <v>0</v>
      </c>
      <c r="H273" s="2">
        <f t="shared" si="110"/>
        <v>-1160913.7559999998</v>
      </c>
      <c r="I273" s="2">
        <f t="shared" si="110"/>
        <v>-2308076.9576279996</v>
      </c>
      <c r="J273" s="2">
        <f t="shared" si="110"/>
        <v>-3459871.9243186354</v>
      </c>
      <c r="K273" s="2">
        <f t="shared" si="110"/>
        <v>-4558048.289795775</v>
      </c>
      <c r="L273" s="2">
        <f t="shared" si="110"/>
        <v>-5601671.9148991657</v>
      </c>
      <c r="M273" s="2">
        <f t="shared" si="110"/>
        <v>-6591257.337242173</v>
      </c>
      <c r="N273" s="2">
        <f t="shared" si="110"/>
        <v>-7527731.2622023439</v>
      </c>
      <c r="O273" s="2">
        <f t="shared" si="110"/>
        <v>-8411969.3701764047</v>
      </c>
      <c r="P273" s="2">
        <f t="shared" si="110"/>
        <v>-9312542.4398737326</v>
      </c>
      <c r="Q273" s="2">
        <f t="shared" si="110"/>
        <v>-10225814.962772934</v>
      </c>
      <c r="R273" s="2">
        <f t="shared" si="110"/>
        <v>-11216350.998220688</v>
      </c>
      <c r="S273" s="2">
        <f t="shared" si="110"/>
        <v>-12291772.808528552</v>
      </c>
      <c r="T273" s="2">
        <f t="shared" si="110"/>
        <v>-13457496.930970971</v>
      </c>
      <c r="U273" s="2">
        <f t="shared" si="110"/>
        <v>-14660340.612795902</v>
      </c>
      <c r="V273" s="2">
        <f t="shared" si="110"/>
        <v>-15901696.639972519</v>
      </c>
      <c r="W273" s="2">
        <f t="shared" si="110"/>
        <v>-16235632.26941194</v>
      </c>
      <c r="X273" s="2">
        <f t="shared" si="110"/>
        <v>-16576580.547069591</v>
      </c>
      <c r="Y273" s="2">
        <f t="shared" si="110"/>
        <v>-16924688.73855805</v>
      </c>
      <c r="Z273" s="2">
        <f t="shared" si="110"/>
        <v>-17280107.202067766</v>
      </c>
      <c r="AA273" s="2">
        <f t="shared" si="110"/>
        <v>-17642989.45331119</v>
      </c>
      <c r="AB273" s="2">
        <f t="shared" si="111"/>
        <v>-588099648.44370759</v>
      </c>
    </row>
    <row r="274" spans="1:28" x14ac:dyDescent="0.25">
      <c r="E274" t="s">
        <v>48</v>
      </c>
      <c r="F274" t="s">
        <v>7</v>
      </c>
      <c r="G274" s="2">
        <f t="shared" si="110"/>
        <v>0</v>
      </c>
      <c r="H274" s="2">
        <f t="shared" si="110"/>
        <v>0</v>
      </c>
      <c r="I274" s="2">
        <f t="shared" si="110"/>
        <v>0</v>
      </c>
      <c r="J274" s="2">
        <f t="shared" si="110"/>
        <v>0</v>
      </c>
      <c r="K274" s="2">
        <f t="shared" si="110"/>
        <v>0</v>
      </c>
      <c r="L274" s="2">
        <f t="shared" si="110"/>
        <v>0</v>
      </c>
      <c r="M274" s="2">
        <f t="shared" si="110"/>
        <v>0</v>
      </c>
      <c r="N274" s="2">
        <f t="shared" si="110"/>
        <v>0</v>
      </c>
      <c r="O274" s="2">
        <f t="shared" si="110"/>
        <v>0</v>
      </c>
      <c r="P274" s="2">
        <f t="shared" si="110"/>
        <v>0</v>
      </c>
      <c r="Q274" s="2">
        <f t="shared" si="110"/>
        <v>0</v>
      </c>
      <c r="R274" s="2">
        <f t="shared" si="110"/>
        <v>0</v>
      </c>
      <c r="S274" s="2">
        <f t="shared" si="110"/>
        <v>0</v>
      </c>
      <c r="T274" s="2">
        <f t="shared" si="110"/>
        <v>0</v>
      </c>
      <c r="U274" s="2">
        <f t="shared" si="110"/>
        <v>0</v>
      </c>
      <c r="V274" s="2">
        <f t="shared" si="110"/>
        <v>0</v>
      </c>
      <c r="W274" s="2">
        <f t="shared" si="110"/>
        <v>0</v>
      </c>
      <c r="X274" s="2">
        <f t="shared" si="110"/>
        <v>0</v>
      </c>
      <c r="Y274" s="2">
        <f t="shared" si="110"/>
        <v>0</v>
      </c>
      <c r="Z274" s="2">
        <f t="shared" si="110"/>
        <v>0</v>
      </c>
      <c r="AA274" s="2">
        <f t="shared" si="110"/>
        <v>0</v>
      </c>
      <c r="AB274" s="2">
        <f t="shared" si="111"/>
        <v>0</v>
      </c>
    </row>
    <row r="275" spans="1:28" x14ac:dyDescent="0.25">
      <c r="E275" t="s">
        <v>49</v>
      </c>
      <c r="F275" t="s">
        <v>7</v>
      </c>
      <c r="G275" s="2">
        <f t="shared" si="110"/>
        <v>0</v>
      </c>
      <c r="H275" s="2">
        <f t="shared" si="110"/>
        <v>0</v>
      </c>
      <c r="I275" s="2">
        <f t="shared" si="110"/>
        <v>0</v>
      </c>
      <c r="J275" s="2">
        <f t="shared" si="110"/>
        <v>0</v>
      </c>
      <c r="K275" s="2">
        <f t="shared" si="110"/>
        <v>0</v>
      </c>
      <c r="L275" s="2">
        <f t="shared" si="110"/>
        <v>0</v>
      </c>
      <c r="M275" s="2">
        <f t="shared" si="110"/>
        <v>0</v>
      </c>
      <c r="N275" s="2">
        <f t="shared" si="110"/>
        <v>0</v>
      </c>
      <c r="O275" s="2">
        <f t="shared" si="110"/>
        <v>0</v>
      </c>
      <c r="P275" s="2">
        <f t="shared" si="110"/>
        <v>0</v>
      </c>
      <c r="Q275" s="2">
        <f t="shared" si="110"/>
        <v>0</v>
      </c>
      <c r="R275" s="2">
        <f t="shared" si="110"/>
        <v>0</v>
      </c>
      <c r="S275" s="2">
        <f t="shared" si="110"/>
        <v>0</v>
      </c>
      <c r="T275" s="2">
        <f t="shared" si="110"/>
        <v>0</v>
      </c>
      <c r="U275" s="2">
        <f t="shared" si="110"/>
        <v>0</v>
      </c>
      <c r="V275" s="2">
        <f t="shared" si="110"/>
        <v>0</v>
      </c>
      <c r="W275" s="2">
        <f t="shared" si="110"/>
        <v>0</v>
      </c>
      <c r="X275" s="2">
        <f t="shared" si="110"/>
        <v>0</v>
      </c>
      <c r="Y275" s="2">
        <f t="shared" si="110"/>
        <v>0</v>
      </c>
      <c r="Z275" s="2">
        <f t="shared" si="110"/>
        <v>0</v>
      </c>
      <c r="AA275" s="2">
        <f t="shared" si="110"/>
        <v>0</v>
      </c>
      <c r="AB275" s="2">
        <f t="shared" si="111"/>
        <v>0</v>
      </c>
    </row>
    <row r="276" spans="1:28" x14ac:dyDescent="0.25">
      <c r="E276" t="s">
        <v>20</v>
      </c>
      <c r="F276" t="s">
        <v>7</v>
      </c>
      <c r="G276" s="2">
        <f t="shared" ref="G276:AA276" ca="1" si="112">G265</f>
        <v>-75312280.355170384</v>
      </c>
      <c r="H276" s="2">
        <f t="shared" si="112"/>
        <v>-10471557.866684053</v>
      </c>
      <c r="I276" s="2">
        <f t="shared" ca="1" si="112"/>
        <v>-10104323.667841967</v>
      </c>
      <c r="J276" s="2">
        <f t="shared" ca="1" si="112"/>
        <v>-9971247.1068096869</v>
      </c>
      <c r="K276" s="2">
        <f t="shared" ca="1" si="112"/>
        <v>-9304898.6037324071</v>
      </c>
      <c r="L276" s="2">
        <f t="shared" ca="1" si="112"/>
        <v>-8651988.9672306143</v>
      </c>
      <c r="M276" s="2">
        <f t="shared" ca="1" si="112"/>
        <v>-8002560.2470818982</v>
      </c>
      <c r="N276" s="2">
        <f t="shared" ca="1" si="112"/>
        <v>-7400143.1802170724</v>
      </c>
      <c r="O276" s="2">
        <f t="shared" ca="1" si="112"/>
        <v>-6822404.0569761256</v>
      </c>
      <c r="P276" s="2">
        <f t="shared" ca="1" si="112"/>
        <v>-6906581.1626106175</v>
      </c>
      <c r="Q276" s="2">
        <f t="shared" ca="1" si="112"/>
        <v>-6976092.1007157741</v>
      </c>
      <c r="R276" s="2">
        <f t="shared" ca="1" si="112"/>
        <v>-7655922.0215802835</v>
      </c>
      <c r="S276" s="2">
        <f t="shared" ca="1" si="112"/>
        <v>-8412752.767878307</v>
      </c>
      <c r="T276" s="2">
        <f t="shared" ca="1" si="112"/>
        <v>-9223273.7415082324</v>
      </c>
      <c r="U276" s="2">
        <f t="shared" ca="1" si="112"/>
        <v>-9534742.2769101858</v>
      </c>
      <c r="V276" s="2">
        <f t="shared" ca="1" si="112"/>
        <v>-9862973.6963220425</v>
      </c>
      <c r="W276" s="2">
        <f t="shared" ca="1" si="112"/>
        <v>-1249307.102525749</v>
      </c>
      <c r="X276" s="2">
        <f t="shared" ca="1" si="112"/>
        <v>-1233267.0276095916</v>
      </c>
      <c r="Y276" s="2">
        <f t="shared" ca="1" si="112"/>
        <v>-1216941.4031327683</v>
      </c>
      <c r="Z276" s="2">
        <f t="shared" ca="1" si="112"/>
        <v>-1200279.0623208694</v>
      </c>
      <c r="AA276" s="2">
        <f t="shared" ca="1" si="112"/>
        <v>-1183232.1595660022</v>
      </c>
      <c r="AB276" s="2">
        <f ca="1">IF(V276=0,0,IF($G$15&gt;(AA276/V276)^(1/5)-1+2%,AA276*(AA276/V276)^(1/5)/($G$15-((AA276/V276)^(1/5)-1)),AA276*(1+$G$14)/$G$16))</f>
        <v>-1948899.6953012904</v>
      </c>
    </row>
    <row r="277" spans="1:28" x14ac:dyDescent="0.25">
      <c r="E277" t="s">
        <v>173</v>
      </c>
      <c r="F277" t="s">
        <v>7</v>
      </c>
      <c r="G277" s="2">
        <f ca="1">-$G$17*G276</f>
        <v>37656140.177585192</v>
      </c>
      <c r="H277" s="2">
        <f t="shared" ref="H277:AA277" si="113">-$G$17*H276</f>
        <v>5235778.9333420265</v>
      </c>
      <c r="I277" s="2">
        <f t="shared" ca="1" si="113"/>
        <v>5052161.8339209836</v>
      </c>
      <c r="J277" s="2">
        <f t="shared" ca="1" si="113"/>
        <v>4985623.5534048434</v>
      </c>
      <c r="K277" s="2">
        <f t="shared" ca="1" si="113"/>
        <v>4652449.3018662035</v>
      </c>
      <c r="L277" s="2">
        <f t="shared" ca="1" si="113"/>
        <v>4325994.4836153071</v>
      </c>
      <c r="M277" s="2">
        <f t="shared" ca="1" si="113"/>
        <v>4001280.1235409491</v>
      </c>
      <c r="N277" s="2">
        <f t="shared" ca="1" si="113"/>
        <v>3700071.5901085362</v>
      </c>
      <c r="O277" s="2">
        <f t="shared" ca="1" si="113"/>
        <v>3411202.0284880628</v>
      </c>
      <c r="P277" s="2">
        <f t="shared" ca="1" si="113"/>
        <v>3453290.5813053087</v>
      </c>
      <c r="Q277" s="2">
        <f t="shared" ca="1" si="113"/>
        <v>3488046.0503578871</v>
      </c>
      <c r="R277" s="2">
        <f t="shared" ca="1" si="113"/>
        <v>3827961.0107901418</v>
      </c>
      <c r="S277" s="2">
        <f t="shared" ca="1" si="113"/>
        <v>4206376.3839391535</v>
      </c>
      <c r="T277" s="2">
        <f t="shared" ca="1" si="113"/>
        <v>4611636.8707541162</v>
      </c>
      <c r="U277" s="2">
        <f t="shared" ca="1" si="113"/>
        <v>4767371.1384550929</v>
      </c>
      <c r="V277" s="2">
        <f t="shared" ca="1" si="113"/>
        <v>4931486.8481610212</v>
      </c>
      <c r="W277" s="2">
        <f t="shared" ca="1" si="113"/>
        <v>624653.55126287451</v>
      </c>
      <c r="X277" s="2">
        <f t="shared" ca="1" si="113"/>
        <v>616633.5138047958</v>
      </c>
      <c r="Y277" s="2">
        <f t="shared" ca="1" si="113"/>
        <v>608470.70156638417</v>
      </c>
      <c r="Z277" s="2">
        <f t="shared" ca="1" si="113"/>
        <v>600139.53116043471</v>
      </c>
      <c r="AA277" s="2">
        <f t="shared" ca="1" si="113"/>
        <v>591616.0797830011</v>
      </c>
      <c r="AB277" s="2">
        <f t="shared" ref="AB277" ca="1" si="114">IF(V277=0,0,IF($G$15&gt;(AA277/V277)^(1/5)-1+2%,AA277*(AA277/V277)^(1/5)/($G$15-((AA277/V277)^(1/5)-1)),AA277*(1+$G$14)/$G$16))</f>
        <v>974449.84765064518</v>
      </c>
    </row>
    <row r="278" spans="1:28" x14ac:dyDescent="0.25">
      <c r="E278" t="s">
        <v>23</v>
      </c>
      <c r="F278" t="s">
        <v>7</v>
      </c>
      <c r="G278" s="2">
        <f t="shared" ref="G278:AB278" ca="1" si="115">SUM(G268:G277)</f>
        <v>-136324042.82697815</v>
      </c>
      <c r="H278" s="2">
        <f t="shared" si="115"/>
        <v>-20907117.346124344</v>
      </c>
      <c r="I278" s="2">
        <f t="shared" ca="1" si="115"/>
        <v>-29921942.227820382</v>
      </c>
      <c r="J278" s="2">
        <f t="shared" ca="1" si="115"/>
        <v>-29395438.492381282</v>
      </c>
      <c r="K278" s="2">
        <f t="shared" ca="1" si="115"/>
        <v>-29950452.122101754</v>
      </c>
      <c r="L278" s="2">
        <f t="shared" ca="1" si="115"/>
        <v>-28019337.693253599</v>
      </c>
      <c r="M278" s="2">
        <f t="shared" ca="1" si="115"/>
        <v>-32277835.432205234</v>
      </c>
      <c r="N278" s="2">
        <f t="shared" ca="1" si="115"/>
        <v>-25221882.731414638</v>
      </c>
      <c r="O278" s="2">
        <f t="shared" ca="1" si="115"/>
        <v>-24564677.808099639</v>
      </c>
      <c r="P278" s="2">
        <f t="shared" ca="1" si="115"/>
        <v>-23793594.981350113</v>
      </c>
      <c r="Q278" s="2">
        <f t="shared" ca="1" si="115"/>
        <v>-23635046.627682213</v>
      </c>
      <c r="R278" s="2">
        <f t="shared" ca="1" si="115"/>
        <v>-23540749.804824263</v>
      </c>
      <c r="S278" s="2">
        <f t="shared" ca="1" si="115"/>
        <v>-23373560.290428847</v>
      </c>
      <c r="T278" s="2">
        <f t="shared" ca="1" si="115"/>
        <v>-23060726.823307097</v>
      </c>
      <c r="U278" s="2">
        <f t="shared" ca="1" si="115"/>
        <v>-22490946.655271187</v>
      </c>
      <c r="V278" s="2">
        <f t="shared" ca="1" si="115"/>
        <v>-21998386.731358938</v>
      </c>
      <c r="W278" s="2">
        <f t="shared" ca="1" si="115"/>
        <v>-18072864.925748184</v>
      </c>
      <c r="X278" s="2">
        <f t="shared" ca="1" si="115"/>
        <v>-18421275.021635752</v>
      </c>
      <c r="Y278" s="2">
        <f t="shared" ca="1" si="115"/>
        <v>-18771622.077289835</v>
      </c>
      <c r="Z278" s="2">
        <f t="shared" ca="1" si="115"/>
        <v>-19142880.552091517</v>
      </c>
      <c r="AA278" s="2">
        <f t="shared" ca="1" si="115"/>
        <v>-19534150.497931097</v>
      </c>
      <c r="AB278" s="2">
        <f t="shared" ca="1" si="115"/>
        <v>540600591.4685123</v>
      </c>
    </row>
    <row r="279" spans="1:28" x14ac:dyDescent="0.25">
      <c r="E279" t="s">
        <v>31</v>
      </c>
      <c r="F279" t="s">
        <v>7</v>
      </c>
      <c r="G279" s="2">
        <f ca="1">NPV($G$15,H278:AB278)+G278</f>
        <v>-252137244.54667231</v>
      </c>
    </row>
    <row r="280" spans="1:28" x14ac:dyDescent="0.25">
      <c r="E280" s="3" t="s">
        <v>34</v>
      </c>
      <c r="F280" s="3"/>
      <c r="G280" s="4" t="str">
        <f ca="1">IF(G279&gt;0,"N/A",IF(ABS(G279+G253)&gt;1,"Error","OK"))</f>
        <v>OK</v>
      </c>
    </row>
    <row r="282" spans="1:28" x14ac:dyDescent="0.25">
      <c r="C282" s="1" t="s">
        <v>36</v>
      </c>
      <c r="D282" s="1"/>
      <c r="G282" s="44"/>
    </row>
    <row r="283" spans="1:28" x14ac:dyDescent="0.25">
      <c r="A283" s="14">
        <f>'Notes &amp; Assumptions'!A67</f>
        <v>54</v>
      </c>
      <c r="C283" s="1"/>
      <c r="D283" s="1"/>
      <c r="E283" t="s">
        <v>42</v>
      </c>
      <c r="F283" t="s">
        <v>3</v>
      </c>
      <c r="G283" s="10"/>
      <c r="H283" s="10">
        <v>1</v>
      </c>
      <c r="I283" s="10">
        <v>1</v>
      </c>
      <c r="J283" s="10">
        <v>1</v>
      </c>
      <c r="K283" s="10">
        <v>1</v>
      </c>
      <c r="L283" s="10">
        <v>1</v>
      </c>
      <c r="M283" s="10">
        <v>1</v>
      </c>
      <c r="N283" s="10">
        <v>1</v>
      </c>
      <c r="O283" s="10">
        <v>1</v>
      </c>
      <c r="P283" s="10">
        <v>1</v>
      </c>
      <c r="Q283" s="10">
        <v>1</v>
      </c>
      <c r="R283" s="10">
        <v>1</v>
      </c>
      <c r="S283" s="10">
        <v>1</v>
      </c>
      <c r="T283" s="10">
        <v>1</v>
      </c>
      <c r="U283" s="10">
        <v>1</v>
      </c>
      <c r="V283" s="10">
        <v>1</v>
      </c>
      <c r="W283" s="10">
        <v>0</v>
      </c>
      <c r="X283" s="10">
        <v>0</v>
      </c>
      <c r="Y283" s="10">
        <v>0</v>
      </c>
      <c r="Z283" s="10">
        <v>0</v>
      </c>
      <c r="AA283" s="10">
        <v>0</v>
      </c>
    </row>
    <row r="284" spans="1:28" x14ac:dyDescent="0.25">
      <c r="E284" t="s">
        <v>37</v>
      </c>
      <c r="F284" t="s">
        <v>38</v>
      </c>
      <c r="G284" s="8">
        <f ca="1">MAX(0,-G311/(NPV($G$16,H283:AA283)+G283))</f>
        <v>21111928.339762863</v>
      </c>
      <c r="H284" s="2">
        <f t="shared" ref="H284:AA284" ca="1" si="116">G284*(1+$G$14)</f>
        <v>21555278.83489788</v>
      </c>
      <c r="I284" s="2">
        <f t="shared" ca="1" si="116"/>
        <v>22007939.690430734</v>
      </c>
      <c r="J284" s="2">
        <f t="shared" ca="1" si="116"/>
        <v>22470106.423929777</v>
      </c>
      <c r="K284" s="2">
        <f t="shared" ca="1" si="116"/>
        <v>22941978.6588323</v>
      </c>
      <c r="L284" s="2">
        <f t="shared" ca="1" si="116"/>
        <v>23423760.210667778</v>
      </c>
      <c r="M284" s="2">
        <f t="shared" ca="1" si="116"/>
        <v>23915659.175091799</v>
      </c>
      <c r="N284" s="2">
        <f t="shared" ca="1" si="116"/>
        <v>24417888.017768726</v>
      </c>
      <c r="O284" s="2">
        <f t="shared" ca="1" si="116"/>
        <v>24930663.666141868</v>
      </c>
      <c r="P284" s="2">
        <f t="shared" ca="1" si="116"/>
        <v>25454207.603130843</v>
      </c>
      <c r="Q284" s="2">
        <f t="shared" ca="1" si="116"/>
        <v>25988745.962796587</v>
      </c>
      <c r="R284" s="2">
        <f t="shared" ca="1" si="116"/>
        <v>26534509.628015313</v>
      </c>
      <c r="S284" s="2">
        <f t="shared" ca="1" si="116"/>
        <v>27091734.330203634</v>
      </c>
      <c r="T284" s="2">
        <f t="shared" ca="1" si="116"/>
        <v>27660660.751137909</v>
      </c>
      <c r="U284" s="2">
        <f t="shared" ca="1" si="116"/>
        <v>28241534.6269118</v>
      </c>
      <c r="V284" s="2">
        <f t="shared" ca="1" si="116"/>
        <v>28834606.854076944</v>
      </c>
      <c r="W284" s="2">
        <f t="shared" ca="1" si="116"/>
        <v>29440133.598012559</v>
      </c>
      <c r="X284" s="2">
        <f t="shared" ca="1" si="116"/>
        <v>30058376.40357082</v>
      </c>
      <c r="Y284" s="2">
        <f t="shared" ca="1" si="116"/>
        <v>30689602.308045805</v>
      </c>
      <c r="Z284" s="2">
        <f t="shared" ca="1" si="116"/>
        <v>31334083.956514765</v>
      </c>
      <c r="AA284" s="2">
        <f t="shared" ca="1" si="116"/>
        <v>31992099.719601572</v>
      </c>
    </row>
    <row r="285" spans="1:28" x14ac:dyDescent="0.25">
      <c r="E285" t="s">
        <v>21</v>
      </c>
      <c r="F285" t="s">
        <v>7</v>
      </c>
      <c r="G285" s="2">
        <f ca="1">G283*G284</f>
        <v>0</v>
      </c>
      <c r="H285" s="2">
        <f t="shared" ref="H285:AA285" ca="1" si="117">H283*H284</f>
        <v>21555278.83489788</v>
      </c>
      <c r="I285" s="2">
        <f t="shared" ca="1" si="117"/>
        <v>22007939.690430734</v>
      </c>
      <c r="J285" s="2">
        <f t="shared" ca="1" si="117"/>
        <v>22470106.423929777</v>
      </c>
      <c r="K285" s="2">
        <f t="shared" ca="1" si="117"/>
        <v>22941978.6588323</v>
      </c>
      <c r="L285" s="2">
        <f t="shared" ca="1" si="117"/>
        <v>23423760.210667778</v>
      </c>
      <c r="M285" s="2">
        <f t="shared" ca="1" si="117"/>
        <v>23915659.175091799</v>
      </c>
      <c r="N285" s="2">
        <f t="shared" ca="1" si="117"/>
        <v>24417888.017768726</v>
      </c>
      <c r="O285" s="2">
        <f t="shared" ca="1" si="117"/>
        <v>24930663.666141868</v>
      </c>
      <c r="P285" s="2">
        <f t="shared" ca="1" si="117"/>
        <v>25454207.603130843</v>
      </c>
      <c r="Q285" s="2">
        <f t="shared" ca="1" si="117"/>
        <v>25988745.962796587</v>
      </c>
      <c r="R285" s="2">
        <f t="shared" ca="1" si="117"/>
        <v>26534509.628015313</v>
      </c>
      <c r="S285" s="2">
        <f t="shared" ca="1" si="117"/>
        <v>27091734.330203634</v>
      </c>
      <c r="T285" s="2">
        <f t="shared" ca="1" si="117"/>
        <v>27660660.751137909</v>
      </c>
      <c r="U285" s="2">
        <f t="shared" ca="1" si="117"/>
        <v>28241534.6269118</v>
      </c>
      <c r="V285" s="2">
        <f t="shared" ca="1" si="117"/>
        <v>28834606.854076944</v>
      </c>
      <c r="W285" s="2">
        <f t="shared" ca="1" si="117"/>
        <v>0</v>
      </c>
      <c r="X285" s="2">
        <f t="shared" ca="1" si="117"/>
        <v>0</v>
      </c>
      <c r="Y285" s="2">
        <f t="shared" ca="1" si="117"/>
        <v>0</v>
      </c>
      <c r="Z285" s="2">
        <f t="shared" ca="1" si="117"/>
        <v>0</v>
      </c>
      <c r="AA285" s="2">
        <f t="shared" ca="1" si="117"/>
        <v>0</v>
      </c>
    </row>
    <row r="286" spans="1:28" x14ac:dyDescent="0.25">
      <c r="G286" s="8">
        <f ca="1">-G311/(NPV($G$16,H283:AA283)+G283)</f>
        <v>21111928.339762863</v>
      </c>
    </row>
    <row r="287" spans="1:28" x14ac:dyDescent="0.25">
      <c r="D287" t="s">
        <v>9</v>
      </c>
    </row>
    <row r="288" spans="1:28" x14ac:dyDescent="0.25">
      <c r="E288" t="s">
        <v>107</v>
      </c>
      <c r="F288" t="s">
        <v>7</v>
      </c>
      <c r="G288" s="2">
        <f t="shared" ref="G288:AA293" si="118">G222</f>
        <v>0</v>
      </c>
      <c r="H288" s="2">
        <f t="shared" si="118"/>
        <v>35642088.999999993</v>
      </c>
      <c r="I288" s="2">
        <f t="shared" si="118"/>
        <v>34471438.987999991</v>
      </c>
      <c r="J288" s="2">
        <f t="shared" si="118"/>
        <v>33874023.921329536</v>
      </c>
      <c r="K288" s="2">
        <f t="shared" si="118"/>
        <v>31485234.146776929</v>
      </c>
      <c r="L288" s="2">
        <f t="shared" si="118"/>
        <v>29102334.548788421</v>
      </c>
      <c r="M288" s="2">
        <f t="shared" si="118"/>
        <v>26770404.319784526</v>
      </c>
      <c r="N288" s="2">
        <f t="shared" si="118"/>
        <v>24501765.991871051</v>
      </c>
      <c r="O288" s="2">
        <f t="shared" si="118"/>
        <v>22294255.527520508</v>
      </c>
      <c r="P288" s="2">
        <f t="shared" si="118"/>
        <v>22225666.624848187</v>
      </c>
      <c r="Q288" s="2">
        <f t="shared" si="118"/>
        <v>22034929.480846372</v>
      </c>
      <c r="R288" s="2">
        <f t="shared" si="118"/>
        <v>23818234.423713431</v>
      </c>
      <c r="S288" s="2">
        <f t="shared" si="118"/>
        <v>25785741.558844842</v>
      </c>
      <c r="T288" s="2">
        <f t="shared" si="118"/>
        <v>27864816.90457559</v>
      </c>
      <c r="U288" s="2">
        <f t="shared" si="118"/>
        <v>28252867.210183382</v>
      </c>
      <c r="V288" s="2">
        <f t="shared" si="118"/>
        <v>28659746.141032089</v>
      </c>
      <c r="W288" s="2">
        <f t="shared" si="118"/>
        <v>0</v>
      </c>
      <c r="X288" s="2">
        <f t="shared" si="118"/>
        <v>0</v>
      </c>
      <c r="Y288" s="2">
        <f t="shared" si="118"/>
        <v>0</v>
      </c>
      <c r="Z288" s="2">
        <f t="shared" si="118"/>
        <v>0</v>
      </c>
      <c r="AA288" s="2">
        <f t="shared" si="118"/>
        <v>0</v>
      </c>
    </row>
    <row r="289" spans="4:28" customFormat="1" x14ac:dyDescent="0.25">
      <c r="E289" t="s">
        <v>11</v>
      </c>
      <c r="F289" t="s">
        <v>7</v>
      </c>
      <c r="G289" s="2">
        <f t="shared" si="118"/>
        <v>0</v>
      </c>
      <c r="H289" s="2">
        <f t="shared" si="118"/>
        <v>6182225.9834038224</v>
      </c>
      <c r="I289" s="2">
        <f t="shared" si="118"/>
        <v>11995790.371626098</v>
      </c>
      <c r="J289" s="2">
        <f t="shared" si="118"/>
        <v>18050339.664931763</v>
      </c>
      <c r="K289" s="2">
        <f t="shared" si="118"/>
        <v>23862148.984883003</v>
      </c>
      <c r="L289" s="2">
        <f t="shared" si="118"/>
        <v>29434925.431030251</v>
      </c>
      <c r="M289" s="2">
        <f t="shared" si="118"/>
        <v>34761099.634969912</v>
      </c>
      <c r="N289" s="2">
        <f t="shared" si="118"/>
        <v>39853053.565400161</v>
      </c>
      <c r="O289" s="2">
        <f t="shared" si="118"/>
        <v>44714011.691100597</v>
      </c>
      <c r="P289" s="2">
        <f t="shared" si="118"/>
        <v>49721988.340728059</v>
      </c>
      <c r="Q289" s="2">
        <f t="shared" si="118"/>
        <v>54874142.127276734</v>
      </c>
      <c r="R289" s="2">
        <f t="shared" si="118"/>
        <v>60466460.73169291</v>
      </c>
      <c r="S289" s="2">
        <f t="shared" si="118"/>
        <v>66548323.248618223</v>
      </c>
      <c r="T289" s="2">
        <f t="shared" si="118"/>
        <v>73138773.863265544</v>
      </c>
      <c r="U289" s="2">
        <f t="shared" si="118"/>
        <v>79936734.338239014</v>
      </c>
      <c r="V289" s="2">
        <f t="shared" si="118"/>
        <v>86960520.226442367</v>
      </c>
      <c r="W289" s="2">
        <f t="shared" si="118"/>
        <v>88786691.151197642</v>
      </c>
      <c r="X289" s="2">
        <f t="shared" si="118"/>
        <v>90651211.665372789</v>
      </c>
      <c r="Y289" s="2">
        <f t="shared" si="118"/>
        <v>92554887.110345602</v>
      </c>
      <c r="Z289" s="2">
        <f t="shared" si="118"/>
        <v>94498539.739662856</v>
      </c>
      <c r="AA289" s="2">
        <f t="shared" si="118"/>
        <v>96483009.074195772</v>
      </c>
    </row>
    <row r="290" spans="4:28" customFormat="1" x14ac:dyDescent="0.25">
      <c r="E290" t="s">
        <v>57</v>
      </c>
      <c r="F290" t="s">
        <v>7</v>
      </c>
      <c r="G290" s="2">
        <f t="shared" si="118"/>
        <v>0</v>
      </c>
      <c r="H290" s="2">
        <f t="shared" si="118"/>
        <v>-4081304.5861971751</v>
      </c>
      <c r="I290" s="2">
        <f t="shared" si="118"/>
        <v>-8124453.3182916604</v>
      </c>
      <c r="J290" s="2">
        <f t="shared" si="118"/>
        <v>-12199213.412921648</v>
      </c>
      <c r="K290" s="2">
        <f t="shared" si="118"/>
        <v>-16078452.883336719</v>
      </c>
      <c r="L290" s="2">
        <f t="shared" si="118"/>
        <v>-19769297.856755786</v>
      </c>
      <c r="M290" s="2">
        <f t="shared" si="118"/>
        <v>-23272672.93213268</v>
      </c>
      <c r="N290" s="2">
        <f t="shared" si="118"/>
        <v>-26592500.398821432</v>
      </c>
      <c r="O290" s="2">
        <f t="shared" si="118"/>
        <v>-29731751.2251908</v>
      </c>
      <c r="P290" s="2">
        <f t="shared" si="118"/>
        <v>-32933959.355104275</v>
      </c>
      <c r="Q290" s="2">
        <f t="shared" si="118"/>
        <v>-36187705.326668009</v>
      </c>
      <c r="R290" s="2">
        <f t="shared" si="118"/>
        <v>-39717092.654547654</v>
      </c>
      <c r="S290" s="2">
        <f t="shared" si="118"/>
        <v>-43549830.841256797</v>
      </c>
      <c r="T290" s="2">
        <f t="shared" si="118"/>
        <v>-47704218.710662022</v>
      </c>
      <c r="U290" s="2">
        <f t="shared" si="118"/>
        <v>-51990689.053647444</v>
      </c>
      <c r="V290" s="2">
        <f t="shared" si="118"/>
        <v>-56415111.355761826</v>
      </c>
      <c r="W290" s="2">
        <f t="shared" si="118"/>
        <v>-57599828.694232821</v>
      </c>
      <c r="X290" s="2">
        <f t="shared" si="118"/>
        <v>-58809425.096811704</v>
      </c>
      <c r="Y290" s="2">
        <f t="shared" si="118"/>
        <v>-60044423.023844734</v>
      </c>
      <c r="Z290" s="2">
        <f t="shared" si="118"/>
        <v>-61305355.907345481</v>
      </c>
      <c r="AA290" s="2">
        <f t="shared" si="118"/>
        <v>-62592768.381399721</v>
      </c>
    </row>
    <row r="291" spans="4:28" customFormat="1" x14ac:dyDescent="0.25">
      <c r="E291" t="s">
        <v>10</v>
      </c>
      <c r="F291" t="s">
        <v>7</v>
      </c>
      <c r="G291" s="2">
        <f t="shared" si="118"/>
        <v>0</v>
      </c>
      <c r="H291" s="2">
        <f t="shared" si="118"/>
        <v>-1160913.7559999998</v>
      </c>
      <c r="I291" s="2">
        <f t="shared" si="118"/>
        <v>-2308076.9576279996</v>
      </c>
      <c r="J291" s="2">
        <f t="shared" si="118"/>
        <v>-3459871.9243186354</v>
      </c>
      <c r="K291" s="2">
        <f t="shared" si="118"/>
        <v>-4558048.289795775</v>
      </c>
      <c r="L291" s="2">
        <f t="shared" si="118"/>
        <v>-5601671.9148991657</v>
      </c>
      <c r="M291" s="2">
        <f t="shared" si="118"/>
        <v>-6591257.337242173</v>
      </c>
      <c r="N291" s="2">
        <f t="shared" si="118"/>
        <v>-7527731.2622023439</v>
      </c>
      <c r="O291" s="2">
        <f t="shared" si="118"/>
        <v>-8411969.3701764047</v>
      </c>
      <c r="P291" s="2">
        <f t="shared" si="118"/>
        <v>-9312542.4398737326</v>
      </c>
      <c r="Q291" s="2">
        <f t="shared" si="118"/>
        <v>-10225814.962772934</v>
      </c>
      <c r="R291" s="2">
        <f t="shared" si="118"/>
        <v>-11216350.998220688</v>
      </c>
      <c r="S291" s="2">
        <f t="shared" si="118"/>
        <v>-12291772.808528552</v>
      </c>
      <c r="T291" s="2">
        <f t="shared" si="118"/>
        <v>-13457496.930970971</v>
      </c>
      <c r="U291" s="2">
        <f t="shared" si="118"/>
        <v>-14660340.612795902</v>
      </c>
      <c r="V291" s="2">
        <f t="shared" si="118"/>
        <v>-15901696.639972519</v>
      </c>
      <c r="W291" s="2">
        <f t="shared" si="118"/>
        <v>-16235632.26941194</v>
      </c>
      <c r="X291" s="2">
        <f t="shared" si="118"/>
        <v>-16576580.547069591</v>
      </c>
      <c r="Y291" s="2">
        <f t="shared" si="118"/>
        <v>-16924688.73855805</v>
      </c>
      <c r="Z291" s="2">
        <f t="shared" si="118"/>
        <v>-17280107.202067766</v>
      </c>
      <c r="AA291" s="2">
        <f t="shared" si="118"/>
        <v>-17642989.45331119</v>
      </c>
    </row>
    <row r="292" spans="4:28" customFormat="1" x14ac:dyDescent="0.25">
      <c r="E292" t="s">
        <v>12</v>
      </c>
      <c r="F292" t="s">
        <v>7</v>
      </c>
      <c r="G292" s="2">
        <f t="shared" si="118"/>
        <v>-1096310.0294376996</v>
      </c>
      <c r="H292" s="2">
        <f t="shared" si="118"/>
        <v>-1676903.7522597993</v>
      </c>
      <c r="I292" s="2">
        <f t="shared" ca="1" si="118"/>
        <v>-2353620.1908998638</v>
      </c>
      <c r="J292" s="2">
        <f t="shared" ca="1" si="118"/>
        <v>-3027787.8929887246</v>
      </c>
      <c r="K292" s="2">
        <f t="shared" ca="1" si="118"/>
        <v>-3694553.279419424</v>
      </c>
      <c r="L292" s="2">
        <f t="shared" ca="1" si="118"/>
        <v>-4326326.9840616686</v>
      </c>
      <c r="M292" s="2">
        <f t="shared" ca="1" si="118"/>
        <v>-4992372.8617732674</v>
      </c>
      <c r="N292" s="2">
        <f t="shared" ca="1" si="118"/>
        <v>-5567443.9621905293</v>
      </c>
      <c r="O292" s="2">
        <f t="shared" ca="1" si="118"/>
        <v>-6123199.7666668119</v>
      </c>
      <c r="P292" s="2">
        <f t="shared" ca="1" si="118"/>
        <v>-6679215.9618961792</v>
      </c>
      <c r="Q292" s="2">
        <f t="shared" ca="1" si="118"/>
        <v>-7241910.9829629175</v>
      </c>
      <c r="R292" s="2">
        <f t="shared" ca="1" si="118"/>
        <v>-7831511.4307037191</v>
      </c>
      <c r="S292" s="2">
        <f t="shared" ca="1" si="118"/>
        <v>-8449951.9314166903</v>
      </c>
      <c r="T292" s="2">
        <f t="shared" ca="1" si="118"/>
        <v>-9097629.3211807013</v>
      </c>
      <c r="U292" s="2">
        <f t="shared" ca="1" si="118"/>
        <v>-9756097.6256117597</v>
      </c>
      <c r="V292" s="2">
        <f t="shared" ca="1" si="118"/>
        <v>-10426879.383999959</v>
      </c>
      <c r="W292" s="2">
        <f t="shared" ca="1" si="118"/>
        <v>-10786873.179133717</v>
      </c>
      <c r="X292" s="2">
        <f t="shared" ca="1" si="118"/>
        <v>-11154315.929459522</v>
      </c>
      <c r="Y292" s="2">
        <f t="shared" ca="1" si="118"/>
        <v>-11529304.004166923</v>
      </c>
      <c r="Z292" s="2">
        <f t="shared" ca="1" si="118"/>
        <v>-11912146.422513377</v>
      </c>
      <c r="AA292" s="2">
        <f t="shared" ca="1" si="118"/>
        <v>-12303144.040931521</v>
      </c>
    </row>
    <row r="293" spans="4:28" customFormat="1" x14ac:dyDescent="0.25">
      <c r="E293" t="s">
        <v>48</v>
      </c>
      <c r="F293" t="s">
        <v>7</v>
      </c>
      <c r="G293" s="2">
        <f t="shared" si="118"/>
        <v>0</v>
      </c>
      <c r="H293" s="2">
        <f t="shared" si="118"/>
        <v>0</v>
      </c>
      <c r="I293" s="2">
        <f t="shared" si="118"/>
        <v>0</v>
      </c>
      <c r="J293" s="2">
        <f t="shared" si="118"/>
        <v>0</v>
      </c>
      <c r="K293" s="2">
        <f t="shared" si="118"/>
        <v>0</v>
      </c>
      <c r="L293" s="2">
        <f t="shared" si="118"/>
        <v>0</v>
      </c>
      <c r="M293" s="2">
        <f t="shared" si="118"/>
        <v>0</v>
      </c>
      <c r="N293" s="2">
        <f t="shared" si="118"/>
        <v>0</v>
      </c>
      <c r="O293" s="2">
        <f t="shared" si="118"/>
        <v>0</v>
      </c>
      <c r="P293" s="2">
        <f t="shared" si="118"/>
        <v>0</v>
      </c>
      <c r="Q293" s="2">
        <f t="shared" si="118"/>
        <v>0</v>
      </c>
      <c r="R293" s="2">
        <f t="shared" si="118"/>
        <v>0</v>
      </c>
      <c r="S293" s="2">
        <f t="shared" si="118"/>
        <v>0</v>
      </c>
      <c r="T293" s="2">
        <f t="shared" si="118"/>
        <v>0</v>
      </c>
      <c r="U293" s="2">
        <f t="shared" si="118"/>
        <v>0</v>
      </c>
      <c r="V293" s="2">
        <f t="shared" si="118"/>
        <v>0</v>
      </c>
      <c r="W293" s="2">
        <f t="shared" si="118"/>
        <v>0</v>
      </c>
      <c r="X293" s="2">
        <f t="shared" si="118"/>
        <v>0</v>
      </c>
      <c r="Y293" s="2">
        <f t="shared" si="118"/>
        <v>0</v>
      </c>
      <c r="Z293" s="2">
        <f t="shared" si="118"/>
        <v>0</v>
      </c>
      <c r="AA293" s="2">
        <f t="shared" si="118"/>
        <v>0</v>
      </c>
    </row>
    <row r="294" spans="4:28" customFormat="1" x14ac:dyDescent="0.25">
      <c r="E294" t="s">
        <v>13</v>
      </c>
      <c r="F294" t="s">
        <v>7</v>
      </c>
      <c r="G294" s="2">
        <f t="shared" ref="G294:AA294" ca="1" si="119">G285</f>
        <v>0</v>
      </c>
      <c r="H294" s="2">
        <f t="shared" ca="1" si="119"/>
        <v>21555278.83489788</v>
      </c>
      <c r="I294" s="2">
        <f t="shared" ca="1" si="119"/>
        <v>22007939.690430734</v>
      </c>
      <c r="J294" s="2">
        <f t="shared" ca="1" si="119"/>
        <v>22470106.423929777</v>
      </c>
      <c r="K294" s="2">
        <f t="shared" ca="1" si="119"/>
        <v>22941978.6588323</v>
      </c>
      <c r="L294" s="2">
        <f t="shared" ca="1" si="119"/>
        <v>23423760.210667778</v>
      </c>
      <c r="M294" s="2">
        <f t="shared" ca="1" si="119"/>
        <v>23915659.175091799</v>
      </c>
      <c r="N294" s="2">
        <f t="shared" ca="1" si="119"/>
        <v>24417888.017768726</v>
      </c>
      <c r="O294" s="2">
        <f t="shared" ca="1" si="119"/>
        <v>24930663.666141868</v>
      </c>
      <c r="P294" s="2">
        <f t="shared" ca="1" si="119"/>
        <v>25454207.603130843</v>
      </c>
      <c r="Q294" s="2">
        <f t="shared" ca="1" si="119"/>
        <v>25988745.962796587</v>
      </c>
      <c r="R294" s="2">
        <f t="shared" ca="1" si="119"/>
        <v>26534509.628015313</v>
      </c>
      <c r="S294" s="2">
        <f t="shared" ca="1" si="119"/>
        <v>27091734.330203634</v>
      </c>
      <c r="T294" s="2">
        <f t="shared" ca="1" si="119"/>
        <v>27660660.751137909</v>
      </c>
      <c r="U294" s="2">
        <f t="shared" ca="1" si="119"/>
        <v>28241534.6269118</v>
      </c>
      <c r="V294" s="2">
        <f t="shared" ca="1" si="119"/>
        <v>28834606.854076944</v>
      </c>
      <c r="W294" s="2">
        <f t="shared" ca="1" si="119"/>
        <v>0</v>
      </c>
      <c r="X294" s="2">
        <f t="shared" ca="1" si="119"/>
        <v>0</v>
      </c>
      <c r="Y294" s="2">
        <f t="shared" ca="1" si="119"/>
        <v>0</v>
      </c>
      <c r="Z294" s="2">
        <f t="shared" ca="1" si="119"/>
        <v>0</v>
      </c>
      <c r="AA294" s="2">
        <f t="shared" ca="1" si="119"/>
        <v>0</v>
      </c>
    </row>
    <row r="295" spans="4:28" customFormat="1" x14ac:dyDescent="0.25"/>
    <row r="296" spans="4:28" customFormat="1" x14ac:dyDescent="0.25">
      <c r="E296" t="s">
        <v>14</v>
      </c>
      <c r="F296" t="s">
        <v>7</v>
      </c>
      <c r="G296" s="2">
        <f t="shared" ref="G296:AA296" ca="1" si="120">SUM(G288:G294)</f>
        <v>-1096310.0294376996</v>
      </c>
      <c r="H296" s="2">
        <f t="shared" ca="1" si="120"/>
        <v>56460471.723844722</v>
      </c>
      <c r="I296" s="2">
        <f t="shared" ca="1" si="120"/>
        <v>55689018.58323729</v>
      </c>
      <c r="J296" s="2">
        <f t="shared" ca="1" si="120"/>
        <v>55707596.779962063</v>
      </c>
      <c r="K296" s="2">
        <f t="shared" ca="1" si="120"/>
        <v>53958307.33794032</v>
      </c>
      <c r="L296" s="2">
        <f t="shared" ca="1" si="120"/>
        <v>52263723.434769824</v>
      </c>
      <c r="M296" s="2">
        <f t="shared" ca="1" si="120"/>
        <v>50590859.99869813</v>
      </c>
      <c r="N296" s="2">
        <f t="shared" ca="1" si="120"/>
        <v>49085031.951825634</v>
      </c>
      <c r="O296" s="2">
        <f t="shared" ca="1" si="120"/>
        <v>47672010.52272895</v>
      </c>
      <c r="P296" s="2">
        <f t="shared" ca="1" si="120"/>
        <v>48476144.811832905</v>
      </c>
      <c r="Q296" s="2">
        <f t="shared" ca="1" si="120"/>
        <v>49242386.298515834</v>
      </c>
      <c r="R296" s="2">
        <f t="shared" ca="1" si="120"/>
        <v>52054249.699949592</v>
      </c>
      <c r="S296" s="2">
        <f t="shared" ca="1" si="120"/>
        <v>55134243.556464657</v>
      </c>
      <c r="T296" s="2">
        <f t="shared" ca="1" si="120"/>
        <v>58404906.556165352</v>
      </c>
      <c r="U296" s="2">
        <f t="shared" ca="1" si="120"/>
        <v>60024008.883279085</v>
      </c>
      <c r="V296" s="2">
        <f t="shared" ca="1" si="120"/>
        <v>61711185.841817088</v>
      </c>
      <c r="W296" s="2">
        <f t="shared" ca="1" si="120"/>
        <v>4164357.0084191635</v>
      </c>
      <c r="X296" s="2">
        <f t="shared" ca="1" si="120"/>
        <v>4110890.0920319725</v>
      </c>
      <c r="Y296" s="2">
        <f t="shared" ca="1" si="120"/>
        <v>4056471.3437758945</v>
      </c>
      <c r="Z296" s="2">
        <f t="shared" ca="1" si="120"/>
        <v>4000930.2077362314</v>
      </c>
      <c r="AA296" s="2">
        <f t="shared" ca="1" si="120"/>
        <v>3944107.1985533405</v>
      </c>
    </row>
    <row r="297" spans="4:28" customFormat="1" x14ac:dyDescent="0.25">
      <c r="E297" t="s">
        <v>15</v>
      </c>
      <c r="F297" t="s">
        <v>7</v>
      </c>
      <c r="G297" s="2">
        <f t="shared" ref="G297:AA297" ca="1" si="121">-G296*G$18</f>
        <v>328893.00883130985</v>
      </c>
      <c r="H297" s="2">
        <f t="shared" ca="1" si="121"/>
        <v>-16938141.517153416</v>
      </c>
      <c r="I297" s="2">
        <f t="shared" ca="1" si="121"/>
        <v>-16706705.574971186</v>
      </c>
      <c r="J297" s="2">
        <f t="shared" ca="1" si="121"/>
        <v>-16712279.033988617</v>
      </c>
      <c r="K297" s="2">
        <f t="shared" ca="1" si="121"/>
        <v>-16187492.201382095</v>
      </c>
      <c r="L297" s="2">
        <f t="shared" ca="1" si="121"/>
        <v>-15679117.030430946</v>
      </c>
      <c r="M297" s="2">
        <f t="shared" ca="1" si="121"/>
        <v>-15177257.999609439</v>
      </c>
      <c r="N297" s="2">
        <f t="shared" ca="1" si="121"/>
        <v>-14725509.585547689</v>
      </c>
      <c r="O297" s="2">
        <f t="shared" ca="1" si="121"/>
        <v>-14301603.156818684</v>
      </c>
      <c r="P297" s="2">
        <f t="shared" ca="1" si="121"/>
        <v>-14542843.443549871</v>
      </c>
      <c r="Q297" s="2">
        <f t="shared" ca="1" si="121"/>
        <v>-14772715.88955475</v>
      </c>
      <c r="R297" s="2">
        <f t="shared" ca="1" si="121"/>
        <v>-15616274.909984877</v>
      </c>
      <c r="S297" s="2">
        <f t="shared" ca="1" si="121"/>
        <v>-16540273.066939397</v>
      </c>
      <c r="T297" s="2">
        <f t="shared" ca="1" si="121"/>
        <v>-17521471.966849606</v>
      </c>
      <c r="U297" s="2">
        <f t="shared" ca="1" si="121"/>
        <v>-18007202.664983723</v>
      </c>
      <c r="V297" s="2">
        <f t="shared" ca="1" si="121"/>
        <v>-18513355.752545126</v>
      </c>
      <c r="W297" s="2">
        <f t="shared" ca="1" si="121"/>
        <v>-1249307.102525749</v>
      </c>
      <c r="X297" s="2">
        <f t="shared" ca="1" si="121"/>
        <v>-1233267.0276095916</v>
      </c>
      <c r="Y297" s="2">
        <f t="shared" ca="1" si="121"/>
        <v>-1216941.4031327683</v>
      </c>
      <c r="Z297" s="2">
        <f t="shared" ca="1" si="121"/>
        <v>-1200279.0623208694</v>
      </c>
      <c r="AA297" s="2">
        <f t="shared" ca="1" si="121"/>
        <v>-1183232.1595660022</v>
      </c>
    </row>
    <row r="298" spans="4:28" customFormat="1" x14ac:dyDescent="0.25"/>
    <row r="299" spans="4:28" customFormat="1" x14ac:dyDescent="0.25">
      <c r="D299" t="s">
        <v>28</v>
      </c>
    </row>
    <row r="300" spans="4:28" customFormat="1" x14ac:dyDescent="0.25">
      <c r="E300" t="s">
        <v>1</v>
      </c>
      <c r="F300" t="s">
        <v>7</v>
      </c>
      <c r="G300" s="2">
        <f t="shared" ref="G300:AA307" si="122">G234</f>
        <v>-98667902.649392962</v>
      </c>
      <c r="H300" s="2">
        <f t="shared" si="122"/>
        <v>-16611346.053988967</v>
      </c>
      <c r="I300" s="2">
        <f t="shared" ca="1" si="122"/>
        <v>-26433040.489605837</v>
      </c>
      <c r="J300" s="2">
        <f t="shared" ca="1" si="122"/>
        <v>-26801069.266667921</v>
      </c>
      <c r="K300" s="2">
        <f t="shared" ca="1" si="122"/>
        <v>-28523650.631986063</v>
      </c>
      <c r="L300" s="2">
        <f t="shared" ca="1" si="122"/>
        <v>-27757298.869013589</v>
      </c>
      <c r="M300" s="2">
        <f t="shared" ca="1" si="122"/>
        <v>-33173724.674259342</v>
      </c>
      <c r="N300" s="2">
        <f t="shared" ca="1" si="122"/>
        <v>-27254633.045682486</v>
      </c>
      <c r="O300" s="2">
        <f t="shared" ca="1" si="122"/>
        <v>-27723766.875344969</v>
      </c>
      <c r="P300" s="2">
        <f t="shared" ca="1" si="122"/>
        <v>-27815790.945794858</v>
      </c>
      <c r="Q300" s="2">
        <f t="shared" ca="1" si="122"/>
        <v>-28607622.415160112</v>
      </c>
      <c r="R300" s="2">
        <f t="shared" ca="1" si="122"/>
        <v>-29245805.87295869</v>
      </c>
      <c r="S300" s="2">
        <f t="shared" ca="1" si="122"/>
        <v>-29873903.505322564</v>
      </c>
      <c r="T300" s="2">
        <f t="shared" ca="1" si="122"/>
        <v>-30426148.174185529</v>
      </c>
      <c r="U300" s="2">
        <f t="shared" ca="1" si="122"/>
        <v>-31009280.188611764</v>
      </c>
      <c r="V300" s="2">
        <f t="shared" ca="1" si="122"/>
        <v>-31710612.11390594</v>
      </c>
      <c r="W300" s="2">
        <f t="shared" ca="1" si="122"/>
        <v>-32399441.562038191</v>
      </c>
      <c r="X300" s="2">
        <f t="shared" ca="1" si="122"/>
        <v>-33069847.529322453</v>
      </c>
      <c r="Y300" s="2">
        <f t="shared" ca="1" si="122"/>
        <v>-33748926.723666266</v>
      </c>
      <c r="Z300" s="2">
        <f t="shared" ca="1" si="122"/>
        <v>-34455817.651180692</v>
      </c>
      <c r="AA300" s="2">
        <f t="shared" ca="1" si="122"/>
        <v>-35189785.657632954</v>
      </c>
    </row>
    <row r="301" spans="4:28" customFormat="1" x14ac:dyDescent="0.25">
      <c r="E301" t="s">
        <v>19</v>
      </c>
      <c r="F301" t="s">
        <v>7</v>
      </c>
      <c r="G301" s="2">
        <f t="shared" si="122"/>
        <v>0</v>
      </c>
      <c r="H301" s="2">
        <f t="shared" si="122"/>
        <v>0</v>
      </c>
      <c r="I301" s="2">
        <f t="shared" si="122"/>
        <v>0</v>
      </c>
      <c r="J301" s="2">
        <f t="shared" si="122"/>
        <v>0</v>
      </c>
      <c r="K301" s="2">
        <f t="shared" si="122"/>
        <v>0</v>
      </c>
      <c r="L301" s="2">
        <f t="shared" si="122"/>
        <v>0</v>
      </c>
      <c r="M301" s="2">
        <f t="shared" si="122"/>
        <v>0</v>
      </c>
      <c r="N301" s="2">
        <f t="shared" si="122"/>
        <v>0</v>
      </c>
      <c r="O301" s="2">
        <f t="shared" si="122"/>
        <v>0</v>
      </c>
      <c r="P301" s="2">
        <f t="shared" si="122"/>
        <v>0</v>
      </c>
      <c r="Q301" s="2">
        <f t="shared" si="122"/>
        <v>0</v>
      </c>
      <c r="R301" s="2">
        <f t="shared" si="122"/>
        <v>0</v>
      </c>
      <c r="S301" s="2">
        <f t="shared" si="122"/>
        <v>0</v>
      </c>
      <c r="T301" s="2">
        <f t="shared" si="122"/>
        <v>0</v>
      </c>
      <c r="U301" s="2">
        <f t="shared" si="122"/>
        <v>0</v>
      </c>
      <c r="V301" s="2">
        <f t="shared" si="122"/>
        <v>0</v>
      </c>
      <c r="W301" s="2">
        <f t="shared" si="122"/>
        <v>0</v>
      </c>
      <c r="X301" s="2">
        <f t="shared" si="122"/>
        <v>0</v>
      </c>
      <c r="Y301" s="2">
        <f t="shared" si="122"/>
        <v>0</v>
      </c>
      <c r="Z301" s="2">
        <f t="shared" si="122"/>
        <v>0</v>
      </c>
      <c r="AA301" s="2">
        <f t="shared" si="122"/>
        <v>0</v>
      </c>
    </row>
    <row r="302" spans="4:28" customFormat="1" x14ac:dyDescent="0.25">
      <c r="E302" t="s">
        <v>109</v>
      </c>
      <c r="F302" t="s">
        <v>7</v>
      </c>
      <c r="G302" s="2">
        <f t="shared" si="122"/>
        <v>0</v>
      </c>
      <c r="H302" s="2">
        <f t="shared" si="122"/>
        <v>0</v>
      </c>
      <c r="I302" s="2">
        <f t="shared" si="122"/>
        <v>0</v>
      </c>
      <c r="J302" s="2">
        <f t="shared" si="122"/>
        <v>0</v>
      </c>
      <c r="K302" s="2">
        <f t="shared" si="122"/>
        <v>0</v>
      </c>
      <c r="L302" s="2">
        <f t="shared" si="122"/>
        <v>0</v>
      </c>
      <c r="M302" s="2">
        <f t="shared" si="122"/>
        <v>0</v>
      </c>
      <c r="N302" s="2">
        <f t="shared" si="122"/>
        <v>0</v>
      </c>
      <c r="O302" s="2">
        <f t="shared" si="122"/>
        <v>0</v>
      </c>
      <c r="P302" s="2">
        <f t="shared" si="122"/>
        <v>0</v>
      </c>
      <c r="Q302" s="2">
        <f t="shared" si="122"/>
        <v>0</v>
      </c>
      <c r="R302" s="2">
        <f t="shared" si="122"/>
        <v>0</v>
      </c>
      <c r="S302" s="2">
        <f t="shared" si="122"/>
        <v>0</v>
      </c>
      <c r="T302" s="2">
        <f t="shared" si="122"/>
        <v>0</v>
      </c>
      <c r="U302" s="2">
        <f t="shared" si="122"/>
        <v>0</v>
      </c>
      <c r="V302" s="2">
        <f t="shared" si="122"/>
        <v>0</v>
      </c>
      <c r="W302" s="2">
        <f t="shared" si="122"/>
        <v>0</v>
      </c>
      <c r="X302" s="2">
        <f t="shared" si="122"/>
        <v>0</v>
      </c>
      <c r="Y302" s="2">
        <f t="shared" si="122"/>
        <v>0</v>
      </c>
      <c r="Z302" s="2">
        <f t="shared" si="122"/>
        <v>0</v>
      </c>
      <c r="AA302" s="2">
        <f t="shared" si="122"/>
        <v>0</v>
      </c>
    </row>
    <row r="303" spans="4:28" customFormat="1" x14ac:dyDescent="0.25">
      <c r="E303" t="s">
        <v>11</v>
      </c>
      <c r="F303" t="s">
        <v>7</v>
      </c>
      <c r="G303" s="2">
        <f t="shared" si="122"/>
        <v>0</v>
      </c>
      <c r="H303" s="2">
        <f t="shared" si="122"/>
        <v>6182225.9834038224</v>
      </c>
      <c r="I303" s="2">
        <f t="shared" si="122"/>
        <v>11995790.371626098</v>
      </c>
      <c r="J303" s="2">
        <f t="shared" si="122"/>
        <v>18050339.664931763</v>
      </c>
      <c r="K303" s="2">
        <f t="shared" si="122"/>
        <v>23862148.984883003</v>
      </c>
      <c r="L303" s="2">
        <f t="shared" si="122"/>
        <v>29434925.431030251</v>
      </c>
      <c r="M303" s="2">
        <f t="shared" si="122"/>
        <v>34761099.634969912</v>
      </c>
      <c r="N303" s="2">
        <f t="shared" si="122"/>
        <v>39853053.565400161</v>
      </c>
      <c r="O303" s="2">
        <f t="shared" si="122"/>
        <v>44714011.691100597</v>
      </c>
      <c r="P303" s="2">
        <f t="shared" si="122"/>
        <v>49721988.340728059</v>
      </c>
      <c r="Q303" s="2">
        <f t="shared" si="122"/>
        <v>54874142.127276734</v>
      </c>
      <c r="R303" s="2">
        <f t="shared" si="122"/>
        <v>60466460.73169291</v>
      </c>
      <c r="S303" s="2">
        <f t="shared" si="122"/>
        <v>66548323.248618223</v>
      </c>
      <c r="T303" s="2">
        <f t="shared" si="122"/>
        <v>73138773.863265544</v>
      </c>
      <c r="U303" s="2">
        <f t="shared" si="122"/>
        <v>79936734.338239014</v>
      </c>
      <c r="V303" s="2">
        <f t="shared" si="122"/>
        <v>86960520.226442367</v>
      </c>
      <c r="W303" s="2">
        <f t="shared" si="122"/>
        <v>88786691.151197642</v>
      </c>
      <c r="X303" s="2">
        <f t="shared" si="122"/>
        <v>90651211.665372789</v>
      </c>
      <c r="Y303" s="2">
        <f t="shared" si="122"/>
        <v>92554887.110345602</v>
      </c>
      <c r="Z303" s="2">
        <f t="shared" si="122"/>
        <v>94498539.739662856</v>
      </c>
      <c r="AA303" s="2">
        <f t="shared" si="122"/>
        <v>96483009.074195772</v>
      </c>
      <c r="AB303" s="2">
        <f t="shared" ref="AB303:AB307" si="123">IF(V303=0,0,IF($G$15&gt;(AA303/V303)^(1/5)-1+2%,AA303*(AA303/V303)^(1/5)/($G$15-((AA303/V303)^(1/5)-1)),AA303*(1+$G$14)/$G$16))</f>
        <v>3216100302.4731989</v>
      </c>
    </row>
    <row r="304" spans="4:28" customFormat="1" x14ac:dyDescent="0.25">
      <c r="E304" t="s">
        <v>57</v>
      </c>
      <c r="F304" t="s">
        <v>7</v>
      </c>
      <c r="G304" s="2">
        <f t="shared" si="122"/>
        <v>0</v>
      </c>
      <c r="H304" s="2">
        <f t="shared" si="122"/>
        <v>-4081304.5861971751</v>
      </c>
      <c r="I304" s="2">
        <f t="shared" si="122"/>
        <v>-8124453.3182916604</v>
      </c>
      <c r="J304" s="2">
        <f t="shared" si="122"/>
        <v>-12199213.412921648</v>
      </c>
      <c r="K304" s="2">
        <f t="shared" si="122"/>
        <v>-16078452.883336719</v>
      </c>
      <c r="L304" s="2">
        <f t="shared" si="122"/>
        <v>-19769297.856755786</v>
      </c>
      <c r="M304" s="2">
        <f t="shared" si="122"/>
        <v>-23272672.93213268</v>
      </c>
      <c r="N304" s="2">
        <f t="shared" si="122"/>
        <v>-26592500.398821432</v>
      </c>
      <c r="O304" s="2">
        <f t="shared" si="122"/>
        <v>-29731751.2251908</v>
      </c>
      <c r="P304" s="2">
        <f t="shared" si="122"/>
        <v>-32933959.355104275</v>
      </c>
      <c r="Q304" s="2">
        <f t="shared" si="122"/>
        <v>-36187705.326668009</v>
      </c>
      <c r="R304" s="2">
        <f t="shared" si="122"/>
        <v>-39717092.654547654</v>
      </c>
      <c r="S304" s="2">
        <f t="shared" si="122"/>
        <v>-43549830.841256797</v>
      </c>
      <c r="T304" s="2">
        <f t="shared" si="122"/>
        <v>-47704218.710662022</v>
      </c>
      <c r="U304" s="2">
        <f t="shared" si="122"/>
        <v>-51990689.053647444</v>
      </c>
      <c r="V304" s="2">
        <f t="shared" si="122"/>
        <v>-56415111.355761826</v>
      </c>
      <c r="W304" s="2">
        <f t="shared" si="122"/>
        <v>-57599828.694232821</v>
      </c>
      <c r="X304" s="2">
        <f t="shared" si="122"/>
        <v>-58809425.096811704</v>
      </c>
      <c r="Y304" s="2">
        <f t="shared" si="122"/>
        <v>-60044423.023844734</v>
      </c>
      <c r="Z304" s="2">
        <f t="shared" si="122"/>
        <v>-61305355.907345481</v>
      </c>
      <c r="AA304" s="2">
        <f t="shared" si="122"/>
        <v>-62592768.381399721</v>
      </c>
      <c r="AB304" s="2">
        <f t="shared" si="123"/>
        <v>-2086425612.7133284</v>
      </c>
    </row>
    <row r="305" spans="1:28" x14ac:dyDescent="0.25">
      <c r="E305" t="s">
        <v>10</v>
      </c>
      <c r="F305" t="s">
        <v>7</v>
      </c>
      <c r="G305" s="2">
        <f t="shared" si="122"/>
        <v>0</v>
      </c>
      <c r="H305" s="2">
        <f t="shared" si="122"/>
        <v>-1160913.7559999998</v>
      </c>
      <c r="I305" s="2">
        <f t="shared" si="122"/>
        <v>-2308076.9576279996</v>
      </c>
      <c r="J305" s="2">
        <f t="shared" si="122"/>
        <v>-3459871.9243186354</v>
      </c>
      <c r="K305" s="2">
        <f t="shared" si="122"/>
        <v>-4558048.289795775</v>
      </c>
      <c r="L305" s="2">
        <f t="shared" si="122"/>
        <v>-5601671.9148991657</v>
      </c>
      <c r="M305" s="2">
        <f t="shared" si="122"/>
        <v>-6591257.337242173</v>
      </c>
      <c r="N305" s="2">
        <f t="shared" si="122"/>
        <v>-7527731.2622023439</v>
      </c>
      <c r="O305" s="2">
        <f t="shared" si="122"/>
        <v>-8411969.3701764047</v>
      </c>
      <c r="P305" s="2">
        <f t="shared" si="122"/>
        <v>-9312542.4398737326</v>
      </c>
      <c r="Q305" s="2">
        <f t="shared" si="122"/>
        <v>-10225814.962772934</v>
      </c>
      <c r="R305" s="2">
        <f t="shared" si="122"/>
        <v>-11216350.998220688</v>
      </c>
      <c r="S305" s="2">
        <f t="shared" si="122"/>
        <v>-12291772.808528552</v>
      </c>
      <c r="T305" s="2">
        <f t="shared" si="122"/>
        <v>-13457496.930970971</v>
      </c>
      <c r="U305" s="2">
        <f t="shared" si="122"/>
        <v>-14660340.612795902</v>
      </c>
      <c r="V305" s="2">
        <f t="shared" si="122"/>
        <v>-15901696.639972519</v>
      </c>
      <c r="W305" s="2">
        <f t="shared" si="122"/>
        <v>-16235632.26941194</v>
      </c>
      <c r="X305" s="2">
        <f t="shared" si="122"/>
        <v>-16576580.547069591</v>
      </c>
      <c r="Y305" s="2">
        <f t="shared" si="122"/>
        <v>-16924688.73855805</v>
      </c>
      <c r="Z305" s="2">
        <f t="shared" si="122"/>
        <v>-17280107.202067766</v>
      </c>
      <c r="AA305" s="2">
        <f t="shared" si="122"/>
        <v>-17642989.45331119</v>
      </c>
      <c r="AB305" s="2">
        <f t="shared" si="123"/>
        <v>-588099648.44370759</v>
      </c>
    </row>
    <row r="306" spans="1:28" x14ac:dyDescent="0.25">
      <c r="E306" t="s">
        <v>48</v>
      </c>
      <c r="F306" t="s">
        <v>7</v>
      </c>
      <c r="G306" s="2">
        <f t="shared" si="122"/>
        <v>0</v>
      </c>
      <c r="H306" s="2">
        <f t="shared" si="122"/>
        <v>0</v>
      </c>
      <c r="I306" s="2">
        <f t="shared" si="122"/>
        <v>0</v>
      </c>
      <c r="J306" s="2">
        <f t="shared" si="122"/>
        <v>0</v>
      </c>
      <c r="K306" s="2">
        <f t="shared" si="122"/>
        <v>0</v>
      </c>
      <c r="L306" s="2">
        <f t="shared" si="122"/>
        <v>0</v>
      </c>
      <c r="M306" s="2">
        <f t="shared" si="122"/>
        <v>0</v>
      </c>
      <c r="N306" s="2">
        <f t="shared" si="122"/>
        <v>0</v>
      </c>
      <c r="O306" s="2">
        <f t="shared" si="122"/>
        <v>0</v>
      </c>
      <c r="P306" s="2">
        <f t="shared" si="122"/>
        <v>0</v>
      </c>
      <c r="Q306" s="2">
        <f t="shared" si="122"/>
        <v>0</v>
      </c>
      <c r="R306" s="2">
        <f t="shared" si="122"/>
        <v>0</v>
      </c>
      <c r="S306" s="2">
        <f t="shared" si="122"/>
        <v>0</v>
      </c>
      <c r="T306" s="2">
        <f t="shared" si="122"/>
        <v>0</v>
      </c>
      <c r="U306" s="2">
        <f t="shared" si="122"/>
        <v>0</v>
      </c>
      <c r="V306" s="2">
        <f t="shared" si="122"/>
        <v>0</v>
      </c>
      <c r="W306" s="2">
        <f t="shared" si="122"/>
        <v>0</v>
      </c>
      <c r="X306" s="2">
        <f t="shared" si="122"/>
        <v>0</v>
      </c>
      <c r="Y306" s="2">
        <f t="shared" si="122"/>
        <v>0</v>
      </c>
      <c r="Z306" s="2">
        <f t="shared" si="122"/>
        <v>0</v>
      </c>
      <c r="AA306" s="2">
        <f t="shared" si="122"/>
        <v>0</v>
      </c>
      <c r="AB306" s="2">
        <f t="shared" si="123"/>
        <v>0</v>
      </c>
    </row>
    <row r="307" spans="1:28" x14ac:dyDescent="0.25">
      <c r="E307" t="s">
        <v>49</v>
      </c>
      <c r="F307" t="s">
        <v>7</v>
      </c>
      <c r="G307" s="2">
        <f t="shared" si="122"/>
        <v>0</v>
      </c>
      <c r="H307" s="2">
        <f t="shared" si="122"/>
        <v>0</v>
      </c>
      <c r="I307" s="2">
        <f t="shared" si="122"/>
        <v>0</v>
      </c>
      <c r="J307" s="2">
        <f t="shared" si="122"/>
        <v>0</v>
      </c>
      <c r="K307" s="2">
        <f t="shared" si="122"/>
        <v>0</v>
      </c>
      <c r="L307" s="2">
        <f t="shared" si="122"/>
        <v>0</v>
      </c>
      <c r="M307" s="2">
        <f t="shared" si="122"/>
        <v>0</v>
      </c>
      <c r="N307" s="2">
        <f t="shared" si="122"/>
        <v>0</v>
      </c>
      <c r="O307" s="2">
        <f t="shared" si="122"/>
        <v>0</v>
      </c>
      <c r="P307" s="2">
        <f t="shared" si="122"/>
        <v>0</v>
      </c>
      <c r="Q307" s="2">
        <f t="shared" si="122"/>
        <v>0</v>
      </c>
      <c r="R307" s="2">
        <f t="shared" si="122"/>
        <v>0</v>
      </c>
      <c r="S307" s="2">
        <f t="shared" si="122"/>
        <v>0</v>
      </c>
      <c r="T307" s="2">
        <f t="shared" si="122"/>
        <v>0</v>
      </c>
      <c r="U307" s="2">
        <f t="shared" si="122"/>
        <v>0</v>
      </c>
      <c r="V307" s="2">
        <f t="shared" si="122"/>
        <v>0</v>
      </c>
      <c r="W307" s="2">
        <f t="shared" si="122"/>
        <v>0</v>
      </c>
      <c r="X307" s="2">
        <f t="shared" si="122"/>
        <v>0</v>
      </c>
      <c r="Y307" s="2">
        <f t="shared" si="122"/>
        <v>0</v>
      </c>
      <c r="Z307" s="2">
        <f t="shared" si="122"/>
        <v>0</v>
      </c>
      <c r="AA307" s="2">
        <f t="shared" si="122"/>
        <v>0</v>
      </c>
      <c r="AB307" s="2">
        <f t="shared" si="123"/>
        <v>0</v>
      </c>
    </row>
    <row r="308" spans="1:28" x14ac:dyDescent="0.25">
      <c r="E308" t="s">
        <v>20</v>
      </c>
      <c r="F308" t="s">
        <v>7</v>
      </c>
      <c r="G308" s="2">
        <f t="shared" ref="G308:AA308" ca="1" si="124">G297</f>
        <v>328893.00883130985</v>
      </c>
      <c r="H308" s="2">
        <f t="shared" ca="1" si="124"/>
        <v>-16938141.517153416</v>
      </c>
      <c r="I308" s="2">
        <f t="shared" ca="1" si="124"/>
        <v>-16706705.574971186</v>
      </c>
      <c r="J308" s="2">
        <f t="shared" ca="1" si="124"/>
        <v>-16712279.033988617</v>
      </c>
      <c r="K308" s="2">
        <f t="shared" ca="1" si="124"/>
        <v>-16187492.201382095</v>
      </c>
      <c r="L308" s="2">
        <f t="shared" ca="1" si="124"/>
        <v>-15679117.030430946</v>
      </c>
      <c r="M308" s="2">
        <f t="shared" ca="1" si="124"/>
        <v>-15177257.999609439</v>
      </c>
      <c r="N308" s="2">
        <f t="shared" ca="1" si="124"/>
        <v>-14725509.585547689</v>
      </c>
      <c r="O308" s="2">
        <f t="shared" ca="1" si="124"/>
        <v>-14301603.156818684</v>
      </c>
      <c r="P308" s="2">
        <f t="shared" ca="1" si="124"/>
        <v>-14542843.443549871</v>
      </c>
      <c r="Q308" s="2">
        <f t="shared" ca="1" si="124"/>
        <v>-14772715.88955475</v>
      </c>
      <c r="R308" s="2">
        <f t="shared" ca="1" si="124"/>
        <v>-15616274.909984877</v>
      </c>
      <c r="S308" s="2">
        <f t="shared" ca="1" si="124"/>
        <v>-16540273.066939397</v>
      </c>
      <c r="T308" s="2">
        <f t="shared" ca="1" si="124"/>
        <v>-17521471.966849606</v>
      </c>
      <c r="U308" s="2">
        <f t="shared" ca="1" si="124"/>
        <v>-18007202.664983723</v>
      </c>
      <c r="V308" s="2">
        <f t="shared" ca="1" si="124"/>
        <v>-18513355.752545126</v>
      </c>
      <c r="W308" s="2">
        <f t="shared" ca="1" si="124"/>
        <v>-1249307.102525749</v>
      </c>
      <c r="X308" s="2">
        <f t="shared" ca="1" si="124"/>
        <v>-1233267.0276095916</v>
      </c>
      <c r="Y308" s="2">
        <f t="shared" ca="1" si="124"/>
        <v>-1216941.4031327683</v>
      </c>
      <c r="Z308" s="2">
        <f t="shared" ca="1" si="124"/>
        <v>-1200279.0623208694</v>
      </c>
      <c r="AA308" s="2">
        <f t="shared" ca="1" si="124"/>
        <v>-1183232.1595660022</v>
      </c>
      <c r="AB308" s="2">
        <f ca="1">IF(V308=0,0,IF($G$15&gt;(AA308/V308)^(1/5)-1+2%,AA308*(AA308/V308)^(1/5)/($G$15-((AA308/V308)^(1/5)-1)),AA308*(1+$G$14)/$G$16))</f>
        <v>-1438004.3898405698</v>
      </c>
    </row>
    <row r="309" spans="1:28" x14ac:dyDescent="0.25">
      <c r="E309" t="s">
        <v>173</v>
      </c>
      <c r="F309" t="s">
        <v>7</v>
      </c>
      <c r="G309" s="2">
        <f ca="1">-$G$17*G308</f>
        <v>-164446.50441565493</v>
      </c>
      <c r="H309" s="2">
        <f t="shared" ref="H309:AA309" ca="1" si="125">-$G$17*H308</f>
        <v>8469070.7585767079</v>
      </c>
      <c r="I309" s="2">
        <f t="shared" ca="1" si="125"/>
        <v>8353352.787485593</v>
      </c>
      <c r="J309" s="2">
        <f t="shared" ca="1" si="125"/>
        <v>8356139.5169943087</v>
      </c>
      <c r="K309" s="2">
        <f t="shared" ca="1" si="125"/>
        <v>8093746.1006910475</v>
      </c>
      <c r="L309" s="2">
        <f t="shared" ca="1" si="125"/>
        <v>7839558.5152154732</v>
      </c>
      <c r="M309" s="2">
        <f t="shared" ca="1" si="125"/>
        <v>7588628.9998047194</v>
      </c>
      <c r="N309" s="2">
        <f t="shared" ca="1" si="125"/>
        <v>7362754.7927738447</v>
      </c>
      <c r="O309" s="2">
        <f t="shared" ca="1" si="125"/>
        <v>7150801.5784093421</v>
      </c>
      <c r="P309" s="2">
        <f t="shared" ca="1" si="125"/>
        <v>7271421.7217749357</v>
      </c>
      <c r="Q309" s="2">
        <f t="shared" ca="1" si="125"/>
        <v>7386357.9447773751</v>
      </c>
      <c r="R309" s="2">
        <f t="shared" ca="1" si="125"/>
        <v>7808137.4549924387</v>
      </c>
      <c r="S309" s="2">
        <f t="shared" ca="1" si="125"/>
        <v>8270136.5334696984</v>
      </c>
      <c r="T309" s="2">
        <f t="shared" ca="1" si="125"/>
        <v>8760735.9834248032</v>
      </c>
      <c r="U309" s="2">
        <f t="shared" ca="1" si="125"/>
        <v>9003601.3324918617</v>
      </c>
      <c r="V309" s="2">
        <f t="shared" ca="1" si="125"/>
        <v>9256677.8762725629</v>
      </c>
      <c r="W309" s="2">
        <f t="shared" ca="1" si="125"/>
        <v>624653.55126287451</v>
      </c>
      <c r="X309" s="2">
        <f t="shared" ca="1" si="125"/>
        <v>616633.5138047958</v>
      </c>
      <c r="Y309" s="2">
        <f t="shared" ca="1" si="125"/>
        <v>608470.70156638417</v>
      </c>
      <c r="Z309" s="2">
        <f t="shared" ca="1" si="125"/>
        <v>600139.53116043471</v>
      </c>
      <c r="AA309" s="2">
        <f t="shared" ca="1" si="125"/>
        <v>591616.0797830011</v>
      </c>
      <c r="AB309" s="2">
        <f t="shared" ref="AB309" ca="1" si="126">IF(V309=0,0,IF($G$15&gt;(AA309/V309)^(1/5)-1+2%,AA309*(AA309/V309)^(1/5)/($G$15-((AA309/V309)^(1/5)-1)),AA309*(1+$G$14)/$G$16))</f>
        <v>719002.19492028491</v>
      </c>
    </row>
    <row r="310" spans="1:28" x14ac:dyDescent="0.25">
      <c r="E310" t="s">
        <v>23</v>
      </c>
      <c r="F310" t="s">
        <v>7</v>
      </c>
      <c r="G310" s="2">
        <f t="shared" ref="G310:AB310" ca="1" si="127">SUM(G300:G309)</f>
        <v>-98503456.144977316</v>
      </c>
      <c r="H310" s="2">
        <f t="shared" ca="1" si="127"/>
        <v>-24140409.171359025</v>
      </c>
      <c r="I310" s="2">
        <f t="shared" ca="1" si="127"/>
        <v>-33223133.181384996</v>
      </c>
      <c r="J310" s="2">
        <f t="shared" ca="1" si="127"/>
        <v>-32765954.455970753</v>
      </c>
      <c r="K310" s="2">
        <f t="shared" ca="1" si="127"/>
        <v>-33391748.920926604</v>
      </c>
      <c r="L310" s="2">
        <f t="shared" ca="1" si="127"/>
        <v>-31532901.724853769</v>
      </c>
      <c r="M310" s="2">
        <f t="shared" ca="1" si="127"/>
        <v>-35865184.308469005</v>
      </c>
      <c r="N310" s="2">
        <f t="shared" ca="1" si="127"/>
        <v>-28884565.934079945</v>
      </c>
      <c r="O310" s="2">
        <f t="shared" ca="1" si="127"/>
        <v>-28304277.358020917</v>
      </c>
      <c r="P310" s="2">
        <f t="shared" ca="1" si="127"/>
        <v>-27611726.121819742</v>
      </c>
      <c r="Q310" s="2">
        <f t="shared" ca="1" si="127"/>
        <v>-27533358.522101693</v>
      </c>
      <c r="R310" s="2">
        <f t="shared" ca="1" si="127"/>
        <v>-27520926.249026563</v>
      </c>
      <c r="S310" s="2">
        <f t="shared" ca="1" si="127"/>
        <v>-27437320.439959392</v>
      </c>
      <c r="T310" s="2">
        <f t="shared" ca="1" si="127"/>
        <v>-27209825.935977779</v>
      </c>
      <c r="U310" s="2">
        <f t="shared" ca="1" si="127"/>
        <v>-26727176.849307954</v>
      </c>
      <c r="V310" s="2">
        <f t="shared" ca="1" si="127"/>
        <v>-26323577.759470474</v>
      </c>
      <c r="W310" s="2">
        <f t="shared" ca="1" si="127"/>
        <v>-18072864.925748184</v>
      </c>
      <c r="X310" s="2">
        <f t="shared" ca="1" si="127"/>
        <v>-18421275.021635752</v>
      </c>
      <c r="Y310" s="2">
        <f t="shared" ca="1" si="127"/>
        <v>-18771622.077289835</v>
      </c>
      <c r="Z310" s="2">
        <f t="shared" ca="1" si="127"/>
        <v>-19142880.552091517</v>
      </c>
      <c r="AA310" s="2">
        <f t="shared" ca="1" si="127"/>
        <v>-19534150.497931097</v>
      </c>
      <c r="AB310" s="2">
        <f t="shared" ca="1" si="127"/>
        <v>540856039.12124264</v>
      </c>
    </row>
    <row r="311" spans="1:28" x14ac:dyDescent="0.25">
      <c r="E311" t="s">
        <v>31</v>
      </c>
      <c r="F311" t="s">
        <v>7</v>
      </c>
      <c r="G311" s="2">
        <f ca="1">NPV($G$15,H310:AB310)+G310</f>
        <v>-252032830.07675731</v>
      </c>
    </row>
    <row r="313" spans="1:28" x14ac:dyDescent="0.25">
      <c r="E313" t="s">
        <v>13</v>
      </c>
      <c r="F313" t="s">
        <v>7</v>
      </c>
      <c r="G313" s="2">
        <f t="shared" ref="G313:AA313" ca="1" si="128">G285</f>
        <v>0</v>
      </c>
      <c r="H313" s="2">
        <f t="shared" ca="1" si="128"/>
        <v>21555278.83489788</v>
      </c>
      <c r="I313" s="2">
        <f t="shared" ca="1" si="128"/>
        <v>22007939.690430734</v>
      </c>
      <c r="J313" s="2">
        <f t="shared" ca="1" si="128"/>
        <v>22470106.423929777</v>
      </c>
      <c r="K313" s="2">
        <f t="shared" ca="1" si="128"/>
        <v>22941978.6588323</v>
      </c>
      <c r="L313" s="2">
        <f t="shared" ca="1" si="128"/>
        <v>23423760.210667778</v>
      </c>
      <c r="M313" s="2">
        <f t="shared" ca="1" si="128"/>
        <v>23915659.175091799</v>
      </c>
      <c r="N313" s="2">
        <f t="shared" ca="1" si="128"/>
        <v>24417888.017768726</v>
      </c>
      <c r="O313" s="2">
        <f t="shared" ca="1" si="128"/>
        <v>24930663.666141868</v>
      </c>
      <c r="P313" s="2">
        <f t="shared" ca="1" si="128"/>
        <v>25454207.603130843</v>
      </c>
      <c r="Q313" s="2">
        <f t="shared" ca="1" si="128"/>
        <v>25988745.962796587</v>
      </c>
      <c r="R313" s="2">
        <f t="shared" ca="1" si="128"/>
        <v>26534509.628015313</v>
      </c>
      <c r="S313" s="2">
        <f t="shared" ca="1" si="128"/>
        <v>27091734.330203634</v>
      </c>
      <c r="T313" s="2">
        <f t="shared" ca="1" si="128"/>
        <v>27660660.751137909</v>
      </c>
      <c r="U313" s="2">
        <f t="shared" ca="1" si="128"/>
        <v>28241534.6269118</v>
      </c>
      <c r="V313" s="2">
        <f t="shared" ca="1" si="128"/>
        <v>28834606.854076944</v>
      </c>
      <c r="W313" s="2">
        <f t="shared" ca="1" si="128"/>
        <v>0</v>
      </c>
      <c r="X313" s="2">
        <f t="shared" ca="1" si="128"/>
        <v>0</v>
      </c>
      <c r="Y313" s="2">
        <f t="shared" ca="1" si="128"/>
        <v>0</v>
      </c>
      <c r="Z313" s="2">
        <f t="shared" ca="1" si="128"/>
        <v>0</v>
      </c>
      <c r="AA313" s="2">
        <f t="shared" ca="1" si="128"/>
        <v>0</v>
      </c>
    </row>
    <row r="314" spans="1:28" x14ac:dyDescent="0.25">
      <c r="E314" t="s">
        <v>24</v>
      </c>
      <c r="F314" t="s">
        <v>7</v>
      </c>
      <c r="G314">
        <f ca="1">NPV($G$15,H313:AA313)+G313</f>
        <v>252032830.07675749</v>
      </c>
    </row>
    <row r="315" spans="1:28" x14ac:dyDescent="0.25">
      <c r="E315" s="3" t="s">
        <v>34</v>
      </c>
      <c r="F315" s="3"/>
      <c r="G315" s="4" t="str">
        <f ca="1">IF(G311&gt;0,"N/A",IF(ABS(G311+G314)&gt;1,"Error","OK"))</f>
        <v>OK</v>
      </c>
    </row>
    <row r="318" spans="1:28" x14ac:dyDescent="0.25">
      <c r="C318" s="1" t="s">
        <v>110</v>
      </c>
    </row>
    <row r="319" spans="1:28" x14ac:dyDescent="0.25">
      <c r="E319" t="s">
        <v>116</v>
      </c>
      <c r="F319" t="s">
        <v>117</v>
      </c>
    </row>
    <row r="320" spans="1:28" x14ac:dyDescent="0.25">
      <c r="A320" s="14">
        <f>'Notes &amp; Assumptions'!A68</f>
        <v>55</v>
      </c>
      <c r="E320" s="19" t="s">
        <v>111</v>
      </c>
      <c r="F320" s="19" t="s">
        <v>119</v>
      </c>
    </row>
    <row r="321" spans="5:6" customFormat="1" x14ac:dyDescent="0.25">
      <c r="E321" s="19" t="s">
        <v>112</v>
      </c>
      <c r="F321" s="19" t="s">
        <v>120</v>
      </c>
    </row>
    <row r="322" spans="5:6" customFormat="1" x14ac:dyDescent="0.25">
      <c r="E322" s="19" t="s">
        <v>113</v>
      </c>
      <c r="F322" s="19" t="s">
        <v>121</v>
      </c>
    </row>
  </sheetData>
  <mergeCells count="1">
    <mergeCell ref="G4:H4"/>
  </mergeCells>
  <dataValidations count="1">
    <dataValidation type="list" showInputMessage="1" showErrorMessage="1" sqref="G4" xr:uid="{43678F65-1B9A-4877-801D-EF25BC7D9228}">
      <formula1>$E$320:$E$322</formula1>
    </dataValidation>
  </dataValidation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0C91FF-52BE-47DD-A78C-A16C3BC28669}">
  <dimension ref="A2:AC322"/>
  <sheetViews>
    <sheetView topLeftCell="A55" workbookViewId="0">
      <selection activeCell="H37" sqref="H37"/>
    </sheetView>
  </sheetViews>
  <sheetFormatPr defaultColWidth="11" defaultRowHeight="15.75" x14ac:dyDescent="0.25"/>
  <cols>
    <col min="1" max="1" width="7.625" style="14" customWidth="1"/>
    <col min="2" max="2" width="3.125" customWidth="1"/>
    <col min="3" max="3" width="3.375" customWidth="1"/>
    <col min="4" max="4" width="2.875" customWidth="1"/>
    <col min="5" max="5" width="36.5" bestFit="1" customWidth="1"/>
    <col min="6" max="6" width="17.5" customWidth="1"/>
    <col min="7" max="27" width="15.625" customWidth="1"/>
    <col min="28" max="28" width="11.125" customWidth="1"/>
  </cols>
  <sheetData>
    <row r="2" spans="1:27" x14ac:dyDescent="0.25">
      <c r="C2" s="1" t="s">
        <v>0</v>
      </c>
      <c r="D2" s="1"/>
      <c r="G2">
        <v>0</v>
      </c>
      <c r="H2">
        <v>1</v>
      </c>
      <c r="I2">
        <v>2</v>
      </c>
      <c r="J2">
        <v>3</v>
      </c>
      <c r="K2">
        <v>4</v>
      </c>
      <c r="L2">
        <v>5</v>
      </c>
      <c r="M2">
        <v>6</v>
      </c>
      <c r="N2">
        <v>7</v>
      </c>
      <c r="O2">
        <v>8</v>
      </c>
      <c r="P2">
        <v>9</v>
      </c>
      <c r="Q2">
        <v>10</v>
      </c>
      <c r="R2">
        <v>11</v>
      </c>
      <c r="S2">
        <v>12</v>
      </c>
      <c r="T2">
        <v>13</v>
      </c>
      <c r="U2">
        <v>14</v>
      </c>
      <c r="V2">
        <v>15</v>
      </c>
      <c r="W2">
        <v>16</v>
      </c>
      <c r="X2">
        <v>17</v>
      </c>
      <c r="Y2">
        <v>18</v>
      </c>
      <c r="Z2">
        <v>19</v>
      </c>
      <c r="AA2">
        <v>20</v>
      </c>
    </row>
    <row r="4" spans="1:27" x14ac:dyDescent="0.25">
      <c r="A4" s="14">
        <f>'Notes &amp; Assumptions'!A14</f>
        <v>1</v>
      </c>
      <c r="C4" s="1" t="s">
        <v>114</v>
      </c>
      <c r="F4" t="s">
        <v>115</v>
      </c>
      <c r="G4" s="368" t="s">
        <v>111</v>
      </c>
      <c r="H4" s="368"/>
    </row>
    <row r="6" spans="1:27" x14ac:dyDescent="0.25">
      <c r="C6" s="1" t="s">
        <v>126</v>
      </c>
    </row>
    <row r="7" spans="1:27" x14ac:dyDescent="0.25">
      <c r="A7" s="14">
        <f>'Notes &amp; Assumptions'!A15</f>
        <v>2</v>
      </c>
      <c r="E7" s="10" t="s">
        <v>309</v>
      </c>
      <c r="F7" t="s">
        <v>145</v>
      </c>
      <c r="G7" s="10">
        <v>90</v>
      </c>
    </row>
    <row r="8" spans="1:27" x14ac:dyDescent="0.25">
      <c r="A8" s="14">
        <f>'Notes &amp; Assumptions'!A16</f>
        <v>3</v>
      </c>
      <c r="E8" s="10" t="s">
        <v>129</v>
      </c>
      <c r="F8" t="s">
        <v>145</v>
      </c>
      <c r="G8" s="10">
        <v>25</v>
      </c>
    </row>
    <row r="9" spans="1:27" x14ac:dyDescent="0.25">
      <c r="A9" s="14">
        <f>'Notes &amp; Assumptions'!A17</f>
        <v>4</v>
      </c>
      <c r="E9" s="10" t="s">
        <v>130</v>
      </c>
      <c r="F9" t="s">
        <v>145</v>
      </c>
      <c r="G9" s="10">
        <v>30</v>
      </c>
    </row>
    <row r="10" spans="1:27" x14ac:dyDescent="0.25">
      <c r="A10" s="14">
        <f>'Notes &amp; Assumptions'!A18</f>
        <v>5</v>
      </c>
      <c r="E10" t="s">
        <v>127</v>
      </c>
      <c r="F10" t="s">
        <v>145</v>
      </c>
      <c r="G10" s="10">
        <v>5</v>
      </c>
    </row>
    <row r="13" spans="1:27" x14ac:dyDescent="0.25">
      <c r="C13" s="1" t="s">
        <v>92</v>
      </c>
    </row>
    <row r="14" spans="1:27" x14ac:dyDescent="0.25">
      <c r="A14" s="14">
        <f>'Notes &amp; Assumptions'!A19</f>
        <v>6</v>
      </c>
      <c r="E14" t="s">
        <v>5</v>
      </c>
      <c r="F14" t="s">
        <v>8</v>
      </c>
      <c r="G14" s="17">
        <f>'Key assumptions'!B9</f>
        <v>2.1000000000000001E-2</v>
      </c>
    </row>
    <row r="15" spans="1:27" x14ac:dyDescent="0.25">
      <c r="A15" s="14">
        <f>'Notes &amp; Assumptions'!A20</f>
        <v>7</v>
      </c>
      <c r="E15" t="s">
        <v>32</v>
      </c>
      <c r="F15" t="s">
        <v>8</v>
      </c>
      <c r="G15" s="17">
        <f>'Key assumptions'!B8</f>
        <v>5.1629999999999843E-2</v>
      </c>
    </row>
    <row r="16" spans="1:27" x14ac:dyDescent="0.25">
      <c r="E16" t="s">
        <v>30</v>
      </c>
      <c r="F16" t="s">
        <v>8</v>
      </c>
      <c r="G16" s="18">
        <f>(1+G15)/(1+G14)-1</f>
        <v>3.0000000000000027E-2</v>
      </c>
    </row>
    <row r="17" spans="1:27" x14ac:dyDescent="0.25">
      <c r="E17" t="s">
        <v>171</v>
      </c>
      <c r="F17" t="s">
        <v>8</v>
      </c>
      <c r="G17" s="11">
        <v>0.5</v>
      </c>
    </row>
    <row r="18" spans="1:27" x14ac:dyDescent="0.25">
      <c r="A18" s="14">
        <f>'Notes &amp; Assumptions'!A22</f>
        <v>9</v>
      </c>
      <c r="E18" t="s">
        <v>16</v>
      </c>
      <c r="F18" t="s">
        <v>8</v>
      </c>
      <c r="G18" s="11">
        <v>0.3</v>
      </c>
      <c r="H18" s="11">
        <v>0.3</v>
      </c>
      <c r="I18" s="11">
        <v>0.3</v>
      </c>
      <c r="J18" s="11">
        <v>0.3</v>
      </c>
      <c r="K18" s="11">
        <v>0.3</v>
      </c>
      <c r="L18" s="11">
        <v>0.3</v>
      </c>
      <c r="M18" s="11">
        <v>0.3</v>
      </c>
      <c r="N18" s="11">
        <v>0.3</v>
      </c>
      <c r="O18" s="11">
        <v>0.3</v>
      </c>
      <c r="P18" s="11">
        <v>0.3</v>
      </c>
      <c r="Q18" s="11">
        <v>0.3</v>
      </c>
      <c r="R18" s="11">
        <v>0.3</v>
      </c>
      <c r="S18" s="11">
        <v>0.3</v>
      </c>
      <c r="T18" s="11">
        <v>0.3</v>
      </c>
      <c r="U18" s="11">
        <v>0.3</v>
      </c>
      <c r="V18" s="11">
        <v>0.3</v>
      </c>
      <c r="W18" s="11">
        <v>0.3</v>
      </c>
      <c r="X18" s="11">
        <v>0.3</v>
      </c>
      <c r="Y18" s="11">
        <v>0.3</v>
      </c>
      <c r="Z18" s="11">
        <v>0.3</v>
      </c>
      <c r="AA18" s="11">
        <v>0.3</v>
      </c>
    </row>
    <row r="20" spans="1:27" x14ac:dyDescent="0.25">
      <c r="A20" s="14">
        <f>'Notes &amp; Assumptions'!A23</f>
        <v>10</v>
      </c>
      <c r="C20" s="1" t="s">
        <v>1</v>
      </c>
      <c r="D20" s="1"/>
    </row>
    <row r="21" spans="1:27" x14ac:dyDescent="0.25">
      <c r="E21" s="2" t="str">
        <f>E7</f>
        <v>Average asset life for all growth assets</v>
      </c>
      <c r="F21" t="s">
        <v>7</v>
      </c>
      <c r="G21" s="43">
        <f>'Net infill capex water - 13-14'!W33*1000000</f>
        <v>50299173.078932755</v>
      </c>
      <c r="H21" s="10">
        <f>'Forecast capex'!J76*1000*(1+$G$14)^H2+'Renewal capex'!H57</f>
        <v>16611346.053988967</v>
      </c>
      <c r="I21" s="10">
        <f ca="1">'Forecast capex'!K76*1000*(1+$G$14)^I2+'Renewal capex'!I57</f>
        <v>26433040.489605837</v>
      </c>
      <c r="J21" s="10">
        <f ca="1">'Forecast capex'!L76*1000*(1+$G$14)^J2+'Renewal capex'!J57</f>
        <v>26801069.266667921</v>
      </c>
      <c r="K21" s="10">
        <f ca="1">'Forecast capex'!M76*1000*(1+$G$14)^K2+'Renewal capex'!K57</f>
        <v>28523650.631986063</v>
      </c>
      <c r="L21" s="10">
        <f ca="1">'Forecast capex'!N76*1000*(1+$G$14)^L2+'Renewal capex'!L57</f>
        <v>27757298.869013589</v>
      </c>
      <c r="M21" s="10">
        <f ca="1">'Forecast capex'!O76*1000*(1+$G$14)^M2+'Renewal capex'!M57</f>
        <v>33173724.674259342</v>
      </c>
      <c r="N21" s="10">
        <f ca="1">'Forecast capex'!P76*1000*(1+$G$14)^N2+'Renewal capex'!N57</f>
        <v>27254633.045682486</v>
      </c>
      <c r="O21" s="10">
        <f ca="1">'Forecast capex'!Q76*1000*(1+$G$14)^O2+'Renewal capex'!O57</f>
        <v>27723766.875344969</v>
      </c>
      <c r="P21" s="10">
        <f ca="1">'Forecast capex'!R76*1000*(1+$G$14)^P2+'Renewal capex'!P57</f>
        <v>27815790.945794858</v>
      </c>
      <c r="Q21" s="10">
        <f ca="1">'Forecast capex'!S76*1000*(1+$G$14)^Q2+'Renewal capex'!Q57</f>
        <v>28607622.415160112</v>
      </c>
      <c r="R21" s="10">
        <f ca="1">'Renewal capex'!R57</f>
        <v>29245805.87295869</v>
      </c>
      <c r="S21" s="10">
        <f ca="1">'Renewal capex'!S57</f>
        <v>29873903.505322564</v>
      </c>
      <c r="T21" s="10">
        <f ca="1">'Renewal capex'!T57</f>
        <v>30426148.174185529</v>
      </c>
      <c r="U21" s="10">
        <f ca="1">'Renewal capex'!U57</f>
        <v>31009280.188611764</v>
      </c>
      <c r="V21" s="10">
        <f ca="1">'Renewal capex'!V57</f>
        <v>31710612.11390594</v>
      </c>
      <c r="W21" s="10">
        <f ca="1">'Renewal capex'!W57</f>
        <v>32399441.562038191</v>
      </c>
      <c r="X21" s="10">
        <f ca="1">'Renewal capex'!X57</f>
        <v>33069847.529322453</v>
      </c>
      <c r="Y21" s="10">
        <f ca="1">'Renewal capex'!Y57</f>
        <v>33748926.723666266</v>
      </c>
      <c r="Z21" s="10">
        <f ca="1">'Renewal capex'!Z57</f>
        <v>34455817.651180692</v>
      </c>
      <c r="AA21" s="10">
        <f ca="1">'Renewal capex'!AA57</f>
        <v>35189785.657632954</v>
      </c>
    </row>
    <row r="22" spans="1:27" x14ac:dyDescent="0.25">
      <c r="E22" s="2" t="str">
        <f>E8</f>
        <v>Pumps</v>
      </c>
      <c r="F22" t="s">
        <v>7</v>
      </c>
      <c r="G22" s="10"/>
      <c r="H22" s="10"/>
      <c r="I22" s="10"/>
      <c r="J22" s="10"/>
      <c r="K22" s="10"/>
      <c r="L22" s="10"/>
      <c r="M22" s="10"/>
      <c r="N22" s="10"/>
      <c r="O22" s="10"/>
      <c r="P22" s="10"/>
      <c r="Q22" s="10"/>
      <c r="R22" s="10"/>
      <c r="S22" s="10"/>
      <c r="T22" s="10"/>
      <c r="U22" s="10"/>
      <c r="V22" s="10"/>
      <c r="W22" s="10"/>
      <c r="X22" s="10"/>
      <c r="Y22" s="10"/>
      <c r="Z22" s="10"/>
      <c r="AA22" s="10"/>
    </row>
    <row r="23" spans="1:27" x14ac:dyDescent="0.25">
      <c r="E23" s="2" t="str">
        <f>E9</f>
        <v>Valves and Meters</v>
      </c>
      <c r="F23" t="s">
        <v>7</v>
      </c>
      <c r="G23" s="10"/>
      <c r="H23" s="10"/>
      <c r="I23" s="10"/>
      <c r="J23" s="10"/>
      <c r="K23" s="10"/>
      <c r="L23" s="10"/>
      <c r="M23" s="10"/>
      <c r="N23" s="10"/>
      <c r="O23" s="10"/>
      <c r="P23" s="10"/>
      <c r="Q23" s="10"/>
      <c r="R23" s="10"/>
      <c r="S23" s="10"/>
      <c r="T23" s="10"/>
      <c r="U23" s="10"/>
      <c r="V23" s="10"/>
      <c r="W23" s="10"/>
      <c r="X23" s="10"/>
      <c r="Y23" s="10"/>
      <c r="Z23" s="10"/>
      <c r="AA23" s="10"/>
    </row>
    <row r="24" spans="1:27" x14ac:dyDescent="0.25">
      <c r="E24" t="s">
        <v>127</v>
      </c>
      <c r="F24" t="s">
        <v>7</v>
      </c>
      <c r="G24" s="10"/>
      <c r="H24" s="10"/>
      <c r="I24" s="10"/>
      <c r="J24" s="10"/>
      <c r="K24" s="10"/>
      <c r="L24" s="10"/>
      <c r="M24" s="10"/>
      <c r="N24" s="10"/>
      <c r="O24" s="10"/>
      <c r="P24" s="10"/>
      <c r="Q24" s="10"/>
      <c r="R24" s="10"/>
      <c r="S24" s="10"/>
      <c r="T24" s="10"/>
      <c r="U24" s="10"/>
      <c r="V24" s="10"/>
      <c r="W24" s="10"/>
      <c r="X24" s="10"/>
      <c r="Y24" s="10"/>
      <c r="Z24" s="10"/>
      <c r="AA24" s="10"/>
    </row>
    <row r="25" spans="1:27" x14ac:dyDescent="0.25">
      <c r="E25" t="s">
        <v>131</v>
      </c>
      <c r="F25" t="s">
        <v>7</v>
      </c>
      <c r="G25" s="10"/>
      <c r="H25" s="10"/>
      <c r="I25" s="10"/>
      <c r="J25" s="10"/>
      <c r="K25" s="10"/>
      <c r="L25" s="10"/>
      <c r="M25" s="10"/>
      <c r="N25" s="10"/>
      <c r="O25" s="10"/>
      <c r="P25" s="10"/>
      <c r="Q25" s="10"/>
      <c r="R25" s="10"/>
      <c r="S25" s="10"/>
      <c r="T25" s="10"/>
      <c r="U25" s="10"/>
      <c r="V25" s="10"/>
      <c r="W25" s="10"/>
      <c r="X25" s="10"/>
      <c r="Y25" s="10"/>
      <c r="Z25" s="10"/>
      <c r="AA25" s="10"/>
    </row>
    <row r="26" spans="1:27" x14ac:dyDescent="0.25">
      <c r="G26" s="2">
        <f>SUM(G21:G25)</f>
        <v>50299173.078932755</v>
      </c>
      <c r="H26" s="2">
        <f t="shared" ref="H26:AA26" si="0">SUM(H21:H25)</f>
        <v>16611346.053988967</v>
      </c>
      <c r="I26" s="2">
        <f t="shared" ca="1" si="0"/>
        <v>26433040.489605837</v>
      </c>
      <c r="J26" s="2">
        <f t="shared" ca="1" si="0"/>
        <v>26801069.266667921</v>
      </c>
      <c r="K26" s="2">
        <f t="shared" ca="1" si="0"/>
        <v>28523650.631986063</v>
      </c>
      <c r="L26" s="2">
        <f t="shared" ca="1" si="0"/>
        <v>27757298.869013589</v>
      </c>
      <c r="M26" s="2">
        <f t="shared" ca="1" si="0"/>
        <v>33173724.674259342</v>
      </c>
      <c r="N26" s="2">
        <f t="shared" ca="1" si="0"/>
        <v>27254633.045682486</v>
      </c>
      <c r="O26" s="2">
        <f t="shared" ca="1" si="0"/>
        <v>27723766.875344969</v>
      </c>
      <c r="P26" s="2">
        <f t="shared" ca="1" si="0"/>
        <v>27815790.945794858</v>
      </c>
      <c r="Q26" s="2">
        <f t="shared" ca="1" si="0"/>
        <v>28607622.415160112</v>
      </c>
      <c r="R26" s="2">
        <f t="shared" ca="1" si="0"/>
        <v>29245805.87295869</v>
      </c>
      <c r="S26" s="2">
        <f t="shared" ca="1" si="0"/>
        <v>29873903.505322564</v>
      </c>
      <c r="T26" s="2">
        <f t="shared" ca="1" si="0"/>
        <v>30426148.174185529</v>
      </c>
      <c r="U26" s="2">
        <f t="shared" ca="1" si="0"/>
        <v>31009280.188611764</v>
      </c>
      <c r="V26" s="2">
        <f t="shared" ca="1" si="0"/>
        <v>31710612.11390594</v>
      </c>
      <c r="W26" s="2">
        <f t="shared" ca="1" si="0"/>
        <v>32399441.562038191</v>
      </c>
      <c r="X26" s="2">
        <f t="shared" ca="1" si="0"/>
        <v>33069847.529322453</v>
      </c>
      <c r="Y26" s="2">
        <f t="shared" ca="1" si="0"/>
        <v>33748926.723666266</v>
      </c>
      <c r="Z26" s="2">
        <f t="shared" ca="1" si="0"/>
        <v>34455817.651180692</v>
      </c>
      <c r="AA26" s="2">
        <f t="shared" ca="1" si="0"/>
        <v>35189785.657632954</v>
      </c>
    </row>
    <row r="27" spans="1:27" x14ac:dyDescent="0.25">
      <c r="G27" s="2"/>
      <c r="H27" s="2"/>
      <c r="I27" s="2"/>
      <c r="J27" s="2"/>
      <c r="K27" s="2"/>
      <c r="L27" s="2"/>
      <c r="M27" s="2"/>
      <c r="N27" s="2"/>
      <c r="O27" s="2"/>
      <c r="P27" s="2"/>
      <c r="Q27" s="2"/>
    </row>
    <row r="28" spans="1:27" x14ac:dyDescent="0.25">
      <c r="D28" t="s">
        <v>132</v>
      </c>
      <c r="G28" s="2"/>
      <c r="H28" s="2"/>
      <c r="I28" s="2"/>
      <c r="J28" s="2"/>
      <c r="K28" s="2"/>
      <c r="L28" s="2"/>
      <c r="M28" s="2"/>
      <c r="N28" s="2"/>
      <c r="O28" s="2"/>
      <c r="P28" s="2"/>
      <c r="Q28" s="2"/>
    </row>
    <row r="29" spans="1:27" x14ac:dyDescent="0.25">
      <c r="E29" s="2" t="str">
        <f>E21</f>
        <v>Average asset life for all growth assets</v>
      </c>
      <c r="F29" t="s">
        <v>7</v>
      </c>
      <c r="G29" s="2">
        <f t="shared" ref="G29:AA32" si="1">G21/$G7+IF((G$2-$G7+1)&gt;0,-INDEX($G21:$AA21,1,(G$2-$G7+1))/$G7,0)</f>
        <v>558879.70087703061</v>
      </c>
      <c r="H29" s="2">
        <f t="shared" si="1"/>
        <v>184570.51171098853</v>
      </c>
      <c r="I29" s="2">
        <f t="shared" ca="1" si="1"/>
        <v>293700.44988450932</v>
      </c>
      <c r="J29" s="2">
        <f t="shared" ca="1" si="1"/>
        <v>297789.65851853247</v>
      </c>
      <c r="K29" s="2">
        <f t="shared" ca="1" si="1"/>
        <v>316929.45146651182</v>
      </c>
      <c r="L29" s="2">
        <f t="shared" ca="1" si="1"/>
        <v>308414.43187792879</v>
      </c>
      <c r="M29" s="2">
        <f t="shared" ca="1" si="1"/>
        <v>368596.94082510378</v>
      </c>
      <c r="N29" s="2">
        <f t="shared" ca="1" si="1"/>
        <v>302829.25606313872</v>
      </c>
      <c r="O29" s="2">
        <f t="shared" ca="1" si="1"/>
        <v>308041.85417049966</v>
      </c>
      <c r="P29" s="2">
        <f t="shared" ca="1" si="1"/>
        <v>309064.34384216508</v>
      </c>
      <c r="Q29" s="2">
        <f t="shared" ca="1" si="1"/>
        <v>317862.4712795568</v>
      </c>
      <c r="R29" s="2">
        <f t="shared" ca="1" si="1"/>
        <v>324953.3985884299</v>
      </c>
      <c r="S29" s="2">
        <f t="shared" ca="1" si="1"/>
        <v>331932.26117025071</v>
      </c>
      <c r="T29" s="2">
        <f t="shared" ca="1" si="1"/>
        <v>338068.31304650591</v>
      </c>
      <c r="U29" s="2">
        <f t="shared" ca="1" si="1"/>
        <v>344547.55765124183</v>
      </c>
      <c r="V29" s="2">
        <f t="shared" ca="1" si="1"/>
        <v>352340.13459895487</v>
      </c>
      <c r="W29" s="2">
        <f t="shared" ca="1" si="1"/>
        <v>359993.7951337577</v>
      </c>
      <c r="X29" s="2">
        <f t="shared" ca="1" si="1"/>
        <v>367442.75032580504</v>
      </c>
      <c r="Y29" s="2">
        <f t="shared" ca="1" si="1"/>
        <v>374988.07470740296</v>
      </c>
      <c r="Z29" s="2">
        <f t="shared" ca="1" si="1"/>
        <v>382842.41834645212</v>
      </c>
      <c r="AA29" s="2">
        <f t="shared" ca="1" si="1"/>
        <v>390997.61841814395</v>
      </c>
    </row>
    <row r="30" spans="1:27" x14ac:dyDescent="0.25">
      <c r="E30" s="2" t="str">
        <f t="shared" ref="E30:E32" si="2">E22</f>
        <v>Pumps</v>
      </c>
      <c r="F30" t="s">
        <v>7</v>
      </c>
      <c r="G30" s="2">
        <f t="shared" si="1"/>
        <v>0</v>
      </c>
      <c r="H30" s="2">
        <f t="shared" si="1"/>
        <v>0</v>
      </c>
      <c r="I30" s="2">
        <f t="shared" si="1"/>
        <v>0</v>
      </c>
      <c r="J30" s="2">
        <f t="shared" si="1"/>
        <v>0</v>
      </c>
      <c r="K30" s="2">
        <f t="shared" si="1"/>
        <v>0</v>
      </c>
      <c r="L30" s="2">
        <f t="shared" si="1"/>
        <v>0</v>
      </c>
      <c r="M30" s="2">
        <f t="shared" si="1"/>
        <v>0</v>
      </c>
      <c r="N30" s="2">
        <f t="shared" si="1"/>
        <v>0</v>
      </c>
      <c r="O30" s="2">
        <f t="shared" si="1"/>
        <v>0</v>
      </c>
      <c r="P30" s="2">
        <f t="shared" si="1"/>
        <v>0</v>
      </c>
      <c r="Q30" s="2">
        <f t="shared" si="1"/>
        <v>0</v>
      </c>
      <c r="R30" s="2">
        <f t="shared" si="1"/>
        <v>0</v>
      </c>
      <c r="S30" s="2">
        <f t="shared" si="1"/>
        <v>0</v>
      </c>
      <c r="T30" s="2">
        <f t="shared" si="1"/>
        <v>0</v>
      </c>
      <c r="U30" s="2">
        <f t="shared" si="1"/>
        <v>0</v>
      </c>
      <c r="V30" s="2">
        <f t="shared" si="1"/>
        <v>0</v>
      </c>
      <c r="W30" s="2">
        <f t="shared" si="1"/>
        <v>0</v>
      </c>
      <c r="X30" s="2">
        <f t="shared" si="1"/>
        <v>0</v>
      </c>
      <c r="Y30" s="2">
        <f t="shared" si="1"/>
        <v>0</v>
      </c>
      <c r="Z30" s="2">
        <f t="shared" si="1"/>
        <v>0</v>
      </c>
      <c r="AA30" s="2">
        <f t="shared" si="1"/>
        <v>0</v>
      </c>
    </row>
    <row r="31" spans="1:27" x14ac:dyDescent="0.25">
      <c r="E31" s="2" t="str">
        <f t="shared" si="2"/>
        <v>Valves and Meters</v>
      </c>
      <c r="F31" t="s">
        <v>7</v>
      </c>
      <c r="G31" s="2">
        <f t="shared" si="1"/>
        <v>0</v>
      </c>
      <c r="H31" s="2">
        <f t="shared" si="1"/>
        <v>0</v>
      </c>
      <c r="I31" s="2">
        <f t="shared" si="1"/>
        <v>0</v>
      </c>
      <c r="J31" s="2">
        <f t="shared" si="1"/>
        <v>0</v>
      </c>
      <c r="K31" s="2">
        <f t="shared" si="1"/>
        <v>0</v>
      </c>
      <c r="L31" s="2">
        <f t="shared" si="1"/>
        <v>0</v>
      </c>
      <c r="M31" s="2">
        <f t="shared" si="1"/>
        <v>0</v>
      </c>
      <c r="N31" s="2">
        <f t="shared" si="1"/>
        <v>0</v>
      </c>
      <c r="O31" s="2">
        <f t="shared" si="1"/>
        <v>0</v>
      </c>
      <c r="P31" s="2">
        <f t="shared" si="1"/>
        <v>0</v>
      </c>
      <c r="Q31" s="2">
        <f t="shared" si="1"/>
        <v>0</v>
      </c>
      <c r="R31" s="2">
        <f t="shared" si="1"/>
        <v>0</v>
      </c>
      <c r="S31" s="2">
        <f t="shared" si="1"/>
        <v>0</v>
      </c>
      <c r="T31" s="2">
        <f t="shared" si="1"/>
        <v>0</v>
      </c>
      <c r="U31" s="2">
        <f t="shared" si="1"/>
        <v>0</v>
      </c>
      <c r="V31" s="2">
        <f t="shared" si="1"/>
        <v>0</v>
      </c>
      <c r="W31" s="2">
        <f t="shared" si="1"/>
        <v>0</v>
      </c>
      <c r="X31" s="2">
        <f t="shared" si="1"/>
        <v>0</v>
      </c>
      <c r="Y31" s="2">
        <f t="shared" si="1"/>
        <v>0</v>
      </c>
      <c r="Z31" s="2">
        <f t="shared" si="1"/>
        <v>0</v>
      </c>
      <c r="AA31" s="2">
        <f t="shared" si="1"/>
        <v>0</v>
      </c>
    </row>
    <row r="32" spans="1:27" x14ac:dyDescent="0.25">
      <c r="E32" s="2" t="str">
        <f t="shared" si="2"/>
        <v>Temporary Assets</v>
      </c>
      <c r="F32" t="s">
        <v>7</v>
      </c>
      <c r="G32" s="2">
        <f t="shared" si="1"/>
        <v>0</v>
      </c>
      <c r="H32" s="2">
        <f t="shared" si="1"/>
        <v>0</v>
      </c>
      <c r="I32" s="2">
        <f t="shared" si="1"/>
        <v>0</v>
      </c>
      <c r="J32" s="2">
        <f t="shared" si="1"/>
        <v>0</v>
      </c>
      <c r="K32" s="2">
        <f t="shared" si="1"/>
        <v>0</v>
      </c>
      <c r="L32" s="2">
        <f t="shared" si="1"/>
        <v>0</v>
      </c>
      <c r="M32" s="2">
        <f t="shared" si="1"/>
        <v>0</v>
      </c>
      <c r="N32" s="2">
        <f t="shared" si="1"/>
        <v>0</v>
      </c>
      <c r="O32" s="2">
        <f t="shared" si="1"/>
        <v>0</v>
      </c>
      <c r="P32" s="2">
        <f t="shared" si="1"/>
        <v>0</v>
      </c>
      <c r="Q32" s="2">
        <f t="shared" si="1"/>
        <v>0</v>
      </c>
      <c r="R32" s="2">
        <f t="shared" si="1"/>
        <v>0</v>
      </c>
      <c r="S32" s="2">
        <f t="shared" si="1"/>
        <v>0</v>
      </c>
      <c r="T32" s="2">
        <f t="shared" si="1"/>
        <v>0</v>
      </c>
      <c r="U32" s="2">
        <f t="shared" si="1"/>
        <v>0</v>
      </c>
      <c r="V32" s="2">
        <f t="shared" si="1"/>
        <v>0</v>
      </c>
      <c r="W32" s="2">
        <f t="shared" si="1"/>
        <v>0</v>
      </c>
      <c r="X32" s="2">
        <f t="shared" si="1"/>
        <v>0</v>
      </c>
      <c r="Y32" s="2">
        <f t="shared" si="1"/>
        <v>0</v>
      </c>
      <c r="Z32" s="2">
        <f t="shared" si="1"/>
        <v>0</v>
      </c>
      <c r="AA32" s="2">
        <f t="shared" si="1"/>
        <v>0</v>
      </c>
    </row>
    <row r="33" spans="1:27" x14ac:dyDescent="0.25">
      <c r="G33" s="2"/>
      <c r="H33" s="2"/>
      <c r="I33" s="2"/>
      <c r="J33" s="2"/>
      <c r="K33" s="2"/>
      <c r="L33" s="2"/>
      <c r="M33" s="2"/>
      <c r="N33" s="2"/>
      <c r="O33" s="2"/>
      <c r="P33" s="2"/>
      <c r="Q33" s="2"/>
    </row>
    <row r="34" spans="1:27" x14ac:dyDescent="0.25">
      <c r="D34" t="s">
        <v>133</v>
      </c>
      <c r="F34" t="s">
        <v>7</v>
      </c>
      <c r="G34" s="2">
        <f>SUM($G$29:G32)</f>
        <v>558879.70087703061</v>
      </c>
      <c r="H34" s="2">
        <f>SUM($G$29:H32)</f>
        <v>743450.2125880192</v>
      </c>
      <c r="I34" s="2">
        <f ca="1">SUM($G$29:I32)</f>
        <v>1037150.6624725285</v>
      </c>
      <c r="J34" s="2">
        <f ca="1">SUM($G$29:J32)</f>
        <v>1334940.3209910609</v>
      </c>
      <c r="K34" s="2">
        <f ca="1">SUM($G$29:K32)</f>
        <v>1651869.7724575726</v>
      </c>
      <c r="L34" s="2">
        <f ca="1">SUM($G$29:L32)</f>
        <v>1960284.2043355014</v>
      </c>
      <c r="M34" s="2">
        <f ca="1">SUM($G$29:M32)</f>
        <v>2328881.1451606052</v>
      </c>
      <c r="N34" s="2">
        <f ca="1">SUM($G$29:N32)</f>
        <v>2631710.4012237438</v>
      </c>
      <c r="O34" s="2">
        <f ca="1">SUM($G$29:O32)</f>
        <v>2939752.2553942436</v>
      </c>
      <c r="P34" s="2">
        <f ca="1">SUM($G$29:P32)</f>
        <v>3248816.5992364087</v>
      </c>
      <c r="Q34" s="2">
        <f ca="1">SUM($G$29:Q32)</f>
        <v>3566679.0705159656</v>
      </c>
      <c r="R34" s="2">
        <f ca="1">SUM($G$29:R32)</f>
        <v>3891632.4691043952</v>
      </c>
      <c r="S34" s="2">
        <f ca="1">SUM($G$29:S32)</f>
        <v>4223564.7302746456</v>
      </c>
      <c r="T34" s="2">
        <f ca="1">SUM($G$29:T32)</f>
        <v>4561633.0433211513</v>
      </c>
      <c r="U34" s="2">
        <f ca="1">SUM($G$29:U32)</f>
        <v>4906180.6009723935</v>
      </c>
      <c r="V34" s="2">
        <f ca="1">SUM($G$29:V32)</f>
        <v>5258520.7355713481</v>
      </c>
      <c r="W34" s="2">
        <f ca="1">SUM($G$29:W32)</f>
        <v>5618514.5307051055</v>
      </c>
      <c r="X34" s="2">
        <f ca="1">SUM($G$29:X32)</f>
        <v>5985957.2810309101</v>
      </c>
      <c r="Y34" s="2">
        <f ca="1">SUM($G$29:Y32)</f>
        <v>6360945.3557383129</v>
      </c>
      <c r="Z34" s="2">
        <f ca="1">SUM($G$29:Z32)</f>
        <v>6743787.7740847655</v>
      </c>
      <c r="AA34" s="2">
        <f ca="1">SUM($G$29:AA32)</f>
        <v>7134785.3925029095</v>
      </c>
    </row>
    <row r="35" spans="1:27" x14ac:dyDescent="0.25">
      <c r="G35" s="2"/>
      <c r="H35" s="2"/>
      <c r="I35" s="2"/>
      <c r="J35" s="2"/>
      <c r="K35" s="2"/>
      <c r="L35" s="2"/>
      <c r="M35" s="2"/>
      <c r="N35" s="2"/>
      <c r="O35" s="2"/>
      <c r="P35" s="2"/>
      <c r="Q35" s="2"/>
      <c r="R35" s="2"/>
      <c r="S35" s="2"/>
      <c r="T35" s="2"/>
      <c r="U35" s="2"/>
      <c r="V35" s="2"/>
      <c r="W35" s="2"/>
      <c r="X35" s="2"/>
      <c r="Y35" s="2"/>
      <c r="Z35" s="2"/>
      <c r="AA35" s="2"/>
    </row>
    <row r="36" spans="1:27" x14ac:dyDescent="0.25">
      <c r="A36" s="14">
        <f>'Notes &amp; Assumptions'!A24</f>
        <v>11</v>
      </c>
      <c r="C36" s="1" t="s">
        <v>107</v>
      </c>
      <c r="D36" s="1"/>
    </row>
    <row r="37" spans="1:27" x14ac:dyDescent="0.25">
      <c r="E37" s="2" t="str">
        <f>E7</f>
        <v>Average asset life for all growth assets</v>
      </c>
      <c r="F37" t="s">
        <v>7</v>
      </c>
      <c r="G37" s="10"/>
      <c r="H37" s="10">
        <f>'Key assumptions'!$B31*(1+$G$14)^H2*(H90+H111+H132+H153)</f>
        <v>35642088.999999993</v>
      </c>
      <c r="I37" s="10">
        <f>'Key assumptions'!$B31*(1+$G$14)^I2*(I90+I111+I132+I153)</f>
        <v>34471438.987999991</v>
      </c>
      <c r="J37" s="10">
        <f>'Key assumptions'!$B31*(1+$G$14)^J2*(J90+J111+J132+J153)</f>
        <v>33874023.921329536</v>
      </c>
      <c r="K37" s="10">
        <f>'Key assumptions'!$B31*(1+$G$14)^K2*(K90+K111+K132+K153)</f>
        <v>31485234.146776929</v>
      </c>
      <c r="L37" s="10">
        <f>'Key assumptions'!$B31*(1+$G$14)^L2*(L90+L111+L132+L153)</f>
        <v>29102334.548788421</v>
      </c>
      <c r="M37" s="10">
        <f>'Key assumptions'!$B31*(1+$G$14)^M2*(M90+M111+M132+M153)</f>
        <v>26770404.319784526</v>
      </c>
      <c r="N37" s="10">
        <f>'Key assumptions'!$B31*(1+$G$14)^N2*(N90+N111+N132+N153)</f>
        <v>24501765.991871051</v>
      </c>
      <c r="O37" s="10">
        <f>'Key assumptions'!$B31*(1+$G$14)^O2*(O90+O111+O132+O153)</f>
        <v>22294255.527520508</v>
      </c>
      <c r="P37" s="10">
        <f>'Key assumptions'!$B31*(1+$G$14)^P2*(P90+P111+P132+P153)</f>
        <v>22225666.624848187</v>
      </c>
      <c r="Q37" s="10">
        <f>'Key assumptions'!$B31*(1+$G$14)^Q2*(Q90+Q111+Q132+Q153)</f>
        <v>22034929.480846372</v>
      </c>
      <c r="R37" s="10">
        <f>'Key assumptions'!$B31*(1+$G$14)^R2*(R90+R111+R132+R153)</f>
        <v>23818234.423713431</v>
      </c>
      <c r="S37" s="10">
        <f>'Key assumptions'!$B31*(1+$G$14)^S2*(S90+S111+S132+S153)</f>
        <v>25785741.558844842</v>
      </c>
      <c r="T37" s="10">
        <f>'Key assumptions'!$B31*(1+$G$14)^T2*(T90+T111+T132+T153)</f>
        <v>27864816.90457559</v>
      </c>
      <c r="U37" s="10">
        <f>'Key assumptions'!$B31*(1+$G$14)^U2*(U90+U111+U132+U153)</f>
        <v>28252867.210183382</v>
      </c>
      <c r="V37" s="10">
        <f>'Key assumptions'!$B31*(1+$G$14)^V2*(V90+V111+V132+V153)</f>
        <v>28659746.141032089</v>
      </c>
      <c r="W37" s="10">
        <f t="shared" ref="W37:AA37" si="3">1000*(1+$G$14)^W2*(W90+W111+W132+W153)</f>
        <v>0</v>
      </c>
      <c r="X37" s="10">
        <f t="shared" si="3"/>
        <v>0</v>
      </c>
      <c r="Y37" s="10">
        <f t="shared" si="3"/>
        <v>0</v>
      </c>
      <c r="Z37" s="10">
        <f t="shared" si="3"/>
        <v>0</v>
      </c>
      <c r="AA37" s="10">
        <f t="shared" si="3"/>
        <v>0</v>
      </c>
    </row>
    <row r="38" spans="1:27" x14ac:dyDescent="0.25">
      <c r="E38" s="2" t="str">
        <f>E8</f>
        <v>Pumps</v>
      </c>
      <c r="F38" t="s">
        <v>7</v>
      </c>
      <c r="G38" s="10"/>
      <c r="H38" s="10"/>
      <c r="I38" s="10"/>
      <c r="J38" s="10"/>
      <c r="K38" s="10"/>
      <c r="L38" s="10"/>
      <c r="M38" s="10"/>
      <c r="N38" s="10"/>
      <c r="O38" s="10"/>
      <c r="P38" s="10"/>
      <c r="Q38" s="10"/>
      <c r="R38" s="10"/>
      <c r="S38" s="10"/>
      <c r="T38" s="10"/>
      <c r="U38" s="10"/>
      <c r="V38" s="10"/>
      <c r="W38" s="10"/>
      <c r="X38" s="10"/>
      <c r="Y38" s="10"/>
      <c r="Z38" s="10"/>
      <c r="AA38" s="10"/>
    </row>
    <row r="39" spans="1:27" x14ac:dyDescent="0.25">
      <c r="E39" s="2" t="str">
        <f>E9</f>
        <v>Valves and Meters</v>
      </c>
      <c r="F39" t="s">
        <v>7</v>
      </c>
      <c r="G39" s="10"/>
      <c r="H39" s="10"/>
      <c r="I39" s="10"/>
      <c r="J39" s="10"/>
      <c r="K39" s="10"/>
      <c r="L39" s="10"/>
      <c r="M39" s="10"/>
      <c r="N39" s="10"/>
      <c r="O39" s="10"/>
      <c r="P39" s="10"/>
      <c r="Q39" s="10"/>
      <c r="R39" s="10"/>
      <c r="S39" s="10"/>
      <c r="T39" s="10"/>
      <c r="U39" s="10"/>
      <c r="V39" s="10"/>
      <c r="W39" s="10"/>
      <c r="X39" s="10"/>
      <c r="Y39" s="10"/>
      <c r="Z39" s="10"/>
      <c r="AA39" s="10"/>
    </row>
    <row r="40" spans="1:27" x14ac:dyDescent="0.25">
      <c r="E40" s="2" t="str">
        <f>E10</f>
        <v>Temporary Assets</v>
      </c>
      <c r="F40" t="s">
        <v>7</v>
      </c>
      <c r="G40" s="10"/>
      <c r="H40" s="10"/>
      <c r="I40" s="10"/>
      <c r="J40" s="10"/>
      <c r="K40" s="10"/>
      <c r="L40" s="10"/>
      <c r="M40" s="10"/>
      <c r="N40" s="10"/>
      <c r="O40" s="10"/>
      <c r="P40" s="10"/>
      <c r="Q40" s="10"/>
      <c r="R40" s="10"/>
      <c r="S40" s="10"/>
      <c r="T40" s="10"/>
      <c r="U40" s="10"/>
      <c r="V40" s="10"/>
      <c r="W40" s="10"/>
      <c r="X40" s="10"/>
      <c r="Y40" s="10"/>
      <c r="Z40" s="10"/>
      <c r="AA40" s="10"/>
    </row>
    <row r="41" spans="1:27" x14ac:dyDescent="0.25">
      <c r="E41" t="s">
        <v>131</v>
      </c>
      <c r="F41" t="s">
        <v>7</v>
      </c>
      <c r="G41" s="10"/>
      <c r="H41" s="10"/>
      <c r="I41" s="10"/>
      <c r="J41" s="10"/>
      <c r="K41" s="10"/>
      <c r="L41" s="10"/>
      <c r="M41" s="10"/>
      <c r="N41" s="10"/>
      <c r="O41" s="10"/>
      <c r="P41" s="10"/>
      <c r="Q41" s="10"/>
      <c r="R41" s="10"/>
      <c r="S41" s="10"/>
      <c r="T41" s="10"/>
      <c r="U41" s="10"/>
      <c r="V41" s="10"/>
      <c r="W41" s="10"/>
      <c r="X41" s="10"/>
      <c r="Y41" s="10"/>
      <c r="Z41" s="10"/>
      <c r="AA41" s="10"/>
    </row>
    <row r="42" spans="1:27" x14ac:dyDescent="0.25">
      <c r="G42" s="2">
        <f>SUM(G37:G41)</f>
        <v>0</v>
      </c>
      <c r="H42" s="2">
        <f t="shared" ref="H42:AA42" si="4">SUM(H37:H41)</f>
        <v>35642088.999999993</v>
      </c>
      <c r="I42" s="2">
        <f t="shared" si="4"/>
        <v>34471438.987999991</v>
      </c>
      <c r="J42" s="2">
        <f t="shared" si="4"/>
        <v>33874023.921329536</v>
      </c>
      <c r="K42" s="2">
        <f t="shared" si="4"/>
        <v>31485234.146776929</v>
      </c>
      <c r="L42" s="2">
        <f t="shared" si="4"/>
        <v>29102334.548788421</v>
      </c>
      <c r="M42" s="2">
        <f t="shared" si="4"/>
        <v>26770404.319784526</v>
      </c>
      <c r="N42" s="2">
        <f t="shared" si="4"/>
        <v>24501765.991871051</v>
      </c>
      <c r="O42" s="2">
        <f t="shared" si="4"/>
        <v>22294255.527520508</v>
      </c>
      <c r="P42" s="2">
        <f t="shared" si="4"/>
        <v>22225666.624848187</v>
      </c>
      <c r="Q42" s="2">
        <f t="shared" si="4"/>
        <v>22034929.480846372</v>
      </c>
      <c r="R42" s="2">
        <f t="shared" si="4"/>
        <v>23818234.423713431</v>
      </c>
      <c r="S42" s="2">
        <f t="shared" si="4"/>
        <v>25785741.558844842</v>
      </c>
      <c r="T42" s="2">
        <f t="shared" si="4"/>
        <v>27864816.90457559</v>
      </c>
      <c r="U42" s="2">
        <f t="shared" si="4"/>
        <v>28252867.210183382</v>
      </c>
      <c r="V42" s="2">
        <f t="shared" si="4"/>
        <v>28659746.141032089</v>
      </c>
      <c r="W42" s="2">
        <f t="shared" si="4"/>
        <v>0</v>
      </c>
      <c r="X42" s="2">
        <f t="shared" si="4"/>
        <v>0</v>
      </c>
      <c r="Y42" s="2">
        <f t="shared" si="4"/>
        <v>0</v>
      </c>
      <c r="Z42" s="2">
        <f t="shared" si="4"/>
        <v>0</v>
      </c>
      <c r="AA42" s="2">
        <f t="shared" si="4"/>
        <v>0</v>
      </c>
    </row>
    <row r="43" spans="1:27" x14ac:dyDescent="0.25">
      <c r="G43" s="2"/>
      <c r="H43" s="2"/>
      <c r="I43" s="2"/>
      <c r="J43" s="2"/>
      <c r="K43" s="2"/>
      <c r="L43" s="2"/>
      <c r="M43" s="2"/>
      <c r="N43" s="2"/>
      <c r="O43" s="2"/>
      <c r="P43" s="2"/>
      <c r="Q43" s="2"/>
    </row>
    <row r="44" spans="1:27" x14ac:dyDescent="0.25">
      <c r="D44" t="s">
        <v>134</v>
      </c>
      <c r="G44" s="2"/>
      <c r="H44" s="2"/>
      <c r="I44" s="2"/>
      <c r="J44" s="2"/>
      <c r="K44" s="2"/>
      <c r="L44" s="2"/>
      <c r="M44" s="2"/>
      <c r="N44" s="2"/>
      <c r="O44" s="2"/>
      <c r="P44" s="2"/>
      <c r="Q44" s="2"/>
    </row>
    <row r="45" spans="1:27" x14ac:dyDescent="0.25">
      <c r="E45" s="2" t="str">
        <f>E37</f>
        <v>Average asset life for all growth assets</v>
      </c>
      <c r="F45" t="s">
        <v>7</v>
      </c>
      <c r="G45" s="2">
        <f t="shared" ref="G45:AA48" si="5">G37/$G7+IF((G$2-$G7+1)&gt;0,-INDEX($G37:$AA37,1,(G$2-$G7+1))/$G7,0)</f>
        <v>0</v>
      </c>
      <c r="H45" s="2">
        <f t="shared" si="5"/>
        <v>396023.21111111104</v>
      </c>
      <c r="I45" s="2">
        <f t="shared" si="5"/>
        <v>383015.98875555547</v>
      </c>
      <c r="J45" s="2">
        <f t="shared" si="5"/>
        <v>376378.04357032815</v>
      </c>
      <c r="K45" s="2">
        <f t="shared" si="5"/>
        <v>349835.93496418808</v>
      </c>
      <c r="L45" s="2">
        <f t="shared" si="5"/>
        <v>323359.27276431577</v>
      </c>
      <c r="M45" s="2">
        <f t="shared" si="5"/>
        <v>297448.93688649475</v>
      </c>
      <c r="N45" s="2">
        <f t="shared" si="5"/>
        <v>272241.84435412282</v>
      </c>
      <c r="O45" s="2">
        <f t="shared" si="5"/>
        <v>247713.95030578342</v>
      </c>
      <c r="P45" s="2">
        <f t="shared" si="5"/>
        <v>246951.85138720207</v>
      </c>
      <c r="Q45" s="2">
        <f t="shared" si="5"/>
        <v>244832.5497871819</v>
      </c>
      <c r="R45" s="2">
        <f t="shared" si="5"/>
        <v>264647.04915237147</v>
      </c>
      <c r="S45" s="2">
        <f t="shared" si="5"/>
        <v>286508.23954272049</v>
      </c>
      <c r="T45" s="2">
        <f t="shared" si="5"/>
        <v>309609.07671750657</v>
      </c>
      <c r="U45" s="2">
        <f t="shared" si="5"/>
        <v>313920.74677981535</v>
      </c>
      <c r="V45" s="2">
        <f t="shared" si="5"/>
        <v>318441.62378924544</v>
      </c>
      <c r="W45" s="2">
        <f t="shared" si="5"/>
        <v>0</v>
      </c>
      <c r="X45" s="2">
        <f t="shared" si="5"/>
        <v>0</v>
      </c>
      <c r="Y45" s="2">
        <f t="shared" si="5"/>
        <v>0</v>
      </c>
      <c r="Z45" s="2">
        <f t="shared" si="5"/>
        <v>0</v>
      </c>
      <c r="AA45" s="2">
        <f t="shared" si="5"/>
        <v>0</v>
      </c>
    </row>
    <row r="46" spans="1:27" x14ac:dyDescent="0.25">
      <c r="E46" s="2" t="str">
        <f t="shared" ref="E46:E48" si="6">E38</f>
        <v>Pumps</v>
      </c>
      <c r="F46" t="s">
        <v>7</v>
      </c>
      <c r="G46" s="2">
        <f t="shared" si="5"/>
        <v>0</v>
      </c>
      <c r="H46" s="2">
        <f t="shared" si="5"/>
        <v>0</v>
      </c>
      <c r="I46" s="2">
        <f t="shared" si="5"/>
        <v>0</v>
      </c>
      <c r="J46" s="2">
        <f t="shared" si="5"/>
        <v>0</v>
      </c>
      <c r="K46" s="2">
        <f t="shared" si="5"/>
        <v>0</v>
      </c>
      <c r="L46" s="2">
        <f t="shared" si="5"/>
        <v>0</v>
      </c>
      <c r="M46" s="2">
        <f t="shared" si="5"/>
        <v>0</v>
      </c>
      <c r="N46" s="2">
        <f t="shared" si="5"/>
        <v>0</v>
      </c>
      <c r="O46" s="2">
        <f t="shared" si="5"/>
        <v>0</v>
      </c>
      <c r="P46" s="2">
        <f t="shared" si="5"/>
        <v>0</v>
      </c>
      <c r="Q46" s="2">
        <f t="shared" si="5"/>
        <v>0</v>
      </c>
      <c r="R46" s="2">
        <f t="shared" si="5"/>
        <v>0</v>
      </c>
      <c r="S46" s="2">
        <f t="shared" si="5"/>
        <v>0</v>
      </c>
      <c r="T46" s="2">
        <f t="shared" si="5"/>
        <v>0</v>
      </c>
      <c r="U46" s="2">
        <f t="shared" si="5"/>
        <v>0</v>
      </c>
      <c r="V46" s="2">
        <f t="shared" si="5"/>
        <v>0</v>
      </c>
      <c r="W46" s="2">
        <f t="shared" si="5"/>
        <v>0</v>
      </c>
      <c r="X46" s="2">
        <f t="shared" si="5"/>
        <v>0</v>
      </c>
      <c r="Y46" s="2">
        <f t="shared" si="5"/>
        <v>0</v>
      </c>
      <c r="Z46" s="2">
        <f t="shared" si="5"/>
        <v>0</v>
      </c>
      <c r="AA46" s="2">
        <f t="shared" si="5"/>
        <v>0</v>
      </c>
    </row>
    <row r="47" spans="1:27" x14ac:dyDescent="0.25">
      <c r="E47" s="2" t="str">
        <f t="shared" si="6"/>
        <v>Valves and Meters</v>
      </c>
      <c r="F47" t="s">
        <v>7</v>
      </c>
      <c r="G47" s="2">
        <f t="shared" si="5"/>
        <v>0</v>
      </c>
      <c r="H47" s="2">
        <f t="shared" si="5"/>
        <v>0</v>
      </c>
      <c r="I47" s="2">
        <f t="shared" si="5"/>
        <v>0</v>
      </c>
      <c r="J47" s="2">
        <f t="shared" si="5"/>
        <v>0</v>
      </c>
      <c r="K47" s="2">
        <f t="shared" si="5"/>
        <v>0</v>
      </c>
      <c r="L47" s="2">
        <f t="shared" si="5"/>
        <v>0</v>
      </c>
      <c r="M47" s="2">
        <f t="shared" si="5"/>
        <v>0</v>
      </c>
      <c r="N47" s="2">
        <f t="shared" si="5"/>
        <v>0</v>
      </c>
      <c r="O47" s="2">
        <f t="shared" si="5"/>
        <v>0</v>
      </c>
      <c r="P47" s="2">
        <f t="shared" si="5"/>
        <v>0</v>
      </c>
      <c r="Q47" s="2">
        <f t="shared" si="5"/>
        <v>0</v>
      </c>
      <c r="R47" s="2">
        <f t="shared" si="5"/>
        <v>0</v>
      </c>
      <c r="S47" s="2">
        <f t="shared" si="5"/>
        <v>0</v>
      </c>
      <c r="T47" s="2">
        <f t="shared" si="5"/>
        <v>0</v>
      </c>
      <c r="U47" s="2">
        <f t="shared" si="5"/>
        <v>0</v>
      </c>
      <c r="V47" s="2">
        <f t="shared" si="5"/>
        <v>0</v>
      </c>
      <c r="W47" s="2">
        <f t="shared" si="5"/>
        <v>0</v>
      </c>
      <c r="X47" s="2">
        <f t="shared" si="5"/>
        <v>0</v>
      </c>
      <c r="Y47" s="2">
        <f t="shared" si="5"/>
        <v>0</v>
      </c>
      <c r="Z47" s="2">
        <f t="shared" si="5"/>
        <v>0</v>
      </c>
      <c r="AA47" s="2">
        <f t="shared" si="5"/>
        <v>0</v>
      </c>
    </row>
    <row r="48" spans="1:27" x14ac:dyDescent="0.25">
      <c r="E48" s="2" t="str">
        <f t="shared" si="6"/>
        <v>Temporary Assets</v>
      </c>
      <c r="F48" t="s">
        <v>7</v>
      </c>
      <c r="G48" s="2">
        <f t="shared" si="5"/>
        <v>0</v>
      </c>
      <c r="H48" s="2">
        <f t="shared" si="5"/>
        <v>0</v>
      </c>
      <c r="I48" s="2">
        <f t="shared" si="5"/>
        <v>0</v>
      </c>
      <c r="J48" s="2">
        <f t="shared" si="5"/>
        <v>0</v>
      </c>
      <c r="K48" s="2">
        <f t="shared" si="5"/>
        <v>0</v>
      </c>
      <c r="L48" s="2">
        <f t="shared" si="5"/>
        <v>0</v>
      </c>
      <c r="M48" s="2">
        <f t="shared" si="5"/>
        <v>0</v>
      </c>
      <c r="N48" s="2">
        <f t="shared" si="5"/>
        <v>0</v>
      </c>
      <c r="O48" s="2">
        <f t="shared" si="5"/>
        <v>0</v>
      </c>
      <c r="P48" s="2">
        <f t="shared" si="5"/>
        <v>0</v>
      </c>
      <c r="Q48" s="2">
        <f t="shared" si="5"/>
        <v>0</v>
      </c>
      <c r="R48" s="2">
        <f t="shared" si="5"/>
        <v>0</v>
      </c>
      <c r="S48" s="2">
        <f t="shared" si="5"/>
        <v>0</v>
      </c>
      <c r="T48" s="2">
        <f t="shared" si="5"/>
        <v>0</v>
      </c>
      <c r="U48" s="2">
        <f t="shared" si="5"/>
        <v>0</v>
      </c>
      <c r="V48" s="2">
        <f t="shared" si="5"/>
        <v>0</v>
      </c>
      <c r="W48" s="2">
        <f t="shared" si="5"/>
        <v>0</v>
      </c>
      <c r="X48" s="2">
        <f t="shared" si="5"/>
        <v>0</v>
      </c>
      <c r="Y48" s="2">
        <f t="shared" si="5"/>
        <v>0</v>
      </c>
      <c r="Z48" s="2">
        <f t="shared" si="5"/>
        <v>0</v>
      </c>
      <c r="AA48" s="2">
        <f t="shared" si="5"/>
        <v>0</v>
      </c>
    </row>
    <row r="49" spans="1:27" x14ac:dyDescent="0.25">
      <c r="G49" s="2"/>
      <c r="H49" s="2"/>
      <c r="I49" s="2"/>
      <c r="J49" s="2"/>
      <c r="K49" s="2"/>
      <c r="L49" s="2"/>
      <c r="M49" s="2"/>
      <c r="N49" s="2"/>
      <c r="O49" s="2"/>
      <c r="P49" s="2"/>
      <c r="Q49" s="2"/>
    </row>
    <row r="50" spans="1:27" x14ac:dyDescent="0.25">
      <c r="D50" t="s">
        <v>135</v>
      </c>
      <c r="F50" t="s">
        <v>7</v>
      </c>
      <c r="G50" s="2">
        <f>SUM($G$45:G48)</f>
        <v>0</v>
      </c>
      <c r="H50" s="2">
        <f>SUM($G$45:H48)</f>
        <v>396023.21111111104</v>
      </c>
      <c r="I50" s="2">
        <f>SUM($G$45:I48)</f>
        <v>779039.19986666646</v>
      </c>
      <c r="J50" s="2">
        <f>SUM($G$45:J48)</f>
        <v>1155417.2434369945</v>
      </c>
      <c r="K50" s="2">
        <f>SUM($G$45:K48)</f>
        <v>1505253.1784011826</v>
      </c>
      <c r="L50" s="2">
        <f>SUM($G$45:L48)</f>
        <v>1828612.4511654985</v>
      </c>
      <c r="M50" s="2">
        <f>SUM($G$45:M48)</f>
        <v>2126061.3880519932</v>
      </c>
      <c r="N50" s="2">
        <f>SUM($G$45:N48)</f>
        <v>2398303.2324061161</v>
      </c>
      <c r="O50" s="2">
        <f>SUM($G$45:O48)</f>
        <v>2646017.1827118993</v>
      </c>
      <c r="P50" s="2">
        <f>SUM($G$45:P48)</f>
        <v>2892969.0340991016</v>
      </c>
      <c r="Q50" s="2">
        <f>SUM($G$45:Q48)</f>
        <v>3137801.5838862834</v>
      </c>
      <c r="R50" s="2">
        <f>SUM($G$45:R48)</f>
        <v>3402448.6330386549</v>
      </c>
      <c r="S50" s="2">
        <f>SUM($G$45:S48)</f>
        <v>3688956.8725813753</v>
      </c>
      <c r="T50" s="2">
        <f>SUM($G$45:T48)</f>
        <v>3998565.9492988819</v>
      </c>
      <c r="U50" s="2">
        <f>SUM($G$45:U48)</f>
        <v>4312486.6960786972</v>
      </c>
      <c r="V50" s="2">
        <f>SUM($G$45:V48)</f>
        <v>4630928.3198679425</v>
      </c>
      <c r="W50" s="2">
        <f>SUM($G$45:W48)</f>
        <v>4630928.3198679425</v>
      </c>
      <c r="X50" s="2">
        <f>SUM($G$45:X48)</f>
        <v>4630928.3198679425</v>
      </c>
      <c r="Y50" s="2">
        <f>SUM($G$45:Y48)</f>
        <v>4630928.3198679425</v>
      </c>
      <c r="Z50" s="2">
        <f>SUM($G$45:Z48)</f>
        <v>4630928.3198679425</v>
      </c>
      <c r="AA50" s="2">
        <f>SUM($G$45:AA48)</f>
        <v>4630928.3198679425</v>
      </c>
    </row>
    <row r="51" spans="1:27" x14ac:dyDescent="0.25">
      <c r="G51" s="2"/>
      <c r="H51" s="2"/>
      <c r="I51" s="2"/>
      <c r="J51" s="2"/>
      <c r="K51" s="2"/>
      <c r="L51" s="2"/>
      <c r="M51" s="2"/>
      <c r="N51" s="2"/>
      <c r="O51" s="2"/>
      <c r="P51" s="2"/>
      <c r="Q51" s="2"/>
      <c r="R51" s="2"/>
      <c r="S51" s="2"/>
      <c r="T51" s="2"/>
      <c r="U51" s="2"/>
      <c r="V51" s="2"/>
      <c r="W51" s="2"/>
      <c r="X51" s="2"/>
      <c r="Y51" s="2"/>
      <c r="Z51" s="2"/>
      <c r="AA51" s="2"/>
    </row>
    <row r="52" spans="1:27" x14ac:dyDescent="0.25">
      <c r="A52" s="14">
        <f>'Notes &amp; Assumptions'!A25</f>
        <v>12</v>
      </c>
      <c r="C52" s="1" t="s">
        <v>109</v>
      </c>
      <c r="G52" s="2"/>
      <c r="H52" s="2"/>
      <c r="I52" s="2"/>
      <c r="J52" s="2"/>
      <c r="K52" s="2"/>
      <c r="L52" s="2"/>
      <c r="M52" s="2"/>
      <c r="N52" s="2"/>
      <c r="O52" s="2"/>
      <c r="P52" s="2"/>
      <c r="Q52" s="2"/>
      <c r="R52" s="2"/>
      <c r="S52" s="2"/>
      <c r="T52" s="2"/>
      <c r="U52" s="2"/>
      <c r="V52" s="2"/>
      <c r="W52" s="2"/>
      <c r="X52" s="2"/>
      <c r="Y52" s="2"/>
      <c r="Z52" s="2"/>
      <c r="AA52" s="2"/>
    </row>
    <row r="53" spans="1:27" x14ac:dyDescent="0.25">
      <c r="E53" t="s">
        <v>109</v>
      </c>
      <c r="F53" t="s">
        <v>7</v>
      </c>
      <c r="G53" s="10"/>
      <c r="H53" s="10"/>
      <c r="I53" s="10"/>
      <c r="J53" s="10"/>
      <c r="K53" s="10"/>
      <c r="L53" s="10"/>
      <c r="M53" s="10"/>
      <c r="N53" s="10"/>
      <c r="O53" s="10"/>
      <c r="P53" s="10"/>
      <c r="Q53" s="10"/>
      <c r="R53" s="10"/>
      <c r="S53" s="10"/>
      <c r="T53" s="10"/>
      <c r="U53" s="10"/>
      <c r="V53" s="10"/>
      <c r="W53" s="10"/>
      <c r="X53" s="10"/>
      <c r="Y53" s="10"/>
      <c r="Z53" s="10"/>
      <c r="AA53" s="10"/>
    </row>
    <row r="55" spans="1:27" x14ac:dyDescent="0.25">
      <c r="C55" s="1" t="s">
        <v>25</v>
      </c>
      <c r="D55" s="1"/>
    </row>
    <row r="56" spans="1:27" x14ac:dyDescent="0.25">
      <c r="A56" s="14">
        <f>'Notes &amp; Assumptions'!A26</f>
        <v>13</v>
      </c>
      <c r="D56" t="s">
        <v>2</v>
      </c>
    </row>
    <row r="57" spans="1:27" x14ac:dyDescent="0.25">
      <c r="E57" s="2" t="str">
        <f>E7</f>
        <v>Average asset life for all growth assets</v>
      </c>
      <c r="F57" t="s">
        <v>7</v>
      </c>
      <c r="G57" s="10"/>
      <c r="H57" s="10"/>
      <c r="I57" s="10"/>
      <c r="J57" s="10"/>
      <c r="K57" s="10"/>
      <c r="L57" s="10"/>
      <c r="M57" s="10"/>
      <c r="N57" s="10"/>
      <c r="O57" s="10"/>
      <c r="P57" s="10"/>
      <c r="Q57" s="10"/>
      <c r="R57" s="10"/>
      <c r="S57" s="10"/>
      <c r="T57" s="10"/>
      <c r="U57" s="10"/>
      <c r="V57" s="10"/>
      <c r="W57" s="10"/>
      <c r="X57" s="10"/>
      <c r="Y57" s="10"/>
      <c r="Z57" s="10"/>
      <c r="AA57" s="10"/>
    </row>
    <row r="58" spans="1:27" x14ac:dyDescent="0.25">
      <c r="E58" s="2" t="str">
        <f>E8</f>
        <v>Pumps</v>
      </c>
      <c r="F58" t="s">
        <v>7</v>
      </c>
      <c r="G58" s="10"/>
      <c r="H58" s="10"/>
      <c r="I58" s="10"/>
      <c r="J58" s="10"/>
      <c r="K58" s="10"/>
      <c r="L58" s="10"/>
      <c r="M58" s="10"/>
      <c r="N58" s="10"/>
      <c r="O58" s="10"/>
      <c r="P58" s="10"/>
      <c r="Q58" s="10"/>
      <c r="R58" s="10"/>
      <c r="S58" s="10"/>
      <c r="T58" s="10"/>
      <c r="U58" s="10"/>
      <c r="V58" s="10"/>
      <c r="W58" s="10"/>
      <c r="X58" s="10"/>
      <c r="Y58" s="10"/>
      <c r="Z58" s="10"/>
      <c r="AA58" s="10"/>
    </row>
    <row r="59" spans="1:27" x14ac:dyDescent="0.25">
      <c r="E59" s="2" t="str">
        <f>E9</f>
        <v>Valves and Meters</v>
      </c>
      <c r="F59" t="s">
        <v>7</v>
      </c>
      <c r="G59" s="10"/>
      <c r="H59" s="10"/>
      <c r="I59" s="10"/>
      <c r="J59" s="10"/>
      <c r="K59" s="10"/>
      <c r="L59" s="10"/>
      <c r="M59" s="10"/>
      <c r="N59" s="10"/>
      <c r="O59" s="10"/>
      <c r="P59" s="10"/>
      <c r="Q59" s="10"/>
      <c r="R59" s="10"/>
      <c r="S59" s="10"/>
      <c r="T59" s="10"/>
      <c r="U59" s="10"/>
      <c r="V59" s="10"/>
      <c r="W59" s="10"/>
      <c r="X59" s="10"/>
      <c r="Y59" s="10"/>
      <c r="Z59" s="10"/>
      <c r="AA59" s="10"/>
    </row>
    <row r="60" spans="1:27" x14ac:dyDescent="0.25">
      <c r="E60" t="s">
        <v>131</v>
      </c>
      <c r="F60" t="s">
        <v>7</v>
      </c>
      <c r="G60" s="10"/>
      <c r="H60" s="10"/>
      <c r="I60" s="10"/>
      <c r="J60" s="10"/>
      <c r="K60" s="10"/>
      <c r="L60" s="10"/>
      <c r="M60" s="10"/>
      <c r="N60" s="10"/>
      <c r="O60" s="10"/>
      <c r="P60" s="10"/>
      <c r="Q60" s="10"/>
      <c r="R60" s="10"/>
      <c r="S60" s="10"/>
      <c r="T60" s="10"/>
      <c r="U60" s="10"/>
      <c r="V60" s="10"/>
      <c r="W60" s="10"/>
      <c r="X60" s="10"/>
      <c r="Y60" s="10"/>
      <c r="Z60" s="10"/>
      <c r="AA60" s="10"/>
    </row>
    <row r="61" spans="1:27" x14ac:dyDescent="0.25">
      <c r="G61" s="2">
        <f>SUM(G57:G60)</f>
        <v>0</v>
      </c>
      <c r="H61" s="2">
        <f t="shared" ref="H61:AA61" si="7">SUM(H57:H60)</f>
        <v>0</v>
      </c>
      <c r="I61" s="2">
        <f t="shared" si="7"/>
        <v>0</v>
      </c>
      <c r="J61" s="2">
        <f t="shared" si="7"/>
        <v>0</v>
      </c>
      <c r="K61" s="2">
        <f t="shared" si="7"/>
        <v>0</v>
      </c>
      <c r="L61" s="2">
        <f t="shared" si="7"/>
        <v>0</v>
      </c>
      <c r="M61" s="2">
        <f t="shared" si="7"/>
        <v>0</v>
      </c>
      <c r="N61" s="2">
        <f t="shared" si="7"/>
        <v>0</v>
      </c>
      <c r="O61" s="2">
        <f t="shared" si="7"/>
        <v>0</v>
      </c>
      <c r="P61" s="2">
        <f t="shared" si="7"/>
        <v>0</v>
      </c>
      <c r="Q61" s="2">
        <f t="shared" si="7"/>
        <v>0</v>
      </c>
      <c r="R61" s="2">
        <f t="shared" si="7"/>
        <v>0</v>
      </c>
      <c r="S61" s="2">
        <f t="shared" si="7"/>
        <v>0</v>
      </c>
      <c r="T61" s="2">
        <f t="shared" si="7"/>
        <v>0</v>
      </c>
      <c r="U61" s="2">
        <f t="shared" si="7"/>
        <v>0</v>
      </c>
      <c r="V61" s="2">
        <f t="shared" si="7"/>
        <v>0</v>
      </c>
      <c r="W61" s="2">
        <f t="shared" si="7"/>
        <v>0</v>
      </c>
      <c r="X61" s="2">
        <f t="shared" si="7"/>
        <v>0</v>
      </c>
      <c r="Y61" s="2">
        <f t="shared" si="7"/>
        <v>0</v>
      </c>
      <c r="Z61" s="2">
        <f t="shared" si="7"/>
        <v>0</v>
      </c>
      <c r="AA61" s="2">
        <f t="shared" si="7"/>
        <v>0</v>
      </c>
    </row>
    <row r="63" spans="1:27" x14ac:dyDescent="0.25">
      <c r="D63" t="s">
        <v>136</v>
      </c>
      <c r="G63" s="2"/>
      <c r="H63" s="2"/>
      <c r="I63" s="2"/>
      <c r="J63" s="2"/>
      <c r="K63" s="2"/>
      <c r="L63" s="2"/>
      <c r="M63" s="2"/>
      <c r="N63" s="2"/>
      <c r="O63" s="2"/>
      <c r="P63" s="2"/>
      <c r="Q63" s="2"/>
    </row>
    <row r="64" spans="1:27" x14ac:dyDescent="0.25">
      <c r="E64" s="2" t="str">
        <f>E57</f>
        <v>Average asset life for all growth assets</v>
      </c>
      <c r="F64" t="s">
        <v>7</v>
      </c>
      <c r="G64" s="2">
        <f t="shared" ref="G64:AA66" si="8">G57/$G7+IF((G$2-$G7+1)&gt;0,-INDEX($G57:$AA57,1,(G$2-$G7+1))/$G7,0)</f>
        <v>0</v>
      </c>
      <c r="H64" s="2">
        <f t="shared" si="8"/>
        <v>0</v>
      </c>
      <c r="I64" s="2">
        <f t="shared" si="8"/>
        <v>0</v>
      </c>
      <c r="J64" s="2">
        <f t="shared" si="8"/>
        <v>0</v>
      </c>
      <c r="K64" s="2">
        <f t="shared" si="8"/>
        <v>0</v>
      </c>
      <c r="L64" s="2">
        <f t="shared" si="8"/>
        <v>0</v>
      </c>
      <c r="M64" s="2">
        <f t="shared" si="8"/>
        <v>0</v>
      </c>
      <c r="N64" s="2">
        <f t="shared" si="8"/>
        <v>0</v>
      </c>
      <c r="O64" s="2">
        <f t="shared" si="8"/>
        <v>0</v>
      </c>
      <c r="P64" s="2">
        <f t="shared" si="8"/>
        <v>0</v>
      </c>
      <c r="Q64" s="2">
        <f t="shared" si="8"/>
        <v>0</v>
      </c>
      <c r="R64" s="2">
        <f t="shared" si="8"/>
        <v>0</v>
      </c>
      <c r="S64" s="2">
        <f t="shared" si="8"/>
        <v>0</v>
      </c>
      <c r="T64" s="2">
        <f t="shared" si="8"/>
        <v>0</v>
      </c>
      <c r="U64" s="2">
        <f t="shared" si="8"/>
        <v>0</v>
      </c>
      <c r="V64" s="2">
        <f t="shared" si="8"/>
        <v>0</v>
      </c>
      <c r="W64" s="2">
        <f t="shared" si="8"/>
        <v>0</v>
      </c>
      <c r="X64" s="2">
        <f t="shared" si="8"/>
        <v>0</v>
      </c>
      <c r="Y64" s="2">
        <f t="shared" si="8"/>
        <v>0</v>
      </c>
      <c r="Z64" s="2">
        <f t="shared" si="8"/>
        <v>0</v>
      </c>
      <c r="AA64" s="2">
        <f t="shared" si="8"/>
        <v>0</v>
      </c>
    </row>
    <row r="65" spans="1:27" x14ac:dyDescent="0.25">
      <c r="E65" s="2" t="str">
        <f t="shared" ref="E65:E66" si="9">E58</f>
        <v>Pumps</v>
      </c>
      <c r="F65" t="s">
        <v>7</v>
      </c>
      <c r="G65" s="2">
        <f t="shared" si="8"/>
        <v>0</v>
      </c>
      <c r="H65" s="2">
        <f t="shared" si="8"/>
        <v>0</v>
      </c>
      <c r="I65" s="2">
        <f t="shared" si="8"/>
        <v>0</v>
      </c>
      <c r="J65" s="2">
        <f t="shared" si="8"/>
        <v>0</v>
      </c>
      <c r="K65" s="2">
        <f t="shared" si="8"/>
        <v>0</v>
      </c>
      <c r="L65" s="2">
        <f t="shared" si="8"/>
        <v>0</v>
      </c>
      <c r="M65" s="2">
        <f t="shared" si="8"/>
        <v>0</v>
      </c>
      <c r="N65" s="2">
        <f t="shared" si="8"/>
        <v>0</v>
      </c>
      <c r="O65" s="2">
        <f t="shared" si="8"/>
        <v>0</v>
      </c>
      <c r="P65" s="2">
        <f t="shared" si="8"/>
        <v>0</v>
      </c>
      <c r="Q65" s="2">
        <f t="shared" si="8"/>
        <v>0</v>
      </c>
      <c r="R65" s="2">
        <f t="shared" si="8"/>
        <v>0</v>
      </c>
      <c r="S65" s="2">
        <f t="shared" si="8"/>
        <v>0</v>
      </c>
      <c r="T65" s="2">
        <f t="shared" si="8"/>
        <v>0</v>
      </c>
      <c r="U65" s="2">
        <f t="shared" si="8"/>
        <v>0</v>
      </c>
      <c r="V65" s="2">
        <f t="shared" si="8"/>
        <v>0</v>
      </c>
      <c r="W65" s="2">
        <f t="shared" si="8"/>
        <v>0</v>
      </c>
      <c r="X65" s="2">
        <f t="shared" si="8"/>
        <v>0</v>
      </c>
      <c r="Y65" s="2">
        <f t="shared" si="8"/>
        <v>0</v>
      </c>
      <c r="Z65" s="2">
        <f t="shared" si="8"/>
        <v>0</v>
      </c>
      <c r="AA65" s="2">
        <f t="shared" si="8"/>
        <v>0</v>
      </c>
    </row>
    <row r="66" spans="1:27" x14ac:dyDescent="0.25">
      <c r="E66" s="2" t="str">
        <f t="shared" si="9"/>
        <v>Valves and Meters</v>
      </c>
      <c r="F66" t="s">
        <v>7</v>
      </c>
      <c r="G66" s="2">
        <f t="shared" si="8"/>
        <v>0</v>
      </c>
      <c r="H66" s="2">
        <f t="shared" si="8"/>
        <v>0</v>
      </c>
      <c r="I66" s="2">
        <f t="shared" si="8"/>
        <v>0</v>
      </c>
      <c r="J66" s="2">
        <f t="shared" si="8"/>
        <v>0</v>
      </c>
      <c r="K66" s="2">
        <f t="shared" si="8"/>
        <v>0</v>
      </c>
      <c r="L66" s="2">
        <f t="shared" si="8"/>
        <v>0</v>
      </c>
      <c r="M66" s="2">
        <f t="shared" si="8"/>
        <v>0</v>
      </c>
      <c r="N66" s="2">
        <f t="shared" si="8"/>
        <v>0</v>
      </c>
      <c r="O66" s="2">
        <f t="shared" si="8"/>
        <v>0</v>
      </c>
      <c r="P66" s="2">
        <f t="shared" si="8"/>
        <v>0</v>
      </c>
      <c r="Q66" s="2">
        <f t="shared" si="8"/>
        <v>0</v>
      </c>
      <c r="R66" s="2">
        <f t="shared" si="8"/>
        <v>0</v>
      </c>
      <c r="S66" s="2">
        <f t="shared" si="8"/>
        <v>0</v>
      </c>
      <c r="T66" s="2">
        <f t="shared" si="8"/>
        <v>0</v>
      </c>
      <c r="U66" s="2">
        <f t="shared" si="8"/>
        <v>0</v>
      </c>
      <c r="V66" s="2">
        <f t="shared" si="8"/>
        <v>0</v>
      </c>
      <c r="W66" s="2">
        <f t="shared" si="8"/>
        <v>0</v>
      </c>
      <c r="X66" s="2">
        <f t="shared" si="8"/>
        <v>0</v>
      </c>
      <c r="Y66" s="2">
        <f t="shared" si="8"/>
        <v>0</v>
      </c>
      <c r="Z66" s="2">
        <f t="shared" si="8"/>
        <v>0</v>
      </c>
      <c r="AA66" s="2">
        <f t="shared" si="8"/>
        <v>0</v>
      </c>
    </row>
    <row r="68" spans="1:27" x14ac:dyDescent="0.25">
      <c r="D68" t="s">
        <v>137</v>
      </c>
      <c r="F68" t="s">
        <v>7</v>
      </c>
      <c r="G68" s="2">
        <f>SUM($G$64:G66)</f>
        <v>0</v>
      </c>
      <c r="H68" s="2">
        <f>SUM($G$64:H66)</f>
        <v>0</v>
      </c>
      <c r="I68" s="2">
        <f>SUM($G$64:I66)</f>
        <v>0</v>
      </c>
      <c r="J68" s="2">
        <f>SUM($G$64:J66)</f>
        <v>0</v>
      </c>
      <c r="K68" s="2">
        <f>SUM($G$64:K66)</f>
        <v>0</v>
      </c>
      <c r="L68" s="2">
        <f>SUM($G$64:L66)</f>
        <v>0</v>
      </c>
      <c r="M68" s="2">
        <f>SUM($G$64:M66)</f>
        <v>0</v>
      </c>
      <c r="N68" s="2">
        <f>SUM($G$64:N66)</f>
        <v>0</v>
      </c>
      <c r="O68" s="2">
        <f>SUM($G$64:O66)</f>
        <v>0</v>
      </c>
      <c r="P68" s="2">
        <f>SUM($G$64:P66)</f>
        <v>0</v>
      </c>
      <c r="Q68" s="2">
        <f>SUM($G$64:Q66)</f>
        <v>0</v>
      </c>
      <c r="R68" s="2">
        <f>SUM($G$64:R66)</f>
        <v>0</v>
      </c>
      <c r="S68" s="2">
        <f>SUM($G$64:S66)</f>
        <v>0</v>
      </c>
      <c r="T68" s="2">
        <f>SUM($G$64:T66)</f>
        <v>0</v>
      </c>
      <c r="U68" s="2">
        <f>SUM($G$64:U66)</f>
        <v>0</v>
      </c>
      <c r="V68" s="2">
        <f>SUM($G$64:V66)</f>
        <v>0</v>
      </c>
      <c r="W68" s="2">
        <f>SUM($G$64:W66)</f>
        <v>0</v>
      </c>
      <c r="X68" s="2">
        <f>SUM($G$64:X66)</f>
        <v>0</v>
      </c>
      <c r="Y68" s="2">
        <f>SUM($G$64:Y66)</f>
        <v>0</v>
      </c>
      <c r="Z68" s="2">
        <f>SUM($G$64:Z66)</f>
        <v>0</v>
      </c>
      <c r="AA68" s="2">
        <f>SUM($G$64:AA66)</f>
        <v>0</v>
      </c>
    </row>
    <row r="70" spans="1:27" x14ac:dyDescent="0.25">
      <c r="A70" s="14">
        <f>'Notes &amp; Assumptions'!A27</f>
        <v>14</v>
      </c>
      <c r="D70" t="s">
        <v>6</v>
      </c>
    </row>
    <row r="71" spans="1:27" x14ac:dyDescent="0.25">
      <c r="E71" s="2" t="str">
        <f>E7</f>
        <v>Average asset life for all growth assets</v>
      </c>
      <c r="F71" t="s">
        <v>7</v>
      </c>
      <c r="G71" s="10"/>
      <c r="H71" s="10"/>
      <c r="I71" s="10"/>
      <c r="J71" s="10"/>
      <c r="K71" s="10"/>
      <c r="L71" s="10"/>
      <c r="M71" s="10"/>
      <c r="N71" s="10"/>
      <c r="O71" s="10"/>
      <c r="P71" s="10"/>
      <c r="Q71" s="10"/>
      <c r="R71" s="10"/>
      <c r="S71" s="10"/>
      <c r="T71" s="10"/>
      <c r="U71" s="10"/>
      <c r="V71" s="10"/>
      <c r="W71" s="10"/>
      <c r="X71" s="10"/>
      <c r="Y71" s="10"/>
      <c r="Z71" s="10"/>
      <c r="AA71" s="10"/>
    </row>
    <row r="72" spans="1:27" x14ac:dyDescent="0.25">
      <c r="E72" s="2" t="str">
        <f>E8</f>
        <v>Pumps</v>
      </c>
      <c r="F72" t="s">
        <v>7</v>
      </c>
      <c r="G72" s="10"/>
      <c r="H72" s="10"/>
      <c r="I72" s="10"/>
      <c r="J72" s="10"/>
      <c r="K72" s="10"/>
      <c r="L72" s="10"/>
      <c r="M72" s="10"/>
      <c r="N72" s="10"/>
      <c r="O72" s="10"/>
      <c r="P72" s="10"/>
      <c r="Q72" s="10"/>
      <c r="R72" s="10"/>
      <c r="S72" s="10"/>
      <c r="T72" s="10"/>
      <c r="U72" s="10"/>
      <c r="V72" s="10"/>
      <c r="W72" s="10"/>
      <c r="X72" s="10"/>
      <c r="Y72" s="10"/>
      <c r="Z72" s="10"/>
      <c r="AA72" s="10"/>
    </row>
    <row r="73" spans="1:27" x14ac:dyDescent="0.25">
      <c r="E73" s="2" t="str">
        <f>E9</f>
        <v>Valves and Meters</v>
      </c>
      <c r="F73" t="s">
        <v>7</v>
      </c>
      <c r="G73" s="10"/>
      <c r="H73" s="10"/>
      <c r="I73" s="10"/>
      <c r="J73" s="10"/>
      <c r="K73" s="10"/>
      <c r="L73" s="10"/>
      <c r="M73" s="10"/>
      <c r="N73" s="10"/>
      <c r="O73" s="10"/>
      <c r="P73" s="10"/>
      <c r="Q73" s="10"/>
      <c r="R73" s="10"/>
      <c r="S73" s="10"/>
      <c r="T73" s="10"/>
      <c r="U73" s="10"/>
      <c r="V73" s="10"/>
      <c r="W73" s="10"/>
      <c r="X73" s="10"/>
      <c r="Y73" s="10"/>
      <c r="Z73" s="10"/>
      <c r="AA73" s="10"/>
    </row>
    <row r="74" spans="1:27" x14ac:dyDescent="0.25">
      <c r="E74" t="s">
        <v>131</v>
      </c>
      <c r="F74" t="s">
        <v>7</v>
      </c>
      <c r="G74" s="10"/>
      <c r="H74" s="10"/>
      <c r="I74" s="10"/>
      <c r="J74" s="10"/>
      <c r="K74" s="10"/>
      <c r="L74" s="10"/>
      <c r="M74" s="10"/>
      <c r="N74" s="10"/>
      <c r="O74" s="10"/>
      <c r="P74" s="10"/>
      <c r="Q74" s="10"/>
      <c r="R74" s="10"/>
      <c r="S74" s="10"/>
      <c r="T74" s="10"/>
      <c r="U74" s="10"/>
      <c r="V74" s="10"/>
      <c r="W74" s="10"/>
      <c r="X74" s="10"/>
      <c r="Y74" s="10"/>
      <c r="Z74" s="10"/>
      <c r="AA74" s="10"/>
    </row>
    <row r="75" spans="1:27" x14ac:dyDescent="0.25">
      <c r="G75" s="2">
        <f>SUM(G71:G74)</f>
        <v>0</v>
      </c>
      <c r="H75" s="2">
        <f t="shared" ref="H75:AA75" si="10">SUM(H71:H74)</f>
        <v>0</v>
      </c>
      <c r="I75" s="2">
        <f t="shared" si="10"/>
        <v>0</v>
      </c>
      <c r="J75" s="2">
        <f t="shared" si="10"/>
        <v>0</v>
      </c>
      <c r="K75" s="2">
        <f t="shared" si="10"/>
        <v>0</v>
      </c>
      <c r="L75" s="2">
        <f t="shared" si="10"/>
        <v>0</v>
      </c>
      <c r="M75" s="2">
        <f t="shared" si="10"/>
        <v>0</v>
      </c>
      <c r="N75" s="2">
        <f t="shared" si="10"/>
        <v>0</v>
      </c>
      <c r="O75" s="2">
        <f t="shared" si="10"/>
        <v>0</v>
      </c>
      <c r="P75" s="2">
        <f t="shared" si="10"/>
        <v>0</v>
      </c>
      <c r="Q75" s="2">
        <f t="shared" si="10"/>
        <v>0</v>
      </c>
      <c r="R75" s="2">
        <f t="shared" si="10"/>
        <v>0</v>
      </c>
      <c r="S75" s="2">
        <f t="shared" si="10"/>
        <v>0</v>
      </c>
      <c r="T75" s="2">
        <f t="shared" si="10"/>
        <v>0</v>
      </c>
      <c r="U75" s="2">
        <f t="shared" si="10"/>
        <v>0</v>
      </c>
      <c r="V75" s="2">
        <f t="shared" si="10"/>
        <v>0</v>
      </c>
      <c r="W75" s="2">
        <f t="shared" si="10"/>
        <v>0</v>
      </c>
      <c r="X75" s="2">
        <f t="shared" si="10"/>
        <v>0</v>
      </c>
      <c r="Y75" s="2">
        <f t="shared" si="10"/>
        <v>0</v>
      </c>
      <c r="Z75" s="2">
        <f t="shared" si="10"/>
        <v>0</v>
      </c>
      <c r="AA75" s="2">
        <f t="shared" si="10"/>
        <v>0</v>
      </c>
    </row>
    <row r="76" spans="1:27" x14ac:dyDescent="0.25">
      <c r="G76" s="2"/>
      <c r="H76" s="2"/>
      <c r="I76" s="2"/>
      <c r="J76" s="2"/>
      <c r="K76" s="2"/>
      <c r="L76" s="2"/>
      <c r="M76" s="2"/>
      <c r="N76" s="2"/>
      <c r="O76" s="2"/>
      <c r="P76" s="2"/>
      <c r="Q76" s="2"/>
      <c r="R76" s="2"/>
      <c r="S76" s="2"/>
      <c r="T76" s="2"/>
      <c r="U76" s="2"/>
      <c r="V76" s="2"/>
      <c r="W76" s="2"/>
      <c r="X76" s="2"/>
      <c r="Y76" s="2"/>
      <c r="Z76" s="2"/>
      <c r="AA76" s="2"/>
    </row>
    <row r="77" spans="1:27" x14ac:dyDescent="0.25">
      <c r="D77" t="s">
        <v>136</v>
      </c>
      <c r="G77" s="2"/>
      <c r="H77" s="2"/>
      <c r="I77" s="2"/>
      <c r="J77" s="2"/>
      <c r="K77" s="2"/>
      <c r="L77" s="2"/>
      <c r="M77" s="2"/>
      <c r="N77" s="2"/>
      <c r="O77" s="2"/>
      <c r="P77" s="2"/>
      <c r="Q77" s="2"/>
    </row>
    <row r="78" spans="1:27" x14ac:dyDescent="0.25">
      <c r="E78" s="2" t="str">
        <f>E71</f>
        <v>Average asset life for all growth assets</v>
      </c>
      <c r="F78" t="s">
        <v>7</v>
      </c>
      <c r="G78" s="2">
        <f t="shared" ref="G78:AA80" si="11">G71/$G7+IF((G$2-$G7+1)&gt;0,-INDEX($G71:$AA71,1,(G$2-$G7+1))/$G7,0)</f>
        <v>0</v>
      </c>
      <c r="H78" s="2">
        <f t="shared" si="11"/>
        <v>0</v>
      </c>
      <c r="I78" s="2">
        <f t="shared" si="11"/>
        <v>0</v>
      </c>
      <c r="J78" s="2">
        <f t="shared" si="11"/>
        <v>0</v>
      </c>
      <c r="K78" s="2">
        <f t="shared" si="11"/>
        <v>0</v>
      </c>
      <c r="L78" s="2">
        <f t="shared" si="11"/>
        <v>0</v>
      </c>
      <c r="M78" s="2">
        <f t="shared" si="11"/>
        <v>0</v>
      </c>
      <c r="N78" s="2">
        <f t="shared" si="11"/>
        <v>0</v>
      </c>
      <c r="O78" s="2">
        <f t="shared" si="11"/>
        <v>0</v>
      </c>
      <c r="P78" s="2">
        <f t="shared" si="11"/>
        <v>0</v>
      </c>
      <c r="Q78" s="2">
        <f t="shared" si="11"/>
        <v>0</v>
      </c>
      <c r="R78" s="2">
        <f t="shared" si="11"/>
        <v>0</v>
      </c>
      <c r="S78" s="2">
        <f t="shared" si="11"/>
        <v>0</v>
      </c>
      <c r="T78" s="2">
        <f t="shared" si="11"/>
        <v>0</v>
      </c>
      <c r="U78" s="2">
        <f t="shared" si="11"/>
        <v>0</v>
      </c>
      <c r="V78" s="2">
        <f t="shared" si="11"/>
        <v>0</v>
      </c>
      <c r="W78" s="2">
        <f t="shared" si="11"/>
        <v>0</v>
      </c>
      <c r="X78" s="2">
        <f t="shared" si="11"/>
        <v>0</v>
      </c>
      <c r="Y78" s="2">
        <f t="shared" si="11"/>
        <v>0</v>
      </c>
      <c r="Z78" s="2">
        <f t="shared" si="11"/>
        <v>0</v>
      </c>
      <c r="AA78" s="2">
        <f t="shared" si="11"/>
        <v>0</v>
      </c>
    </row>
    <row r="79" spans="1:27" x14ac:dyDescent="0.25">
      <c r="E79" s="2" t="str">
        <f t="shared" ref="E79:E80" si="12">E72</f>
        <v>Pumps</v>
      </c>
      <c r="F79" t="s">
        <v>7</v>
      </c>
      <c r="G79" s="2">
        <f t="shared" si="11"/>
        <v>0</v>
      </c>
      <c r="H79" s="2">
        <f t="shared" si="11"/>
        <v>0</v>
      </c>
      <c r="I79" s="2">
        <f t="shared" si="11"/>
        <v>0</v>
      </c>
      <c r="J79" s="2">
        <f t="shared" si="11"/>
        <v>0</v>
      </c>
      <c r="K79" s="2">
        <f t="shared" si="11"/>
        <v>0</v>
      </c>
      <c r="L79" s="2">
        <f t="shared" si="11"/>
        <v>0</v>
      </c>
      <c r="M79" s="2">
        <f t="shared" si="11"/>
        <v>0</v>
      </c>
      <c r="N79" s="2">
        <f t="shared" si="11"/>
        <v>0</v>
      </c>
      <c r="O79" s="2">
        <f t="shared" si="11"/>
        <v>0</v>
      </c>
      <c r="P79" s="2">
        <f t="shared" si="11"/>
        <v>0</v>
      </c>
      <c r="Q79" s="2">
        <f t="shared" si="11"/>
        <v>0</v>
      </c>
      <c r="R79" s="2">
        <f t="shared" si="11"/>
        <v>0</v>
      </c>
      <c r="S79" s="2">
        <f t="shared" si="11"/>
        <v>0</v>
      </c>
      <c r="T79" s="2">
        <f t="shared" si="11"/>
        <v>0</v>
      </c>
      <c r="U79" s="2">
        <f t="shared" si="11"/>
        <v>0</v>
      </c>
      <c r="V79" s="2">
        <f t="shared" si="11"/>
        <v>0</v>
      </c>
      <c r="W79" s="2">
        <f t="shared" si="11"/>
        <v>0</v>
      </c>
      <c r="X79" s="2">
        <f t="shared" si="11"/>
        <v>0</v>
      </c>
      <c r="Y79" s="2">
        <f t="shared" si="11"/>
        <v>0</v>
      </c>
      <c r="Z79" s="2">
        <f t="shared" si="11"/>
        <v>0</v>
      </c>
      <c r="AA79" s="2">
        <f t="shared" si="11"/>
        <v>0</v>
      </c>
    </row>
    <row r="80" spans="1:27" x14ac:dyDescent="0.25">
      <c r="E80" s="2" t="str">
        <f t="shared" si="12"/>
        <v>Valves and Meters</v>
      </c>
      <c r="F80" t="s">
        <v>7</v>
      </c>
      <c r="G80" s="2">
        <f t="shared" si="11"/>
        <v>0</v>
      </c>
      <c r="H80" s="2">
        <f t="shared" si="11"/>
        <v>0</v>
      </c>
      <c r="I80" s="2">
        <f t="shared" si="11"/>
        <v>0</v>
      </c>
      <c r="J80" s="2">
        <f t="shared" si="11"/>
        <v>0</v>
      </c>
      <c r="K80" s="2">
        <f t="shared" si="11"/>
        <v>0</v>
      </c>
      <c r="L80" s="2">
        <f t="shared" si="11"/>
        <v>0</v>
      </c>
      <c r="M80" s="2">
        <f t="shared" si="11"/>
        <v>0</v>
      </c>
      <c r="N80" s="2">
        <f t="shared" si="11"/>
        <v>0</v>
      </c>
      <c r="O80" s="2">
        <f t="shared" si="11"/>
        <v>0</v>
      </c>
      <c r="P80" s="2">
        <f t="shared" si="11"/>
        <v>0</v>
      </c>
      <c r="Q80" s="2">
        <f t="shared" si="11"/>
        <v>0</v>
      </c>
      <c r="R80" s="2">
        <f t="shared" si="11"/>
        <v>0</v>
      </c>
      <c r="S80" s="2">
        <f t="shared" si="11"/>
        <v>0</v>
      </c>
      <c r="T80" s="2">
        <f t="shared" si="11"/>
        <v>0</v>
      </c>
      <c r="U80" s="2">
        <f t="shared" si="11"/>
        <v>0</v>
      </c>
      <c r="V80" s="2">
        <f t="shared" si="11"/>
        <v>0</v>
      </c>
      <c r="W80" s="2">
        <f t="shared" si="11"/>
        <v>0</v>
      </c>
      <c r="X80" s="2">
        <f t="shared" si="11"/>
        <v>0</v>
      </c>
      <c r="Y80" s="2">
        <f t="shared" si="11"/>
        <v>0</v>
      </c>
      <c r="Z80" s="2">
        <f t="shared" si="11"/>
        <v>0</v>
      </c>
      <c r="AA80" s="2">
        <f t="shared" si="11"/>
        <v>0</v>
      </c>
    </row>
    <row r="82" spans="1:27" x14ac:dyDescent="0.25">
      <c r="D82" t="s">
        <v>137</v>
      </c>
      <c r="F82" t="s">
        <v>7</v>
      </c>
      <c r="G82" s="2">
        <f>SUM($G$77:G80)</f>
        <v>0</v>
      </c>
      <c r="H82" s="2">
        <f>SUM($G$77:H80)</f>
        <v>0</v>
      </c>
      <c r="I82" s="2">
        <f>SUM($G$77:I80)</f>
        <v>0</v>
      </c>
      <c r="J82" s="2">
        <f>SUM($G$77:J80)</f>
        <v>0</v>
      </c>
      <c r="K82" s="2">
        <f>SUM($G$77:K80)</f>
        <v>0</v>
      </c>
      <c r="L82" s="2">
        <f>SUM($G$77:L80)</f>
        <v>0</v>
      </c>
      <c r="M82" s="2">
        <f>SUM($G$77:M80)</f>
        <v>0</v>
      </c>
      <c r="N82" s="2">
        <f>SUM($G$77:N80)</f>
        <v>0</v>
      </c>
      <c r="O82" s="2">
        <f>SUM($G$77:O80)</f>
        <v>0</v>
      </c>
      <c r="P82" s="2">
        <f>SUM($G$77:P80)</f>
        <v>0</v>
      </c>
      <c r="Q82" s="2">
        <f>SUM($G$77:Q80)</f>
        <v>0</v>
      </c>
      <c r="R82" s="2">
        <f>SUM($G$77:R80)</f>
        <v>0</v>
      </c>
      <c r="S82" s="2">
        <f>SUM($G$77:S80)</f>
        <v>0</v>
      </c>
      <c r="T82" s="2">
        <f>SUM($G$77:T80)</f>
        <v>0</v>
      </c>
      <c r="U82" s="2">
        <f>SUM($G$77:U80)</f>
        <v>0</v>
      </c>
      <c r="V82" s="2">
        <f>SUM($G$77:V80)</f>
        <v>0</v>
      </c>
      <c r="W82" s="2">
        <f>SUM($G$77:W80)</f>
        <v>0</v>
      </c>
      <c r="X82" s="2">
        <f>SUM($G$77:X80)</f>
        <v>0</v>
      </c>
      <c r="Y82" s="2">
        <f>SUM($G$77:Y80)</f>
        <v>0</v>
      </c>
      <c r="Z82" s="2">
        <f>SUM($G$77:Z80)</f>
        <v>0</v>
      </c>
      <c r="AA82" s="2">
        <f>SUM($G$77:AA80)</f>
        <v>0</v>
      </c>
    </row>
    <row r="83" spans="1:27" x14ac:dyDescent="0.25">
      <c r="G83" s="2"/>
      <c r="H83" s="2"/>
      <c r="I83" s="2"/>
      <c r="J83" s="2"/>
      <c r="K83" s="2"/>
      <c r="L83" s="2"/>
      <c r="M83" s="2"/>
      <c r="N83" s="2"/>
      <c r="O83" s="2"/>
      <c r="P83" s="2"/>
      <c r="Q83" s="2"/>
      <c r="R83" s="2"/>
      <c r="S83" s="2"/>
      <c r="T83" s="2"/>
      <c r="U83" s="2"/>
      <c r="V83" s="2"/>
      <c r="W83" s="2"/>
      <c r="X83" s="2"/>
      <c r="Y83" s="2"/>
      <c r="Z83" s="2"/>
      <c r="AA83" s="2"/>
    </row>
    <row r="84" spans="1:27" x14ac:dyDescent="0.25">
      <c r="D84" t="s">
        <v>138</v>
      </c>
      <c r="F84" t="s">
        <v>7</v>
      </c>
      <c r="G84" s="2">
        <f t="shared" ref="G84:AA84" si="13">G61-G75</f>
        <v>0</v>
      </c>
      <c r="H84" s="2">
        <f t="shared" si="13"/>
        <v>0</v>
      </c>
      <c r="I84" s="2">
        <f t="shared" si="13"/>
        <v>0</v>
      </c>
      <c r="J84" s="2">
        <f t="shared" si="13"/>
        <v>0</v>
      </c>
      <c r="K84" s="2">
        <f t="shared" si="13"/>
        <v>0</v>
      </c>
      <c r="L84" s="2">
        <f t="shared" si="13"/>
        <v>0</v>
      </c>
      <c r="M84" s="2">
        <f t="shared" si="13"/>
        <v>0</v>
      </c>
      <c r="N84" s="2">
        <f t="shared" si="13"/>
        <v>0</v>
      </c>
      <c r="O84" s="2">
        <f t="shared" si="13"/>
        <v>0</v>
      </c>
      <c r="P84" s="2">
        <f t="shared" si="13"/>
        <v>0</v>
      </c>
      <c r="Q84" s="2">
        <f t="shared" si="13"/>
        <v>0</v>
      </c>
      <c r="R84" s="2">
        <f t="shared" si="13"/>
        <v>0</v>
      </c>
      <c r="S84" s="2">
        <f t="shared" si="13"/>
        <v>0</v>
      </c>
      <c r="T84" s="2">
        <f t="shared" si="13"/>
        <v>0</v>
      </c>
      <c r="U84" s="2">
        <f t="shared" si="13"/>
        <v>0</v>
      </c>
      <c r="V84" s="2">
        <f t="shared" si="13"/>
        <v>0</v>
      </c>
      <c r="W84" s="2">
        <f t="shared" si="13"/>
        <v>0</v>
      </c>
      <c r="X84" s="2">
        <f t="shared" si="13"/>
        <v>0</v>
      </c>
      <c r="Y84" s="2">
        <f t="shared" si="13"/>
        <v>0</v>
      </c>
      <c r="Z84" s="2">
        <f t="shared" si="13"/>
        <v>0</v>
      </c>
      <c r="AA84" s="2">
        <f t="shared" si="13"/>
        <v>0</v>
      </c>
    </row>
    <row r="85" spans="1:27" x14ac:dyDescent="0.25">
      <c r="D85" t="s">
        <v>139</v>
      </c>
      <c r="F85" t="s">
        <v>7</v>
      </c>
      <c r="G85" s="2">
        <f t="shared" ref="G85:AA85" si="14">-G68+G82</f>
        <v>0</v>
      </c>
      <c r="H85" s="2">
        <f t="shared" si="14"/>
        <v>0</v>
      </c>
      <c r="I85" s="2">
        <f t="shared" si="14"/>
        <v>0</v>
      </c>
      <c r="J85" s="2">
        <f t="shared" si="14"/>
        <v>0</v>
      </c>
      <c r="K85" s="2">
        <f t="shared" si="14"/>
        <v>0</v>
      </c>
      <c r="L85" s="2">
        <f t="shared" si="14"/>
        <v>0</v>
      </c>
      <c r="M85" s="2">
        <f t="shared" si="14"/>
        <v>0</v>
      </c>
      <c r="N85" s="2">
        <f t="shared" si="14"/>
        <v>0</v>
      </c>
      <c r="O85" s="2">
        <f t="shared" si="14"/>
        <v>0</v>
      </c>
      <c r="P85" s="2">
        <f t="shared" si="14"/>
        <v>0</v>
      </c>
      <c r="Q85" s="2">
        <f t="shared" si="14"/>
        <v>0</v>
      </c>
      <c r="R85" s="2">
        <f t="shared" si="14"/>
        <v>0</v>
      </c>
      <c r="S85" s="2">
        <f t="shared" si="14"/>
        <v>0</v>
      </c>
      <c r="T85" s="2">
        <f t="shared" si="14"/>
        <v>0</v>
      </c>
      <c r="U85" s="2">
        <f t="shared" si="14"/>
        <v>0</v>
      </c>
      <c r="V85" s="2">
        <f t="shared" si="14"/>
        <v>0</v>
      </c>
      <c r="W85" s="2">
        <f t="shared" si="14"/>
        <v>0</v>
      </c>
      <c r="X85" s="2">
        <f t="shared" si="14"/>
        <v>0</v>
      </c>
      <c r="Y85" s="2">
        <f t="shared" si="14"/>
        <v>0</v>
      </c>
      <c r="Z85" s="2">
        <f t="shared" si="14"/>
        <v>0</v>
      </c>
      <c r="AA85" s="2">
        <f t="shared" si="14"/>
        <v>0</v>
      </c>
    </row>
    <row r="87" spans="1:27" x14ac:dyDescent="0.25">
      <c r="C87" s="1" t="str">
        <f>"Incremental "&amp;G4&amp;" Service Revenue"</f>
        <v>Incremental Water Supply Service Revenue</v>
      </c>
      <c r="D87" s="1"/>
    </row>
    <row r="88" spans="1:27" x14ac:dyDescent="0.25">
      <c r="C88" s="1"/>
      <c r="D88" s="1"/>
    </row>
    <row r="89" spans="1:27" x14ac:dyDescent="0.25">
      <c r="C89" s="1"/>
      <c r="D89" t="s">
        <v>59</v>
      </c>
      <c r="F89" t="s">
        <v>325</v>
      </c>
      <c r="G89" t="s">
        <v>326</v>
      </c>
    </row>
    <row r="90" spans="1:27" x14ac:dyDescent="0.25">
      <c r="A90" s="14">
        <f>'Notes &amp; Assumptions'!A28</f>
        <v>15</v>
      </c>
      <c r="C90" s="1"/>
      <c r="D90" s="1"/>
      <c r="E90" t="s">
        <v>87</v>
      </c>
      <c r="F90" t="s">
        <v>3</v>
      </c>
      <c r="H90" s="10">
        <f>'Customer numbers'!P6</f>
        <v>9330</v>
      </c>
      <c r="I90" s="10">
        <f>'Customer numbers'!Q6</f>
        <v>8804</v>
      </c>
      <c r="J90" s="10">
        <f>'Customer numbers'!R6</f>
        <v>8435.2999999999993</v>
      </c>
      <c r="K90" s="10">
        <f>'Customer numbers'!S6</f>
        <v>7648.1999999999989</v>
      </c>
      <c r="L90" s="10">
        <f>'Customer numbers'!T6</f>
        <v>6885.2999999999984</v>
      </c>
      <c r="M90" s="10">
        <f>'Customer numbers'!U6</f>
        <v>6170.9999999999982</v>
      </c>
      <c r="N90" s="10">
        <f>'Customer numbers'!V6</f>
        <v>5492.699999999998</v>
      </c>
      <c r="O90" s="10">
        <f>'Customer numbers'!W6</f>
        <v>4855.0999999999976</v>
      </c>
      <c r="P90" s="10">
        <f>'Customer numbers'!X6</f>
        <v>4699.8999999999978</v>
      </c>
      <c r="Q90" s="10">
        <f>'Customer numbers'!Y6</f>
        <v>4512.2999999999984</v>
      </c>
      <c r="R90" s="10">
        <f>'Customer numbers'!Z6</f>
        <v>4777.4999999999982</v>
      </c>
      <c r="S90" s="10">
        <f>'Customer numbers'!AA6</f>
        <v>5062.199999999998</v>
      </c>
      <c r="T90" s="10">
        <f>'Customer numbers'!AB6</f>
        <v>5362.4999999999982</v>
      </c>
      <c r="U90" s="10">
        <f>'Customer numbers'!AC6</f>
        <v>5327.3999999999978</v>
      </c>
      <c r="V90" s="10">
        <f>'Customer numbers'!AD6</f>
        <v>5288.3999999999978</v>
      </c>
    </row>
    <row r="91" spans="1:27" x14ac:dyDescent="0.25">
      <c r="C91" s="1"/>
      <c r="D91" s="1"/>
      <c r="E91" t="s">
        <v>60</v>
      </c>
      <c r="F91" t="s">
        <v>3</v>
      </c>
      <c r="G91" s="2">
        <f>IF('Key assumptions'!B4="yes",SUM('Customer numbers'!F7:O7),0)</f>
        <v>0</v>
      </c>
      <c r="H91" s="2">
        <f>G91+H90</f>
        <v>9330</v>
      </c>
      <c r="I91" s="2">
        <f t="shared" ref="I91:AA91" si="15">H91+I90</f>
        <v>18134</v>
      </c>
      <c r="J91" s="2">
        <f t="shared" si="15"/>
        <v>26569.3</v>
      </c>
      <c r="K91" s="2">
        <f t="shared" si="15"/>
        <v>34217.5</v>
      </c>
      <c r="L91" s="2">
        <f t="shared" si="15"/>
        <v>41102.799999999996</v>
      </c>
      <c r="M91" s="2">
        <f t="shared" si="15"/>
        <v>47273.799999999996</v>
      </c>
      <c r="N91" s="2">
        <f t="shared" si="15"/>
        <v>52766.499999999993</v>
      </c>
      <c r="O91" s="2">
        <f t="shared" si="15"/>
        <v>57621.599999999991</v>
      </c>
      <c r="P91" s="2">
        <f t="shared" si="15"/>
        <v>62321.499999999985</v>
      </c>
      <c r="Q91" s="2">
        <f t="shared" si="15"/>
        <v>66833.799999999988</v>
      </c>
      <c r="R91" s="2">
        <f t="shared" si="15"/>
        <v>71611.299999999988</v>
      </c>
      <c r="S91" s="2">
        <f t="shared" si="15"/>
        <v>76673.499999999985</v>
      </c>
      <c r="T91" s="2">
        <f t="shared" si="15"/>
        <v>82035.999999999985</v>
      </c>
      <c r="U91" s="2">
        <f t="shared" si="15"/>
        <v>87363.39999999998</v>
      </c>
      <c r="V91" s="2">
        <f t="shared" si="15"/>
        <v>92651.799999999974</v>
      </c>
      <c r="W91" s="2">
        <f t="shared" si="15"/>
        <v>92651.799999999974</v>
      </c>
      <c r="X91" s="2">
        <f t="shared" si="15"/>
        <v>92651.799999999974</v>
      </c>
      <c r="Y91" s="2">
        <f t="shared" si="15"/>
        <v>92651.799999999974</v>
      </c>
      <c r="Z91" s="2">
        <f t="shared" si="15"/>
        <v>92651.799999999974</v>
      </c>
      <c r="AA91" s="2">
        <f t="shared" si="15"/>
        <v>92651.799999999974</v>
      </c>
    </row>
    <row r="92" spans="1:27" x14ac:dyDescent="0.25">
      <c r="A92" s="14">
        <f>'Notes &amp; Assumptions'!A29</f>
        <v>16</v>
      </c>
      <c r="C92" s="1"/>
      <c r="D92" s="1"/>
      <c r="E92" t="s">
        <v>61</v>
      </c>
      <c r="F92" t="s">
        <v>3</v>
      </c>
      <c r="G92" s="10">
        <v>1</v>
      </c>
    </row>
    <row r="93" spans="1:27" x14ac:dyDescent="0.25">
      <c r="C93" s="1"/>
      <c r="D93" s="1"/>
      <c r="E93" t="s">
        <v>88</v>
      </c>
      <c r="F93" t="s">
        <v>3</v>
      </c>
      <c r="H93">
        <f>H90*$G92</f>
        <v>9330</v>
      </c>
      <c r="I93">
        <f t="shared" ref="I93:AA93" si="16">I90*$G92</f>
        <v>8804</v>
      </c>
      <c r="J93">
        <f t="shared" si="16"/>
        <v>8435.2999999999993</v>
      </c>
      <c r="K93">
        <f t="shared" si="16"/>
        <v>7648.1999999999989</v>
      </c>
      <c r="L93">
        <f t="shared" si="16"/>
        <v>6885.2999999999984</v>
      </c>
      <c r="M93">
        <f t="shared" si="16"/>
        <v>6170.9999999999982</v>
      </c>
      <c r="N93">
        <f t="shared" si="16"/>
        <v>5492.699999999998</v>
      </c>
      <c r="O93">
        <f t="shared" si="16"/>
        <v>4855.0999999999976</v>
      </c>
      <c r="P93">
        <f t="shared" si="16"/>
        <v>4699.8999999999978</v>
      </c>
      <c r="Q93">
        <f t="shared" si="16"/>
        <v>4512.2999999999984</v>
      </c>
      <c r="R93">
        <f t="shared" si="16"/>
        <v>4777.4999999999982</v>
      </c>
      <c r="S93">
        <f t="shared" si="16"/>
        <v>5062.199999999998</v>
      </c>
      <c r="T93">
        <f t="shared" si="16"/>
        <v>5362.4999999999982</v>
      </c>
      <c r="U93">
        <f t="shared" si="16"/>
        <v>5327.3999999999978</v>
      </c>
      <c r="V93">
        <f t="shared" si="16"/>
        <v>5288.3999999999978</v>
      </c>
      <c r="W93">
        <f t="shared" si="16"/>
        <v>0</v>
      </c>
      <c r="X93">
        <f t="shared" si="16"/>
        <v>0</v>
      </c>
      <c r="Y93">
        <f t="shared" si="16"/>
        <v>0</v>
      </c>
      <c r="Z93">
        <f t="shared" si="16"/>
        <v>0</v>
      </c>
      <c r="AA93">
        <f t="shared" si="16"/>
        <v>0</v>
      </c>
    </row>
    <row r="94" spans="1:27" x14ac:dyDescent="0.25">
      <c r="C94" s="1"/>
      <c r="D94" s="1"/>
      <c r="E94" t="s">
        <v>89</v>
      </c>
      <c r="F94" t="s">
        <v>3</v>
      </c>
      <c r="H94">
        <f>H91*$G92</f>
        <v>9330</v>
      </c>
      <c r="I94">
        <f>I91*$G92</f>
        <v>18134</v>
      </c>
      <c r="J94">
        <f t="shared" ref="J94:AA94" si="17">J91*$G92</f>
        <v>26569.3</v>
      </c>
      <c r="K94">
        <f t="shared" si="17"/>
        <v>34217.5</v>
      </c>
      <c r="L94">
        <f t="shared" si="17"/>
        <v>41102.799999999996</v>
      </c>
      <c r="M94">
        <f t="shared" si="17"/>
        <v>47273.799999999996</v>
      </c>
      <c r="N94">
        <f t="shared" si="17"/>
        <v>52766.499999999993</v>
      </c>
      <c r="O94">
        <f t="shared" si="17"/>
        <v>57621.599999999991</v>
      </c>
      <c r="P94">
        <f t="shared" si="17"/>
        <v>62321.499999999985</v>
      </c>
      <c r="Q94">
        <f t="shared" si="17"/>
        <v>66833.799999999988</v>
      </c>
      <c r="R94">
        <f t="shared" si="17"/>
        <v>71611.299999999988</v>
      </c>
      <c r="S94">
        <f t="shared" si="17"/>
        <v>76673.499999999985</v>
      </c>
      <c r="T94">
        <f t="shared" si="17"/>
        <v>82035.999999999985</v>
      </c>
      <c r="U94">
        <f t="shared" si="17"/>
        <v>87363.39999999998</v>
      </c>
      <c r="V94">
        <f t="shared" si="17"/>
        <v>92651.799999999974</v>
      </c>
      <c r="W94">
        <f t="shared" si="17"/>
        <v>92651.799999999974</v>
      </c>
      <c r="X94">
        <f t="shared" si="17"/>
        <v>92651.799999999974</v>
      </c>
      <c r="Y94">
        <f t="shared" si="17"/>
        <v>92651.799999999974</v>
      </c>
      <c r="Z94">
        <f t="shared" si="17"/>
        <v>92651.799999999974</v>
      </c>
      <c r="AA94">
        <f t="shared" si="17"/>
        <v>92651.799999999974</v>
      </c>
    </row>
    <row r="95" spans="1:27" x14ac:dyDescent="0.25">
      <c r="A95" s="14">
        <f>'Notes &amp; Assumptions'!A30</f>
        <v>17</v>
      </c>
      <c r="C95" s="1"/>
      <c r="D95" s="1"/>
      <c r="E95" t="s">
        <v>62</v>
      </c>
      <c r="F95" t="s">
        <v>43</v>
      </c>
      <c r="H95" s="10">
        <f>'Key assumptions'!B21</f>
        <v>150</v>
      </c>
      <c r="I95" s="10">
        <f>H95</f>
        <v>150</v>
      </c>
      <c r="J95" s="10">
        <f t="shared" ref="J95:AA95" si="18">I95</f>
        <v>150</v>
      </c>
      <c r="K95" s="10">
        <f t="shared" si="18"/>
        <v>150</v>
      </c>
      <c r="L95" s="10">
        <f t="shared" si="18"/>
        <v>150</v>
      </c>
      <c r="M95" s="10">
        <f t="shared" si="18"/>
        <v>150</v>
      </c>
      <c r="N95" s="10">
        <f t="shared" si="18"/>
        <v>150</v>
      </c>
      <c r="O95" s="10">
        <f t="shared" si="18"/>
        <v>150</v>
      </c>
      <c r="P95" s="10">
        <f t="shared" si="18"/>
        <v>150</v>
      </c>
      <c r="Q95" s="10">
        <f t="shared" si="18"/>
        <v>150</v>
      </c>
      <c r="R95" s="10">
        <f t="shared" si="18"/>
        <v>150</v>
      </c>
      <c r="S95" s="10">
        <f t="shared" si="18"/>
        <v>150</v>
      </c>
      <c r="T95" s="10">
        <f t="shared" si="18"/>
        <v>150</v>
      </c>
      <c r="U95" s="10">
        <f t="shared" si="18"/>
        <v>150</v>
      </c>
      <c r="V95" s="10">
        <f t="shared" si="18"/>
        <v>150</v>
      </c>
      <c r="W95" s="10">
        <f t="shared" si="18"/>
        <v>150</v>
      </c>
      <c r="X95" s="10">
        <f t="shared" si="18"/>
        <v>150</v>
      </c>
      <c r="Y95" s="10">
        <f t="shared" si="18"/>
        <v>150</v>
      </c>
      <c r="Z95" s="10">
        <f t="shared" si="18"/>
        <v>150</v>
      </c>
      <c r="AA95" s="10">
        <f t="shared" si="18"/>
        <v>150</v>
      </c>
    </row>
    <row r="96" spans="1:27" x14ac:dyDescent="0.25">
      <c r="C96" s="1"/>
      <c r="D96" s="1"/>
      <c r="E96" t="s">
        <v>63</v>
      </c>
      <c r="F96" t="s">
        <v>43</v>
      </c>
      <c r="H96" s="10"/>
      <c r="I96" s="10"/>
      <c r="J96" s="10"/>
      <c r="K96" s="10"/>
      <c r="L96" s="10"/>
      <c r="M96" s="10"/>
      <c r="N96" s="10"/>
      <c r="O96" s="10"/>
      <c r="P96" s="10"/>
      <c r="Q96" s="10"/>
      <c r="R96" s="10"/>
      <c r="S96" s="10"/>
      <c r="T96" s="10"/>
      <c r="U96" s="10"/>
      <c r="V96" s="10"/>
      <c r="W96" s="10"/>
      <c r="X96" s="10"/>
      <c r="Y96" s="10"/>
      <c r="Z96" s="10"/>
      <c r="AA96" s="10"/>
    </row>
    <row r="97" spans="1:27" x14ac:dyDescent="0.25">
      <c r="C97" s="1"/>
      <c r="D97" s="1"/>
      <c r="E97" t="s">
        <v>140</v>
      </c>
      <c r="F97" t="s">
        <v>43</v>
      </c>
      <c r="H97" s="10"/>
      <c r="I97" s="10"/>
      <c r="J97" s="10"/>
      <c r="K97" s="10"/>
      <c r="L97" s="10"/>
      <c r="M97" s="10"/>
      <c r="N97" s="10"/>
      <c r="O97" s="10"/>
      <c r="P97" s="10"/>
      <c r="Q97" s="10"/>
      <c r="R97" s="10"/>
      <c r="S97" s="10"/>
      <c r="T97" s="10"/>
      <c r="U97" s="10"/>
      <c r="V97" s="10"/>
      <c r="W97" s="10"/>
      <c r="X97" s="10"/>
      <c r="Y97" s="10"/>
      <c r="Z97" s="10"/>
      <c r="AA97" s="10"/>
    </row>
    <row r="98" spans="1:27" x14ac:dyDescent="0.25">
      <c r="C98" s="1"/>
      <c r="D98" s="1"/>
      <c r="E98" t="s">
        <v>64</v>
      </c>
      <c r="F98" t="s">
        <v>144</v>
      </c>
      <c r="H98" s="2">
        <f>H91*H95</f>
        <v>1399500</v>
      </c>
      <c r="I98" s="2">
        <f t="shared" ref="I98:AA98" si="19">I91*I95</f>
        <v>2720100</v>
      </c>
      <c r="J98" s="2">
        <f t="shared" si="19"/>
        <v>3985395</v>
      </c>
      <c r="K98" s="2">
        <f t="shared" si="19"/>
        <v>5132625</v>
      </c>
      <c r="L98" s="2">
        <f t="shared" si="19"/>
        <v>6165419.9999999991</v>
      </c>
      <c r="M98" s="2">
        <f t="shared" si="19"/>
        <v>7091069.9999999991</v>
      </c>
      <c r="N98" s="2">
        <f t="shared" si="19"/>
        <v>7914974.9999999991</v>
      </c>
      <c r="O98" s="2">
        <f t="shared" si="19"/>
        <v>8643239.9999999981</v>
      </c>
      <c r="P98" s="2">
        <f t="shared" si="19"/>
        <v>9348224.9999999981</v>
      </c>
      <c r="Q98" s="2">
        <f t="shared" si="19"/>
        <v>10025069.999999998</v>
      </c>
      <c r="R98" s="2">
        <f t="shared" si="19"/>
        <v>10741694.999999998</v>
      </c>
      <c r="S98" s="2">
        <f t="shared" si="19"/>
        <v>11501024.999999998</v>
      </c>
      <c r="T98" s="2">
        <f t="shared" si="19"/>
        <v>12305399.999999998</v>
      </c>
      <c r="U98" s="2">
        <f t="shared" si="19"/>
        <v>13104509.999999996</v>
      </c>
      <c r="V98" s="2">
        <f t="shared" si="19"/>
        <v>13897769.999999996</v>
      </c>
      <c r="W98" s="2">
        <f t="shared" si="19"/>
        <v>13897769.999999996</v>
      </c>
      <c r="X98" s="2">
        <f t="shared" si="19"/>
        <v>13897769.999999996</v>
      </c>
      <c r="Y98" s="2">
        <f t="shared" si="19"/>
        <v>13897769.999999996</v>
      </c>
      <c r="Z98" s="2">
        <f t="shared" si="19"/>
        <v>13897769.999999996</v>
      </c>
      <c r="AA98" s="2">
        <f t="shared" si="19"/>
        <v>13897769.999999996</v>
      </c>
    </row>
    <row r="99" spans="1:27" x14ac:dyDescent="0.25">
      <c r="C99" s="1"/>
      <c r="D99" s="1"/>
      <c r="E99" t="s">
        <v>65</v>
      </c>
      <c r="F99" t="s">
        <v>144</v>
      </c>
      <c r="H99" s="2">
        <f>H91*H96</f>
        <v>0</v>
      </c>
      <c r="I99" s="2">
        <f t="shared" ref="I99:AA99" si="20">I91*I96</f>
        <v>0</v>
      </c>
      <c r="J99" s="2">
        <f t="shared" si="20"/>
        <v>0</v>
      </c>
      <c r="K99" s="2">
        <f t="shared" si="20"/>
        <v>0</v>
      </c>
      <c r="L99" s="2">
        <f t="shared" si="20"/>
        <v>0</v>
      </c>
      <c r="M99" s="2">
        <f t="shared" si="20"/>
        <v>0</v>
      </c>
      <c r="N99" s="2">
        <f t="shared" si="20"/>
        <v>0</v>
      </c>
      <c r="O99" s="2">
        <f t="shared" si="20"/>
        <v>0</v>
      </c>
      <c r="P99" s="2">
        <f t="shared" si="20"/>
        <v>0</v>
      </c>
      <c r="Q99" s="2">
        <f t="shared" si="20"/>
        <v>0</v>
      </c>
      <c r="R99" s="2">
        <f t="shared" si="20"/>
        <v>0</v>
      </c>
      <c r="S99" s="2">
        <f t="shared" si="20"/>
        <v>0</v>
      </c>
      <c r="T99" s="2">
        <f t="shared" si="20"/>
        <v>0</v>
      </c>
      <c r="U99" s="2">
        <f t="shared" si="20"/>
        <v>0</v>
      </c>
      <c r="V99" s="2">
        <f t="shared" si="20"/>
        <v>0</v>
      </c>
      <c r="W99" s="2">
        <f t="shared" si="20"/>
        <v>0</v>
      </c>
      <c r="X99" s="2">
        <f t="shared" si="20"/>
        <v>0</v>
      </c>
      <c r="Y99" s="2">
        <f t="shared" si="20"/>
        <v>0</v>
      </c>
      <c r="Z99" s="2">
        <f t="shared" si="20"/>
        <v>0</v>
      </c>
      <c r="AA99" s="2">
        <f t="shared" si="20"/>
        <v>0</v>
      </c>
    </row>
    <row r="100" spans="1:27" x14ac:dyDescent="0.25">
      <c r="C100" s="1"/>
      <c r="D100" s="1"/>
      <c r="E100" t="s">
        <v>141</v>
      </c>
      <c r="F100" t="s">
        <v>144</v>
      </c>
      <c r="H100" s="2">
        <f>H91*H97</f>
        <v>0</v>
      </c>
      <c r="I100" s="2">
        <f t="shared" ref="I100:AA100" si="21">I91*I97</f>
        <v>0</v>
      </c>
      <c r="J100" s="2">
        <f t="shared" si="21"/>
        <v>0</v>
      </c>
      <c r="K100" s="2">
        <f t="shared" si="21"/>
        <v>0</v>
      </c>
      <c r="L100" s="2">
        <f t="shared" si="21"/>
        <v>0</v>
      </c>
      <c r="M100" s="2">
        <f t="shared" si="21"/>
        <v>0</v>
      </c>
      <c r="N100" s="2">
        <f t="shared" si="21"/>
        <v>0</v>
      </c>
      <c r="O100" s="2">
        <f t="shared" si="21"/>
        <v>0</v>
      </c>
      <c r="P100" s="2">
        <f t="shared" si="21"/>
        <v>0</v>
      </c>
      <c r="Q100" s="2">
        <f t="shared" si="21"/>
        <v>0</v>
      </c>
      <c r="R100" s="2">
        <f t="shared" si="21"/>
        <v>0</v>
      </c>
      <c r="S100" s="2">
        <f t="shared" si="21"/>
        <v>0</v>
      </c>
      <c r="T100" s="2">
        <f t="shared" si="21"/>
        <v>0</v>
      </c>
      <c r="U100" s="2">
        <f t="shared" si="21"/>
        <v>0</v>
      </c>
      <c r="V100" s="2">
        <f t="shared" si="21"/>
        <v>0</v>
      </c>
      <c r="W100" s="2">
        <f t="shared" si="21"/>
        <v>0</v>
      </c>
      <c r="X100" s="2">
        <f t="shared" si="21"/>
        <v>0</v>
      </c>
      <c r="Y100" s="2">
        <f t="shared" si="21"/>
        <v>0</v>
      </c>
      <c r="Z100" s="2">
        <f t="shared" si="21"/>
        <v>0</v>
      </c>
      <c r="AA100" s="2">
        <f t="shared" si="21"/>
        <v>0</v>
      </c>
    </row>
    <row r="101" spans="1:27" x14ac:dyDescent="0.25">
      <c r="A101" s="14">
        <f>'Notes &amp; Assumptions'!A31</f>
        <v>18</v>
      </c>
      <c r="C101" s="1"/>
      <c r="D101" s="1"/>
      <c r="E101" t="s">
        <v>66</v>
      </c>
      <c r="F101" t="s">
        <v>8</v>
      </c>
      <c r="H101" s="11">
        <f>'YVW tariffs'!D25</f>
        <v>-4.24E-2</v>
      </c>
      <c r="I101" s="11">
        <f>'YVW tariffs'!E25</f>
        <v>-2.7400000000000001E-2</v>
      </c>
      <c r="J101" s="11">
        <v>0</v>
      </c>
      <c r="K101" s="11">
        <v>0</v>
      </c>
      <c r="L101" s="11">
        <v>0</v>
      </c>
      <c r="M101" s="11">
        <v>0</v>
      </c>
      <c r="N101" s="11">
        <v>0</v>
      </c>
      <c r="O101" s="11">
        <v>0</v>
      </c>
      <c r="P101" s="11">
        <v>0</v>
      </c>
      <c r="Q101" s="11">
        <v>0</v>
      </c>
      <c r="R101" s="11">
        <v>0</v>
      </c>
      <c r="S101" s="11">
        <v>0</v>
      </c>
      <c r="T101" s="11">
        <v>0</v>
      </c>
      <c r="U101" s="11">
        <v>0</v>
      </c>
      <c r="V101" s="11">
        <v>0</v>
      </c>
      <c r="W101" s="11">
        <v>0</v>
      </c>
      <c r="X101" s="11">
        <v>0</v>
      </c>
      <c r="Y101" s="11">
        <v>0</v>
      </c>
      <c r="Z101" s="11">
        <v>0</v>
      </c>
      <c r="AA101" s="11">
        <v>0</v>
      </c>
    </row>
    <row r="102" spans="1:27" x14ac:dyDescent="0.25">
      <c r="A102" s="14">
        <f>'Notes &amp; Assumptions'!A32</f>
        <v>19</v>
      </c>
      <c r="C102" s="1"/>
      <c r="D102" s="1"/>
      <c r="E102" t="s">
        <v>40</v>
      </c>
      <c r="F102" t="s">
        <v>41</v>
      </c>
      <c r="G102" s="20">
        <f>'YVW tariffs'!E4</f>
        <v>79.83198999999999</v>
      </c>
      <c r="H102" s="2">
        <f>G102*(1+$G$14)*(1+H101)</f>
        <v>78.05250301010399</v>
      </c>
      <c r="I102" s="2">
        <f t="shared" ref="I102:AA102" si="22">H102*(1+$G$14)*(1+I101)</f>
        <v>77.508055580607305</v>
      </c>
      <c r="J102" s="2">
        <f t="shared" si="22"/>
        <v>79.135724747800055</v>
      </c>
      <c r="K102" s="2">
        <f t="shared" si="22"/>
        <v>80.797574967503849</v>
      </c>
      <c r="L102" s="2">
        <f t="shared" si="22"/>
        <v>82.494324041821429</v>
      </c>
      <c r="M102" s="2">
        <f t="shared" si="22"/>
        <v>84.226704846699675</v>
      </c>
      <c r="N102" s="2">
        <f t="shared" si="22"/>
        <v>85.995465648480362</v>
      </c>
      <c r="O102" s="2">
        <f t="shared" si="22"/>
        <v>87.801370427098448</v>
      </c>
      <c r="P102" s="2">
        <f t="shared" si="22"/>
        <v>89.645199206067502</v>
      </c>
      <c r="Q102" s="2">
        <f t="shared" si="22"/>
        <v>91.527748389394915</v>
      </c>
      <c r="R102" s="2">
        <f t="shared" si="22"/>
        <v>93.449831105572201</v>
      </c>
      <c r="S102" s="2">
        <f t="shared" si="22"/>
        <v>95.412277558789214</v>
      </c>
      <c r="T102" s="2">
        <f t="shared" si="22"/>
        <v>97.415935387523774</v>
      </c>
      <c r="U102" s="2">
        <f t="shared" si="22"/>
        <v>99.461670030661764</v>
      </c>
      <c r="V102" s="2">
        <f t="shared" si="22"/>
        <v>101.55036510130566</v>
      </c>
      <c r="W102" s="2">
        <f t="shared" si="22"/>
        <v>103.68292276843307</v>
      </c>
      <c r="X102" s="2">
        <f t="shared" si="22"/>
        <v>105.86026414657016</v>
      </c>
      <c r="Y102" s="2">
        <f t="shared" si="22"/>
        <v>108.08332969364812</v>
      </c>
      <c r="Z102" s="2">
        <f t="shared" si="22"/>
        <v>110.35307961721473</v>
      </c>
      <c r="AA102" s="2">
        <f t="shared" si="22"/>
        <v>112.67049428917623</v>
      </c>
    </row>
    <row r="103" spans="1:27" x14ac:dyDescent="0.25">
      <c r="C103" s="1"/>
      <c r="D103" s="1"/>
      <c r="E103" t="s">
        <v>67</v>
      </c>
      <c r="F103" t="s">
        <v>143</v>
      </c>
      <c r="G103" s="20">
        <f>'YVW tariffs'!E5</f>
        <v>2.5268728999999999</v>
      </c>
      <c r="H103" s="21">
        <f>G103*(1+'YVW tariffs'!D26)*(1+H101)</f>
        <v>3.0841923051303834</v>
      </c>
      <c r="I103" s="21">
        <f>H103*(1+$G$14)*(1+I101)</f>
        <v>3.0626788301251766</v>
      </c>
      <c r="J103" s="21">
        <f t="shared" ref="J103:AA103" si="23">I103*(1+$G$14)*(1+J101)</f>
        <v>3.1269950855578053</v>
      </c>
      <c r="K103" s="21">
        <f t="shared" si="23"/>
        <v>3.1926619823545188</v>
      </c>
      <c r="L103" s="21">
        <f t="shared" si="23"/>
        <v>3.2597078839839635</v>
      </c>
      <c r="M103" s="21">
        <f t="shared" si="23"/>
        <v>3.3281617495476263</v>
      </c>
      <c r="N103" s="21">
        <f t="shared" si="23"/>
        <v>3.398053146288126</v>
      </c>
      <c r="O103" s="21">
        <f t="shared" si="23"/>
        <v>3.4694122623601764</v>
      </c>
      <c r="P103" s="21">
        <f t="shared" si="23"/>
        <v>3.5422699198697396</v>
      </c>
      <c r="Q103" s="21">
        <f t="shared" si="23"/>
        <v>3.616657588187004</v>
      </c>
      <c r="R103" s="21">
        <f t="shared" si="23"/>
        <v>3.6926073975389309</v>
      </c>
      <c r="S103" s="21">
        <f t="shared" si="23"/>
        <v>3.7701521528872481</v>
      </c>
      <c r="T103" s="21">
        <f t="shared" si="23"/>
        <v>3.8493253480978802</v>
      </c>
      <c r="U103" s="21">
        <f t="shared" si="23"/>
        <v>3.9301611804079353</v>
      </c>
      <c r="V103" s="21">
        <f t="shared" si="23"/>
        <v>4.0126945651965018</v>
      </c>
      <c r="W103" s="21">
        <f t="shared" si="23"/>
        <v>4.0969611510656279</v>
      </c>
      <c r="X103" s="21">
        <f t="shared" si="23"/>
        <v>4.1829973352380057</v>
      </c>
      <c r="Y103" s="21">
        <f t="shared" si="23"/>
        <v>4.2708402792780031</v>
      </c>
      <c r="Z103" s="21">
        <f t="shared" si="23"/>
        <v>4.3605279251428408</v>
      </c>
      <c r="AA103" s="21">
        <f t="shared" si="23"/>
        <v>4.4520990115708399</v>
      </c>
    </row>
    <row r="104" spans="1:27" x14ac:dyDescent="0.25">
      <c r="C104" s="1"/>
      <c r="D104" s="1"/>
      <c r="E104" t="s">
        <v>68</v>
      </c>
      <c r="F104" t="s">
        <v>143</v>
      </c>
      <c r="G104" s="20">
        <f>'YVW tariffs'!E6</f>
        <v>3.2042042999999998</v>
      </c>
      <c r="H104" s="21">
        <f>G104*(1+'YVW tariffs'!D27)*(1+H101)</f>
        <v>4.0367160471718071</v>
      </c>
      <c r="I104" s="21">
        <f t="shared" ref="I104:AA104" si="24">H104*(1+$G$14)*(1+I101)</f>
        <v>4.008558338056365</v>
      </c>
      <c r="J104" s="21">
        <f t="shared" si="24"/>
        <v>4.0927380631555481</v>
      </c>
      <c r="K104" s="21">
        <f t="shared" si="24"/>
        <v>4.1786855624818147</v>
      </c>
      <c r="L104" s="21">
        <f t="shared" si="24"/>
        <v>4.2664379592939321</v>
      </c>
      <c r="M104" s="21">
        <f t="shared" si="24"/>
        <v>4.3560331564391044</v>
      </c>
      <c r="N104" s="21">
        <f t="shared" si="24"/>
        <v>4.4475098527243251</v>
      </c>
      <c r="O104" s="21">
        <f t="shared" si="24"/>
        <v>4.5409075596315356</v>
      </c>
      <c r="P104" s="21">
        <f t="shared" si="24"/>
        <v>4.6362666183837975</v>
      </c>
      <c r="Q104" s="21">
        <f t="shared" si="24"/>
        <v>4.7336282173698567</v>
      </c>
      <c r="R104" s="21">
        <f t="shared" si="24"/>
        <v>4.8330344099346236</v>
      </c>
      <c r="S104" s="21">
        <f t="shared" si="24"/>
        <v>4.9345281325432504</v>
      </c>
      <c r="T104" s="21">
        <f t="shared" si="24"/>
        <v>5.0381532233266579</v>
      </c>
      <c r="U104" s="21">
        <f t="shared" si="24"/>
        <v>5.1439544410165174</v>
      </c>
      <c r="V104" s="21">
        <f t="shared" si="24"/>
        <v>5.2519774842778641</v>
      </c>
      <c r="W104" s="21">
        <f t="shared" si="24"/>
        <v>5.3622690114476992</v>
      </c>
      <c r="X104" s="21">
        <f t="shared" si="24"/>
        <v>5.4748766606881007</v>
      </c>
      <c r="Y104" s="21">
        <f t="shared" si="24"/>
        <v>5.5898490705625505</v>
      </c>
      <c r="Z104" s="21">
        <f t="shared" si="24"/>
        <v>5.7072359010443634</v>
      </c>
      <c r="AA104" s="21">
        <f t="shared" si="24"/>
        <v>5.8270878549662948</v>
      </c>
    </row>
    <row r="105" spans="1:27" x14ac:dyDescent="0.25">
      <c r="C105" s="1"/>
      <c r="D105" s="1"/>
      <c r="E105" t="s">
        <v>142</v>
      </c>
      <c r="F105" t="s">
        <v>143</v>
      </c>
      <c r="G105" s="20">
        <f>'YVW tariffs'!E7</f>
        <v>4.7208997999999998</v>
      </c>
      <c r="H105" s="21">
        <f>G105*(1+'YVW tariffs'!D28)*(1+H101)</f>
        <v>4.6681095654204476</v>
      </c>
      <c r="I105" s="21">
        <f t="shared" ref="I105:AA105" si="25">H105*(1+$G$14)*(1+I101)</f>
        <v>4.6355476339578132</v>
      </c>
      <c r="J105" s="21">
        <f t="shared" si="25"/>
        <v>4.7328941342709268</v>
      </c>
      <c r="K105" s="21">
        <f t="shared" si="25"/>
        <v>4.8322849110906159</v>
      </c>
      <c r="L105" s="21">
        <f t="shared" si="25"/>
        <v>4.9337628942235181</v>
      </c>
      <c r="M105" s="21">
        <f t="shared" si="25"/>
        <v>5.0373719150022112</v>
      </c>
      <c r="N105" s="21">
        <f t="shared" si="25"/>
        <v>5.1431567252172572</v>
      </c>
      <c r="O105" s="21">
        <f t="shared" si="25"/>
        <v>5.251163016446819</v>
      </c>
      <c r="P105" s="21">
        <f t="shared" si="25"/>
        <v>5.3614374397922013</v>
      </c>
      <c r="Q105" s="21">
        <f t="shared" si="25"/>
        <v>5.4740276260278371</v>
      </c>
      <c r="R105" s="21">
        <f t="shared" si="25"/>
        <v>5.5889822061744212</v>
      </c>
      <c r="S105" s="21">
        <f t="shared" si="25"/>
        <v>5.7063508325040839</v>
      </c>
      <c r="T105" s="21">
        <f t="shared" si="25"/>
        <v>5.8261841999866695</v>
      </c>
      <c r="U105" s="21">
        <f t="shared" si="25"/>
        <v>5.9485340681863894</v>
      </c>
      <c r="V105" s="21">
        <f t="shared" si="25"/>
        <v>6.0734532836183028</v>
      </c>
      <c r="W105" s="21">
        <f t="shared" si="25"/>
        <v>6.2009958025742868</v>
      </c>
      <c r="X105" s="21">
        <f t="shared" si="25"/>
        <v>6.3312167144283462</v>
      </c>
      <c r="Y105" s="21">
        <f t="shared" si="25"/>
        <v>6.4641722654313405</v>
      </c>
      <c r="Z105" s="21">
        <f t="shared" si="25"/>
        <v>6.5999198830053984</v>
      </c>
      <c r="AA105" s="21">
        <f t="shared" si="25"/>
        <v>6.7385182005485111</v>
      </c>
    </row>
    <row r="106" spans="1:27" x14ac:dyDescent="0.25">
      <c r="C106" s="1"/>
      <c r="D106" s="1"/>
    </row>
    <row r="107" spans="1:27" x14ac:dyDescent="0.25">
      <c r="C107" s="1"/>
      <c r="D107" s="1"/>
      <c r="E107" t="s">
        <v>69</v>
      </c>
      <c r="F107" t="s">
        <v>58</v>
      </c>
      <c r="H107" s="2">
        <f>SUM(H98:H100)/1000</f>
        <v>1399.5</v>
      </c>
      <c r="I107" s="2">
        <f t="shared" ref="I107:AA107" si="26">SUM(I98:I100)/1000</f>
        <v>2720.1</v>
      </c>
      <c r="J107" s="2">
        <f t="shared" si="26"/>
        <v>3985.395</v>
      </c>
      <c r="K107" s="2">
        <f t="shared" si="26"/>
        <v>5132.625</v>
      </c>
      <c r="L107" s="2">
        <f t="shared" si="26"/>
        <v>6165.4199999999992</v>
      </c>
      <c r="M107" s="2">
        <f t="shared" si="26"/>
        <v>7091.0699999999988</v>
      </c>
      <c r="N107" s="2">
        <f t="shared" si="26"/>
        <v>7914.9749999999995</v>
      </c>
      <c r="O107" s="2">
        <f t="shared" si="26"/>
        <v>8643.239999999998</v>
      </c>
      <c r="P107" s="2">
        <f t="shared" si="26"/>
        <v>9348.2249999999985</v>
      </c>
      <c r="Q107" s="2">
        <f t="shared" si="26"/>
        <v>10025.069999999998</v>
      </c>
      <c r="R107" s="2">
        <f t="shared" si="26"/>
        <v>10741.694999999998</v>
      </c>
      <c r="S107" s="2">
        <f t="shared" si="26"/>
        <v>11501.024999999998</v>
      </c>
      <c r="T107" s="2">
        <f t="shared" si="26"/>
        <v>12305.399999999998</v>
      </c>
      <c r="U107" s="2">
        <f t="shared" si="26"/>
        <v>13104.509999999997</v>
      </c>
      <c r="V107" s="2">
        <f t="shared" si="26"/>
        <v>13897.769999999997</v>
      </c>
      <c r="W107" s="2">
        <f t="shared" si="26"/>
        <v>13897.769999999997</v>
      </c>
      <c r="X107" s="2">
        <f t="shared" si="26"/>
        <v>13897.769999999997</v>
      </c>
      <c r="Y107" s="2">
        <f t="shared" si="26"/>
        <v>13897.769999999997</v>
      </c>
      <c r="Z107" s="2">
        <f t="shared" si="26"/>
        <v>13897.769999999997</v>
      </c>
      <c r="AA107" s="2">
        <f t="shared" si="26"/>
        <v>13897.769999999997</v>
      </c>
    </row>
    <row r="108" spans="1:27" x14ac:dyDescent="0.25">
      <c r="C108" s="1"/>
      <c r="D108" s="1"/>
      <c r="E108" t="s">
        <v>70</v>
      </c>
      <c r="F108" t="s">
        <v>7</v>
      </c>
      <c r="H108" s="2">
        <f>H91*H102+H98*H103+H99*H104+H100*H105</f>
        <v>5044556.9841142418</v>
      </c>
      <c r="I108" s="2">
        <f t="shared" ref="I108:AA108" si="27">I91*I102+I98*I103+I99*I104+I100*I105</f>
        <v>9736323.7657222264</v>
      </c>
      <c r="J108" s="2">
        <f t="shared" si="27"/>
        <v>14564891.390548375</v>
      </c>
      <c r="K108" s="2">
        <f t="shared" si="27"/>
        <v>19151427.728632927</v>
      </c>
      <c r="L108" s="2">
        <f t="shared" si="27"/>
        <v>23488215.884298582</v>
      </c>
      <c r="M108" s="2">
        <f t="shared" si="27"/>
        <v>27581944.336946592</v>
      </c>
      <c r="N108" s="2">
        <f t="shared" si="27"/>
        <v>31433185.439682394</v>
      </c>
      <c r="O108" s="2">
        <f t="shared" si="27"/>
        <v>35046218.288724065</v>
      </c>
      <c r="P108" s="2">
        <f t="shared" si="27"/>
        <v>38700759.503995225</v>
      </c>
      <c r="Q108" s="2">
        <f t="shared" si="27"/>
        <v>42374392.717913024</v>
      </c>
      <c r="R108" s="2">
        <f t="shared" si="27"/>
        <v>46356926.309357397</v>
      </c>
      <c r="S108" s="2">
        <f t="shared" si="27"/>
        <v>50676207.427563883</v>
      </c>
      <c r="T108" s="2">
        <f t="shared" si="27"/>
        <v>55359101.81393455</v>
      </c>
      <c r="U108" s="2">
        <f t="shared" si="27"/>
        <v>60192146.153824285</v>
      </c>
      <c r="V108" s="2">
        <f t="shared" si="27"/>
        <v>65176330.264644124</v>
      </c>
      <c r="W108" s="2">
        <f t="shared" si="27"/>
        <v>66545033.200201645</v>
      </c>
      <c r="X108" s="2">
        <f t="shared" si="27"/>
        <v>67942478.897405863</v>
      </c>
      <c r="Y108" s="2">
        <f t="shared" si="27"/>
        <v>69369270.954251379</v>
      </c>
      <c r="Z108" s="2">
        <f t="shared" si="27"/>
        <v>70826025.644290656</v>
      </c>
      <c r="AA108" s="2">
        <f t="shared" si="27"/>
        <v>72313372.182820752</v>
      </c>
    </row>
    <row r="109" spans="1:27" x14ac:dyDescent="0.25">
      <c r="C109" s="1"/>
      <c r="D109" s="1"/>
    </row>
    <row r="110" spans="1:27" x14ac:dyDescent="0.25">
      <c r="C110" s="1"/>
      <c r="D110" t="s">
        <v>71</v>
      </c>
    </row>
    <row r="111" spans="1:27" x14ac:dyDescent="0.25">
      <c r="A111" s="14">
        <f>'Notes &amp; Assumptions'!A33</f>
        <v>20</v>
      </c>
      <c r="C111" s="1"/>
      <c r="D111" s="1"/>
      <c r="E111" t="s">
        <v>87</v>
      </c>
      <c r="F111" t="s">
        <v>3</v>
      </c>
      <c r="H111" s="10">
        <f>'Customer numbers'!P30</f>
        <v>644</v>
      </c>
      <c r="I111" s="10">
        <f>'Customer numbers'!Q30</f>
        <v>644</v>
      </c>
      <c r="J111" s="10">
        <f>'Customer numbers'!R30</f>
        <v>658</v>
      </c>
      <c r="K111" s="10">
        <f>'Customer numbers'!S30</f>
        <v>630</v>
      </c>
      <c r="L111" s="10">
        <f>'Customer numbers'!T30</f>
        <v>609</v>
      </c>
      <c r="M111" s="10">
        <f>'Customer numbers'!U30</f>
        <v>581</v>
      </c>
      <c r="N111" s="10">
        <f>'Customer numbers'!V30</f>
        <v>560</v>
      </c>
      <c r="O111" s="10">
        <f>'Customer numbers'!W30</f>
        <v>539</v>
      </c>
      <c r="P111" s="10">
        <f>'Customer numbers'!X30</f>
        <v>567</v>
      </c>
      <c r="Q111" s="10">
        <f>'Customer numbers'!Y30</f>
        <v>602</v>
      </c>
      <c r="R111" s="10">
        <f>'Customer numbers'!Z30</f>
        <v>637</v>
      </c>
      <c r="S111" s="10">
        <f>'Customer numbers'!AA30</f>
        <v>679</v>
      </c>
      <c r="T111" s="10">
        <f>'Customer numbers'!AB30</f>
        <v>714</v>
      </c>
      <c r="U111" s="10">
        <f>'Customer numbers'!AC30</f>
        <v>707</v>
      </c>
      <c r="V111" s="10">
        <f>'Customer numbers'!AD30</f>
        <v>707</v>
      </c>
    </row>
    <row r="112" spans="1:27" x14ac:dyDescent="0.25">
      <c r="C112" s="1"/>
      <c r="D112" s="1"/>
      <c r="E112" t="s">
        <v>60</v>
      </c>
      <c r="F112" t="s">
        <v>3</v>
      </c>
      <c r="G112">
        <f>IF('Key assumptions'!B4="yes",SUM('Customer numbers'!F31:O31),0)</f>
        <v>0</v>
      </c>
      <c r="H112" s="2">
        <f>G112+H111</f>
        <v>644</v>
      </c>
      <c r="I112" s="2">
        <f t="shared" ref="I112:AA112" si="28">H112+I111</f>
        <v>1288</v>
      </c>
      <c r="J112" s="2">
        <f t="shared" si="28"/>
        <v>1946</v>
      </c>
      <c r="K112" s="2">
        <f t="shared" si="28"/>
        <v>2576</v>
      </c>
      <c r="L112" s="2">
        <f t="shared" si="28"/>
        <v>3185</v>
      </c>
      <c r="M112" s="2">
        <f t="shared" si="28"/>
        <v>3766</v>
      </c>
      <c r="N112" s="2">
        <f t="shared" si="28"/>
        <v>4326</v>
      </c>
      <c r="O112" s="2">
        <f t="shared" si="28"/>
        <v>4865</v>
      </c>
      <c r="P112" s="2">
        <f t="shared" si="28"/>
        <v>5432</v>
      </c>
      <c r="Q112" s="2">
        <f t="shared" si="28"/>
        <v>6034</v>
      </c>
      <c r="R112" s="2">
        <f t="shared" si="28"/>
        <v>6671</v>
      </c>
      <c r="S112" s="2">
        <f t="shared" si="28"/>
        <v>7350</v>
      </c>
      <c r="T112" s="2">
        <f t="shared" si="28"/>
        <v>8064</v>
      </c>
      <c r="U112" s="2">
        <f t="shared" si="28"/>
        <v>8771</v>
      </c>
      <c r="V112" s="2">
        <f t="shared" si="28"/>
        <v>9478</v>
      </c>
      <c r="W112" s="2">
        <f t="shared" si="28"/>
        <v>9478</v>
      </c>
      <c r="X112" s="2">
        <f t="shared" si="28"/>
        <v>9478</v>
      </c>
      <c r="Y112" s="2">
        <f t="shared" si="28"/>
        <v>9478</v>
      </c>
      <c r="Z112" s="2">
        <f t="shared" si="28"/>
        <v>9478</v>
      </c>
      <c r="AA112" s="2">
        <f t="shared" si="28"/>
        <v>9478</v>
      </c>
    </row>
    <row r="113" spans="1:27" x14ac:dyDescent="0.25">
      <c r="A113" s="14">
        <f>'Notes &amp; Assumptions'!A34</f>
        <v>21</v>
      </c>
      <c r="C113" s="1"/>
      <c r="D113" s="1"/>
      <c r="E113" t="s">
        <v>61</v>
      </c>
      <c r="F113" t="s">
        <v>3</v>
      </c>
      <c r="G113" s="10">
        <v>1</v>
      </c>
    </row>
    <row r="114" spans="1:27" x14ac:dyDescent="0.25">
      <c r="C114" s="1"/>
      <c r="D114" s="1"/>
      <c r="E114" t="s">
        <v>88</v>
      </c>
      <c r="F114" t="s">
        <v>3</v>
      </c>
      <c r="H114">
        <f>H111*$G113</f>
        <v>644</v>
      </c>
      <c r="I114">
        <f t="shared" ref="I114:AA114" si="29">I111*$G113</f>
        <v>644</v>
      </c>
      <c r="J114">
        <f t="shared" si="29"/>
        <v>658</v>
      </c>
      <c r="K114">
        <f t="shared" si="29"/>
        <v>630</v>
      </c>
      <c r="L114">
        <f t="shared" si="29"/>
        <v>609</v>
      </c>
      <c r="M114">
        <f t="shared" si="29"/>
        <v>581</v>
      </c>
      <c r="N114">
        <f t="shared" si="29"/>
        <v>560</v>
      </c>
      <c r="O114">
        <f t="shared" si="29"/>
        <v>539</v>
      </c>
      <c r="P114">
        <f t="shared" si="29"/>
        <v>567</v>
      </c>
      <c r="Q114">
        <f t="shared" si="29"/>
        <v>602</v>
      </c>
      <c r="R114">
        <f t="shared" si="29"/>
        <v>637</v>
      </c>
      <c r="S114">
        <f t="shared" si="29"/>
        <v>679</v>
      </c>
      <c r="T114">
        <f t="shared" si="29"/>
        <v>714</v>
      </c>
      <c r="U114">
        <f t="shared" si="29"/>
        <v>707</v>
      </c>
      <c r="V114">
        <f t="shared" si="29"/>
        <v>707</v>
      </c>
      <c r="W114">
        <f t="shared" si="29"/>
        <v>0</v>
      </c>
      <c r="X114">
        <f t="shared" si="29"/>
        <v>0</v>
      </c>
      <c r="Y114">
        <f t="shared" si="29"/>
        <v>0</v>
      </c>
      <c r="Z114">
        <f t="shared" si="29"/>
        <v>0</v>
      </c>
      <c r="AA114">
        <f t="shared" si="29"/>
        <v>0</v>
      </c>
    </row>
    <row r="115" spans="1:27" x14ac:dyDescent="0.25">
      <c r="C115" s="1"/>
      <c r="D115" s="1"/>
      <c r="E115" t="s">
        <v>89</v>
      </c>
      <c r="F115" t="s">
        <v>3</v>
      </c>
      <c r="H115">
        <f>H112*$G113</f>
        <v>644</v>
      </c>
      <c r="I115">
        <f t="shared" ref="I115:AA115" si="30">I112*$G113</f>
        <v>1288</v>
      </c>
      <c r="J115">
        <f t="shared" si="30"/>
        <v>1946</v>
      </c>
      <c r="K115">
        <f t="shared" si="30"/>
        <v>2576</v>
      </c>
      <c r="L115">
        <f t="shared" si="30"/>
        <v>3185</v>
      </c>
      <c r="M115">
        <f t="shared" si="30"/>
        <v>3766</v>
      </c>
      <c r="N115">
        <f t="shared" si="30"/>
        <v>4326</v>
      </c>
      <c r="O115">
        <f t="shared" si="30"/>
        <v>4865</v>
      </c>
      <c r="P115">
        <f t="shared" si="30"/>
        <v>5432</v>
      </c>
      <c r="Q115">
        <f t="shared" si="30"/>
        <v>6034</v>
      </c>
      <c r="R115">
        <f t="shared" si="30"/>
        <v>6671</v>
      </c>
      <c r="S115">
        <f t="shared" si="30"/>
        <v>7350</v>
      </c>
      <c r="T115">
        <f t="shared" si="30"/>
        <v>8064</v>
      </c>
      <c r="U115">
        <f t="shared" si="30"/>
        <v>8771</v>
      </c>
      <c r="V115">
        <f t="shared" si="30"/>
        <v>9478</v>
      </c>
      <c r="W115">
        <f t="shared" si="30"/>
        <v>9478</v>
      </c>
      <c r="X115">
        <f t="shared" si="30"/>
        <v>9478</v>
      </c>
      <c r="Y115">
        <f t="shared" si="30"/>
        <v>9478</v>
      </c>
      <c r="Z115">
        <f t="shared" si="30"/>
        <v>9478</v>
      </c>
      <c r="AA115">
        <f t="shared" si="30"/>
        <v>9478</v>
      </c>
    </row>
    <row r="116" spans="1:27" x14ac:dyDescent="0.25">
      <c r="A116" s="14">
        <f>'Notes &amp; Assumptions'!A35</f>
        <v>22</v>
      </c>
      <c r="C116" s="1"/>
      <c r="D116" s="1"/>
      <c r="E116" t="s">
        <v>62</v>
      </c>
      <c r="F116" t="s">
        <v>43</v>
      </c>
      <c r="H116" s="10">
        <f>'Key assumptions'!B26</f>
        <v>520</v>
      </c>
      <c r="I116" s="10">
        <f>H116</f>
        <v>520</v>
      </c>
      <c r="J116" s="10">
        <f t="shared" ref="J116:AA116" si="31">I116</f>
        <v>520</v>
      </c>
      <c r="K116" s="10">
        <f t="shared" si="31"/>
        <v>520</v>
      </c>
      <c r="L116" s="10">
        <f t="shared" si="31"/>
        <v>520</v>
      </c>
      <c r="M116" s="10">
        <f t="shared" si="31"/>
        <v>520</v>
      </c>
      <c r="N116" s="10">
        <f t="shared" si="31"/>
        <v>520</v>
      </c>
      <c r="O116" s="10">
        <f t="shared" si="31"/>
        <v>520</v>
      </c>
      <c r="P116" s="10">
        <f t="shared" si="31"/>
        <v>520</v>
      </c>
      <c r="Q116" s="10">
        <f t="shared" si="31"/>
        <v>520</v>
      </c>
      <c r="R116" s="10">
        <f t="shared" si="31"/>
        <v>520</v>
      </c>
      <c r="S116" s="10">
        <f t="shared" si="31"/>
        <v>520</v>
      </c>
      <c r="T116" s="10">
        <f t="shared" si="31"/>
        <v>520</v>
      </c>
      <c r="U116" s="10">
        <f t="shared" si="31"/>
        <v>520</v>
      </c>
      <c r="V116" s="10">
        <f t="shared" si="31"/>
        <v>520</v>
      </c>
      <c r="W116" s="10">
        <f t="shared" si="31"/>
        <v>520</v>
      </c>
      <c r="X116" s="10">
        <f t="shared" si="31"/>
        <v>520</v>
      </c>
      <c r="Y116" s="10">
        <f t="shared" si="31"/>
        <v>520</v>
      </c>
      <c r="Z116" s="10">
        <f t="shared" si="31"/>
        <v>520</v>
      </c>
      <c r="AA116" s="10">
        <f t="shared" si="31"/>
        <v>520</v>
      </c>
    </row>
    <row r="117" spans="1:27" x14ac:dyDescent="0.25">
      <c r="C117" s="1"/>
      <c r="D117" s="1"/>
      <c r="E117" t="s">
        <v>63</v>
      </c>
      <c r="F117" t="s">
        <v>43</v>
      </c>
      <c r="H117" s="10"/>
      <c r="I117" s="10"/>
      <c r="J117" s="10"/>
      <c r="K117" s="10"/>
      <c r="L117" s="10"/>
      <c r="M117" s="10"/>
      <c r="N117" s="10"/>
      <c r="O117" s="10"/>
      <c r="P117" s="10"/>
      <c r="Q117" s="10"/>
      <c r="R117" s="10"/>
      <c r="S117" s="10"/>
      <c r="T117" s="10"/>
      <c r="U117" s="10"/>
      <c r="V117" s="10"/>
      <c r="W117" s="10"/>
      <c r="X117" s="10"/>
      <c r="Y117" s="10"/>
      <c r="Z117" s="10"/>
      <c r="AA117" s="10"/>
    </row>
    <row r="118" spans="1:27" x14ac:dyDescent="0.25">
      <c r="C118" s="1"/>
      <c r="D118" s="1"/>
      <c r="E118" t="s">
        <v>140</v>
      </c>
      <c r="F118" t="s">
        <v>43</v>
      </c>
      <c r="H118" s="10"/>
      <c r="I118" s="10"/>
      <c r="J118" s="10"/>
      <c r="K118" s="10"/>
      <c r="L118" s="10"/>
      <c r="M118" s="10"/>
      <c r="N118" s="10"/>
      <c r="O118" s="10"/>
      <c r="P118" s="10"/>
      <c r="Q118" s="10"/>
      <c r="R118" s="10"/>
      <c r="S118" s="10"/>
      <c r="T118" s="10"/>
      <c r="U118" s="10"/>
      <c r="V118" s="10"/>
      <c r="W118" s="10"/>
      <c r="X118" s="10"/>
      <c r="Y118" s="10"/>
      <c r="Z118" s="10"/>
      <c r="AA118" s="10"/>
    </row>
    <row r="119" spans="1:27" x14ac:dyDescent="0.25">
      <c r="C119" s="1"/>
      <c r="D119" s="1"/>
      <c r="E119" t="s">
        <v>64</v>
      </c>
      <c r="F119" t="s">
        <v>144</v>
      </c>
      <c r="H119" s="2">
        <f>H112*H116</f>
        <v>334880</v>
      </c>
      <c r="I119" s="2">
        <f t="shared" ref="I119:AA119" si="32">I112*I116</f>
        <v>669760</v>
      </c>
      <c r="J119" s="2">
        <f t="shared" si="32"/>
        <v>1011920</v>
      </c>
      <c r="K119" s="2">
        <f t="shared" si="32"/>
        <v>1339520</v>
      </c>
      <c r="L119" s="2">
        <f t="shared" si="32"/>
        <v>1656200</v>
      </c>
      <c r="M119" s="2">
        <f t="shared" si="32"/>
        <v>1958320</v>
      </c>
      <c r="N119" s="2">
        <f t="shared" si="32"/>
        <v>2249520</v>
      </c>
      <c r="O119" s="2">
        <f t="shared" si="32"/>
        <v>2529800</v>
      </c>
      <c r="P119" s="2">
        <f t="shared" si="32"/>
        <v>2824640</v>
      </c>
      <c r="Q119" s="2">
        <f t="shared" si="32"/>
        <v>3137680</v>
      </c>
      <c r="R119" s="2">
        <f t="shared" si="32"/>
        <v>3468920</v>
      </c>
      <c r="S119" s="2">
        <f t="shared" si="32"/>
        <v>3822000</v>
      </c>
      <c r="T119" s="2">
        <f t="shared" si="32"/>
        <v>4193280</v>
      </c>
      <c r="U119" s="2">
        <f t="shared" si="32"/>
        <v>4560920</v>
      </c>
      <c r="V119" s="2">
        <f t="shared" si="32"/>
        <v>4928560</v>
      </c>
      <c r="W119" s="2">
        <f t="shared" si="32"/>
        <v>4928560</v>
      </c>
      <c r="X119" s="2">
        <f t="shared" si="32"/>
        <v>4928560</v>
      </c>
      <c r="Y119" s="2">
        <f t="shared" si="32"/>
        <v>4928560</v>
      </c>
      <c r="Z119" s="2">
        <f t="shared" si="32"/>
        <v>4928560</v>
      </c>
      <c r="AA119" s="2">
        <f t="shared" si="32"/>
        <v>4928560</v>
      </c>
    </row>
    <row r="120" spans="1:27" x14ac:dyDescent="0.25">
      <c r="C120" s="1"/>
      <c r="D120" s="1"/>
      <c r="E120" t="s">
        <v>65</v>
      </c>
      <c r="F120" t="s">
        <v>144</v>
      </c>
      <c r="H120" s="2">
        <f>H112*H117</f>
        <v>0</v>
      </c>
      <c r="I120" s="2">
        <f t="shared" ref="I120:AA120" si="33">I112*I117</f>
        <v>0</v>
      </c>
      <c r="J120" s="2">
        <f t="shared" si="33"/>
        <v>0</v>
      </c>
      <c r="K120" s="2">
        <f t="shared" si="33"/>
        <v>0</v>
      </c>
      <c r="L120" s="2">
        <f t="shared" si="33"/>
        <v>0</v>
      </c>
      <c r="M120" s="2">
        <f t="shared" si="33"/>
        <v>0</v>
      </c>
      <c r="N120" s="2">
        <f t="shared" si="33"/>
        <v>0</v>
      </c>
      <c r="O120" s="2">
        <f t="shared" si="33"/>
        <v>0</v>
      </c>
      <c r="P120" s="2">
        <f t="shared" si="33"/>
        <v>0</v>
      </c>
      <c r="Q120" s="2">
        <f t="shared" si="33"/>
        <v>0</v>
      </c>
      <c r="R120" s="2">
        <f t="shared" si="33"/>
        <v>0</v>
      </c>
      <c r="S120" s="2">
        <f t="shared" si="33"/>
        <v>0</v>
      </c>
      <c r="T120" s="2">
        <f t="shared" si="33"/>
        <v>0</v>
      </c>
      <c r="U120" s="2">
        <f t="shared" si="33"/>
        <v>0</v>
      </c>
      <c r="V120" s="2">
        <f t="shared" si="33"/>
        <v>0</v>
      </c>
      <c r="W120" s="2">
        <f t="shared" si="33"/>
        <v>0</v>
      </c>
      <c r="X120" s="2">
        <f t="shared" si="33"/>
        <v>0</v>
      </c>
      <c r="Y120" s="2">
        <f t="shared" si="33"/>
        <v>0</v>
      </c>
      <c r="Z120" s="2">
        <f t="shared" si="33"/>
        <v>0</v>
      </c>
      <c r="AA120" s="2">
        <f t="shared" si="33"/>
        <v>0</v>
      </c>
    </row>
    <row r="121" spans="1:27" x14ac:dyDescent="0.25">
      <c r="C121" s="1"/>
      <c r="D121" s="1"/>
      <c r="E121" t="s">
        <v>141</v>
      </c>
      <c r="F121" t="s">
        <v>144</v>
      </c>
      <c r="H121" s="2">
        <f>H112*H118</f>
        <v>0</v>
      </c>
      <c r="I121" s="2">
        <f t="shared" ref="I121:AA121" si="34">I112*I118</f>
        <v>0</v>
      </c>
      <c r="J121" s="2">
        <f t="shared" si="34"/>
        <v>0</v>
      </c>
      <c r="K121" s="2">
        <f t="shared" si="34"/>
        <v>0</v>
      </c>
      <c r="L121" s="2">
        <f t="shared" si="34"/>
        <v>0</v>
      </c>
      <c r="M121" s="2">
        <f t="shared" si="34"/>
        <v>0</v>
      </c>
      <c r="N121" s="2">
        <f t="shared" si="34"/>
        <v>0</v>
      </c>
      <c r="O121" s="2">
        <f t="shared" si="34"/>
        <v>0</v>
      </c>
      <c r="P121" s="2">
        <f t="shared" si="34"/>
        <v>0</v>
      </c>
      <c r="Q121" s="2">
        <f t="shared" si="34"/>
        <v>0</v>
      </c>
      <c r="R121" s="2">
        <f t="shared" si="34"/>
        <v>0</v>
      </c>
      <c r="S121" s="2">
        <f t="shared" si="34"/>
        <v>0</v>
      </c>
      <c r="T121" s="2">
        <f t="shared" si="34"/>
        <v>0</v>
      </c>
      <c r="U121" s="2">
        <f t="shared" si="34"/>
        <v>0</v>
      </c>
      <c r="V121" s="2">
        <f t="shared" si="34"/>
        <v>0</v>
      </c>
      <c r="W121" s="2">
        <f t="shared" si="34"/>
        <v>0</v>
      </c>
      <c r="X121" s="2">
        <f t="shared" si="34"/>
        <v>0</v>
      </c>
      <c r="Y121" s="2">
        <f t="shared" si="34"/>
        <v>0</v>
      </c>
      <c r="Z121" s="2">
        <f t="shared" si="34"/>
        <v>0</v>
      </c>
      <c r="AA121" s="2">
        <f t="shared" si="34"/>
        <v>0</v>
      </c>
    </row>
    <row r="122" spans="1:27" x14ac:dyDescent="0.25">
      <c r="A122" s="14">
        <f>'Notes &amp; Assumptions'!A36</f>
        <v>23</v>
      </c>
      <c r="C122" s="1"/>
      <c r="D122" s="1"/>
      <c r="E122" t="s">
        <v>66</v>
      </c>
      <c r="F122" t="s">
        <v>8</v>
      </c>
      <c r="H122" s="11">
        <f>'YVW tariffs'!D35</f>
        <v>-4.24E-2</v>
      </c>
      <c r="I122" s="11">
        <f>'YVW tariffs'!E35</f>
        <v>-2.7400000000000001E-2</v>
      </c>
      <c r="J122" s="11">
        <f>'YVW tariffs'!F35</f>
        <v>0</v>
      </c>
      <c r="K122" s="11">
        <f>'YVW tariffs'!G35</f>
        <v>0</v>
      </c>
      <c r="L122" s="11">
        <f>'YVW tariffs'!H35</f>
        <v>0</v>
      </c>
      <c r="M122" s="11"/>
      <c r="N122" s="11"/>
      <c r="O122" s="11"/>
      <c r="P122" s="11"/>
      <c r="Q122" s="11"/>
      <c r="R122" s="11"/>
      <c r="S122" s="11"/>
      <c r="T122" s="11"/>
      <c r="U122" s="11"/>
      <c r="V122" s="11"/>
      <c r="W122" s="11"/>
      <c r="X122" s="11"/>
      <c r="Y122" s="11"/>
      <c r="Z122" s="11"/>
      <c r="AA122" s="11"/>
    </row>
    <row r="123" spans="1:27" x14ac:dyDescent="0.25">
      <c r="A123" s="14">
        <f>'Notes &amp; Assumptions'!A37</f>
        <v>24</v>
      </c>
      <c r="C123" s="1"/>
      <c r="D123" s="1"/>
      <c r="E123" t="s">
        <v>40</v>
      </c>
      <c r="F123" t="s">
        <v>41</v>
      </c>
      <c r="G123" s="20">
        <f>'YVW tariffs'!D10</f>
        <v>289.95</v>
      </c>
      <c r="H123" s="2">
        <f>G123*(1+$G$14)*(1+H122)</f>
        <v>283.48689851999995</v>
      </c>
      <c r="I123" s="2">
        <f t="shared" ref="I123:AA123" si="35">H123*(1+$G$14)*(1+I122)</f>
        <v>281.5094640080635</v>
      </c>
      <c r="J123" s="2">
        <f>I123*(1+$G$14)*(1+J122)</f>
        <v>287.42116275223282</v>
      </c>
      <c r="K123" s="2">
        <f t="shared" si="35"/>
        <v>293.45700717002967</v>
      </c>
      <c r="L123" s="2">
        <f t="shared" si="35"/>
        <v>299.61960432060027</v>
      </c>
      <c r="M123" s="2">
        <f t="shared" si="35"/>
        <v>305.91161601133285</v>
      </c>
      <c r="N123" s="2">
        <f t="shared" si="35"/>
        <v>312.33575994757081</v>
      </c>
      <c r="O123" s="2">
        <f t="shared" si="35"/>
        <v>318.89481090646979</v>
      </c>
      <c r="P123" s="2">
        <f t="shared" si="35"/>
        <v>325.59160193550559</v>
      </c>
      <c r="Q123" s="2">
        <f t="shared" si="35"/>
        <v>332.42902557615116</v>
      </c>
      <c r="R123" s="2">
        <f t="shared" si="35"/>
        <v>339.41003511325033</v>
      </c>
      <c r="S123" s="2">
        <f t="shared" si="35"/>
        <v>346.53764585062856</v>
      </c>
      <c r="T123" s="2">
        <f t="shared" si="35"/>
        <v>353.81493641349175</v>
      </c>
      <c r="U123" s="2">
        <f t="shared" si="35"/>
        <v>361.24505007817504</v>
      </c>
      <c r="V123" s="2">
        <f t="shared" si="35"/>
        <v>368.8311961298167</v>
      </c>
      <c r="W123" s="2">
        <f t="shared" si="35"/>
        <v>376.57665124854282</v>
      </c>
      <c r="X123" s="2">
        <f t="shared" si="35"/>
        <v>384.48476092476216</v>
      </c>
      <c r="Y123" s="2">
        <f t="shared" si="35"/>
        <v>392.55894090418212</v>
      </c>
      <c r="Z123" s="2">
        <f t="shared" si="35"/>
        <v>400.8026786631699</v>
      </c>
      <c r="AA123" s="2">
        <f t="shared" si="35"/>
        <v>409.2195349150964</v>
      </c>
    </row>
    <row r="124" spans="1:27" x14ac:dyDescent="0.25">
      <c r="C124" s="1"/>
      <c r="D124" s="1"/>
      <c r="E124" t="s">
        <v>67</v>
      </c>
      <c r="F124" t="s">
        <v>143</v>
      </c>
      <c r="G124" s="20">
        <f>'YVW tariffs'!D11</f>
        <v>2.9171</v>
      </c>
      <c r="H124" s="21">
        <f>G124*(1+$G$14)*(1+H122)</f>
        <v>2.8520766741599997</v>
      </c>
      <c r="I124" s="21">
        <f t="shared" ref="I124:AA124" si="36">H124*(1+$G$14)*(1+I122)</f>
        <v>2.8321822985270639</v>
      </c>
      <c r="J124" s="21">
        <f t="shared" si="36"/>
        <v>2.8916581267961319</v>
      </c>
      <c r="K124" s="21">
        <f t="shared" si="36"/>
        <v>2.9523829474588505</v>
      </c>
      <c r="L124" s="21">
        <f t="shared" si="36"/>
        <v>3.0143829893554863</v>
      </c>
      <c r="M124" s="21">
        <f t="shared" si="36"/>
        <v>3.0776850321319511</v>
      </c>
      <c r="N124" s="21">
        <f t="shared" si="36"/>
        <v>3.1423164178067218</v>
      </c>
      <c r="O124" s="21">
        <f t="shared" si="36"/>
        <v>3.2083050625806626</v>
      </c>
      <c r="P124" s="21">
        <f t="shared" si="36"/>
        <v>3.2756794688948561</v>
      </c>
      <c r="Q124" s="21">
        <f t="shared" si="36"/>
        <v>3.3444687377416478</v>
      </c>
      <c r="R124" s="21">
        <f t="shared" si="36"/>
        <v>3.4147025812342222</v>
      </c>
      <c r="S124" s="21">
        <f t="shared" si="36"/>
        <v>3.4864113354401405</v>
      </c>
      <c r="T124" s="21">
        <f t="shared" si="36"/>
        <v>3.5596259734843829</v>
      </c>
      <c r="U124" s="21">
        <f t="shared" si="36"/>
        <v>3.6343781189275548</v>
      </c>
      <c r="V124" s="21">
        <f t="shared" si="36"/>
        <v>3.710700059425033</v>
      </c>
      <c r="W124" s="21">
        <f t="shared" si="36"/>
        <v>3.7886247606729584</v>
      </c>
      <c r="X124" s="21">
        <f t="shared" si="36"/>
        <v>3.8681858806470903</v>
      </c>
      <c r="Y124" s="21">
        <f t="shared" si="36"/>
        <v>3.949417784140679</v>
      </c>
      <c r="Z124" s="21">
        <f t="shared" si="36"/>
        <v>4.0323555576076329</v>
      </c>
      <c r="AA124" s="21">
        <f t="shared" si="36"/>
        <v>4.117035024317393</v>
      </c>
    </row>
    <row r="125" spans="1:27" x14ac:dyDescent="0.25">
      <c r="C125" s="1"/>
      <c r="D125" s="1"/>
      <c r="E125" t="s">
        <v>68</v>
      </c>
      <c r="F125" t="s">
        <v>143</v>
      </c>
      <c r="G125" s="20"/>
      <c r="H125" s="21">
        <f>G125*(1+$G$14)*(1+H122)</f>
        <v>0</v>
      </c>
      <c r="I125" s="21">
        <f t="shared" ref="I125:AA125" si="37">H125*(1+$G$14)*(1+I122)</f>
        <v>0</v>
      </c>
      <c r="J125" s="21">
        <f t="shared" si="37"/>
        <v>0</v>
      </c>
      <c r="K125" s="21">
        <f t="shared" si="37"/>
        <v>0</v>
      </c>
      <c r="L125" s="21">
        <f t="shared" si="37"/>
        <v>0</v>
      </c>
      <c r="M125" s="21">
        <f t="shared" si="37"/>
        <v>0</v>
      </c>
      <c r="N125" s="21">
        <f t="shared" si="37"/>
        <v>0</v>
      </c>
      <c r="O125" s="21">
        <f t="shared" si="37"/>
        <v>0</v>
      </c>
      <c r="P125" s="21">
        <f t="shared" si="37"/>
        <v>0</v>
      </c>
      <c r="Q125" s="21">
        <f t="shared" si="37"/>
        <v>0</v>
      </c>
      <c r="R125" s="21">
        <f t="shared" si="37"/>
        <v>0</v>
      </c>
      <c r="S125" s="21">
        <f t="shared" si="37"/>
        <v>0</v>
      </c>
      <c r="T125" s="21">
        <f t="shared" si="37"/>
        <v>0</v>
      </c>
      <c r="U125" s="21">
        <f t="shared" si="37"/>
        <v>0</v>
      </c>
      <c r="V125" s="21">
        <f t="shared" si="37"/>
        <v>0</v>
      </c>
      <c r="W125" s="21">
        <f t="shared" si="37"/>
        <v>0</v>
      </c>
      <c r="X125" s="21">
        <f t="shared" si="37"/>
        <v>0</v>
      </c>
      <c r="Y125" s="21">
        <f t="shared" si="37"/>
        <v>0</v>
      </c>
      <c r="Z125" s="21">
        <f t="shared" si="37"/>
        <v>0</v>
      </c>
      <c r="AA125" s="21">
        <f t="shared" si="37"/>
        <v>0</v>
      </c>
    </row>
    <row r="126" spans="1:27" x14ac:dyDescent="0.25">
      <c r="C126" s="1"/>
      <c r="D126" s="1"/>
      <c r="E126" t="s">
        <v>142</v>
      </c>
      <c r="F126" t="s">
        <v>143</v>
      </c>
      <c r="G126" s="20"/>
      <c r="H126" s="21">
        <f>G126*(1+$G$14)*(1+H122)</f>
        <v>0</v>
      </c>
      <c r="I126" s="21">
        <f t="shared" ref="I126:AA126" si="38">H126*(1+$G$14)*(1+I122)</f>
        <v>0</v>
      </c>
      <c r="J126" s="21">
        <f t="shared" si="38"/>
        <v>0</v>
      </c>
      <c r="K126" s="21">
        <f t="shared" si="38"/>
        <v>0</v>
      </c>
      <c r="L126" s="21">
        <f t="shared" si="38"/>
        <v>0</v>
      </c>
      <c r="M126" s="21">
        <f t="shared" si="38"/>
        <v>0</v>
      </c>
      <c r="N126" s="21">
        <f t="shared" si="38"/>
        <v>0</v>
      </c>
      <c r="O126" s="21">
        <f t="shared" si="38"/>
        <v>0</v>
      </c>
      <c r="P126" s="21">
        <f t="shared" si="38"/>
        <v>0</v>
      </c>
      <c r="Q126" s="21">
        <f t="shared" si="38"/>
        <v>0</v>
      </c>
      <c r="R126" s="21">
        <f t="shared" si="38"/>
        <v>0</v>
      </c>
      <c r="S126" s="21">
        <f t="shared" si="38"/>
        <v>0</v>
      </c>
      <c r="T126" s="21">
        <f t="shared" si="38"/>
        <v>0</v>
      </c>
      <c r="U126" s="21">
        <f t="shared" si="38"/>
        <v>0</v>
      </c>
      <c r="V126" s="21">
        <f t="shared" si="38"/>
        <v>0</v>
      </c>
      <c r="W126" s="21">
        <f t="shared" si="38"/>
        <v>0</v>
      </c>
      <c r="X126" s="21">
        <f t="shared" si="38"/>
        <v>0</v>
      </c>
      <c r="Y126" s="21">
        <f t="shared" si="38"/>
        <v>0</v>
      </c>
      <c r="Z126" s="21">
        <f t="shared" si="38"/>
        <v>0</v>
      </c>
      <c r="AA126" s="21">
        <f t="shared" si="38"/>
        <v>0</v>
      </c>
    </row>
    <row r="127" spans="1:27" x14ac:dyDescent="0.25">
      <c r="C127" s="1"/>
      <c r="D127" s="1"/>
    </row>
    <row r="128" spans="1:27" x14ac:dyDescent="0.25">
      <c r="C128" s="1"/>
      <c r="D128" s="1"/>
      <c r="E128" t="s">
        <v>72</v>
      </c>
      <c r="F128" t="s">
        <v>58</v>
      </c>
      <c r="H128" s="2">
        <f>SUM(H119:H121)/1000</f>
        <v>334.88</v>
      </c>
      <c r="I128" s="2">
        <f t="shared" ref="I128:AA128" si="39">SUM(I119:I121)/1000</f>
        <v>669.76</v>
      </c>
      <c r="J128" s="2">
        <f t="shared" si="39"/>
        <v>1011.92</v>
      </c>
      <c r="K128" s="2">
        <f t="shared" si="39"/>
        <v>1339.52</v>
      </c>
      <c r="L128" s="2">
        <f t="shared" si="39"/>
        <v>1656.2</v>
      </c>
      <c r="M128" s="2">
        <f t="shared" si="39"/>
        <v>1958.32</v>
      </c>
      <c r="N128" s="2">
        <f t="shared" si="39"/>
        <v>2249.52</v>
      </c>
      <c r="O128" s="2">
        <f t="shared" si="39"/>
        <v>2529.8000000000002</v>
      </c>
      <c r="P128" s="2">
        <f t="shared" si="39"/>
        <v>2824.64</v>
      </c>
      <c r="Q128" s="2">
        <f t="shared" si="39"/>
        <v>3137.68</v>
      </c>
      <c r="R128" s="2">
        <f t="shared" si="39"/>
        <v>3468.92</v>
      </c>
      <c r="S128" s="2">
        <f t="shared" si="39"/>
        <v>3822</v>
      </c>
      <c r="T128" s="2">
        <f t="shared" si="39"/>
        <v>4193.28</v>
      </c>
      <c r="U128" s="2">
        <f t="shared" si="39"/>
        <v>4560.92</v>
      </c>
      <c r="V128" s="2">
        <f t="shared" si="39"/>
        <v>4928.5600000000004</v>
      </c>
      <c r="W128" s="2">
        <f t="shared" si="39"/>
        <v>4928.5600000000004</v>
      </c>
      <c r="X128" s="2">
        <f t="shared" si="39"/>
        <v>4928.5600000000004</v>
      </c>
      <c r="Y128" s="2">
        <f t="shared" si="39"/>
        <v>4928.5600000000004</v>
      </c>
      <c r="Z128" s="2">
        <f t="shared" si="39"/>
        <v>4928.5600000000004</v>
      </c>
      <c r="AA128" s="2">
        <f t="shared" si="39"/>
        <v>4928.5600000000004</v>
      </c>
    </row>
    <row r="129" spans="1:27" x14ac:dyDescent="0.25">
      <c r="C129" s="1"/>
      <c r="D129" s="1"/>
      <c r="E129" t="s">
        <v>73</v>
      </c>
      <c r="F129" t="s">
        <v>7</v>
      </c>
      <c r="H129" s="2">
        <f>H112*H123+H119*H124+H120*H125+H121*H126</f>
        <v>1137668.9992895806</v>
      </c>
      <c r="I129" s="2">
        <f t="shared" ref="I129:AA129" si="40">I112*I123+I119*I124+I120*I125+I121*I126</f>
        <v>2259466.6059038723</v>
      </c>
      <c r="J129" s="2">
        <f t="shared" si="40"/>
        <v>3485448.2743833871</v>
      </c>
      <c r="K129" s="2">
        <f t="shared" si="40"/>
        <v>4710721.256250076</v>
      </c>
      <c r="L129" s="2">
        <f t="shared" si="40"/>
        <v>5946709.5467316676</v>
      </c>
      <c r="M129" s="2">
        <f t="shared" si="40"/>
        <v>7179155.2980233217</v>
      </c>
      <c r="N129" s="2">
        <f t="shared" si="40"/>
        <v>8419868.1257177684</v>
      </c>
      <c r="O129" s="2">
        <f t="shared" si="40"/>
        <v>9667793.4023765363</v>
      </c>
      <c r="P129" s="2">
        <f t="shared" si="40"/>
        <v>11021228.836732833</v>
      </c>
      <c r="Q129" s="2">
        <f t="shared" si="40"/>
        <v>12499749.409363709</v>
      </c>
      <c r="R129" s="2">
        <f t="shared" si="40"/>
        <v>14109534.422335513</v>
      </c>
      <c r="S129" s="2">
        <f t="shared" si="40"/>
        <v>15872115.821054338</v>
      </c>
      <c r="T129" s="2">
        <f t="shared" si="40"/>
        <v>17779672.049330991</v>
      </c>
      <c r="U129" s="2">
        <f t="shared" si="40"/>
        <v>19744588.184414737</v>
      </c>
      <c r="V129" s="2">
        <f t="shared" si="40"/>
        <v>21784189.961798243</v>
      </c>
      <c r="W129" s="2">
        <f t="shared" si="40"/>
        <v>22241657.950996004</v>
      </c>
      <c r="X129" s="2">
        <f t="shared" si="40"/>
        <v>22708732.767966919</v>
      </c>
      <c r="Y129" s="2">
        <f t="shared" si="40"/>
        <v>23185616.156094223</v>
      </c>
      <c r="Z129" s="2">
        <f t="shared" si="40"/>
        <v>23672514.0953722</v>
      </c>
      <c r="AA129" s="2">
        <f t="shared" si="40"/>
        <v>24169636.891375013</v>
      </c>
    </row>
    <row r="130" spans="1:27" x14ac:dyDescent="0.25">
      <c r="C130" s="1"/>
      <c r="D130" s="1"/>
    </row>
    <row r="131" spans="1:27" x14ac:dyDescent="0.25">
      <c r="C131" s="1"/>
      <c r="D131" t="s">
        <v>74</v>
      </c>
    </row>
    <row r="132" spans="1:27" x14ac:dyDescent="0.25">
      <c r="A132" s="14">
        <f>'Notes &amp; Assumptions'!A38</f>
        <v>25</v>
      </c>
      <c r="C132" s="1"/>
      <c r="D132" s="1"/>
      <c r="E132" t="s">
        <v>87</v>
      </c>
      <c r="F132" t="s">
        <v>3</v>
      </c>
      <c r="H132" s="10">
        <v>0</v>
      </c>
      <c r="I132" s="10">
        <v>0</v>
      </c>
      <c r="J132" s="10">
        <v>0</v>
      </c>
      <c r="K132" s="10">
        <v>0</v>
      </c>
      <c r="L132" s="10">
        <v>0</v>
      </c>
      <c r="M132" s="10">
        <v>0</v>
      </c>
      <c r="N132" s="10">
        <v>0</v>
      </c>
      <c r="O132" s="10">
        <v>0</v>
      </c>
      <c r="P132" s="10">
        <v>0</v>
      </c>
      <c r="Q132" s="10">
        <v>0</v>
      </c>
      <c r="R132" s="10">
        <f>AVERAGE($O132:$Q132)</f>
        <v>0</v>
      </c>
      <c r="S132" s="10">
        <f t="shared" ref="S132:V132" si="41">AVERAGE($O132:$Q132)</f>
        <v>0</v>
      </c>
      <c r="T132" s="10">
        <f t="shared" si="41"/>
        <v>0</v>
      </c>
      <c r="U132" s="10">
        <f t="shared" si="41"/>
        <v>0</v>
      </c>
      <c r="V132" s="10">
        <f t="shared" si="41"/>
        <v>0</v>
      </c>
    </row>
    <row r="133" spans="1:27" x14ac:dyDescent="0.25">
      <c r="C133" s="1"/>
      <c r="D133" s="1"/>
      <c r="E133" t="s">
        <v>60</v>
      </c>
      <c r="F133" t="s">
        <v>3</v>
      </c>
      <c r="H133" s="2">
        <f>G133+H132</f>
        <v>0</v>
      </c>
      <c r="I133" s="2">
        <f t="shared" ref="I133:AA133" si="42">H133+I132</f>
        <v>0</v>
      </c>
      <c r="J133" s="2">
        <f t="shared" si="42"/>
        <v>0</v>
      </c>
      <c r="K133" s="2">
        <f t="shared" si="42"/>
        <v>0</v>
      </c>
      <c r="L133" s="2">
        <f t="shared" si="42"/>
        <v>0</v>
      </c>
      <c r="M133" s="2">
        <f t="shared" si="42"/>
        <v>0</v>
      </c>
      <c r="N133" s="2">
        <f t="shared" si="42"/>
        <v>0</v>
      </c>
      <c r="O133" s="2">
        <f t="shared" si="42"/>
        <v>0</v>
      </c>
      <c r="P133" s="2">
        <f t="shared" si="42"/>
        <v>0</v>
      </c>
      <c r="Q133" s="2">
        <f t="shared" si="42"/>
        <v>0</v>
      </c>
      <c r="R133" s="2">
        <f t="shared" si="42"/>
        <v>0</v>
      </c>
      <c r="S133" s="2">
        <f t="shared" si="42"/>
        <v>0</v>
      </c>
      <c r="T133" s="2">
        <f t="shared" si="42"/>
        <v>0</v>
      </c>
      <c r="U133" s="2">
        <f t="shared" si="42"/>
        <v>0</v>
      </c>
      <c r="V133" s="2">
        <f t="shared" si="42"/>
        <v>0</v>
      </c>
      <c r="W133" s="2">
        <f t="shared" si="42"/>
        <v>0</v>
      </c>
      <c r="X133" s="2">
        <f t="shared" si="42"/>
        <v>0</v>
      </c>
      <c r="Y133" s="2">
        <f t="shared" si="42"/>
        <v>0</v>
      </c>
      <c r="Z133" s="2">
        <f t="shared" si="42"/>
        <v>0</v>
      </c>
      <c r="AA133" s="2">
        <f t="shared" si="42"/>
        <v>0</v>
      </c>
    </row>
    <row r="134" spans="1:27" x14ac:dyDescent="0.25">
      <c r="A134" s="14">
        <f>'Notes &amp; Assumptions'!A39</f>
        <v>26</v>
      </c>
      <c r="C134" s="1"/>
      <c r="D134" s="1"/>
      <c r="E134" t="s">
        <v>61</v>
      </c>
      <c r="F134" t="s">
        <v>3</v>
      </c>
      <c r="G134" s="10">
        <v>1</v>
      </c>
    </row>
    <row r="135" spans="1:27" x14ac:dyDescent="0.25">
      <c r="C135" s="1"/>
      <c r="D135" s="1"/>
      <c r="E135" t="s">
        <v>88</v>
      </c>
      <c r="F135" t="s">
        <v>3</v>
      </c>
      <c r="H135">
        <f>H132*$G134</f>
        <v>0</v>
      </c>
      <c r="I135">
        <f t="shared" ref="I135:AA135" si="43">I132*$G134</f>
        <v>0</v>
      </c>
      <c r="J135">
        <f t="shared" si="43"/>
        <v>0</v>
      </c>
      <c r="K135">
        <f t="shared" si="43"/>
        <v>0</v>
      </c>
      <c r="L135">
        <f t="shared" si="43"/>
        <v>0</v>
      </c>
      <c r="M135">
        <f t="shared" si="43"/>
        <v>0</v>
      </c>
      <c r="N135">
        <f t="shared" si="43"/>
        <v>0</v>
      </c>
      <c r="O135">
        <f t="shared" si="43"/>
        <v>0</v>
      </c>
      <c r="P135">
        <f t="shared" si="43"/>
        <v>0</v>
      </c>
      <c r="Q135">
        <f t="shared" si="43"/>
        <v>0</v>
      </c>
      <c r="R135">
        <f t="shared" si="43"/>
        <v>0</v>
      </c>
      <c r="S135">
        <f t="shared" si="43"/>
        <v>0</v>
      </c>
      <c r="T135">
        <f t="shared" si="43"/>
        <v>0</v>
      </c>
      <c r="U135">
        <f t="shared" si="43"/>
        <v>0</v>
      </c>
      <c r="V135">
        <f t="shared" si="43"/>
        <v>0</v>
      </c>
      <c r="W135">
        <f t="shared" si="43"/>
        <v>0</v>
      </c>
      <c r="X135">
        <f t="shared" si="43"/>
        <v>0</v>
      </c>
      <c r="Y135">
        <f t="shared" si="43"/>
        <v>0</v>
      </c>
      <c r="Z135">
        <f t="shared" si="43"/>
        <v>0</v>
      </c>
      <c r="AA135">
        <f t="shared" si="43"/>
        <v>0</v>
      </c>
    </row>
    <row r="136" spans="1:27" x14ac:dyDescent="0.25">
      <c r="C136" s="1"/>
      <c r="D136" s="1"/>
      <c r="E136" t="s">
        <v>89</v>
      </c>
      <c r="F136" t="s">
        <v>3</v>
      </c>
      <c r="H136">
        <f>H133*$G134</f>
        <v>0</v>
      </c>
      <c r="I136">
        <f t="shared" ref="I136:AA136" si="44">I133*$G134</f>
        <v>0</v>
      </c>
      <c r="J136">
        <f t="shared" si="44"/>
        <v>0</v>
      </c>
      <c r="K136">
        <f t="shared" si="44"/>
        <v>0</v>
      </c>
      <c r="L136">
        <f t="shared" si="44"/>
        <v>0</v>
      </c>
      <c r="M136">
        <f t="shared" si="44"/>
        <v>0</v>
      </c>
      <c r="N136">
        <f t="shared" si="44"/>
        <v>0</v>
      </c>
      <c r="O136">
        <f t="shared" si="44"/>
        <v>0</v>
      </c>
      <c r="P136">
        <f t="shared" si="44"/>
        <v>0</v>
      </c>
      <c r="Q136">
        <f t="shared" si="44"/>
        <v>0</v>
      </c>
      <c r="R136">
        <f t="shared" si="44"/>
        <v>0</v>
      </c>
      <c r="S136">
        <f t="shared" si="44"/>
        <v>0</v>
      </c>
      <c r="T136">
        <f t="shared" si="44"/>
        <v>0</v>
      </c>
      <c r="U136">
        <f t="shared" si="44"/>
        <v>0</v>
      </c>
      <c r="V136">
        <f t="shared" si="44"/>
        <v>0</v>
      </c>
      <c r="W136">
        <f t="shared" si="44"/>
        <v>0</v>
      </c>
      <c r="X136">
        <f t="shared" si="44"/>
        <v>0</v>
      </c>
      <c r="Y136">
        <f t="shared" si="44"/>
        <v>0</v>
      </c>
      <c r="Z136">
        <f t="shared" si="44"/>
        <v>0</v>
      </c>
      <c r="AA136">
        <f t="shared" si="44"/>
        <v>0</v>
      </c>
    </row>
    <row r="137" spans="1:27" x14ac:dyDescent="0.25">
      <c r="A137" s="14">
        <f>'Notes &amp; Assumptions'!A40</f>
        <v>27</v>
      </c>
      <c r="C137" s="1"/>
      <c r="D137" s="1"/>
      <c r="E137" t="s">
        <v>62</v>
      </c>
      <c r="F137" t="s">
        <v>43</v>
      </c>
      <c r="H137" s="10"/>
      <c r="I137" s="10"/>
      <c r="J137" s="10"/>
      <c r="K137" s="10"/>
      <c r="L137" s="10"/>
      <c r="M137" s="10"/>
      <c r="N137" s="10"/>
      <c r="O137" s="10"/>
      <c r="P137" s="10"/>
      <c r="Q137" s="10"/>
      <c r="R137" s="10"/>
      <c r="S137" s="10"/>
      <c r="T137" s="10"/>
      <c r="U137" s="10"/>
      <c r="V137" s="10"/>
      <c r="W137" s="10"/>
      <c r="X137" s="10"/>
      <c r="Y137" s="10"/>
      <c r="Z137" s="10"/>
      <c r="AA137" s="10"/>
    </row>
    <row r="138" spans="1:27" x14ac:dyDescent="0.25">
      <c r="C138" s="1"/>
      <c r="D138" s="1"/>
      <c r="E138" t="s">
        <v>63</v>
      </c>
      <c r="F138" t="s">
        <v>43</v>
      </c>
      <c r="H138" s="10"/>
      <c r="I138" s="10"/>
      <c r="J138" s="10"/>
      <c r="K138" s="10"/>
      <c r="L138" s="10"/>
      <c r="M138" s="10"/>
      <c r="N138" s="10"/>
      <c r="O138" s="10"/>
      <c r="P138" s="10"/>
      <c r="Q138" s="10"/>
      <c r="R138" s="10"/>
      <c r="S138" s="10"/>
      <c r="T138" s="10"/>
      <c r="U138" s="10"/>
      <c r="V138" s="10"/>
      <c r="W138" s="10"/>
      <c r="X138" s="10"/>
      <c r="Y138" s="10"/>
      <c r="Z138" s="10"/>
      <c r="AA138" s="10"/>
    </row>
    <row r="139" spans="1:27" x14ac:dyDescent="0.25">
      <c r="A139" s="14">
        <f>'Notes &amp; Assumptions'!A41</f>
        <v>28</v>
      </c>
      <c r="C139" s="1"/>
      <c r="D139" s="1"/>
      <c r="E139" t="s">
        <v>140</v>
      </c>
      <c r="F139" t="s">
        <v>43</v>
      </c>
      <c r="H139" s="10"/>
      <c r="I139" s="10"/>
      <c r="J139" s="10"/>
      <c r="K139" s="10"/>
      <c r="L139" s="10"/>
      <c r="M139" s="10"/>
      <c r="N139" s="10"/>
      <c r="O139" s="10"/>
      <c r="P139" s="10"/>
      <c r="Q139" s="10"/>
      <c r="R139" s="10"/>
      <c r="S139" s="10"/>
      <c r="T139" s="10"/>
      <c r="U139" s="10"/>
      <c r="V139" s="10"/>
      <c r="W139" s="10"/>
      <c r="X139" s="10"/>
      <c r="Y139" s="10"/>
      <c r="Z139" s="10"/>
      <c r="AA139" s="10"/>
    </row>
    <row r="140" spans="1:27" x14ac:dyDescent="0.25">
      <c r="C140" s="1"/>
      <c r="D140" s="1"/>
      <c r="E140" t="s">
        <v>64</v>
      </c>
      <c r="F140" t="s">
        <v>144</v>
      </c>
      <c r="H140" s="2">
        <f>H133*H137</f>
        <v>0</v>
      </c>
      <c r="I140" s="2">
        <f t="shared" ref="I140:AA140" si="45">I133*I137</f>
        <v>0</v>
      </c>
      <c r="J140" s="2">
        <f t="shared" si="45"/>
        <v>0</v>
      </c>
      <c r="K140" s="2">
        <f t="shared" si="45"/>
        <v>0</v>
      </c>
      <c r="L140" s="2">
        <f t="shared" si="45"/>
        <v>0</v>
      </c>
      <c r="M140" s="2">
        <f t="shared" si="45"/>
        <v>0</v>
      </c>
      <c r="N140" s="2">
        <f t="shared" si="45"/>
        <v>0</v>
      </c>
      <c r="O140" s="2">
        <f t="shared" si="45"/>
        <v>0</v>
      </c>
      <c r="P140" s="2">
        <f t="shared" si="45"/>
        <v>0</v>
      </c>
      <c r="Q140" s="2">
        <f t="shared" si="45"/>
        <v>0</v>
      </c>
      <c r="R140" s="2">
        <f t="shared" si="45"/>
        <v>0</v>
      </c>
      <c r="S140" s="2">
        <f t="shared" si="45"/>
        <v>0</v>
      </c>
      <c r="T140" s="2">
        <f t="shared" si="45"/>
        <v>0</v>
      </c>
      <c r="U140" s="2">
        <f t="shared" si="45"/>
        <v>0</v>
      </c>
      <c r="V140" s="2">
        <f t="shared" si="45"/>
        <v>0</v>
      </c>
      <c r="W140" s="2">
        <f t="shared" si="45"/>
        <v>0</v>
      </c>
      <c r="X140" s="2">
        <f t="shared" si="45"/>
        <v>0</v>
      </c>
      <c r="Y140" s="2">
        <f t="shared" si="45"/>
        <v>0</v>
      </c>
      <c r="Z140" s="2">
        <f t="shared" si="45"/>
        <v>0</v>
      </c>
      <c r="AA140" s="2">
        <f t="shared" si="45"/>
        <v>0</v>
      </c>
    </row>
    <row r="141" spans="1:27" x14ac:dyDescent="0.25">
      <c r="C141" s="1"/>
      <c r="D141" s="1"/>
      <c r="E141" t="s">
        <v>65</v>
      </c>
      <c r="F141" t="s">
        <v>144</v>
      </c>
      <c r="H141" s="2">
        <f>H133*H138</f>
        <v>0</v>
      </c>
      <c r="I141" s="2">
        <f t="shared" ref="I141:AA141" si="46">I133*I138</f>
        <v>0</v>
      </c>
      <c r="J141" s="2">
        <f t="shared" si="46"/>
        <v>0</v>
      </c>
      <c r="K141" s="2">
        <f t="shared" si="46"/>
        <v>0</v>
      </c>
      <c r="L141" s="2">
        <f t="shared" si="46"/>
        <v>0</v>
      </c>
      <c r="M141" s="2">
        <f t="shared" si="46"/>
        <v>0</v>
      </c>
      <c r="N141" s="2">
        <f t="shared" si="46"/>
        <v>0</v>
      </c>
      <c r="O141" s="2">
        <f t="shared" si="46"/>
        <v>0</v>
      </c>
      <c r="P141" s="2">
        <f t="shared" si="46"/>
        <v>0</v>
      </c>
      <c r="Q141" s="2">
        <f t="shared" si="46"/>
        <v>0</v>
      </c>
      <c r="R141" s="2">
        <f t="shared" si="46"/>
        <v>0</v>
      </c>
      <c r="S141" s="2">
        <f t="shared" si="46"/>
        <v>0</v>
      </c>
      <c r="T141" s="2">
        <f t="shared" si="46"/>
        <v>0</v>
      </c>
      <c r="U141" s="2">
        <f t="shared" si="46"/>
        <v>0</v>
      </c>
      <c r="V141" s="2">
        <f t="shared" si="46"/>
        <v>0</v>
      </c>
      <c r="W141" s="2">
        <f t="shared" si="46"/>
        <v>0</v>
      </c>
      <c r="X141" s="2">
        <f t="shared" si="46"/>
        <v>0</v>
      </c>
      <c r="Y141" s="2">
        <f t="shared" si="46"/>
        <v>0</v>
      </c>
      <c r="Z141" s="2">
        <f t="shared" si="46"/>
        <v>0</v>
      </c>
      <c r="AA141" s="2">
        <f t="shared" si="46"/>
        <v>0</v>
      </c>
    </row>
    <row r="142" spans="1:27" x14ac:dyDescent="0.25">
      <c r="C142" s="1"/>
      <c r="D142" s="1"/>
      <c r="E142" t="s">
        <v>141</v>
      </c>
      <c r="F142" t="s">
        <v>144</v>
      </c>
      <c r="H142" s="2">
        <f>H133*H139</f>
        <v>0</v>
      </c>
      <c r="I142" s="2">
        <f t="shared" ref="I142:AA142" si="47">I133*I139</f>
        <v>0</v>
      </c>
      <c r="J142" s="2">
        <f t="shared" si="47"/>
        <v>0</v>
      </c>
      <c r="K142" s="2">
        <f t="shared" si="47"/>
        <v>0</v>
      </c>
      <c r="L142" s="2">
        <f t="shared" si="47"/>
        <v>0</v>
      </c>
      <c r="M142" s="2">
        <f t="shared" si="47"/>
        <v>0</v>
      </c>
      <c r="N142" s="2">
        <f t="shared" si="47"/>
        <v>0</v>
      </c>
      <c r="O142" s="2">
        <f t="shared" si="47"/>
        <v>0</v>
      </c>
      <c r="P142" s="2">
        <f t="shared" si="47"/>
        <v>0</v>
      </c>
      <c r="Q142" s="2">
        <f t="shared" si="47"/>
        <v>0</v>
      </c>
      <c r="R142" s="2">
        <f t="shared" si="47"/>
        <v>0</v>
      </c>
      <c r="S142" s="2">
        <f t="shared" si="47"/>
        <v>0</v>
      </c>
      <c r="T142" s="2">
        <f t="shared" si="47"/>
        <v>0</v>
      </c>
      <c r="U142" s="2">
        <f t="shared" si="47"/>
        <v>0</v>
      </c>
      <c r="V142" s="2">
        <f t="shared" si="47"/>
        <v>0</v>
      </c>
      <c r="W142" s="2">
        <f t="shared" si="47"/>
        <v>0</v>
      </c>
      <c r="X142" s="2">
        <f t="shared" si="47"/>
        <v>0</v>
      </c>
      <c r="Y142" s="2">
        <f t="shared" si="47"/>
        <v>0</v>
      </c>
      <c r="Z142" s="2">
        <f t="shared" si="47"/>
        <v>0</v>
      </c>
      <c r="AA142" s="2">
        <f t="shared" si="47"/>
        <v>0</v>
      </c>
    </row>
    <row r="143" spans="1:27" x14ac:dyDescent="0.25">
      <c r="A143" s="14">
        <f>'Notes &amp; Assumptions'!A42</f>
        <v>29</v>
      </c>
      <c r="C143" s="1"/>
      <c r="D143" s="1"/>
      <c r="E143" t="s">
        <v>66</v>
      </c>
      <c r="F143" t="s">
        <v>8</v>
      </c>
      <c r="H143" s="11"/>
      <c r="I143" s="11"/>
      <c r="J143" s="11"/>
      <c r="K143" s="11"/>
      <c r="L143" s="11"/>
      <c r="M143" s="11"/>
      <c r="N143" s="11"/>
      <c r="O143" s="11"/>
      <c r="P143" s="11"/>
      <c r="Q143" s="11"/>
      <c r="R143" s="11"/>
      <c r="S143" s="11"/>
      <c r="T143" s="11"/>
      <c r="U143" s="11"/>
      <c r="V143" s="11"/>
      <c r="W143" s="11"/>
      <c r="X143" s="11"/>
      <c r="Y143" s="11"/>
      <c r="Z143" s="11"/>
      <c r="AA143" s="11"/>
    </row>
    <row r="144" spans="1:27" x14ac:dyDescent="0.25">
      <c r="A144" s="14">
        <f>'Notes &amp; Assumptions'!A43</f>
        <v>30</v>
      </c>
      <c r="C144" s="1"/>
      <c r="D144" s="1"/>
      <c r="E144" t="s">
        <v>40</v>
      </c>
      <c r="F144" t="s">
        <v>41</v>
      </c>
      <c r="G144" s="10"/>
      <c r="H144" s="2">
        <f>G144*(1+$G$14)*(1+H143)</f>
        <v>0</v>
      </c>
      <c r="I144" s="2">
        <f t="shared" ref="I144:AA144" si="48">H144*(1+$G$14)*(1+I143)</f>
        <v>0</v>
      </c>
      <c r="J144" s="2">
        <f t="shared" si="48"/>
        <v>0</v>
      </c>
      <c r="K144" s="2">
        <f t="shared" si="48"/>
        <v>0</v>
      </c>
      <c r="L144" s="2">
        <f t="shared" si="48"/>
        <v>0</v>
      </c>
      <c r="M144" s="2">
        <f t="shared" si="48"/>
        <v>0</v>
      </c>
      <c r="N144" s="2">
        <f t="shared" si="48"/>
        <v>0</v>
      </c>
      <c r="O144" s="2">
        <f t="shared" si="48"/>
        <v>0</v>
      </c>
      <c r="P144" s="2">
        <f t="shared" si="48"/>
        <v>0</v>
      </c>
      <c r="Q144" s="2">
        <f t="shared" si="48"/>
        <v>0</v>
      </c>
      <c r="R144" s="2">
        <f t="shared" si="48"/>
        <v>0</v>
      </c>
      <c r="S144" s="2">
        <f t="shared" si="48"/>
        <v>0</v>
      </c>
      <c r="T144" s="2">
        <f t="shared" si="48"/>
        <v>0</v>
      </c>
      <c r="U144" s="2">
        <f t="shared" si="48"/>
        <v>0</v>
      </c>
      <c r="V144" s="2">
        <f t="shared" si="48"/>
        <v>0</v>
      </c>
      <c r="W144" s="2">
        <f t="shared" si="48"/>
        <v>0</v>
      </c>
      <c r="X144" s="2">
        <f t="shared" si="48"/>
        <v>0</v>
      </c>
      <c r="Y144" s="2">
        <f t="shared" si="48"/>
        <v>0</v>
      </c>
      <c r="Z144" s="2">
        <f t="shared" si="48"/>
        <v>0</v>
      </c>
      <c r="AA144" s="2">
        <f t="shared" si="48"/>
        <v>0</v>
      </c>
    </row>
    <row r="145" spans="1:27" x14ac:dyDescent="0.25">
      <c r="C145" s="1"/>
      <c r="D145" s="1"/>
      <c r="E145" t="s">
        <v>67</v>
      </c>
      <c r="F145" t="s">
        <v>143</v>
      </c>
      <c r="G145" s="20"/>
      <c r="H145" s="21">
        <f>G145*(1+$G$14)*(1+H143)</f>
        <v>0</v>
      </c>
      <c r="I145" s="21">
        <f t="shared" ref="I145:AA145" si="49">H145*(1+$G$14)*(1+I143)</f>
        <v>0</v>
      </c>
      <c r="J145" s="21">
        <f t="shared" si="49"/>
        <v>0</v>
      </c>
      <c r="K145" s="21">
        <f t="shared" si="49"/>
        <v>0</v>
      </c>
      <c r="L145" s="21">
        <f t="shared" si="49"/>
        <v>0</v>
      </c>
      <c r="M145" s="21">
        <f t="shared" si="49"/>
        <v>0</v>
      </c>
      <c r="N145" s="21">
        <f t="shared" si="49"/>
        <v>0</v>
      </c>
      <c r="O145" s="21">
        <f t="shared" si="49"/>
        <v>0</v>
      </c>
      <c r="P145" s="21">
        <f t="shared" si="49"/>
        <v>0</v>
      </c>
      <c r="Q145" s="21">
        <f t="shared" si="49"/>
        <v>0</v>
      </c>
      <c r="R145" s="21">
        <f t="shared" si="49"/>
        <v>0</v>
      </c>
      <c r="S145" s="21">
        <f t="shared" si="49"/>
        <v>0</v>
      </c>
      <c r="T145" s="21">
        <f t="shared" si="49"/>
        <v>0</v>
      </c>
      <c r="U145" s="21">
        <f t="shared" si="49"/>
        <v>0</v>
      </c>
      <c r="V145" s="21">
        <f t="shared" si="49"/>
        <v>0</v>
      </c>
      <c r="W145" s="21">
        <f t="shared" si="49"/>
        <v>0</v>
      </c>
      <c r="X145" s="21">
        <f t="shared" si="49"/>
        <v>0</v>
      </c>
      <c r="Y145" s="21">
        <f t="shared" si="49"/>
        <v>0</v>
      </c>
      <c r="Z145" s="21">
        <f t="shared" si="49"/>
        <v>0</v>
      </c>
      <c r="AA145" s="21">
        <f t="shared" si="49"/>
        <v>0</v>
      </c>
    </row>
    <row r="146" spans="1:27" x14ac:dyDescent="0.25">
      <c r="C146" s="1"/>
      <c r="D146" s="1"/>
      <c r="E146" t="s">
        <v>68</v>
      </c>
      <c r="F146" t="s">
        <v>143</v>
      </c>
      <c r="G146" s="20"/>
      <c r="H146" s="21">
        <f>G146*(1+$G$14)*(1+H143)</f>
        <v>0</v>
      </c>
      <c r="I146" s="21">
        <f t="shared" ref="I146:AA146" si="50">H146*(1+$G$14)*(1+I143)</f>
        <v>0</v>
      </c>
      <c r="J146" s="21">
        <f t="shared" si="50"/>
        <v>0</v>
      </c>
      <c r="K146" s="21">
        <f t="shared" si="50"/>
        <v>0</v>
      </c>
      <c r="L146" s="21">
        <f t="shared" si="50"/>
        <v>0</v>
      </c>
      <c r="M146" s="21">
        <f t="shared" si="50"/>
        <v>0</v>
      </c>
      <c r="N146" s="21">
        <f t="shared" si="50"/>
        <v>0</v>
      </c>
      <c r="O146" s="21">
        <f t="shared" si="50"/>
        <v>0</v>
      </c>
      <c r="P146" s="21">
        <f t="shared" si="50"/>
        <v>0</v>
      </c>
      <c r="Q146" s="21">
        <f t="shared" si="50"/>
        <v>0</v>
      </c>
      <c r="R146" s="21">
        <f t="shared" si="50"/>
        <v>0</v>
      </c>
      <c r="S146" s="21">
        <f t="shared" si="50"/>
        <v>0</v>
      </c>
      <c r="T146" s="21">
        <f t="shared" si="50"/>
        <v>0</v>
      </c>
      <c r="U146" s="21">
        <f t="shared" si="50"/>
        <v>0</v>
      </c>
      <c r="V146" s="21">
        <f t="shared" si="50"/>
        <v>0</v>
      </c>
      <c r="W146" s="21">
        <f t="shared" si="50"/>
        <v>0</v>
      </c>
      <c r="X146" s="21">
        <f t="shared" si="50"/>
        <v>0</v>
      </c>
      <c r="Y146" s="21">
        <f t="shared" si="50"/>
        <v>0</v>
      </c>
      <c r="Z146" s="21">
        <f t="shared" si="50"/>
        <v>0</v>
      </c>
      <c r="AA146" s="21">
        <f t="shared" si="50"/>
        <v>0</v>
      </c>
    </row>
    <row r="147" spans="1:27" x14ac:dyDescent="0.25">
      <c r="C147" s="1"/>
      <c r="D147" s="1"/>
      <c r="E147" t="s">
        <v>142</v>
      </c>
      <c r="F147" t="s">
        <v>143</v>
      </c>
      <c r="G147" s="20"/>
      <c r="H147" s="21">
        <f>G147*(1+$G$14)*(1+H143)</f>
        <v>0</v>
      </c>
      <c r="I147" s="21">
        <f t="shared" ref="I147:AA147" si="51">H147*(1+$G$14)*(1+I143)</f>
        <v>0</v>
      </c>
      <c r="J147" s="21">
        <f t="shared" si="51"/>
        <v>0</v>
      </c>
      <c r="K147" s="21">
        <f t="shared" si="51"/>
        <v>0</v>
      </c>
      <c r="L147" s="21">
        <f t="shared" si="51"/>
        <v>0</v>
      </c>
      <c r="M147" s="21">
        <f t="shared" si="51"/>
        <v>0</v>
      </c>
      <c r="N147" s="21">
        <f t="shared" si="51"/>
        <v>0</v>
      </c>
      <c r="O147" s="21">
        <f t="shared" si="51"/>
        <v>0</v>
      </c>
      <c r="P147" s="21">
        <f t="shared" si="51"/>
        <v>0</v>
      </c>
      <c r="Q147" s="21">
        <f t="shared" si="51"/>
        <v>0</v>
      </c>
      <c r="R147" s="21">
        <f t="shared" si="51"/>
        <v>0</v>
      </c>
      <c r="S147" s="21">
        <f t="shared" si="51"/>
        <v>0</v>
      </c>
      <c r="T147" s="21">
        <f t="shared" si="51"/>
        <v>0</v>
      </c>
      <c r="U147" s="21">
        <f t="shared" si="51"/>
        <v>0</v>
      </c>
      <c r="V147" s="21">
        <f t="shared" si="51"/>
        <v>0</v>
      </c>
      <c r="W147" s="21">
        <f t="shared" si="51"/>
        <v>0</v>
      </c>
      <c r="X147" s="21">
        <f t="shared" si="51"/>
        <v>0</v>
      </c>
      <c r="Y147" s="21">
        <f t="shared" si="51"/>
        <v>0</v>
      </c>
      <c r="Z147" s="21">
        <f t="shared" si="51"/>
        <v>0</v>
      </c>
      <c r="AA147" s="21">
        <f t="shared" si="51"/>
        <v>0</v>
      </c>
    </row>
    <row r="148" spans="1:27" x14ac:dyDescent="0.25">
      <c r="C148" s="1"/>
      <c r="D148" s="1"/>
    </row>
    <row r="149" spans="1:27" x14ac:dyDescent="0.25">
      <c r="C149" s="1"/>
      <c r="D149" s="1"/>
      <c r="E149" t="s">
        <v>75</v>
      </c>
      <c r="F149" t="s">
        <v>58</v>
      </c>
      <c r="H149" s="2">
        <f>SUM(H140:H142)/1000</f>
        <v>0</v>
      </c>
      <c r="I149" s="2">
        <f t="shared" ref="I149:AA149" si="52">SUM(I140:I142)/1000</f>
        <v>0</v>
      </c>
      <c r="J149" s="2">
        <f t="shared" si="52"/>
        <v>0</v>
      </c>
      <c r="K149" s="2">
        <f t="shared" si="52"/>
        <v>0</v>
      </c>
      <c r="L149" s="2">
        <f t="shared" si="52"/>
        <v>0</v>
      </c>
      <c r="M149" s="2">
        <f t="shared" si="52"/>
        <v>0</v>
      </c>
      <c r="N149" s="2">
        <f t="shared" si="52"/>
        <v>0</v>
      </c>
      <c r="O149" s="2">
        <f t="shared" si="52"/>
        <v>0</v>
      </c>
      <c r="P149" s="2">
        <f t="shared" si="52"/>
        <v>0</v>
      </c>
      <c r="Q149" s="2">
        <f t="shared" si="52"/>
        <v>0</v>
      </c>
      <c r="R149" s="2">
        <f t="shared" si="52"/>
        <v>0</v>
      </c>
      <c r="S149" s="2">
        <f t="shared" si="52"/>
        <v>0</v>
      </c>
      <c r="T149" s="2">
        <f t="shared" si="52"/>
        <v>0</v>
      </c>
      <c r="U149" s="2">
        <f t="shared" si="52"/>
        <v>0</v>
      </c>
      <c r="V149" s="2">
        <f t="shared" si="52"/>
        <v>0</v>
      </c>
      <c r="W149" s="2">
        <f t="shared" si="52"/>
        <v>0</v>
      </c>
      <c r="X149" s="2">
        <f t="shared" si="52"/>
        <v>0</v>
      </c>
      <c r="Y149" s="2">
        <f t="shared" si="52"/>
        <v>0</v>
      </c>
      <c r="Z149" s="2">
        <f t="shared" si="52"/>
        <v>0</v>
      </c>
      <c r="AA149" s="2">
        <f t="shared" si="52"/>
        <v>0</v>
      </c>
    </row>
    <row r="150" spans="1:27" x14ac:dyDescent="0.25">
      <c r="C150" s="1"/>
      <c r="D150" s="1"/>
      <c r="E150" t="s">
        <v>76</v>
      </c>
      <c r="F150" t="s">
        <v>7</v>
      </c>
      <c r="H150" s="2">
        <f>H133*H144+H140*H145+H141*H146+H142*H147</f>
        <v>0</v>
      </c>
      <c r="I150" s="2">
        <f t="shared" ref="I150:AA150" si="53">I133*I144+I140*I145+I141*I146+I142*I147</f>
        <v>0</v>
      </c>
      <c r="J150" s="2">
        <f t="shared" si="53"/>
        <v>0</v>
      </c>
      <c r="K150" s="2">
        <f t="shared" si="53"/>
        <v>0</v>
      </c>
      <c r="L150" s="2">
        <f t="shared" si="53"/>
        <v>0</v>
      </c>
      <c r="M150" s="2">
        <f t="shared" si="53"/>
        <v>0</v>
      </c>
      <c r="N150" s="2">
        <f t="shared" si="53"/>
        <v>0</v>
      </c>
      <c r="O150" s="2">
        <f t="shared" si="53"/>
        <v>0</v>
      </c>
      <c r="P150" s="2">
        <f t="shared" si="53"/>
        <v>0</v>
      </c>
      <c r="Q150" s="2">
        <f t="shared" si="53"/>
        <v>0</v>
      </c>
      <c r="R150" s="2">
        <f t="shared" si="53"/>
        <v>0</v>
      </c>
      <c r="S150" s="2">
        <f t="shared" si="53"/>
        <v>0</v>
      </c>
      <c r="T150" s="2">
        <f t="shared" si="53"/>
        <v>0</v>
      </c>
      <c r="U150" s="2">
        <f t="shared" si="53"/>
        <v>0</v>
      </c>
      <c r="V150" s="2">
        <f t="shared" si="53"/>
        <v>0</v>
      </c>
      <c r="W150" s="2">
        <f t="shared" si="53"/>
        <v>0</v>
      </c>
      <c r="X150" s="2">
        <f t="shared" si="53"/>
        <v>0</v>
      </c>
      <c r="Y150" s="2">
        <f t="shared" si="53"/>
        <v>0</v>
      </c>
      <c r="Z150" s="2">
        <f t="shared" si="53"/>
        <v>0</v>
      </c>
      <c r="AA150" s="2">
        <f t="shared" si="53"/>
        <v>0</v>
      </c>
    </row>
    <row r="151" spans="1:27" x14ac:dyDescent="0.25">
      <c r="C151" s="1"/>
      <c r="D151" s="1"/>
    </row>
    <row r="152" spans="1:27" x14ac:dyDescent="0.25">
      <c r="C152" s="1"/>
      <c r="D152" t="s">
        <v>77</v>
      </c>
    </row>
    <row r="153" spans="1:27" x14ac:dyDescent="0.25">
      <c r="A153" s="14">
        <f>'Notes &amp; Assumptions'!A44</f>
        <v>31</v>
      </c>
      <c r="C153" s="1"/>
      <c r="D153" s="1"/>
      <c r="E153" t="s">
        <v>87</v>
      </c>
      <c r="F153" t="s">
        <v>3</v>
      </c>
      <c r="H153" s="10">
        <v>0</v>
      </c>
      <c r="I153" s="10">
        <v>0</v>
      </c>
      <c r="J153" s="10">
        <v>0</v>
      </c>
      <c r="K153" s="10">
        <v>0</v>
      </c>
      <c r="L153" s="10">
        <v>0</v>
      </c>
      <c r="M153" s="10">
        <v>0</v>
      </c>
      <c r="N153" s="10">
        <v>0</v>
      </c>
      <c r="O153" s="10">
        <v>0</v>
      </c>
      <c r="P153" s="10">
        <v>0</v>
      </c>
      <c r="Q153" s="10">
        <v>0</v>
      </c>
      <c r="R153" s="10">
        <f>AVERAGE($O153:$Q153)</f>
        <v>0</v>
      </c>
      <c r="S153" s="10">
        <f t="shared" ref="S153:V153" si="54">AVERAGE($O153:$Q153)</f>
        <v>0</v>
      </c>
      <c r="T153" s="10">
        <f t="shared" si="54"/>
        <v>0</v>
      </c>
      <c r="U153" s="10">
        <f t="shared" si="54"/>
        <v>0</v>
      </c>
      <c r="V153" s="10">
        <f t="shared" si="54"/>
        <v>0</v>
      </c>
    </row>
    <row r="154" spans="1:27" x14ac:dyDescent="0.25">
      <c r="C154" s="1"/>
      <c r="D154" s="1"/>
      <c r="E154" t="s">
        <v>60</v>
      </c>
      <c r="F154" t="s">
        <v>3</v>
      </c>
      <c r="H154" s="2">
        <f>G154+H153</f>
        <v>0</v>
      </c>
      <c r="I154" s="2">
        <f t="shared" ref="I154:AA154" si="55">H154+I153</f>
        <v>0</v>
      </c>
      <c r="J154" s="2">
        <f t="shared" si="55"/>
        <v>0</v>
      </c>
      <c r="K154" s="2">
        <f t="shared" si="55"/>
        <v>0</v>
      </c>
      <c r="L154" s="2">
        <f t="shared" si="55"/>
        <v>0</v>
      </c>
      <c r="M154" s="2">
        <f t="shared" si="55"/>
        <v>0</v>
      </c>
      <c r="N154" s="2">
        <f t="shared" si="55"/>
        <v>0</v>
      </c>
      <c r="O154" s="2">
        <f t="shared" si="55"/>
        <v>0</v>
      </c>
      <c r="P154" s="2">
        <f t="shared" si="55"/>
        <v>0</v>
      </c>
      <c r="Q154" s="2">
        <f t="shared" si="55"/>
        <v>0</v>
      </c>
      <c r="R154" s="2">
        <f t="shared" si="55"/>
        <v>0</v>
      </c>
      <c r="S154" s="2">
        <f t="shared" si="55"/>
        <v>0</v>
      </c>
      <c r="T154" s="2">
        <f t="shared" si="55"/>
        <v>0</v>
      </c>
      <c r="U154" s="2">
        <f t="shared" si="55"/>
        <v>0</v>
      </c>
      <c r="V154" s="2">
        <f t="shared" si="55"/>
        <v>0</v>
      </c>
      <c r="W154" s="2">
        <f t="shared" si="55"/>
        <v>0</v>
      </c>
      <c r="X154" s="2">
        <f t="shared" si="55"/>
        <v>0</v>
      </c>
      <c r="Y154" s="2">
        <f t="shared" si="55"/>
        <v>0</v>
      </c>
      <c r="Z154" s="2">
        <f t="shared" si="55"/>
        <v>0</v>
      </c>
      <c r="AA154" s="2">
        <f t="shared" si="55"/>
        <v>0</v>
      </c>
    </row>
    <row r="155" spans="1:27" x14ac:dyDescent="0.25">
      <c r="A155" s="14">
        <f>'Notes &amp; Assumptions'!A45</f>
        <v>32</v>
      </c>
      <c r="C155" s="1"/>
      <c r="D155" s="1"/>
      <c r="E155" t="s">
        <v>61</v>
      </c>
      <c r="F155" t="s">
        <v>3</v>
      </c>
      <c r="G155" s="10">
        <v>1</v>
      </c>
    </row>
    <row r="156" spans="1:27" x14ac:dyDescent="0.25">
      <c r="C156" s="1"/>
      <c r="D156" s="1"/>
      <c r="E156" t="s">
        <v>88</v>
      </c>
      <c r="F156" t="s">
        <v>3</v>
      </c>
      <c r="H156">
        <f>H153*$G155</f>
        <v>0</v>
      </c>
      <c r="I156">
        <f t="shared" ref="I156:AA156" si="56">I153*$G155</f>
        <v>0</v>
      </c>
      <c r="J156">
        <f t="shared" si="56"/>
        <v>0</v>
      </c>
      <c r="K156">
        <f t="shared" si="56"/>
        <v>0</v>
      </c>
      <c r="L156">
        <f t="shared" si="56"/>
        <v>0</v>
      </c>
      <c r="M156">
        <f t="shared" si="56"/>
        <v>0</v>
      </c>
      <c r="N156">
        <f t="shared" si="56"/>
        <v>0</v>
      </c>
      <c r="O156">
        <f t="shared" si="56"/>
        <v>0</v>
      </c>
      <c r="P156">
        <f t="shared" si="56"/>
        <v>0</v>
      </c>
      <c r="Q156">
        <f t="shared" si="56"/>
        <v>0</v>
      </c>
      <c r="R156">
        <f t="shared" si="56"/>
        <v>0</v>
      </c>
      <c r="S156">
        <f t="shared" si="56"/>
        <v>0</v>
      </c>
      <c r="T156">
        <f t="shared" si="56"/>
        <v>0</v>
      </c>
      <c r="U156">
        <f t="shared" si="56"/>
        <v>0</v>
      </c>
      <c r="V156">
        <f t="shared" si="56"/>
        <v>0</v>
      </c>
      <c r="W156">
        <f t="shared" si="56"/>
        <v>0</v>
      </c>
      <c r="X156">
        <f t="shared" si="56"/>
        <v>0</v>
      </c>
      <c r="Y156">
        <f t="shared" si="56"/>
        <v>0</v>
      </c>
      <c r="Z156">
        <f t="shared" si="56"/>
        <v>0</v>
      </c>
      <c r="AA156">
        <f t="shared" si="56"/>
        <v>0</v>
      </c>
    </row>
    <row r="157" spans="1:27" x14ac:dyDescent="0.25">
      <c r="C157" s="1"/>
      <c r="D157" s="1"/>
      <c r="E157" t="s">
        <v>89</v>
      </c>
      <c r="F157" t="s">
        <v>3</v>
      </c>
      <c r="H157">
        <f>H154*$G155</f>
        <v>0</v>
      </c>
      <c r="I157">
        <f t="shared" ref="I157:AA157" si="57">I154*$G155</f>
        <v>0</v>
      </c>
      <c r="J157">
        <f t="shared" si="57"/>
        <v>0</v>
      </c>
      <c r="K157">
        <f t="shared" si="57"/>
        <v>0</v>
      </c>
      <c r="L157">
        <f t="shared" si="57"/>
        <v>0</v>
      </c>
      <c r="M157">
        <f t="shared" si="57"/>
        <v>0</v>
      </c>
      <c r="N157">
        <f t="shared" si="57"/>
        <v>0</v>
      </c>
      <c r="O157">
        <f t="shared" si="57"/>
        <v>0</v>
      </c>
      <c r="P157">
        <f t="shared" si="57"/>
        <v>0</v>
      </c>
      <c r="Q157">
        <f t="shared" si="57"/>
        <v>0</v>
      </c>
      <c r="R157">
        <f t="shared" si="57"/>
        <v>0</v>
      </c>
      <c r="S157">
        <f t="shared" si="57"/>
        <v>0</v>
      </c>
      <c r="T157">
        <f t="shared" si="57"/>
        <v>0</v>
      </c>
      <c r="U157">
        <f t="shared" si="57"/>
        <v>0</v>
      </c>
      <c r="V157">
        <f t="shared" si="57"/>
        <v>0</v>
      </c>
      <c r="W157">
        <f t="shared" si="57"/>
        <v>0</v>
      </c>
      <c r="X157">
        <f t="shared" si="57"/>
        <v>0</v>
      </c>
      <c r="Y157">
        <f t="shared" si="57"/>
        <v>0</v>
      </c>
      <c r="Z157">
        <f t="shared" si="57"/>
        <v>0</v>
      </c>
      <c r="AA157">
        <f t="shared" si="57"/>
        <v>0</v>
      </c>
    </row>
    <row r="158" spans="1:27" x14ac:dyDescent="0.25">
      <c r="A158" s="14">
        <f>'Notes &amp; Assumptions'!A46</f>
        <v>33</v>
      </c>
      <c r="C158" s="1"/>
      <c r="D158" s="1"/>
      <c r="E158" t="s">
        <v>62</v>
      </c>
      <c r="F158" t="s">
        <v>43</v>
      </c>
      <c r="H158" s="10"/>
      <c r="I158" s="10"/>
      <c r="J158" s="10"/>
      <c r="K158" s="10"/>
      <c r="L158" s="10"/>
      <c r="M158" s="10"/>
      <c r="N158" s="10"/>
      <c r="O158" s="10"/>
      <c r="P158" s="10"/>
      <c r="Q158" s="10"/>
      <c r="R158" s="10"/>
      <c r="S158" s="10"/>
      <c r="T158" s="10"/>
      <c r="U158" s="10"/>
      <c r="V158" s="10"/>
      <c r="W158" s="10"/>
      <c r="X158" s="10"/>
      <c r="Y158" s="10"/>
      <c r="Z158" s="10"/>
      <c r="AA158" s="10"/>
    </row>
    <row r="159" spans="1:27" x14ac:dyDescent="0.25">
      <c r="C159" s="1"/>
      <c r="D159" s="1"/>
      <c r="E159" t="s">
        <v>63</v>
      </c>
      <c r="F159" t="s">
        <v>43</v>
      </c>
      <c r="H159" s="10"/>
      <c r="I159" s="10"/>
      <c r="J159" s="10"/>
      <c r="K159" s="10"/>
      <c r="L159" s="10"/>
      <c r="M159" s="10"/>
      <c r="N159" s="10"/>
      <c r="O159" s="10"/>
      <c r="P159" s="10"/>
      <c r="Q159" s="10"/>
      <c r="R159" s="10"/>
      <c r="S159" s="10"/>
      <c r="T159" s="10"/>
      <c r="U159" s="10"/>
      <c r="V159" s="10"/>
      <c r="W159" s="10"/>
      <c r="X159" s="10"/>
      <c r="Y159" s="10"/>
      <c r="Z159" s="10"/>
      <c r="AA159" s="10"/>
    </row>
    <row r="160" spans="1:27" x14ac:dyDescent="0.25">
      <c r="A160" s="14">
        <f>'Notes &amp; Assumptions'!A47</f>
        <v>34</v>
      </c>
      <c r="C160" s="1"/>
      <c r="D160" s="1"/>
      <c r="E160" t="s">
        <v>140</v>
      </c>
      <c r="F160" t="s">
        <v>43</v>
      </c>
      <c r="H160" s="10"/>
      <c r="I160" s="10"/>
      <c r="J160" s="10"/>
      <c r="K160" s="10"/>
      <c r="L160" s="10"/>
      <c r="M160" s="10"/>
      <c r="N160" s="10"/>
      <c r="O160" s="10"/>
      <c r="P160" s="10"/>
      <c r="Q160" s="10"/>
      <c r="R160" s="10"/>
      <c r="S160" s="10"/>
      <c r="T160" s="10"/>
      <c r="U160" s="10"/>
      <c r="V160" s="10"/>
      <c r="W160" s="10"/>
      <c r="X160" s="10"/>
      <c r="Y160" s="10"/>
      <c r="Z160" s="10"/>
      <c r="AA160" s="10"/>
    </row>
    <row r="161" spans="1:27" x14ac:dyDescent="0.25">
      <c r="C161" s="1"/>
      <c r="D161" s="1"/>
      <c r="E161" t="s">
        <v>64</v>
      </c>
      <c r="F161" t="s">
        <v>144</v>
      </c>
      <c r="H161" s="2">
        <f>H154*H158</f>
        <v>0</v>
      </c>
      <c r="I161" s="2">
        <f t="shared" ref="I161:AA161" si="58">I154*I158</f>
        <v>0</v>
      </c>
      <c r="J161" s="2">
        <f t="shared" si="58"/>
        <v>0</v>
      </c>
      <c r="K161" s="2">
        <f t="shared" si="58"/>
        <v>0</v>
      </c>
      <c r="L161" s="2">
        <f t="shared" si="58"/>
        <v>0</v>
      </c>
      <c r="M161" s="2">
        <f t="shared" si="58"/>
        <v>0</v>
      </c>
      <c r="N161" s="2">
        <f t="shared" si="58"/>
        <v>0</v>
      </c>
      <c r="O161" s="2">
        <f t="shared" si="58"/>
        <v>0</v>
      </c>
      <c r="P161" s="2">
        <f t="shared" si="58"/>
        <v>0</v>
      </c>
      <c r="Q161" s="2">
        <f t="shared" si="58"/>
        <v>0</v>
      </c>
      <c r="R161" s="2">
        <f t="shared" si="58"/>
        <v>0</v>
      </c>
      <c r="S161" s="2">
        <f t="shared" si="58"/>
        <v>0</v>
      </c>
      <c r="T161" s="2">
        <f t="shared" si="58"/>
        <v>0</v>
      </c>
      <c r="U161" s="2">
        <f t="shared" si="58"/>
        <v>0</v>
      </c>
      <c r="V161" s="2">
        <f t="shared" si="58"/>
        <v>0</v>
      </c>
      <c r="W161" s="2">
        <f t="shared" si="58"/>
        <v>0</v>
      </c>
      <c r="X161" s="2">
        <f t="shared" si="58"/>
        <v>0</v>
      </c>
      <c r="Y161" s="2">
        <f t="shared" si="58"/>
        <v>0</v>
      </c>
      <c r="Z161" s="2">
        <f t="shared" si="58"/>
        <v>0</v>
      </c>
      <c r="AA161" s="2">
        <f t="shared" si="58"/>
        <v>0</v>
      </c>
    </row>
    <row r="162" spans="1:27" x14ac:dyDescent="0.25">
      <c r="C162" s="1"/>
      <c r="D162" s="1"/>
      <c r="E162" t="s">
        <v>65</v>
      </c>
      <c r="F162" t="s">
        <v>144</v>
      </c>
      <c r="H162" s="2">
        <f>H154*H159</f>
        <v>0</v>
      </c>
      <c r="I162" s="2">
        <f t="shared" ref="I162:AA162" si="59">I154*I159</f>
        <v>0</v>
      </c>
      <c r="J162" s="2">
        <f t="shared" si="59"/>
        <v>0</v>
      </c>
      <c r="K162" s="2">
        <f t="shared" si="59"/>
        <v>0</v>
      </c>
      <c r="L162" s="2">
        <f t="shared" si="59"/>
        <v>0</v>
      </c>
      <c r="M162" s="2">
        <f t="shared" si="59"/>
        <v>0</v>
      </c>
      <c r="N162" s="2">
        <f t="shared" si="59"/>
        <v>0</v>
      </c>
      <c r="O162" s="2">
        <f t="shared" si="59"/>
        <v>0</v>
      </c>
      <c r="P162" s="2">
        <f t="shared" si="59"/>
        <v>0</v>
      </c>
      <c r="Q162" s="2">
        <f t="shared" si="59"/>
        <v>0</v>
      </c>
      <c r="R162" s="2">
        <f t="shared" si="59"/>
        <v>0</v>
      </c>
      <c r="S162" s="2">
        <f t="shared" si="59"/>
        <v>0</v>
      </c>
      <c r="T162" s="2">
        <f t="shared" si="59"/>
        <v>0</v>
      </c>
      <c r="U162" s="2">
        <f t="shared" si="59"/>
        <v>0</v>
      </c>
      <c r="V162" s="2">
        <f t="shared" si="59"/>
        <v>0</v>
      </c>
      <c r="W162" s="2">
        <f t="shared" si="59"/>
        <v>0</v>
      </c>
      <c r="X162" s="2">
        <f t="shared" si="59"/>
        <v>0</v>
      </c>
      <c r="Y162" s="2">
        <f t="shared" si="59"/>
        <v>0</v>
      </c>
      <c r="Z162" s="2">
        <f t="shared" si="59"/>
        <v>0</v>
      </c>
      <c r="AA162" s="2">
        <f t="shared" si="59"/>
        <v>0</v>
      </c>
    </row>
    <row r="163" spans="1:27" x14ac:dyDescent="0.25">
      <c r="C163" s="1"/>
      <c r="D163" s="1"/>
      <c r="E163" t="s">
        <v>141</v>
      </c>
      <c r="F163" t="s">
        <v>144</v>
      </c>
      <c r="H163" s="2">
        <f>H154*H160</f>
        <v>0</v>
      </c>
      <c r="I163" s="2">
        <f t="shared" ref="I163:AA163" si="60">I154*I160</f>
        <v>0</v>
      </c>
      <c r="J163" s="2">
        <f t="shared" si="60"/>
        <v>0</v>
      </c>
      <c r="K163" s="2">
        <f t="shared" si="60"/>
        <v>0</v>
      </c>
      <c r="L163" s="2">
        <f t="shared" si="60"/>
        <v>0</v>
      </c>
      <c r="M163" s="2">
        <f t="shared" si="60"/>
        <v>0</v>
      </c>
      <c r="N163" s="2">
        <f t="shared" si="60"/>
        <v>0</v>
      </c>
      <c r="O163" s="2">
        <f t="shared" si="60"/>
        <v>0</v>
      </c>
      <c r="P163" s="2">
        <f t="shared" si="60"/>
        <v>0</v>
      </c>
      <c r="Q163" s="2">
        <f t="shared" si="60"/>
        <v>0</v>
      </c>
      <c r="R163" s="2">
        <f t="shared" si="60"/>
        <v>0</v>
      </c>
      <c r="S163" s="2">
        <f t="shared" si="60"/>
        <v>0</v>
      </c>
      <c r="T163" s="2">
        <f t="shared" si="60"/>
        <v>0</v>
      </c>
      <c r="U163" s="2">
        <f t="shared" si="60"/>
        <v>0</v>
      </c>
      <c r="V163" s="2">
        <f t="shared" si="60"/>
        <v>0</v>
      </c>
      <c r="W163" s="2">
        <f t="shared" si="60"/>
        <v>0</v>
      </c>
      <c r="X163" s="2">
        <f t="shared" si="60"/>
        <v>0</v>
      </c>
      <c r="Y163" s="2">
        <f t="shared" si="60"/>
        <v>0</v>
      </c>
      <c r="Z163" s="2">
        <f t="shared" si="60"/>
        <v>0</v>
      </c>
      <c r="AA163" s="2">
        <f t="shared" si="60"/>
        <v>0</v>
      </c>
    </row>
    <row r="164" spans="1:27" x14ac:dyDescent="0.25">
      <c r="A164" s="14">
        <f>'Notes &amp; Assumptions'!A48</f>
        <v>35</v>
      </c>
      <c r="C164" s="1"/>
      <c r="D164" s="1"/>
      <c r="E164" t="s">
        <v>66</v>
      </c>
      <c r="F164" t="s">
        <v>8</v>
      </c>
      <c r="H164" s="11"/>
      <c r="I164" s="11"/>
      <c r="J164" s="11"/>
      <c r="K164" s="11"/>
      <c r="L164" s="11"/>
      <c r="M164" s="11"/>
      <c r="N164" s="11"/>
      <c r="O164" s="11"/>
      <c r="P164" s="11"/>
      <c r="Q164" s="11"/>
      <c r="R164" s="11"/>
      <c r="S164" s="11"/>
      <c r="T164" s="11"/>
      <c r="U164" s="11"/>
      <c r="V164" s="11"/>
      <c r="W164" s="11"/>
      <c r="X164" s="11"/>
      <c r="Y164" s="11"/>
      <c r="Z164" s="11"/>
      <c r="AA164" s="11"/>
    </row>
    <row r="165" spans="1:27" x14ac:dyDescent="0.25">
      <c r="A165" s="14">
        <f>'Notes &amp; Assumptions'!A49</f>
        <v>36</v>
      </c>
      <c r="C165" s="1"/>
      <c r="D165" s="1"/>
      <c r="E165" t="s">
        <v>40</v>
      </c>
      <c r="F165" t="s">
        <v>41</v>
      </c>
      <c r="G165" s="10"/>
      <c r="H165" s="2">
        <f>G165*(1+$G$14)*(1+H164)</f>
        <v>0</v>
      </c>
      <c r="I165" s="2">
        <f t="shared" ref="I165:AA165" si="61">H165*(1+$G$14)*(1+I164)</f>
        <v>0</v>
      </c>
      <c r="J165" s="2">
        <f t="shared" si="61"/>
        <v>0</v>
      </c>
      <c r="K165" s="2">
        <f t="shared" si="61"/>
        <v>0</v>
      </c>
      <c r="L165" s="2">
        <f t="shared" si="61"/>
        <v>0</v>
      </c>
      <c r="M165" s="2">
        <f t="shared" si="61"/>
        <v>0</v>
      </c>
      <c r="N165" s="2">
        <f t="shared" si="61"/>
        <v>0</v>
      </c>
      <c r="O165" s="2">
        <f t="shared" si="61"/>
        <v>0</v>
      </c>
      <c r="P165" s="2">
        <f t="shared" si="61"/>
        <v>0</v>
      </c>
      <c r="Q165" s="2">
        <f t="shared" si="61"/>
        <v>0</v>
      </c>
      <c r="R165" s="2">
        <f t="shared" si="61"/>
        <v>0</v>
      </c>
      <c r="S165" s="2">
        <f t="shared" si="61"/>
        <v>0</v>
      </c>
      <c r="T165" s="2">
        <f t="shared" si="61"/>
        <v>0</v>
      </c>
      <c r="U165" s="2">
        <f t="shared" si="61"/>
        <v>0</v>
      </c>
      <c r="V165" s="2">
        <f t="shared" si="61"/>
        <v>0</v>
      </c>
      <c r="W165" s="2">
        <f t="shared" si="61"/>
        <v>0</v>
      </c>
      <c r="X165" s="2">
        <f t="shared" si="61"/>
        <v>0</v>
      </c>
      <c r="Y165" s="2">
        <f t="shared" si="61"/>
        <v>0</v>
      </c>
      <c r="Z165" s="2">
        <f t="shared" si="61"/>
        <v>0</v>
      </c>
      <c r="AA165" s="2">
        <f t="shared" si="61"/>
        <v>0</v>
      </c>
    </row>
    <row r="166" spans="1:27" x14ac:dyDescent="0.25">
      <c r="C166" s="1"/>
      <c r="D166" s="1"/>
      <c r="E166" t="s">
        <v>67</v>
      </c>
      <c r="F166" t="s">
        <v>143</v>
      </c>
      <c r="G166" s="20"/>
      <c r="H166" s="21">
        <f>G166*(1+$G$14)*(1+H164)</f>
        <v>0</v>
      </c>
      <c r="I166" s="21">
        <f t="shared" ref="I166:AA166" si="62">H166*(1+$G$14)*(1+I164)</f>
        <v>0</v>
      </c>
      <c r="J166" s="21">
        <f t="shared" si="62"/>
        <v>0</v>
      </c>
      <c r="K166" s="21">
        <f t="shared" si="62"/>
        <v>0</v>
      </c>
      <c r="L166" s="21">
        <f t="shared" si="62"/>
        <v>0</v>
      </c>
      <c r="M166" s="21">
        <f t="shared" si="62"/>
        <v>0</v>
      </c>
      <c r="N166" s="21">
        <f t="shared" si="62"/>
        <v>0</v>
      </c>
      <c r="O166" s="21">
        <f t="shared" si="62"/>
        <v>0</v>
      </c>
      <c r="P166" s="21">
        <f t="shared" si="62"/>
        <v>0</v>
      </c>
      <c r="Q166" s="21">
        <f t="shared" si="62"/>
        <v>0</v>
      </c>
      <c r="R166" s="21">
        <f t="shared" si="62"/>
        <v>0</v>
      </c>
      <c r="S166" s="21">
        <f t="shared" si="62"/>
        <v>0</v>
      </c>
      <c r="T166" s="21">
        <f t="shared" si="62"/>
        <v>0</v>
      </c>
      <c r="U166" s="21">
        <f t="shared" si="62"/>
        <v>0</v>
      </c>
      <c r="V166" s="21">
        <f t="shared" si="62"/>
        <v>0</v>
      </c>
      <c r="W166" s="21">
        <f t="shared" si="62"/>
        <v>0</v>
      </c>
      <c r="X166" s="21">
        <f t="shared" si="62"/>
        <v>0</v>
      </c>
      <c r="Y166" s="21">
        <f t="shared" si="62"/>
        <v>0</v>
      </c>
      <c r="Z166" s="21">
        <f t="shared" si="62"/>
        <v>0</v>
      </c>
      <c r="AA166" s="21">
        <f t="shared" si="62"/>
        <v>0</v>
      </c>
    </row>
    <row r="167" spans="1:27" x14ac:dyDescent="0.25">
      <c r="C167" s="1"/>
      <c r="D167" s="1"/>
      <c r="E167" t="s">
        <v>68</v>
      </c>
      <c r="F167" t="s">
        <v>143</v>
      </c>
      <c r="G167" s="20"/>
      <c r="H167" s="21">
        <f>G167*(1+$G$14)*(1+H164)</f>
        <v>0</v>
      </c>
      <c r="I167" s="21">
        <f t="shared" ref="I167:AA167" si="63">H167*(1+$G$14)*(1+I164)</f>
        <v>0</v>
      </c>
      <c r="J167" s="21">
        <f t="shared" si="63"/>
        <v>0</v>
      </c>
      <c r="K167" s="21">
        <f t="shared" si="63"/>
        <v>0</v>
      </c>
      <c r="L167" s="21">
        <f t="shared" si="63"/>
        <v>0</v>
      </c>
      <c r="M167" s="21">
        <f t="shared" si="63"/>
        <v>0</v>
      </c>
      <c r="N167" s="21">
        <f t="shared" si="63"/>
        <v>0</v>
      </c>
      <c r="O167" s="21">
        <f t="shared" si="63"/>
        <v>0</v>
      </c>
      <c r="P167" s="21">
        <f t="shared" si="63"/>
        <v>0</v>
      </c>
      <c r="Q167" s="21">
        <f t="shared" si="63"/>
        <v>0</v>
      </c>
      <c r="R167" s="21">
        <f t="shared" si="63"/>
        <v>0</v>
      </c>
      <c r="S167" s="21">
        <f t="shared" si="63"/>
        <v>0</v>
      </c>
      <c r="T167" s="21">
        <f t="shared" si="63"/>
        <v>0</v>
      </c>
      <c r="U167" s="21">
        <f t="shared" si="63"/>
        <v>0</v>
      </c>
      <c r="V167" s="21">
        <f t="shared" si="63"/>
        <v>0</v>
      </c>
      <c r="W167" s="21">
        <f t="shared" si="63"/>
        <v>0</v>
      </c>
      <c r="X167" s="21">
        <f t="shared" si="63"/>
        <v>0</v>
      </c>
      <c r="Y167" s="21">
        <f t="shared" si="63"/>
        <v>0</v>
      </c>
      <c r="Z167" s="21">
        <f t="shared" si="63"/>
        <v>0</v>
      </c>
      <c r="AA167" s="21">
        <f t="shared" si="63"/>
        <v>0</v>
      </c>
    </row>
    <row r="168" spans="1:27" x14ac:dyDescent="0.25">
      <c r="C168" s="1"/>
      <c r="D168" s="1"/>
      <c r="E168" t="s">
        <v>142</v>
      </c>
      <c r="F168" t="s">
        <v>143</v>
      </c>
      <c r="G168" s="20"/>
      <c r="H168" s="21">
        <f>G168*(1+$G$14)*(1+H164)</f>
        <v>0</v>
      </c>
      <c r="I168" s="21">
        <f t="shared" ref="I168:AA168" si="64">H168*(1+$G$14)*(1+I164)</f>
        <v>0</v>
      </c>
      <c r="J168" s="21">
        <f t="shared" si="64"/>
        <v>0</v>
      </c>
      <c r="K168" s="21">
        <f t="shared" si="64"/>
        <v>0</v>
      </c>
      <c r="L168" s="21">
        <f t="shared" si="64"/>
        <v>0</v>
      </c>
      <c r="M168" s="21">
        <f t="shared" si="64"/>
        <v>0</v>
      </c>
      <c r="N168" s="21">
        <f t="shared" si="64"/>
        <v>0</v>
      </c>
      <c r="O168" s="21">
        <f t="shared" si="64"/>
        <v>0</v>
      </c>
      <c r="P168" s="21">
        <f t="shared" si="64"/>
        <v>0</v>
      </c>
      <c r="Q168" s="21">
        <f t="shared" si="64"/>
        <v>0</v>
      </c>
      <c r="R168" s="21">
        <f t="shared" si="64"/>
        <v>0</v>
      </c>
      <c r="S168" s="21">
        <f t="shared" si="64"/>
        <v>0</v>
      </c>
      <c r="T168" s="21">
        <f t="shared" si="64"/>
        <v>0</v>
      </c>
      <c r="U168" s="21">
        <f t="shared" si="64"/>
        <v>0</v>
      </c>
      <c r="V168" s="21">
        <f t="shared" si="64"/>
        <v>0</v>
      </c>
      <c r="W168" s="21">
        <f t="shared" si="64"/>
        <v>0</v>
      </c>
      <c r="X168" s="21">
        <f t="shared" si="64"/>
        <v>0</v>
      </c>
      <c r="Y168" s="21">
        <f t="shared" si="64"/>
        <v>0</v>
      </c>
      <c r="Z168" s="21">
        <f t="shared" si="64"/>
        <v>0</v>
      </c>
      <c r="AA168" s="21">
        <f t="shared" si="64"/>
        <v>0</v>
      </c>
    </row>
    <row r="169" spans="1:27" x14ac:dyDescent="0.25">
      <c r="C169" s="1"/>
      <c r="D169" s="1"/>
    </row>
    <row r="170" spans="1:27" x14ac:dyDescent="0.25">
      <c r="C170" s="1"/>
      <c r="D170" s="1"/>
      <c r="E170" t="s">
        <v>78</v>
      </c>
      <c r="F170" t="s">
        <v>58</v>
      </c>
      <c r="H170" s="2">
        <f>SUM(H161:H163)/1000</f>
        <v>0</v>
      </c>
      <c r="I170" s="2">
        <f t="shared" ref="I170:AA170" si="65">SUM(I161:I163)/1000</f>
        <v>0</v>
      </c>
      <c r="J170" s="2">
        <f t="shared" si="65"/>
        <v>0</v>
      </c>
      <c r="K170" s="2">
        <f t="shared" si="65"/>
        <v>0</v>
      </c>
      <c r="L170" s="2">
        <f t="shared" si="65"/>
        <v>0</v>
      </c>
      <c r="M170" s="2">
        <f t="shared" si="65"/>
        <v>0</v>
      </c>
      <c r="N170" s="2">
        <f t="shared" si="65"/>
        <v>0</v>
      </c>
      <c r="O170" s="2">
        <f t="shared" si="65"/>
        <v>0</v>
      </c>
      <c r="P170" s="2">
        <f t="shared" si="65"/>
        <v>0</v>
      </c>
      <c r="Q170" s="2">
        <f t="shared" si="65"/>
        <v>0</v>
      </c>
      <c r="R170" s="2">
        <f t="shared" si="65"/>
        <v>0</v>
      </c>
      <c r="S170" s="2">
        <f t="shared" si="65"/>
        <v>0</v>
      </c>
      <c r="T170" s="2">
        <f t="shared" si="65"/>
        <v>0</v>
      </c>
      <c r="U170" s="2">
        <f t="shared" si="65"/>
        <v>0</v>
      </c>
      <c r="V170" s="2">
        <f t="shared" si="65"/>
        <v>0</v>
      </c>
      <c r="W170" s="2">
        <f t="shared" si="65"/>
        <v>0</v>
      </c>
      <c r="X170" s="2">
        <f t="shared" si="65"/>
        <v>0</v>
      </c>
      <c r="Y170" s="2">
        <f t="shared" si="65"/>
        <v>0</v>
      </c>
      <c r="Z170" s="2">
        <f t="shared" si="65"/>
        <v>0</v>
      </c>
      <c r="AA170" s="2">
        <f t="shared" si="65"/>
        <v>0</v>
      </c>
    </row>
    <row r="171" spans="1:27" x14ac:dyDescent="0.25">
      <c r="C171" s="1"/>
      <c r="D171" s="1"/>
      <c r="E171" t="s">
        <v>79</v>
      </c>
      <c r="F171" t="s">
        <v>7</v>
      </c>
      <c r="H171" s="2">
        <f>H154*H165+H161*H166+H162*H167+H163*H168</f>
        <v>0</v>
      </c>
      <c r="I171" s="2">
        <f t="shared" ref="I171:AA171" si="66">I154*I165+I161*I166+I162*I167+I163*I168</f>
        <v>0</v>
      </c>
      <c r="J171" s="2">
        <f t="shared" si="66"/>
        <v>0</v>
      </c>
      <c r="K171" s="2">
        <f t="shared" si="66"/>
        <v>0</v>
      </c>
      <c r="L171" s="2">
        <f t="shared" si="66"/>
        <v>0</v>
      </c>
      <c r="M171" s="2">
        <f t="shared" si="66"/>
        <v>0</v>
      </c>
      <c r="N171" s="2">
        <f t="shared" si="66"/>
        <v>0</v>
      </c>
      <c r="O171" s="2">
        <f t="shared" si="66"/>
        <v>0</v>
      </c>
      <c r="P171" s="2">
        <f t="shared" si="66"/>
        <v>0</v>
      </c>
      <c r="Q171" s="2">
        <f t="shared" si="66"/>
        <v>0</v>
      </c>
      <c r="R171" s="2">
        <f t="shared" si="66"/>
        <v>0</v>
      </c>
      <c r="S171" s="2">
        <f t="shared" si="66"/>
        <v>0</v>
      </c>
      <c r="T171" s="2">
        <f t="shared" si="66"/>
        <v>0</v>
      </c>
      <c r="U171" s="2">
        <f t="shared" si="66"/>
        <v>0</v>
      </c>
      <c r="V171" s="2">
        <f t="shared" si="66"/>
        <v>0</v>
      </c>
      <c r="W171" s="2">
        <f t="shared" si="66"/>
        <v>0</v>
      </c>
      <c r="X171" s="2">
        <f t="shared" si="66"/>
        <v>0</v>
      </c>
      <c r="Y171" s="2">
        <f t="shared" si="66"/>
        <v>0</v>
      </c>
      <c r="Z171" s="2">
        <f t="shared" si="66"/>
        <v>0</v>
      </c>
      <c r="AA171" s="2">
        <f t="shared" si="66"/>
        <v>0</v>
      </c>
    </row>
    <row r="172" spans="1:27" x14ac:dyDescent="0.25">
      <c r="C172" s="1"/>
      <c r="D172" s="1"/>
    </row>
    <row r="173" spans="1:27" x14ac:dyDescent="0.25">
      <c r="C173" s="1"/>
      <c r="D173" t="s">
        <v>80</v>
      </c>
    </row>
    <row r="174" spans="1:27" x14ac:dyDescent="0.25">
      <c r="C174" s="1"/>
      <c r="E174" t="s">
        <v>91</v>
      </c>
      <c r="F174" t="s">
        <v>3</v>
      </c>
      <c r="H174">
        <f t="shared" ref="H174:AA175" si="67">SUM(H93,H114,H135,H156)</f>
        <v>9974</v>
      </c>
      <c r="I174">
        <f t="shared" si="67"/>
        <v>9448</v>
      </c>
      <c r="J174">
        <f t="shared" si="67"/>
        <v>9093.2999999999993</v>
      </c>
      <c r="K174">
        <f t="shared" si="67"/>
        <v>8278.1999999999989</v>
      </c>
      <c r="L174">
        <f t="shared" si="67"/>
        <v>7494.2999999999984</v>
      </c>
      <c r="M174">
        <f t="shared" si="67"/>
        <v>6751.9999999999982</v>
      </c>
      <c r="N174">
        <f t="shared" si="67"/>
        <v>6052.699999999998</v>
      </c>
      <c r="O174">
        <f t="shared" si="67"/>
        <v>5394.0999999999976</v>
      </c>
      <c r="P174">
        <f t="shared" si="67"/>
        <v>5266.8999999999978</v>
      </c>
      <c r="Q174">
        <f t="shared" si="67"/>
        <v>5114.2999999999984</v>
      </c>
      <c r="R174">
        <f t="shared" si="67"/>
        <v>5414.4999999999982</v>
      </c>
      <c r="S174">
        <f t="shared" si="67"/>
        <v>5741.199999999998</v>
      </c>
      <c r="T174">
        <f t="shared" si="67"/>
        <v>6076.4999999999982</v>
      </c>
      <c r="U174">
        <f t="shared" si="67"/>
        <v>6034.3999999999978</v>
      </c>
      <c r="V174">
        <f t="shared" si="67"/>
        <v>5995.3999999999978</v>
      </c>
      <c r="W174">
        <f t="shared" si="67"/>
        <v>0</v>
      </c>
      <c r="X174">
        <f t="shared" si="67"/>
        <v>0</v>
      </c>
      <c r="Y174">
        <f t="shared" si="67"/>
        <v>0</v>
      </c>
      <c r="Z174">
        <f t="shared" si="67"/>
        <v>0</v>
      </c>
      <c r="AA174">
        <f t="shared" si="67"/>
        <v>0</v>
      </c>
    </row>
    <row r="175" spans="1:27" x14ac:dyDescent="0.25">
      <c r="C175" s="1"/>
      <c r="D175" s="1"/>
      <c r="E175" t="s">
        <v>90</v>
      </c>
      <c r="F175" t="s">
        <v>3</v>
      </c>
      <c r="H175">
        <f t="shared" si="67"/>
        <v>9974</v>
      </c>
      <c r="I175">
        <f t="shared" si="67"/>
        <v>19422</v>
      </c>
      <c r="J175">
        <f t="shared" si="67"/>
        <v>28515.3</v>
      </c>
      <c r="K175">
        <f t="shared" si="67"/>
        <v>36793.5</v>
      </c>
      <c r="L175">
        <f t="shared" si="67"/>
        <v>44287.799999999996</v>
      </c>
      <c r="M175">
        <f t="shared" si="67"/>
        <v>51039.799999999996</v>
      </c>
      <c r="N175">
        <f t="shared" si="67"/>
        <v>57092.499999999993</v>
      </c>
      <c r="O175">
        <f t="shared" si="67"/>
        <v>62486.599999999991</v>
      </c>
      <c r="P175">
        <f t="shared" si="67"/>
        <v>67753.499999999985</v>
      </c>
      <c r="Q175">
        <f t="shared" si="67"/>
        <v>72867.799999999988</v>
      </c>
      <c r="R175">
        <f t="shared" si="67"/>
        <v>78282.299999999988</v>
      </c>
      <c r="S175">
        <f t="shared" si="67"/>
        <v>84023.499999999985</v>
      </c>
      <c r="T175">
        <f t="shared" si="67"/>
        <v>90099.999999999985</v>
      </c>
      <c r="U175">
        <f t="shared" si="67"/>
        <v>96134.39999999998</v>
      </c>
      <c r="V175">
        <f t="shared" si="67"/>
        <v>102129.79999999997</v>
      </c>
      <c r="W175">
        <f t="shared" si="67"/>
        <v>102129.79999999997</v>
      </c>
      <c r="X175">
        <f t="shared" si="67"/>
        <v>102129.79999999997</v>
      </c>
      <c r="Y175">
        <f t="shared" si="67"/>
        <v>102129.79999999997</v>
      </c>
      <c r="Z175">
        <f t="shared" si="67"/>
        <v>102129.79999999997</v>
      </c>
      <c r="AA175">
        <f t="shared" si="67"/>
        <v>102129.79999999997</v>
      </c>
    </row>
    <row r="176" spans="1:27" x14ac:dyDescent="0.25">
      <c r="C176" s="1"/>
      <c r="D176" s="1"/>
      <c r="E176" t="s">
        <v>81</v>
      </c>
      <c r="F176" t="s">
        <v>58</v>
      </c>
      <c r="H176" s="2">
        <f>SUM(H107,H128,H149,H170)</f>
        <v>1734.38</v>
      </c>
      <c r="I176" s="2">
        <f t="shared" ref="H176:AA177" si="68">SUM(I107,I128,I149,I170)</f>
        <v>3389.8599999999997</v>
      </c>
      <c r="J176" s="2">
        <f t="shared" si="68"/>
        <v>4997.3149999999996</v>
      </c>
      <c r="K176" s="2">
        <f t="shared" si="68"/>
        <v>6472.1450000000004</v>
      </c>
      <c r="L176" s="2">
        <f t="shared" si="68"/>
        <v>7821.619999999999</v>
      </c>
      <c r="M176" s="2">
        <f t="shared" si="68"/>
        <v>9049.39</v>
      </c>
      <c r="N176" s="2">
        <f t="shared" si="68"/>
        <v>10164.494999999999</v>
      </c>
      <c r="O176" s="2">
        <f t="shared" si="68"/>
        <v>11173.039999999997</v>
      </c>
      <c r="P176" s="2">
        <f t="shared" si="68"/>
        <v>12172.864999999998</v>
      </c>
      <c r="Q176" s="2">
        <f t="shared" si="68"/>
        <v>13162.749999999998</v>
      </c>
      <c r="R176" s="2">
        <f t="shared" si="68"/>
        <v>14210.614999999998</v>
      </c>
      <c r="S176" s="2">
        <f t="shared" si="68"/>
        <v>15323.024999999998</v>
      </c>
      <c r="T176" s="2">
        <f t="shared" si="68"/>
        <v>16498.679999999997</v>
      </c>
      <c r="U176" s="2">
        <f t="shared" si="68"/>
        <v>17665.429999999997</v>
      </c>
      <c r="V176" s="2">
        <f t="shared" si="68"/>
        <v>18826.329999999998</v>
      </c>
      <c r="W176" s="2">
        <f t="shared" si="68"/>
        <v>18826.329999999998</v>
      </c>
      <c r="X176" s="2">
        <f t="shared" si="68"/>
        <v>18826.329999999998</v>
      </c>
      <c r="Y176" s="2">
        <f t="shared" si="68"/>
        <v>18826.329999999998</v>
      </c>
      <c r="Z176" s="2">
        <f t="shared" si="68"/>
        <v>18826.329999999998</v>
      </c>
      <c r="AA176" s="2">
        <f t="shared" si="68"/>
        <v>18826.329999999998</v>
      </c>
    </row>
    <row r="177" spans="1:27" x14ac:dyDescent="0.25">
      <c r="C177" s="1"/>
      <c r="D177" s="1"/>
      <c r="E177" t="s">
        <v>82</v>
      </c>
      <c r="F177" t="s">
        <v>7</v>
      </c>
      <c r="H177" s="2">
        <f t="shared" si="68"/>
        <v>6182225.9834038224</v>
      </c>
      <c r="I177" s="2">
        <f t="shared" si="68"/>
        <v>11995790.371626098</v>
      </c>
      <c r="J177" s="2">
        <f t="shared" si="68"/>
        <v>18050339.664931763</v>
      </c>
      <c r="K177" s="2">
        <f t="shared" si="68"/>
        <v>23862148.984883003</v>
      </c>
      <c r="L177" s="2">
        <f t="shared" si="68"/>
        <v>29434925.431030251</v>
      </c>
      <c r="M177" s="2">
        <f t="shared" si="68"/>
        <v>34761099.634969912</v>
      </c>
      <c r="N177" s="2">
        <f t="shared" si="68"/>
        <v>39853053.565400161</v>
      </c>
      <c r="O177" s="2">
        <f t="shared" si="68"/>
        <v>44714011.691100597</v>
      </c>
      <c r="P177" s="2">
        <f t="shared" si="68"/>
        <v>49721988.340728059</v>
      </c>
      <c r="Q177" s="2">
        <f t="shared" si="68"/>
        <v>54874142.127276734</v>
      </c>
      <c r="R177" s="2">
        <f t="shared" si="68"/>
        <v>60466460.73169291</v>
      </c>
      <c r="S177" s="2">
        <f t="shared" si="68"/>
        <v>66548323.248618223</v>
      </c>
      <c r="T177" s="2">
        <f t="shared" si="68"/>
        <v>73138773.863265544</v>
      </c>
      <c r="U177" s="2">
        <f t="shared" si="68"/>
        <v>79936734.338239014</v>
      </c>
      <c r="V177" s="2">
        <f t="shared" si="68"/>
        <v>86960520.226442367</v>
      </c>
      <c r="W177" s="2">
        <f t="shared" si="68"/>
        <v>88786691.151197642</v>
      </c>
      <c r="X177" s="2">
        <f t="shared" si="68"/>
        <v>90651211.665372789</v>
      </c>
      <c r="Y177" s="2">
        <f t="shared" si="68"/>
        <v>92554887.110345602</v>
      </c>
      <c r="Z177" s="2">
        <f t="shared" si="68"/>
        <v>94498539.739662856</v>
      </c>
      <c r="AA177" s="2">
        <f t="shared" si="68"/>
        <v>96483009.074195772</v>
      </c>
    </row>
    <row r="178" spans="1:27" x14ac:dyDescent="0.25">
      <c r="C178" s="1"/>
      <c r="D178" s="1"/>
    </row>
    <row r="179" spans="1:27" x14ac:dyDescent="0.25">
      <c r="C179" s="1"/>
      <c r="D179" s="1"/>
      <c r="E179" s="3" t="s">
        <v>84</v>
      </c>
      <c r="F179" s="3" t="s">
        <v>85</v>
      </c>
      <c r="G179" s="3"/>
      <c r="H179" s="9">
        <f>H176*1000/H175</f>
        <v>173.89011429717266</v>
      </c>
      <c r="I179" s="9">
        <f t="shared" ref="I179:AA179" si="69">I176*1000/I175</f>
        <v>174.53712285037585</v>
      </c>
      <c r="J179" s="9">
        <f t="shared" si="69"/>
        <v>175.25030422264538</v>
      </c>
      <c r="K179" s="9">
        <f t="shared" si="69"/>
        <v>175.90457553643986</v>
      </c>
      <c r="L179" s="9">
        <f t="shared" si="69"/>
        <v>176.60890809658642</v>
      </c>
      <c r="M179" s="9">
        <f t="shared" si="69"/>
        <v>177.30065556683218</v>
      </c>
      <c r="N179" s="9">
        <f t="shared" si="69"/>
        <v>178.03555633401933</v>
      </c>
      <c r="O179" s="9">
        <f t="shared" si="69"/>
        <v>178.80697621570064</v>
      </c>
      <c r="P179" s="9">
        <f t="shared" si="69"/>
        <v>179.6640025976518</v>
      </c>
      <c r="Q179" s="9">
        <f t="shared" si="69"/>
        <v>180.6387732304255</v>
      </c>
      <c r="R179" s="9">
        <f t="shared" si="69"/>
        <v>181.53037148882953</v>
      </c>
      <c r="S179" s="9">
        <f t="shared" si="69"/>
        <v>182.36594524150982</v>
      </c>
      <c r="T179" s="9">
        <f t="shared" si="69"/>
        <v>183.11520532741397</v>
      </c>
      <c r="U179" s="9">
        <f t="shared" si="69"/>
        <v>183.75763514413154</v>
      </c>
      <c r="V179" s="9">
        <f t="shared" si="69"/>
        <v>184.33728451441206</v>
      </c>
      <c r="W179" s="9">
        <f t="shared" si="69"/>
        <v>184.33728451441206</v>
      </c>
      <c r="X179" s="9">
        <f t="shared" si="69"/>
        <v>184.33728451441206</v>
      </c>
      <c r="Y179" s="9">
        <f t="shared" si="69"/>
        <v>184.33728451441206</v>
      </c>
      <c r="Z179" s="9">
        <f t="shared" si="69"/>
        <v>184.33728451441206</v>
      </c>
      <c r="AA179" s="9">
        <f t="shared" si="69"/>
        <v>184.33728451441206</v>
      </c>
    </row>
    <row r="180" spans="1:27" x14ac:dyDescent="0.25">
      <c r="C180" s="1"/>
      <c r="D180" s="1"/>
      <c r="E180" s="3" t="s">
        <v>83</v>
      </c>
      <c r="F180" s="3" t="s">
        <v>22</v>
      </c>
      <c r="G180" s="3"/>
      <c r="H180" s="9">
        <f>H177/H175</f>
        <v>619.83416717503735</v>
      </c>
      <c r="I180" s="9">
        <f t="shared" ref="I180:AA180" si="70">I177/I175</f>
        <v>617.63929418319935</v>
      </c>
      <c r="J180" s="9">
        <f t="shared" si="70"/>
        <v>633.00542743480742</v>
      </c>
      <c r="K180" s="9">
        <f t="shared" si="70"/>
        <v>648.54251389193746</v>
      </c>
      <c r="L180" s="9">
        <f t="shared" si="70"/>
        <v>664.62830465794764</v>
      </c>
      <c r="M180" s="9">
        <f t="shared" si="70"/>
        <v>681.05869605621331</v>
      </c>
      <c r="N180" s="9">
        <f t="shared" si="70"/>
        <v>698.04358830669821</v>
      </c>
      <c r="O180" s="9">
        <f t="shared" si="70"/>
        <v>715.57760689652832</v>
      </c>
      <c r="P180" s="9">
        <f t="shared" si="70"/>
        <v>733.86597505262557</v>
      </c>
      <c r="Q180" s="9">
        <f t="shared" si="70"/>
        <v>753.064345668138</v>
      </c>
      <c r="R180" s="9">
        <f t="shared" si="70"/>
        <v>772.41548513128657</v>
      </c>
      <c r="S180" s="9">
        <f t="shared" si="70"/>
        <v>792.02036630964233</v>
      </c>
      <c r="T180" s="9">
        <f t="shared" si="70"/>
        <v>811.75109726154892</v>
      </c>
      <c r="U180" s="9">
        <f t="shared" si="70"/>
        <v>831.51020174088603</v>
      </c>
      <c r="V180" s="9">
        <f t="shared" si="70"/>
        <v>851.4705818129712</v>
      </c>
      <c r="W180" s="9">
        <f t="shared" si="70"/>
        <v>869.35146403104352</v>
      </c>
      <c r="X180" s="9">
        <f t="shared" si="70"/>
        <v>887.60784477569541</v>
      </c>
      <c r="Y180" s="9">
        <f t="shared" si="70"/>
        <v>906.24760951598478</v>
      </c>
      <c r="Z180" s="9">
        <f t="shared" si="70"/>
        <v>925.27880931582047</v>
      </c>
      <c r="AA180" s="9">
        <f t="shared" si="70"/>
        <v>944.70966431145268</v>
      </c>
    </row>
    <row r="181" spans="1:27" x14ac:dyDescent="0.25">
      <c r="C181" s="1"/>
      <c r="D181" s="1"/>
      <c r="E181" s="3" t="s">
        <v>86</v>
      </c>
      <c r="F181" s="3" t="s">
        <v>4</v>
      </c>
      <c r="G181" s="3"/>
      <c r="H181" s="9">
        <f>H177/H176</f>
        <v>3564.5164170503708</v>
      </c>
      <c r="I181" s="9">
        <f t="shared" ref="I181:AA181" si="71">I177/I176</f>
        <v>3538.7273727015568</v>
      </c>
      <c r="J181" s="9">
        <f t="shared" si="71"/>
        <v>3612.0075810573808</v>
      </c>
      <c r="K181" s="9">
        <f t="shared" si="71"/>
        <v>3686.8996267671691</v>
      </c>
      <c r="L181" s="9">
        <f t="shared" si="71"/>
        <v>3763.2773557179016</v>
      </c>
      <c r="M181" s="9">
        <f t="shared" si="71"/>
        <v>3841.2643984809933</v>
      </c>
      <c r="N181" s="9">
        <f t="shared" si="71"/>
        <v>3920.8099925672809</v>
      </c>
      <c r="O181" s="9">
        <f t="shared" si="71"/>
        <v>4001.9557516218156</v>
      </c>
      <c r="P181" s="9">
        <f t="shared" si="71"/>
        <v>4084.6578304062409</v>
      </c>
      <c r="Q181" s="9">
        <f t="shared" si="71"/>
        <v>4168.8964788723288</v>
      </c>
      <c r="R181" s="9">
        <f t="shared" si="71"/>
        <v>4255.0206821937627</v>
      </c>
      <c r="S181" s="9">
        <f t="shared" si="71"/>
        <v>4343.0277799989381</v>
      </c>
      <c r="T181" s="9">
        <f t="shared" si="71"/>
        <v>4433.007602018195</v>
      </c>
      <c r="U181" s="9">
        <f t="shared" si="71"/>
        <v>4525.0375642279314</v>
      </c>
      <c r="V181" s="9">
        <f t="shared" si="71"/>
        <v>4619.090402985732</v>
      </c>
      <c r="W181" s="9">
        <f t="shared" si="71"/>
        <v>4716.0913014484313</v>
      </c>
      <c r="X181" s="9">
        <f t="shared" si="71"/>
        <v>4815.1292187788486</v>
      </c>
      <c r="Y181" s="9">
        <f t="shared" si="71"/>
        <v>4916.2469323732039</v>
      </c>
      <c r="Z181" s="9">
        <f t="shared" si="71"/>
        <v>5019.4881179530403</v>
      </c>
      <c r="AA181" s="9">
        <f t="shared" si="71"/>
        <v>5124.8973684300545</v>
      </c>
    </row>
    <row r="182" spans="1:27" x14ac:dyDescent="0.25">
      <c r="C182" s="1"/>
      <c r="D182" s="1"/>
    </row>
    <row r="183" spans="1:27" x14ac:dyDescent="0.25">
      <c r="C183" s="1" t="str">
        <f>"Incremental "&amp;VLOOKUP(G4,E320:F322,2,FALSE)&amp;" Charges"</f>
        <v>Incremental Bulk Water Charges</v>
      </c>
      <c r="H183" s="2"/>
      <c r="I183" s="2"/>
      <c r="J183" s="2"/>
      <c r="K183" s="2"/>
      <c r="L183" s="2"/>
      <c r="M183" s="2"/>
      <c r="N183" s="2"/>
      <c r="O183" s="2"/>
      <c r="P183" s="2"/>
      <c r="Q183" s="2"/>
      <c r="R183" s="2"/>
      <c r="S183" s="2"/>
      <c r="T183" s="2"/>
      <c r="U183" s="2"/>
      <c r="V183" s="2"/>
      <c r="W183" s="2"/>
      <c r="X183" s="2"/>
      <c r="Y183" s="2"/>
      <c r="Z183" s="2"/>
      <c r="AA183" s="2"/>
    </row>
    <row r="184" spans="1:27" x14ac:dyDescent="0.25">
      <c r="A184" s="14">
        <f>'Notes &amp; Assumptions'!A50</f>
        <v>37</v>
      </c>
      <c r="E184" t="s">
        <v>118</v>
      </c>
      <c r="F184" t="s">
        <v>8</v>
      </c>
      <c r="H184" s="11">
        <f>'Bulk charges'!E22</f>
        <v>3.4299999999999997E-2</v>
      </c>
      <c r="I184" s="11">
        <f>'Bulk charges'!F22</f>
        <v>7.0000000000000001E-3</v>
      </c>
      <c r="J184" s="11">
        <f>'Bulk charges'!G22</f>
        <v>1.01E-2</v>
      </c>
      <c r="K184" s="11"/>
      <c r="L184" s="11"/>
      <c r="M184" s="11"/>
      <c r="N184" s="11"/>
      <c r="O184" s="11"/>
      <c r="P184" s="11"/>
      <c r="Q184" s="11"/>
      <c r="R184" s="11"/>
      <c r="S184" s="11"/>
      <c r="T184" s="11"/>
      <c r="U184" s="11"/>
      <c r="V184" s="11"/>
      <c r="W184" s="11"/>
      <c r="X184" s="11"/>
      <c r="Y184" s="11"/>
      <c r="Z184" s="11"/>
      <c r="AA184" s="11"/>
    </row>
    <row r="185" spans="1:27" x14ac:dyDescent="0.25">
      <c r="A185" s="14">
        <f>'Notes &amp; Assumptions'!A51</f>
        <v>38</v>
      </c>
      <c r="E185" t="s">
        <v>122</v>
      </c>
      <c r="F185" t="s">
        <v>4</v>
      </c>
      <c r="G185" s="10">
        <f>'Bulk charges'!D23</f>
        <v>260.27774017446001</v>
      </c>
      <c r="H185" s="2">
        <f t="shared" ref="H185:AA185" si="72">G185*(1+$G$14)*(1+H184)</f>
        <v>274.85857726235525</v>
      </c>
      <c r="I185" s="2">
        <f t="shared" si="72"/>
        <v>282.59502163655867</v>
      </c>
      <c r="J185" s="2">
        <f t="shared" si="72"/>
        <v>291.44366521354476</v>
      </c>
      <c r="K185" s="2">
        <f t="shared" si="72"/>
        <v>297.56398218302917</v>
      </c>
      <c r="L185" s="2">
        <f t="shared" si="72"/>
        <v>303.81282580887273</v>
      </c>
      <c r="M185" s="2">
        <f t="shared" si="72"/>
        <v>310.19289515085904</v>
      </c>
      <c r="N185" s="2">
        <f t="shared" si="72"/>
        <v>316.70694594902704</v>
      </c>
      <c r="O185" s="2">
        <f t="shared" si="72"/>
        <v>323.35779181395657</v>
      </c>
      <c r="P185" s="2">
        <f t="shared" si="72"/>
        <v>330.1483054420496</v>
      </c>
      <c r="Q185" s="2">
        <f t="shared" si="72"/>
        <v>337.08141985633262</v>
      </c>
      <c r="R185" s="2">
        <f t="shared" si="72"/>
        <v>344.16012967331557</v>
      </c>
      <c r="S185" s="2">
        <f t="shared" si="72"/>
        <v>351.38749239645517</v>
      </c>
      <c r="T185" s="2">
        <f t="shared" si="72"/>
        <v>358.76662973678071</v>
      </c>
      <c r="U185" s="2">
        <f t="shared" si="72"/>
        <v>366.30072896125307</v>
      </c>
      <c r="V185" s="2">
        <f t="shared" si="72"/>
        <v>373.99304426943934</v>
      </c>
      <c r="W185" s="2">
        <f t="shared" si="72"/>
        <v>381.84689819909755</v>
      </c>
      <c r="X185" s="2">
        <f t="shared" si="72"/>
        <v>389.86568306127856</v>
      </c>
      <c r="Y185" s="2">
        <f t="shared" si="72"/>
        <v>398.05286240556535</v>
      </c>
      <c r="Z185" s="2">
        <f t="shared" si="72"/>
        <v>406.41197251608219</v>
      </c>
      <c r="AA185" s="2">
        <f t="shared" si="72"/>
        <v>414.94662393891986</v>
      </c>
    </row>
    <row r="186" spans="1:27" x14ac:dyDescent="0.25">
      <c r="A186" s="14">
        <f>'Notes &amp; Assumptions'!A52</f>
        <v>39</v>
      </c>
      <c r="E186" t="s">
        <v>123</v>
      </c>
      <c r="F186" t="s">
        <v>7</v>
      </c>
      <c r="G186" s="10">
        <f>'20 New UGB Water'!G186</f>
        <v>353.9658908426249</v>
      </c>
      <c r="H186" s="10">
        <f>$G186*(1+$G$14)^H2*(H154+H133+H112+H91)</f>
        <v>3604595.3669648916</v>
      </c>
      <c r="I186" s="10">
        <f>$G186*(1+$G$14)^I2*(I154+I133+I112+I91)</f>
        <v>7166495.7582467562</v>
      </c>
      <c r="J186" s="10">
        <f t="shared" ref="J186:AA186" si="73">$G186*(1+$G$14)^J2*(J154+J133+J112+J91)</f>
        <v>10742777.613095023</v>
      </c>
      <c r="K186" s="10">
        <f t="shared" si="73"/>
        <v>14152575.643870737</v>
      </c>
      <c r="L186" s="10">
        <f t="shared" si="73"/>
        <v>17392989.382152591</v>
      </c>
      <c r="M186" s="10">
        <f t="shared" si="73"/>
        <v>20465616.448683448</v>
      </c>
      <c r="N186" s="10">
        <f t="shared" si="73"/>
        <v>23373334.230257276</v>
      </c>
      <c r="O186" s="10">
        <f t="shared" si="73"/>
        <v>26118861.682941791</v>
      </c>
      <c r="P186" s="10">
        <f t="shared" si="73"/>
        <v>28915108.60297944</v>
      </c>
      <c r="Q186" s="10">
        <f t="shared" si="73"/>
        <v>31750786.867454067</v>
      </c>
      <c r="R186" s="10">
        <f t="shared" si="73"/>
        <v>34826365.553410091</v>
      </c>
      <c r="S186" s="10">
        <f t="shared" si="73"/>
        <v>38165511.510578603</v>
      </c>
      <c r="T186" s="10">
        <f t="shared" si="73"/>
        <v>41785042.891956396</v>
      </c>
      <c r="U186" s="10">
        <f t="shared" si="73"/>
        <v>45519829.16723346</v>
      </c>
      <c r="V186" s="10">
        <f t="shared" si="73"/>
        <v>49374194.88664075</v>
      </c>
      <c r="W186" s="10">
        <f t="shared" si="73"/>
        <v>50411052.979260206</v>
      </c>
      <c r="X186" s="10">
        <f t="shared" si="73"/>
        <v>51469685.091824666</v>
      </c>
      <c r="Y186" s="10">
        <f t="shared" si="73"/>
        <v>52550548.478752971</v>
      </c>
      <c r="Z186" s="10">
        <f t="shared" si="73"/>
        <v>53654109.996806785</v>
      </c>
      <c r="AA186" s="10">
        <f t="shared" si="73"/>
        <v>54780846.306739718</v>
      </c>
    </row>
    <row r="187" spans="1:27" x14ac:dyDescent="0.25">
      <c r="E187" t="s">
        <v>57</v>
      </c>
      <c r="F187" t="s">
        <v>7</v>
      </c>
      <c r="H187" s="2">
        <f>H185*H176+H186</f>
        <v>4081304.5861971751</v>
      </c>
      <c r="I187" s="2">
        <f t="shared" ref="I187:AA187" si="74">I185*I176+I186</f>
        <v>8124453.3182916604</v>
      </c>
      <c r="J187" s="2">
        <f t="shared" si="74"/>
        <v>12199213.412921648</v>
      </c>
      <c r="K187" s="2">
        <f t="shared" si="74"/>
        <v>16078452.883336719</v>
      </c>
      <c r="L187" s="2">
        <f t="shared" si="74"/>
        <v>19769297.856755786</v>
      </c>
      <c r="M187" s="2">
        <f t="shared" si="74"/>
        <v>23272672.93213268</v>
      </c>
      <c r="N187" s="2">
        <f t="shared" si="74"/>
        <v>26592500.398821432</v>
      </c>
      <c r="O187" s="2">
        <f t="shared" si="74"/>
        <v>29731751.2251908</v>
      </c>
      <c r="P187" s="2">
        <f t="shared" si="74"/>
        <v>32933959.355104275</v>
      </c>
      <c r="Q187" s="2">
        <f t="shared" si="74"/>
        <v>36187705.326668009</v>
      </c>
      <c r="R187" s="2">
        <f t="shared" si="74"/>
        <v>39717092.654547654</v>
      </c>
      <c r="S187" s="2">
        <f t="shared" si="74"/>
        <v>43549830.841256797</v>
      </c>
      <c r="T187" s="2">
        <f t="shared" si="74"/>
        <v>47704218.710662022</v>
      </c>
      <c r="U187" s="2">
        <f t="shared" si="74"/>
        <v>51990689.053647444</v>
      </c>
      <c r="V187" s="2">
        <f t="shared" si="74"/>
        <v>56415111.355761826</v>
      </c>
      <c r="W187" s="2">
        <f t="shared" si="74"/>
        <v>57599828.694232821</v>
      </c>
      <c r="X187" s="2">
        <f t="shared" si="74"/>
        <v>58809425.096811704</v>
      </c>
      <c r="Y187" s="2">
        <f t="shared" si="74"/>
        <v>60044423.023844734</v>
      </c>
      <c r="Z187" s="2">
        <f t="shared" si="74"/>
        <v>61305355.907345481</v>
      </c>
      <c r="AA187" s="2">
        <f t="shared" si="74"/>
        <v>62592768.381399721</v>
      </c>
    </row>
    <row r="188" spans="1:27" x14ac:dyDescent="0.25">
      <c r="H188" s="2"/>
      <c r="I188" s="2"/>
      <c r="J188" s="2"/>
      <c r="K188" s="2"/>
      <c r="L188" s="2"/>
      <c r="M188" s="2"/>
      <c r="N188" s="2"/>
      <c r="O188" s="2"/>
      <c r="P188" s="2"/>
      <c r="Q188" s="2"/>
      <c r="R188" s="2"/>
      <c r="S188" s="2"/>
      <c r="T188" s="2"/>
      <c r="U188" s="2"/>
      <c r="V188" s="2"/>
      <c r="W188" s="2"/>
      <c r="X188" s="2"/>
      <c r="Y188" s="2"/>
      <c r="Z188" s="2"/>
      <c r="AA188" s="2"/>
    </row>
    <row r="189" spans="1:27" x14ac:dyDescent="0.25">
      <c r="C189" s="1" t="s">
        <v>10</v>
      </c>
      <c r="G189" s="2"/>
    </row>
    <row r="190" spans="1:27" x14ac:dyDescent="0.25">
      <c r="C190" s="1"/>
      <c r="D190" t="s">
        <v>149</v>
      </c>
      <c r="G190" s="2"/>
    </row>
    <row r="191" spans="1:27" x14ac:dyDescent="0.25">
      <c r="A191" s="14">
        <f>'Notes &amp; Assumptions'!A53</f>
        <v>40</v>
      </c>
      <c r="C191" s="1"/>
      <c r="E191" t="s">
        <v>125</v>
      </c>
      <c r="G191" s="2"/>
      <c r="H191" s="11"/>
      <c r="I191" s="11"/>
      <c r="J191" s="11"/>
      <c r="K191" s="11"/>
      <c r="L191" s="11"/>
      <c r="M191" s="11"/>
      <c r="N191" s="11"/>
      <c r="O191" s="11"/>
      <c r="P191" s="11"/>
      <c r="Q191" s="11"/>
      <c r="R191" s="11"/>
      <c r="S191" s="11"/>
      <c r="T191" s="11"/>
      <c r="U191" s="11"/>
      <c r="V191" s="11"/>
      <c r="W191" s="11"/>
      <c r="X191" s="11"/>
      <c r="Y191" s="11"/>
      <c r="Z191" s="11"/>
      <c r="AA191" s="11"/>
    </row>
    <row r="192" spans="1:27" x14ac:dyDescent="0.25">
      <c r="A192" s="14">
        <f>'Notes &amp; Assumptions'!A54</f>
        <v>41</v>
      </c>
      <c r="E192" t="s">
        <v>26</v>
      </c>
      <c r="F192" t="s">
        <v>22</v>
      </c>
      <c r="G192" s="10">
        <f>'Key assumptions'!B12</f>
        <v>114</v>
      </c>
      <c r="H192" s="2">
        <f t="shared" ref="H192:W193" si="75">G192*(1+$G$14)*(1+H$191)</f>
        <v>116.39399999999999</v>
      </c>
      <c r="I192" s="2">
        <f t="shared" si="75"/>
        <v>118.83827399999998</v>
      </c>
      <c r="J192" s="2">
        <f t="shared" si="75"/>
        <v>121.33387775399997</v>
      </c>
      <c r="K192" s="2">
        <f t="shared" si="75"/>
        <v>123.88188918683396</v>
      </c>
      <c r="L192" s="2">
        <f t="shared" si="75"/>
        <v>126.48340885975746</v>
      </c>
      <c r="M192" s="2">
        <f t="shared" si="75"/>
        <v>129.13956044581235</v>
      </c>
      <c r="N192" s="2">
        <f t="shared" si="75"/>
        <v>131.85149121517441</v>
      </c>
      <c r="O192" s="2">
        <f t="shared" si="75"/>
        <v>134.62037253069306</v>
      </c>
      <c r="P192" s="2">
        <f t="shared" si="75"/>
        <v>137.44740035383759</v>
      </c>
      <c r="Q192" s="2">
        <f t="shared" si="75"/>
        <v>140.33379576126816</v>
      </c>
      <c r="R192" s="2">
        <f t="shared" si="75"/>
        <v>143.28080547225477</v>
      </c>
      <c r="S192" s="2">
        <f t="shared" si="75"/>
        <v>146.2897023871721</v>
      </c>
      <c r="T192" s="2">
        <f t="shared" si="75"/>
        <v>149.36178613730269</v>
      </c>
      <c r="U192" s="2">
        <f t="shared" si="75"/>
        <v>152.49838364618603</v>
      </c>
      <c r="V192" s="2">
        <f t="shared" si="75"/>
        <v>155.70084970275593</v>
      </c>
      <c r="W192" s="2">
        <f t="shared" si="75"/>
        <v>158.97056754651379</v>
      </c>
      <c r="X192" s="2">
        <f t="shared" ref="X192:AA193" si="76">W192*(1+$G$14)*(1+X$191)</f>
        <v>162.30894946499058</v>
      </c>
      <c r="Y192" s="2">
        <f t="shared" si="76"/>
        <v>165.71743740375535</v>
      </c>
      <c r="Z192" s="2">
        <f t="shared" si="76"/>
        <v>169.1975035892342</v>
      </c>
      <c r="AA192" s="2">
        <f t="shared" si="76"/>
        <v>172.75065116460812</v>
      </c>
    </row>
    <row r="193" spans="1:29" x14ac:dyDescent="0.25">
      <c r="A193" s="14">
        <f>'Notes &amp; Assumptions'!A55</f>
        <v>42</v>
      </c>
      <c r="E193" t="s">
        <v>27</v>
      </c>
      <c r="F193" t="s">
        <v>4</v>
      </c>
      <c r="G193" s="10"/>
      <c r="H193" s="2">
        <f t="shared" si="75"/>
        <v>0</v>
      </c>
      <c r="I193" s="2">
        <f t="shared" si="75"/>
        <v>0</v>
      </c>
      <c r="J193" s="2">
        <f t="shared" si="75"/>
        <v>0</v>
      </c>
      <c r="K193" s="2">
        <f t="shared" si="75"/>
        <v>0</v>
      </c>
      <c r="L193" s="2">
        <f t="shared" si="75"/>
        <v>0</v>
      </c>
      <c r="M193" s="2">
        <f t="shared" si="75"/>
        <v>0</v>
      </c>
      <c r="N193" s="2">
        <f t="shared" si="75"/>
        <v>0</v>
      </c>
      <c r="O193" s="2">
        <f t="shared" si="75"/>
        <v>0</v>
      </c>
      <c r="P193" s="2">
        <f t="shared" si="75"/>
        <v>0</v>
      </c>
      <c r="Q193" s="2">
        <f t="shared" si="75"/>
        <v>0</v>
      </c>
      <c r="R193" s="2">
        <f t="shared" si="75"/>
        <v>0</v>
      </c>
      <c r="S193" s="2">
        <f t="shared" si="75"/>
        <v>0</v>
      </c>
      <c r="T193" s="2">
        <f t="shared" si="75"/>
        <v>0</v>
      </c>
      <c r="U193" s="2">
        <f t="shared" si="75"/>
        <v>0</v>
      </c>
      <c r="V193" s="2">
        <f t="shared" si="75"/>
        <v>0</v>
      </c>
      <c r="W193" s="2">
        <f t="shared" si="75"/>
        <v>0</v>
      </c>
      <c r="X193" s="2">
        <f t="shared" si="76"/>
        <v>0</v>
      </c>
      <c r="Y193" s="2">
        <f t="shared" si="76"/>
        <v>0</v>
      </c>
      <c r="Z193" s="2">
        <f t="shared" si="76"/>
        <v>0</v>
      </c>
      <c r="AA193" s="2">
        <f t="shared" si="76"/>
        <v>0</v>
      </c>
    </row>
    <row r="194" spans="1:29" x14ac:dyDescent="0.25">
      <c r="A194" s="14">
        <f>'Notes &amp; Assumptions'!A56</f>
        <v>43</v>
      </c>
      <c r="E194" t="s">
        <v>39</v>
      </c>
      <c r="F194" t="s">
        <v>7</v>
      </c>
      <c r="G194" s="2"/>
      <c r="H194" s="10"/>
      <c r="I194" s="10"/>
      <c r="J194" s="10"/>
      <c r="K194" s="10"/>
      <c r="L194" s="10"/>
      <c r="M194" s="10"/>
      <c r="N194" s="10"/>
      <c r="O194" s="10"/>
      <c r="P194" s="10"/>
      <c r="Q194" s="10"/>
      <c r="R194" s="10"/>
      <c r="S194" s="10"/>
      <c r="T194" s="10"/>
      <c r="U194" s="10"/>
      <c r="V194" s="10"/>
      <c r="W194" s="10"/>
      <c r="X194" s="10"/>
      <c r="Y194" s="10"/>
      <c r="Z194" s="10"/>
      <c r="AA194" s="10"/>
    </row>
    <row r="195" spans="1:29" x14ac:dyDescent="0.25">
      <c r="B195" s="14"/>
      <c r="C195" s="14"/>
      <c r="D195" s="14"/>
      <c r="E195" s="14"/>
      <c r="F195" s="14"/>
      <c r="G195" s="14"/>
      <c r="H195" s="14"/>
      <c r="I195" s="14"/>
      <c r="J195" s="14"/>
      <c r="K195" s="14"/>
      <c r="L195" s="14"/>
      <c r="M195" s="14"/>
      <c r="N195" s="14"/>
      <c r="O195" s="14"/>
      <c r="P195" s="14"/>
      <c r="Q195" s="14"/>
      <c r="R195" s="14"/>
      <c r="S195" s="14"/>
      <c r="T195" s="14"/>
      <c r="U195" s="14"/>
      <c r="V195" s="14"/>
      <c r="W195" s="14"/>
      <c r="X195" s="14"/>
      <c r="Y195" s="14"/>
      <c r="Z195" s="14"/>
      <c r="AA195" s="14"/>
      <c r="AB195" s="14"/>
      <c r="AC195" s="14"/>
    </row>
    <row r="196" spans="1:29" x14ac:dyDescent="0.25">
      <c r="D196" t="s">
        <v>124</v>
      </c>
      <c r="G196" s="14"/>
      <c r="H196" s="14"/>
      <c r="I196" s="14"/>
      <c r="J196" s="14"/>
      <c r="K196" s="14"/>
      <c r="L196" s="14"/>
      <c r="M196" s="14"/>
      <c r="N196" s="14"/>
      <c r="O196" s="14"/>
      <c r="P196" s="14"/>
      <c r="Q196" s="14"/>
      <c r="R196" s="14"/>
      <c r="S196" s="14"/>
      <c r="T196" s="14"/>
      <c r="U196" s="14"/>
      <c r="V196" s="14"/>
      <c r="W196" s="14"/>
      <c r="X196" s="14"/>
      <c r="Y196" s="14"/>
      <c r="Z196" s="14"/>
      <c r="AA196" s="14"/>
    </row>
    <row r="197" spans="1:29" x14ac:dyDescent="0.25">
      <c r="A197" s="14">
        <f>'Notes &amp; Assumptions'!A57</f>
        <v>44</v>
      </c>
      <c r="E197" t="s">
        <v>27</v>
      </c>
      <c r="F197" t="s">
        <v>4</v>
      </c>
      <c r="G197" s="14"/>
      <c r="H197" s="10"/>
      <c r="I197" s="10"/>
      <c r="J197" s="10"/>
      <c r="K197" s="10"/>
      <c r="L197" s="10"/>
      <c r="M197" s="10"/>
      <c r="N197" s="10"/>
      <c r="O197" s="10"/>
      <c r="P197" s="10"/>
      <c r="Q197" s="10"/>
      <c r="R197" s="10"/>
      <c r="S197" s="10"/>
      <c r="T197" s="10"/>
      <c r="U197" s="10"/>
      <c r="V197" s="10"/>
      <c r="W197" s="10"/>
      <c r="X197" s="10"/>
      <c r="Y197" s="10"/>
      <c r="Z197" s="10"/>
      <c r="AA197" s="10"/>
    </row>
    <row r="198" spans="1:29" x14ac:dyDescent="0.25">
      <c r="A198" s="14">
        <f>'Notes &amp; Assumptions'!A58</f>
        <v>45</v>
      </c>
      <c r="E198" t="s">
        <v>39</v>
      </c>
      <c r="F198" t="s">
        <v>7</v>
      </c>
      <c r="G198" s="2"/>
      <c r="H198" s="10"/>
      <c r="I198" s="10"/>
      <c r="J198" s="10"/>
      <c r="K198" s="10"/>
      <c r="L198" s="10"/>
      <c r="M198" s="10"/>
      <c r="N198" s="10"/>
      <c r="O198" s="10"/>
      <c r="P198" s="10"/>
      <c r="Q198" s="10"/>
      <c r="R198" s="10"/>
      <c r="S198" s="10"/>
      <c r="T198" s="10"/>
      <c r="U198" s="10"/>
      <c r="V198" s="10"/>
      <c r="W198" s="10"/>
      <c r="X198" s="10"/>
      <c r="Y198" s="10"/>
      <c r="Z198" s="10"/>
      <c r="AA198" s="10"/>
    </row>
    <row r="199" spans="1:29" x14ac:dyDescent="0.25">
      <c r="G199" s="2"/>
    </row>
    <row r="200" spans="1:29" x14ac:dyDescent="0.25">
      <c r="E200" t="s">
        <v>10</v>
      </c>
      <c r="F200" t="s">
        <v>7</v>
      </c>
      <c r="G200" s="2"/>
      <c r="H200" s="2">
        <f>H192*H175+(H193+H197)*H176+H194+H198</f>
        <v>1160913.7559999998</v>
      </c>
      <c r="I200" s="2">
        <f t="shared" ref="I200:AA200" si="77">I192*I175+(I193+I197)*I176+I194+I198</f>
        <v>2308076.9576279996</v>
      </c>
      <c r="J200" s="2">
        <f t="shared" si="77"/>
        <v>3459871.9243186354</v>
      </c>
      <c r="K200" s="2">
        <f t="shared" si="77"/>
        <v>4558048.289795775</v>
      </c>
      <c r="L200" s="2">
        <f t="shared" si="77"/>
        <v>5601671.9148991657</v>
      </c>
      <c r="M200" s="2">
        <f t="shared" si="77"/>
        <v>6591257.337242173</v>
      </c>
      <c r="N200" s="2">
        <f t="shared" si="77"/>
        <v>7527731.2622023439</v>
      </c>
      <c r="O200" s="2">
        <f t="shared" si="77"/>
        <v>8411969.3701764047</v>
      </c>
      <c r="P200" s="2">
        <f t="shared" si="77"/>
        <v>9312542.4398737326</v>
      </c>
      <c r="Q200" s="2">
        <f t="shared" si="77"/>
        <v>10225814.962772934</v>
      </c>
      <c r="R200" s="2">
        <f t="shared" si="77"/>
        <v>11216350.998220688</v>
      </c>
      <c r="S200" s="2">
        <f t="shared" si="77"/>
        <v>12291772.808528552</v>
      </c>
      <c r="T200" s="2">
        <f t="shared" si="77"/>
        <v>13457496.930970971</v>
      </c>
      <c r="U200" s="2">
        <f t="shared" si="77"/>
        <v>14660340.612795902</v>
      </c>
      <c r="V200" s="2">
        <f t="shared" si="77"/>
        <v>15901696.639972519</v>
      </c>
      <c r="W200" s="2">
        <f t="shared" si="77"/>
        <v>16235632.26941194</v>
      </c>
      <c r="X200" s="2">
        <f t="shared" si="77"/>
        <v>16576580.547069591</v>
      </c>
      <c r="Y200" s="2">
        <f t="shared" si="77"/>
        <v>16924688.73855805</v>
      </c>
      <c r="Z200" s="2">
        <f t="shared" si="77"/>
        <v>17280107.202067766</v>
      </c>
      <c r="AA200" s="2">
        <f t="shared" si="77"/>
        <v>17642989.45331119</v>
      </c>
    </row>
    <row r="201" spans="1:29" x14ac:dyDescent="0.25">
      <c r="G201" s="2"/>
      <c r="H201" s="2"/>
      <c r="I201" s="2"/>
      <c r="J201" s="2"/>
      <c r="K201" s="2"/>
      <c r="L201" s="2"/>
      <c r="M201" s="2"/>
      <c r="N201" s="2"/>
      <c r="O201" s="2"/>
      <c r="P201" s="2"/>
      <c r="Q201" s="2"/>
      <c r="R201" s="2"/>
      <c r="S201" s="2"/>
      <c r="T201" s="2"/>
      <c r="U201" s="2"/>
      <c r="V201" s="2"/>
      <c r="W201" s="2"/>
      <c r="X201" s="2"/>
      <c r="Y201" s="2"/>
      <c r="Z201" s="2"/>
      <c r="AA201" s="2"/>
    </row>
    <row r="202" spans="1:29" x14ac:dyDescent="0.25">
      <c r="C202" s="1" t="s">
        <v>48</v>
      </c>
      <c r="G202" s="2"/>
      <c r="H202" s="2"/>
      <c r="I202" s="2"/>
      <c r="J202" s="2"/>
      <c r="K202" s="2"/>
      <c r="L202" s="2"/>
      <c r="M202" s="2"/>
      <c r="N202" s="2"/>
      <c r="O202" s="2"/>
      <c r="P202" s="2"/>
      <c r="Q202" s="2"/>
      <c r="R202" s="2"/>
      <c r="S202" s="2"/>
      <c r="T202" s="2"/>
      <c r="U202" s="2"/>
      <c r="V202" s="2"/>
      <c r="W202" s="2"/>
      <c r="X202" s="2"/>
      <c r="Y202" s="2"/>
      <c r="Z202" s="2"/>
      <c r="AA202" s="2"/>
    </row>
    <row r="203" spans="1:29" x14ac:dyDescent="0.25">
      <c r="A203" s="14">
        <f>'Notes &amp; Assumptions'!A59</f>
        <v>46</v>
      </c>
      <c r="E203" s="10" t="s">
        <v>44</v>
      </c>
      <c r="F203" t="s">
        <v>7</v>
      </c>
      <c r="G203" s="2"/>
      <c r="H203" s="10"/>
      <c r="I203" s="10"/>
      <c r="J203" s="10"/>
      <c r="K203" s="10"/>
      <c r="L203" s="10"/>
      <c r="M203" s="10"/>
      <c r="N203" s="10"/>
      <c r="O203" s="10"/>
      <c r="P203" s="10"/>
      <c r="Q203" s="10"/>
      <c r="R203" s="10"/>
      <c r="S203" s="10"/>
      <c r="T203" s="10"/>
      <c r="U203" s="10"/>
      <c r="V203" s="10"/>
      <c r="W203" s="10"/>
      <c r="X203" s="10"/>
      <c r="Y203" s="10"/>
      <c r="Z203" s="10"/>
      <c r="AA203" s="10"/>
    </row>
    <row r="204" spans="1:29" x14ac:dyDescent="0.25">
      <c r="A204" s="14">
        <f>'Notes &amp; Assumptions'!A60</f>
        <v>47</v>
      </c>
      <c r="E204" s="10" t="s">
        <v>45</v>
      </c>
      <c r="F204" t="s">
        <v>7</v>
      </c>
      <c r="G204" s="2"/>
      <c r="H204" s="10"/>
      <c r="I204" s="10"/>
      <c r="J204" s="10"/>
      <c r="K204" s="10"/>
      <c r="L204" s="10"/>
      <c r="M204" s="10"/>
      <c r="N204" s="10"/>
      <c r="O204" s="10"/>
      <c r="P204" s="10"/>
      <c r="Q204" s="10"/>
      <c r="R204" s="10"/>
      <c r="S204" s="10"/>
      <c r="T204" s="10"/>
      <c r="U204" s="10"/>
      <c r="V204" s="10"/>
      <c r="W204" s="10"/>
      <c r="X204" s="10"/>
      <c r="Y204" s="10"/>
      <c r="Z204" s="10"/>
      <c r="AA204" s="10"/>
    </row>
    <row r="205" spans="1:29" x14ac:dyDescent="0.25">
      <c r="A205" s="14">
        <f>'Notes &amp; Assumptions'!A61</f>
        <v>48</v>
      </c>
      <c r="E205" s="10" t="s">
        <v>46</v>
      </c>
      <c r="F205" t="s">
        <v>7</v>
      </c>
      <c r="G205" s="2"/>
      <c r="H205" s="10"/>
      <c r="I205" s="10"/>
      <c r="J205" s="10"/>
      <c r="K205" s="10"/>
      <c r="L205" s="10"/>
      <c r="M205" s="10"/>
      <c r="N205" s="10"/>
      <c r="O205" s="10"/>
      <c r="P205" s="10"/>
      <c r="Q205" s="10"/>
      <c r="R205" s="10"/>
      <c r="S205" s="10"/>
      <c r="T205" s="10"/>
      <c r="U205" s="10"/>
      <c r="V205" s="10"/>
      <c r="W205" s="10"/>
      <c r="X205" s="10"/>
      <c r="Y205" s="10"/>
      <c r="Z205" s="10"/>
      <c r="AA205" s="10"/>
    </row>
    <row r="206" spans="1:29" x14ac:dyDescent="0.25">
      <c r="A206" s="14">
        <f>'Notes &amp; Assumptions'!A62</f>
        <v>49</v>
      </c>
      <c r="E206" s="10" t="s">
        <v>47</v>
      </c>
      <c r="F206" t="s">
        <v>7</v>
      </c>
      <c r="G206" s="2"/>
      <c r="H206" s="10"/>
      <c r="I206" s="10"/>
      <c r="J206" s="10"/>
      <c r="K206" s="10"/>
      <c r="L206" s="10"/>
      <c r="M206" s="10"/>
      <c r="N206" s="10"/>
      <c r="O206" s="10"/>
      <c r="P206" s="10"/>
      <c r="Q206" s="10"/>
      <c r="R206" s="10"/>
      <c r="S206" s="10"/>
      <c r="T206" s="10"/>
      <c r="U206" s="10"/>
      <c r="V206" s="10"/>
      <c r="W206" s="10"/>
      <c r="X206" s="10"/>
      <c r="Y206" s="10"/>
      <c r="Z206" s="10"/>
      <c r="AA206" s="10"/>
    </row>
    <row r="207" spans="1:29" x14ac:dyDescent="0.25">
      <c r="E207" t="s">
        <v>17</v>
      </c>
      <c r="G207" s="2"/>
      <c r="H207" s="2">
        <f>SUM(H203:H206)</f>
        <v>0</v>
      </c>
      <c r="I207" s="2">
        <f t="shared" ref="I207:AA207" si="78">SUM(I203:I206)</f>
        <v>0</v>
      </c>
      <c r="J207" s="2">
        <f t="shared" si="78"/>
        <v>0</v>
      </c>
      <c r="K207" s="2">
        <f t="shared" si="78"/>
        <v>0</v>
      </c>
      <c r="L207" s="2">
        <f t="shared" si="78"/>
        <v>0</v>
      </c>
      <c r="M207" s="2">
        <f t="shared" si="78"/>
        <v>0</v>
      </c>
      <c r="N207" s="2">
        <f t="shared" si="78"/>
        <v>0</v>
      </c>
      <c r="O207" s="2">
        <f t="shared" si="78"/>
        <v>0</v>
      </c>
      <c r="P207" s="2">
        <f t="shared" si="78"/>
        <v>0</v>
      </c>
      <c r="Q207" s="2">
        <f t="shared" si="78"/>
        <v>0</v>
      </c>
      <c r="R207" s="2">
        <f t="shared" si="78"/>
        <v>0</v>
      </c>
      <c r="S207" s="2">
        <f t="shared" si="78"/>
        <v>0</v>
      </c>
      <c r="T207" s="2">
        <f t="shared" si="78"/>
        <v>0</v>
      </c>
      <c r="U207" s="2">
        <f t="shared" si="78"/>
        <v>0</v>
      </c>
      <c r="V207" s="2">
        <f t="shared" si="78"/>
        <v>0</v>
      </c>
      <c r="W207" s="2">
        <f t="shared" si="78"/>
        <v>0</v>
      </c>
      <c r="X207" s="2">
        <f t="shared" si="78"/>
        <v>0</v>
      </c>
      <c r="Y207" s="2">
        <f t="shared" si="78"/>
        <v>0</v>
      </c>
      <c r="Z207" s="2">
        <f t="shared" si="78"/>
        <v>0</v>
      </c>
      <c r="AA207" s="2">
        <f t="shared" si="78"/>
        <v>0</v>
      </c>
    </row>
    <row r="208" spans="1:29" x14ac:dyDescent="0.25">
      <c r="G208" s="2"/>
      <c r="H208" s="2"/>
      <c r="I208" s="2"/>
      <c r="J208" s="2"/>
      <c r="K208" s="2"/>
      <c r="L208" s="2"/>
      <c r="M208" s="2"/>
      <c r="N208" s="2"/>
      <c r="O208" s="2"/>
      <c r="P208" s="2"/>
      <c r="Q208" s="2"/>
      <c r="R208" s="2"/>
      <c r="S208" s="2"/>
      <c r="T208" s="2"/>
      <c r="U208" s="2"/>
      <c r="V208" s="2"/>
      <c r="W208" s="2"/>
      <c r="X208" s="2"/>
      <c r="Y208" s="2"/>
      <c r="Z208" s="2"/>
      <c r="AA208" s="2"/>
    </row>
    <row r="209" spans="1:27" x14ac:dyDescent="0.25">
      <c r="C209" s="1" t="s">
        <v>49</v>
      </c>
      <c r="G209" s="2"/>
      <c r="H209" s="2"/>
      <c r="I209" s="2"/>
      <c r="J209" s="2"/>
      <c r="K209" s="2"/>
      <c r="L209" s="2"/>
      <c r="M209" s="2"/>
      <c r="N209" s="2"/>
      <c r="O209" s="2"/>
      <c r="P209" s="2"/>
      <c r="Q209" s="2"/>
      <c r="R209" s="2"/>
      <c r="S209" s="2"/>
      <c r="T209" s="2"/>
      <c r="U209" s="2"/>
      <c r="V209" s="2"/>
      <c r="W209" s="2"/>
      <c r="X209" s="2"/>
      <c r="Y209" s="2"/>
      <c r="Z209" s="2"/>
      <c r="AA209" s="2"/>
    </row>
    <row r="210" spans="1:27" x14ac:dyDescent="0.25">
      <c r="A210" s="14">
        <f>'Notes &amp; Assumptions'!A63</f>
        <v>50</v>
      </c>
      <c r="E210" s="10"/>
      <c r="F210" t="s">
        <v>7</v>
      </c>
      <c r="G210" s="24">
        <v>0</v>
      </c>
      <c r="H210" s="10">
        <f>H107*($G$210*(1+$G$14)^(H2))</f>
        <v>0</v>
      </c>
      <c r="I210" s="10">
        <f>I107*($G$210*(1+$G$14)^(I2))</f>
        <v>0</v>
      </c>
      <c r="J210" s="10">
        <f t="shared" ref="J210:AA210" si="79">J107*($G$210*(1+$G$14)^(J2))</f>
        <v>0</v>
      </c>
      <c r="K210" s="10">
        <f t="shared" si="79"/>
        <v>0</v>
      </c>
      <c r="L210" s="10">
        <f t="shared" si="79"/>
        <v>0</v>
      </c>
      <c r="M210" s="10">
        <f t="shared" si="79"/>
        <v>0</v>
      </c>
      <c r="N210" s="10">
        <f t="shared" si="79"/>
        <v>0</v>
      </c>
      <c r="O210" s="10">
        <f t="shared" si="79"/>
        <v>0</v>
      </c>
      <c r="P210" s="10">
        <f t="shared" si="79"/>
        <v>0</v>
      </c>
      <c r="Q210" s="10">
        <f t="shared" si="79"/>
        <v>0</v>
      </c>
      <c r="R210" s="10">
        <f t="shared" si="79"/>
        <v>0</v>
      </c>
      <c r="S210" s="10">
        <f t="shared" si="79"/>
        <v>0</v>
      </c>
      <c r="T210" s="10">
        <f t="shared" si="79"/>
        <v>0</v>
      </c>
      <c r="U210" s="10">
        <f t="shared" si="79"/>
        <v>0</v>
      </c>
      <c r="V210" s="10">
        <f t="shared" si="79"/>
        <v>0</v>
      </c>
      <c r="W210" s="10">
        <f t="shared" si="79"/>
        <v>0</v>
      </c>
      <c r="X210" s="10">
        <f t="shared" si="79"/>
        <v>0</v>
      </c>
      <c r="Y210" s="10">
        <f t="shared" si="79"/>
        <v>0</v>
      </c>
      <c r="Z210" s="10">
        <f t="shared" si="79"/>
        <v>0</v>
      </c>
      <c r="AA210" s="10">
        <f t="shared" si="79"/>
        <v>0</v>
      </c>
    </row>
    <row r="211" spans="1:27" x14ac:dyDescent="0.25">
      <c r="A211" s="14">
        <f>'Notes &amp; Assumptions'!A64</f>
        <v>51</v>
      </c>
      <c r="E211" s="10" t="s">
        <v>50</v>
      </c>
      <c r="F211" t="s">
        <v>7</v>
      </c>
      <c r="G211" s="2"/>
      <c r="H211" s="10"/>
      <c r="I211" s="10"/>
      <c r="J211" s="10"/>
      <c r="K211" s="10"/>
      <c r="L211" s="10"/>
      <c r="M211" s="10"/>
      <c r="N211" s="10"/>
      <c r="O211" s="10"/>
      <c r="P211" s="10"/>
      <c r="Q211" s="10"/>
      <c r="R211" s="10"/>
      <c r="S211" s="10"/>
      <c r="T211" s="10"/>
      <c r="U211" s="10"/>
      <c r="V211" s="10"/>
      <c r="W211" s="10"/>
      <c r="X211" s="10"/>
      <c r="Y211" s="10"/>
      <c r="Z211" s="10"/>
      <c r="AA211" s="10"/>
    </row>
    <row r="212" spans="1:27" x14ac:dyDescent="0.25">
      <c r="A212" s="14">
        <f>'Notes &amp; Assumptions'!A65</f>
        <v>52</v>
      </c>
      <c r="E212" s="10" t="s">
        <v>51</v>
      </c>
      <c r="F212" t="s">
        <v>7</v>
      </c>
      <c r="G212" s="2"/>
      <c r="H212" s="10"/>
      <c r="I212" s="10"/>
      <c r="J212" s="10"/>
      <c r="K212" s="10"/>
      <c r="L212" s="10"/>
      <c r="M212" s="10"/>
      <c r="N212" s="10"/>
      <c r="O212" s="10"/>
      <c r="P212" s="10"/>
      <c r="Q212" s="10"/>
      <c r="R212" s="10"/>
      <c r="S212" s="10"/>
      <c r="T212" s="10"/>
      <c r="U212" s="10"/>
      <c r="V212" s="10"/>
      <c r="W212" s="10"/>
      <c r="X212" s="10"/>
      <c r="Y212" s="10"/>
      <c r="Z212" s="10"/>
      <c r="AA212" s="10"/>
    </row>
    <row r="213" spans="1:27" x14ac:dyDescent="0.25">
      <c r="A213" s="14">
        <f>'Notes &amp; Assumptions'!A66</f>
        <v>53</v>
      </c>
      <c r="E213" s="10" t="s">
        <v>52</v>
      </c>
      <c r="F213" t="s">
        <v>7</v>
      </c>
      <c r="G213" s="2"/>
      <c r="H213" s="10"/>
      <c r="I213" s="10"/>
      <c r="J213" s="10"/>
      <c r="K213" s="10"/>
      <c r="L213" s="10"/>
      <c r="M213" s="10"/>
      <c r="N213" s="10"/>
      <c r="O213" s="10"/>
      <c r="P213" s="10"/>
      <c r="Q213" s="10"/>
      <c r="R213" s="10"/>
      <c r="S213" s="10"/>
      <c r="T213" s="10"/>
      <c r="U213" s="10"/>
      <c r="V213" s="10"/>
      <c r="W213" s="10"/>
      <c r="X213" s="10"/>
      <c r="Y213" s="10"/>
      <c r="Z213" s="10"/>
      <c r="AA213" s="10"/>
    </row>
    <row r="214" spans="1:27" x14ac:dyDescent="0.25">
      <c r="E214" t="s">
        <v>17</v>
      </c>
      <c r="G214" s="2"/>
      <c r="H214" s="2">
        <f>SUM(H210:H213)</f>
        <v>0</v>
      </c>
      <c r="I214" s="2">
        <f t="shared" ref="I214:AA214" si="80">SUM(I210:I213)</f>
        <v>0</v>
      </c>
      <c r="J214" s="2">
        <f t="shared" si="80"/>
        <v>0</v>
      </c>
      <c r="K214" s="2">
        <f t="shared" si="80"/>
        <v>0</v>
      </c>
      <c r="L214" s="2">
        <f t="shared" si="80"/>
        <v>0</v>
      </c>
      <c r="M214" s="2">
        <f t="shared" si="80"/>
        <v>0</v>
      </c>
      <c r="N214" s="2">
        <f t="shared" si="80"/>
        <v>0</v>
      </c>
      <c r="O214" s="2">
        <f t="shared" si="80"/>
        <v>0</v>
      </c>
      <c r="P214" s="2">
        <f t="shared" si="80"/>
        <v>0</v>
      </c>
      <c r="Q214" s="2">
        <f t="shared" si="80"/>
        <v>0</v>
      </c>
      <c r="R214" s="2">
        <f t="shared" si="80"/>
        <v>0</v>
      </c>
      <c r="S214" s="2">
        <f t="shared" si="80"/>
        <v>0</v>
      </c>
      <c r="T214" s="2">
        <f t="shared" si="80"/>
        <v>0</v>
      </c>
      <c r="U214" s="2">
        <f t="shared" si="80"/>
        <v>0</v>
      </c>
      <c r="V214" s="2">
        <f t="shared" si="80"/>
        <v>0</v>
      </c>
      <c r="W214" s="2">
        <f t="shared" si="80"/>
        <v>0</v>
      </c>
      <c r="X214" s="2">
        <f t="shared" si="80"/>
        <v>0</v>
      </c>
      <c r="Y214" s="2">
        <f t="shared" si="80"/>
        <v>0</v>
      </c>
      <c r="Z214" s="2">
        <f t="shared" si="80"/>
        <v>0</v>
      </c>
      <c r="AA214" s="2">
        <f t="shared" si="80"/>
        <v>0</v>
      </c>
    </row>
    <row r="215" spans="1:27" x14ac:dyDescent="0.25">
      <c r="G215" s="2"/>
      <c r="H215" s="2"/>
      <c r="I215" s="2"/>
      <c r="J215" s="2"/>
      <c r="K215" s="2"/>
      <c r="L215" s="2"/>
      <c r="M215" s="2"/>
      <c r="N215" s="2"/>
      <c r="O215" s="2"/>
      <c r="P215" s="2"/>
      <c r="Q215" s="2"/>
      <c r="R215" s="2"/>
      <c r="S215" s="2"/>
      <c r="T215" s="2"/>
      <c r="U215" s="2"/>
      <c r="V215" s="2"/>
      <c r="W215" s="2"/>
      <c r="X215" s="2"/>
      <c r="Y215" s="2"/>
      <c r="Z215" s="2"/>
      <c r="AA215" s="2"/>
    </row>
    <row r="216" spans="1:27" x14ac:dyDescent="0.25">
      <c r="C216" s="1" t="s">
        <v>33</v>
      </c>
      <c r="G216" s="2"/>
      <c r="H216" s="2"/>
      <c r="I216" s="2"/>
      <c r="J216" s="2"/>
      <c r="K216" s="2"/>
      <c r="L216" s="2"/>
      <c r="M216" s="2"/>
      <c r="N216" s="2"/>
      <c r="O216" s="2"/>
      <c r="P216" s="2"/>
      <c r="Q216" s="2"/>
      <c r="R216" s="2"/>
      <c r="S216" s="2"/>
      <c r="T216" s="2"/>
      <c r="U216" s="2"/>
      <c r="V216" s="2"/>
      <c r="W216" s="2"/>
      <c r="X216" s="2"/>
      <c r="Y216" s="2"/>
      <c r="Z216" s="2"/>
      <c r="AA216" s="2"/>
    </row>
    <row r="217" spans="1:27" x14ac:dyDescent="0.25">
      <c r="C217" s="1"/>
      <c r="D217" s="1"/>
      <c r="E217" t="s">
        <v>29</v>
      </c>
      <c r="F217" t="s">
        <v>3</v>
      </c>
      <c r="G217" s="44"/>
      <c r="H217" s="2">
        <f t="shared" ref="H217:AA217" si="81">H174</f>
        <v>9974</v>
      </c>
      <c r="I217" s="2">
        <f t="shared" si="81"/>
        <v>9448</v>
      </c>
      <c r="J217" s="2">
        <f t="shared" si="81"/>
        <v>9093.2999999999993</v>
      </c>
      <c r="K217" s="2">
        <f t="shared" si="81"/>
        <v>8278.1999999999989</v>
      </c>
      <c r="L217" s="2">
        <f t="shared" si="81"/>
        <v>7494.2999999999984</v>
      </c>
      <c r="M217" s="2">
        <f t="shared" si="81"/>
        <v>6751.9999999999982</v>
      </c>
      <c r="N217" s="2">
        <f t="shared" si="81"/>
        <v>6052.699999999998</v>
      </c>
      <c r="O217" s="2">
        <f t="shared" si="81"/>
        <v>5394.0999999999976</v>
      </c>
      <c r="P217" s="2">
        <f t="shared" si="81"/>
        <v>5266.8999999999978</v>
      </c>
      <c r="Q217" s="2">
        <f t="shared" si="81"/>
        <v>5114.2999999999984</v>
      </c>
      <c r="R217" s="2">
        <f t="shared" si="81"/>
        <v>5414.4999999999982</v>
      </c>
      <c r="S217" s="2">
        <f t="shared" si="81"/>
        <v>5741.199999999998</v>
      </c>
      <c r="T217" s="2">
        <f t="shared" si="81"/>
        <v>6076.4999999999982</v>
      </c>
      <c r="U217" s="2">
        <f t="shared" si="81"/>
        <v>6034.3999999999978</v>
      </c>
      <c r="V217" s="2">
        <f t="shared" si="81"/>
        <v>5995.3999999999978</v>
      </c>
      <c r="W217" s="2">
        <f t="shared" si="81"/>
        <v>0</v>
      </c>
      <c r="X217" s="2">
        <f t="shared" si="81"/>
        <v>0</v>
      </c>
      <c r="Y217" s="2">
        <f t="shared" si="81"/>
        <v>0</v>
      </c>
      <c r="Z217" s="2">
        <f t="shared" si="81"/>
        <v>0</v>
      </c>
      <c r="AA217" s="2">
        <f t="shared" si="81"/>
        <v>0</v>
      </c>
    </row>
    <row r="218" spans="1:27" x14ac:dyDescent="0.25">
      <c r="E218" t="s">
        <v>18</v>
      </c>
      <c r="F218" t="s">
        <v>22</v>
      </c>
      <c r="G218" s="8">
        <f ca="1">MAX(0,-G245/(NPV($G$16,H217:AA217)))</f>
        <v>2358.0673350853067</v>
      </c>
      <c r="H218" s="2">
        <f ca="1">G218*(1+$G$14)</f>
        <v>2407.5867491220979</v>
      </c>
      <c r="I218" s="2">
        <f t="shared" ref="I218:AA218" ca="1" si="82">H218*(1+$G$14)</f>
        <v>2458.1460708536615</v>
      </c>
      <c r="J218" s="2">
        <f t="shared" ca="1" si="82"/>
        <v>2509.7671383415882</v>
      </c>
      <c r="K218" s="2">
        <f t="shared" ca="1" si="82"/>
        <v>2562.4722482467614</v>
      </c>
      <c r="L218" s="2">
        <f t="shared" ca="1" si="82"/>
        <v>2616.2841654599433</v>
      </c>
      <c r="M218" s="2">
        <f t="shared" ca="1" si="82"/>
        <v>2671.226132934602</v>
      </c>
      <c r="N218" s="2">
        <f t="shared" ca="1" si="82"/>
        <v>2727.3218817262282</v>
      </c>
      <c r="O218" s="2">
        <f t="shared" ca="1" si="82"/>
        <v>2784.5956412424789</v>
      </c>
      <c r="P218" s="2">
        <f t="shared" ca="1" si="82"/>
        <v>2843.0721497085706</v>
      </c>
      <c r="Q218" s="2">
        <f t="shared" ca="1" si="82"/>
        <v>2902.7766648524503</v>
      </c>
      <c r="R218" s="2">
        <f t="shared" ca="1" si="82"/>
        <v>2963.7349748143515</v>
      </c>
      <c r="S218" s="2">
        <f t="shared" ca="1" si="82"/>
        <v>3025.9734092854528</v>
      </c>
      <c r="T218" s="2">
        <f t="shared" ca="1" si="82"/>
        <v>3089.5188508804472</v>
      </c>
      <c r="U218" s="2">
        <f t="shared" ca="1" si="82"/>
        <v>3154.3987467489364</v>
      </c>
      <c r="V218" s="2">
        <f t="shared" ca="1" si="82"/>
        <v>3220.6411204306637</v>
      </c>
      <c r="W218" s="2">
        <f t="shared" ca="1" si="82"/>
        <v>3288.2745839597073</v>
      </c>
      <c r="X218" s="2">
        <f t="shared" ca="1" si="82"/>
        <v>3357.328350222861</v>
      </c>
      <c r="Y218" s="2">
        <f t="shared" ca="1" si="82"/>
        <v>3427.8322455775406</v>
      </c>
      <c r="Z218" s="2">
        <f t="shared" ca="1" si="82"/>
        <v>3499.8167227346685</v>
      </c>
      <c r="AA218" s="2">
        <f t="shared" ca="1" si="82"/>
        <v>3573.3128739120962</v>
      </c>
    </row>
    <row r="219" spans="1:27" x14ac:dyDescent="0.25">
      <c r="E219" t="s">
        <v>21</v>
      </c>
      <c r="F219" t="s">
        <v>7</v>
      </c>
      <c r="H219" s="2">
        <f ca="1">H218*H217</f>
        <v>24013270.235743806</v>
      </c>
      <c r="I219" s="2">
        <f t="shared" ref="I219:AA219" ca="1" si="83">I218*I217</f>
        <v>23224564.077425394</v>
      </c>
      <c r="J219" s="2">
        <f t="shared" ca="1" si="83"/>
        <v>22822065.519081563</v>
      </c>
      <c r="K219" s="2">
        <f t="shared" ca="1" si="83"/>
        <v>21212657.765436336</v>
      </c>
      <c r="L219" s="2">
        <f t="shared" ca="1" si="83"/>
        <v>19607218.421206448</v>
      </c>
      <c r="M219" s="2">
        <f t="shared" ca="1" si="83"/>
        <v>18036118.849574428</v>
      </c>
      <c r="N219" s="2">
        <f t="shared" ca="1" si="83"/>
        <v>16507661.153524335</v>
      </c>
      <c r="O219" s="2">
        <f t="shared" ca="1" si="83"/>
        <v>15020387.34842605</v>
      </c>
      <c r="P219" s="2">
        <f t="shared" ca="1" si="83"/>
        <v>14974176.705300065</v>
      </c>
      <c r="Q219" s="2">
        <f t="shared" ca="1" si="83"/>
        <v>14845670.697054882</v>
      </c>
      <c r="R219" s="2">
        <f t="shared" ca="1" si="83"/>
        <v>16047143.021132302</v>
      </c>
      <c r="S219" s="2">
        <f t="shared" ca="1" si="83"/>
        <v>17372718.537389636</v>
      </c>
      <c r="T219" s="2">
        <f t="shared" ca="1" si="83"/>
        <v>18773461.297375031</v>
      </c>
      <c r="U219" s="2">
        <f t="shared" ca="1" si="83"/>
        <v>19034903.797381774</v>
      </c>
      <c r="V219" s="2">
        <f t="shared" ca="1" si="83"/>
        <v>19309031.773429994</v>
      </c>
      <c r="W219" s="2">
        <f t="shared" ca="1" si="83"/>
        <v>0</v>
      </c>
      <c r="X219" s="2">
        <f t="shared" ca="1" si="83"/>
        <v>0</v>
      </c>
      <c r="Y219" s="2">
        <f t="shared" ca="1" si="83"/>
        <v>0</v>
      </c>
      <c r="Z219" s="2">
        <f t="shared" ca="1" si="83"/>
        <v>0</v>
      </c>
      <c r="AA219" s="2">
        <f t="shared" ca="1" si="83"/>
        <v>0</v>
      </c>
    </row>
    <row r="220" spans="1:27" x14ac:dyDescent="0.25">
      <c r="G220" s="8">
        <f ca="1">-G245/(NPV($G$16,H217:AA217))</f>
        <v>2358.0673350853067</v>
      </c>
    </row>
    <row r="221" spans="1:27" x14ac:dyDescent="0.25">
      <c r="D221" t="s">
        <v>9</v>
      </c>
    </row>
    <row r="222" spans="1:27" x14ac:dyDescent="0.25">
      <c r="E222" t="s">
        <v>107</v>
      </c>
      <c r="F222" t="s">
        <v>7</v>
      </c>
      <c r="G222" s="2">
        <f t="shared" ref="G222:AA222" si="84">G42</f>
        <v>0</v>
      </c>
      <c r="H222" s="2">
        <f t="shared" si="84"/>
        <v>35642088.999999993</v>
      </c>
      <c r="I222" s="2">
        <f t="shared" si="84"/>
        <v>34471438.987999991</v>
      </c>
      <c r="J222" s="2">
        <f t="shared" si="84"/>
        <v>33874023.921329536</v>
      </c>
      <c r="K222" s="2">
        <f t="shared" si="84"/>
        <v>31485234.146776929</v>
      </c>
      <c r="L222" s="2">
        <f t="shared" si="84"/>
        <v>29102334.548788421</v>
      </c>
      <c r="M222" s="2">
        <f t="shared" si="84"/>
        <v>26770404.319784526</v>
      </c>
      <c r="N222" s="2">
        <f t="shared" si="84"/>
        <v>24501765.991871051</v>
      </c>
      <c r="O222" s="2">
        <f t="shared" si="84"/>
        <v>22294255.527520508</v>
      </c>
      <c r="P222" s="2">
        <f t="shared" si="84"/>
        <v>22225666.624848187</v>
      </c>
      <c r="Q222" s="2">
        <f t="shared" si="84"/>
        <v>22034929.480846372</v>
      </c>
      <c r="R222" s="2">
        <f t="shared" si="84"/>
        <v>23818234.423713431</v>
      </c>
      <c r="S222" s="2">
        <f t="shared" si="84"/>
        <v>25785741.558844842</v>
      </c>
      <c r="T222" s="2">
        <f t="shared" si="84"/>
        <v>27864816.90457559</v>
      </c>
      <c r="U222" s="2">
        <f t="shared" si="84"/>
        <v>28252867.210183382</v>
      </c>
      <c r="V222" s="2">
        <f t="shared" si="84"/>
        <v>28659746.141032089</v>
      </c>
      <c r="W222" s="2">
        <f t="shared" si="84"/>
        <v>0</v>
      </c>
      <c r="X222" s="2">
        <f t="shared" si="84"/>
        <v>0</v>
      </c>
      <c r="Y222" s="2">
        <f t="shared" si="84"/>
        <v>0</v>
      </c>
      <c r="Z222" s="2">
        <f t="shared" si="84"/>
        <v>0</v>
      </c>
      <c r="AA222" s="2">
        <f t="shared" si="84"/>
        <v>0</v>
      </c>
    </row>
    <row r="223" spans="1:27" x14ac:dyDescent="0.25">
      <c r="E223" t="s">
        <v>11</v>
      </c>
      <c r="F223" t="s">
        <v>7</v>
      </c>
      <c r="G223" s="2">
        <f t="shared" ref="G223:AA223" si="85">G177</f>
        <v>0</v>
      </c>
      <c r="H223" s="2">
        <f t="shared" si="85"/>
        <v>6182225.9834038224</v>
      </c>
      <c r="I223" s="2">
        <f t="shared" si="85"/>
        <v>11995790.371626098</v>
      </c>
      <c r="J223" s="2">
        <f t="shared" si="85"/>
        <v>18050339.664931763</v>
      </c>
      <c r="K223" s="2">
        <f t="shared" si="85"/>
        <v>23862148.984883003</v>
      </c>
      <c r="L223" s="2">
        <f t="shared" si="85"/>
        <v>29434925.431030251</v>
      </c>
      <c r="M223" s="2">
        <f t="shared" si="85"/>
        <v>34761099.634969912</v>
      </c>
      <c r="N223" s="2">
        <f t="shared" si="85"/>
        <v>39853053.565400161</v>
      </c>
      <c r="O223" s="2">
        <f t="shared" si="85"/>
        <v>44714011.691100597</v>
      </c>
      <c r="P223" s="2">
        <f t="shared" si="85"/>
        <v>49721988.340728059</v>
      </c>
      <c r="Q223" s="2">
        <f t="shared" si="85"/>
        <v>54874142.127276734</v>
      </c>
      <c r="R223" s="2">
        <f t="shared" si="85"/>
        <v>60466460.73169291</v>
      </c>
      <c r="S223" s="2">
        <f t="shared" si="85"/>
        <v>66548323.248618223</v>
      </c>
      <c r="T223" s="2">
        <f t="shared" si="85"/>
        <v>73138773.863265544</v>
      </c>
      <c r="U223" s="2">
        <f t="shared" si="85"/>
        <v>79936734.338239014</v>
      </c>
      <c r="V223" s="2">
        <f t="shared" si="85"/>
        <v>86960520.226442367</v>
      </c>
      <c r="W223" s="2">
        <f t="shared" si="85"/>
        <v>88786691.151197642</v>
      </c>
      <c r="X223" s="2">
        <f t="shared" si="85"/>
        <v>90651211.665372789</v>
      </c>
      <c r="Y223" s="2">
        <f t="shared" si="85"/>
        <v>92554887.110345602</v>
      </c>
      <c r="Z223" s="2">
        <f t="shared" si="85"/>
        <v>94498539.739662856</v>
      </c>
      <c r="AA223" s="2">
        <f t="shared" si="85"/>
        <v>96483009.074195772</v>
      </c>
    </row>
    <row r="224" spans="1:27" x14ac:dyDescent="0.25">
      <c r="E224" t="s">
        <v>57</v>
      </c>
      <c r="F224" t="s">
        <v>7</v>
      </c>
      <c r="G224" s="2">
        <f t="shared" ref="G224:AA224" si="86">-G187</f>
        <v>0</v>
      </c>
      <c r="H224" s="2">
        <f t="shared" si="86"/>
        <v>-4081304.5861971751</v>
      </c>
      <c r="I224" s="2">
        <f t="shared" si="86"/>
        <v>-8124453.3182916604</v>
      </c>
      <c r="J224" s="2">
        <f t="shared" si="86"/>
        <v>-12199213.412921648</v>
      </c>
      <c r="K224" s="2">
        <f t="shared" si="86"/>
        <v>-16078452.883336719</v>
      </c>
      <c r="L224" s="2">
        <f t="shared" si="86"/>
        <v>-19769297.856755786</v>
      </c>
      <c r="M224" s="2">
        <f t="shared" si="86"/>
        <v>-23272672.93213268</v>
      </c>
      <c r="N224" s="2">
        <f t="shared" si="86"/>
        <v>-26592500.398821432</v>
      </c>
      <c r="O224" s="2">
        <f t="shared" si="86"/>
        <v>-29731751.2251908</v>
      </c>
      <c r="P224" s="2">
        <f t="shared" si="86"/>
        <v>-32933959.355104275</v>
      </c>
      <c r="Q224" s="2">
        <f t="shared" si="86"/>
        <v>-36187705.326668009</v>
      </c>
      <c r="R224" s="2">
        <f t="shared" si="86"/>
        <v>-39717092.654547654</v>
      </c>
      <c r="S224" s="2">
        <f t="shared" si="86"/>
        <v>-43549830.841256797</v>
      </c>
      <c r="T224" s="2">
        <f t="shared" si="86"/>
        <v>-47704218.710662022</v>
      </c>
      <c r="U224" s="2">
        <f t="shared" si="86"/>
        <v>-51990689.053647444</v>
      </c>
      <c r="V224" s="2">
        <f t="shared" si="86"/>
        <v>-56415111.355761826</v>
      </c>
      <c r="W224" s="2">
        <f t="shared" si="86"/>
        <v>-57599828.694232821</v>
      </c>
      <c r="X224" s="2">
        <f t="shared" si="86"/>
        <v>-58809425.096811704</v>
      </c>
      <c r="Y224" s="2">
        <f t="shared" si="86"/>
        <v>-60044423.023844734</v>
      </c>
      <c r="Z224" s="2">
        <f t="shared" si="86"/>
        <v>-61305355.907345481</v>
      </c>
      <c r="AA224" s="2">
        <f t="shared" si="86"/>
        <v>-62592768.381399721</v>
      </c>
    </row>
    <row r="225" spans="4:28" customFormat="1" x14ac:dyDescent="0.25">
      <c r="E225" t="s">
        <v>10</v>
      </c>
      <c r="F225" t="s">
        <v>7</v>
      </c>
      <c r="G225" s="2">
        <f t="shared" ref="G225:AA225" si="87">-G200</f>
        <v>0</v>
      </c>
      <c r="H225" s="2">
        <f t="shared" si="87"/>
        <v>-1160913.7559999998</v>
      </c>
      <c r="I225" s="2">
        <f t="shared" si="87"/>
        <v>-2308076.9576279996</v>
      </c>
      <c r="J225" s="2">
        <f t="shared" si="87"/>
        <v>-3459871.9243186354</v>
      </c>
      <c r="K225" s="2">
        <f t="shared" si="87"/>
        <v>-4558048.289795775</v>
      </c>
      <c r="L225" s="2">
        <f t="shared" si="87"/>
        <v>-5601671.9148991657</v>
      </c>
      <c r="M225" s="2">
        <f t="shared" si="87"/>
        <v>-6591257.337242173</v>
      </c>
      <c r="N225" s="2">
        <f t="shared" si="87"/>
        <v>-7527731.2622023439</v>
      </c>
      <c r="O225" s="2">
        <f t="shared" si="87"/>
        <v>-8411969.3701764047</v>
      </c>
      <c r="P225" s="2">
        <f t="shared" si="87"/>
        <v>-9312542.4398737326</v>
      </c>
      <c r="Q225" s="2">
        <f t="shared" si="87"/>
        <v>-10225814.962772934</v>
      </c>
      <c r="R225" s="2">
        <f t="shared" si="87"/>
        <v>-11216350.998220688</v>
      </c>
      <c r="S225" s="2">
        <f t="shared" si="87"/>
        <v>-12291772.808528552</v>
      </c>
      <c r="T225" s="2">
        <f t="shared" si="87"/>
        <v>-13457496.930970971</v>
      </c>
      <c r="U225" s="2">
        <f t="shared" si="87"/>
        <v>-14660340.612795902</v>
      </c>
      <c r="V225" s="2">
        <f t="shared" si="87"/>
        <v>-15901696.639972519</v>
      </c>
      <c r="W225" s="2">
        <f t="shared" si="87"/>
        <v>-16235632.26941194</v>
      </c>
      <c r="X225" s="2">
        <f t="shared" si="87"/>
        <v>-16576580.547069591</v>
      </c>
      <c r="Y225" s="2">
        <f t="shared" si="87"/>
        <v>-16924688.73855805</v>
      </c>
      <c r="Z225" s="2">
        <f t="shared" si="87"/>
        <v>-17280107.202067766</v>
      </c>
      <c r="AA225" s="2">
        <f t="shared" si="87"/>
        <v>-17642989.45331119</v>
      </c>
    </row>
    <row r="226" spans="4:28" customFormat="1" x14ac:dyDescent="0.25">
      <c r="E226" t="s">
        <v>12</v>
      </c>
      <c r="F226" t="s">
        <v>7</v>
      </c>
      <c r="G226" s="2">
        <f t="shared" ref="G226:AA226" si="88">-G34-G50-G85</f>
        <v>-558879.70087703061</v>
      </c>
      <c r="H226" s="2">
        <f t="shared" si="88"/>
        <v>-1139473.4236991303</v>
      </c>
      <c r="I226" s="2">
        <f t="shared" ca="1" si="88"/>
        <v>-1816189.8623391949</v>
      </c>
      <c r="J226" s="2">
        <f t="shared" ca="1" si="88"/>
        <v>-2490357.5644280557</v>
      </c>
      <c r="K226" s="2">
        <f t="shared" ca="1" si="88"/>
        <v>-3157122.950858755</v>
      </c>
      <c r="L226" s="2">
        <f t="shared" ca="1" si="88"/>
        <v>-3788896.6555009997</v>
      </c>
      <c r="M226" s="2">
        <f t="shared" ca="1" si="88"/>
        <v>-4454942.5332125984</v>
      </c>
      <c r="N226" s="2">
        <f t="shared" ca="1" si="88"/>
        <v>-5030013.6336298604</v>
      </c>
      <c r="O226" s="2">
        <f t="shared" ca="1" si="88"/>
        <v>-5585769.4381061429</v>
      </c>
      <c r="P226" s="2">
        <f t="shared" ca="1" si="88"/>
        <v>-6141785.6333355103</v>
      </c>
      <c r="Q226" s="2">
        <f t="shared" ca="1" si="88"/>
        <v>-6704480.6544022486</v>
      </c>
      <c r="R226" s="2">
        <f t="shared" ca="1" si="88"/>
        <v>-7294081.1021430502</v>
      </c>
      <c r="S226" s="2">
        <f t="shared" ca="1" si="88"/>
        <v>-7912521.6028560214</v>
      </c>
      <c r="T226" s="2">
        <f t="shared" ca="1" si="88"/>
        <v>-8560198.9926200323</v>
      </c>
      <c r="U226" s="2">
        <f t="shared" ca="1" si="88"/>
        <v>-9218667.2970510907</v>
      </c>
      <c r="V226" s="2">
        <f t="shared" ca="1" si="88"/>
        <v>-9889449.0554392897</v>
      </c>
      <c r="W226" s="2">
        <f t="shared" ca="1" si="88"/>
        <v>-10249442.850573048</v>
      </c>
      <c r="X226" s="2">
        <f t="shared" ca="1" si="88"/>
        <v>-10616885.600898853</v>
      </c>
      <c r="Y226" s="2">
        <f t="shared" ca="1" si="88"/>
        <v>-10991873.675606254</v>
      </c>
      <c r="Z226" s="2">
        <f t="shared" ca="1" si="88"/>
        <v>-11374716.093952708</v>
      </c>
      <c r="AA226" s="2">
        <f t="shared" ca="1" si="88"/>
        <v>-11765713.712370852</v>
      </c>
    </row>
    <row r="227" spans="4:28" customFormat="1" x14ac:dyDescent="0.25">
      <c r="E227" t="s">
        <v>48</v>
      </c>
      <c r="F227" t="s">
        <v>7</v>
      </c>
      <c r="G227" s="2">
        <f t="shared" ref="G227:AA227" si="89">G207</f>
        <v>0</v>
      </c>
      <c r="H227" s="2">
        <f t="shared" si="89"/>
        <v>0</v>
      </c>
      <c r="I227" s="2">
        <f t="shared" si="89"/>
        <v>0</v>
      </c>
      <c r="J227" s="2">
        <f t="shared" si="89"/>
        <v>0</v>
      </c>
      <c r="K227" s="2">
        <f t="shared" si="89"/>
        <v>0</v>
      </c>
      <c r="L227" s="2">
        <f t="shared" si="89"/>
        <v>0</v>
      </c>
      <c r="M227" s="2">
        <f t="shared" si="89"/>
        <v>0</v>
      </c>
      <c r="N227" s="2">
        <f t="shared" si="89"/>
        <v>0</v>
      </c>
      <c r="O227" s="2">
        <f t="shared" si="89"/>
        <v>0</v>
      </c>
      <c r="P227" s="2">
        <f t="shared" si="89"/>
        <v>0</v>
      </c>
      <c r="Q227" s="2">
        <f t="shared" si="89"/>
        <v>0</v>
      </c>
      <c r="R227" s="2">
        <f t="shared" si="89"/>
        <v>0</v>
      </c>
      <c r="S227" s="2">
        <f t="shared" si="89"/>
        <v>0</v>
      </c>
      <c r="T227" s="2">
        <f t="shared" si="89"/>
        <v>0</v>
      </c>
      <c r="U227" s="2">
        <f t="shared" si="89"/>
        <v>0</v>
      </c>
      <c r="V227" s="2">
        <f t="shared" si="89"/>
        <v>0</v>
      </c>
      <c r="W227" s="2">
        <f t="shared" si="89"/>
        <v>0</v>
      </c>
      <c r="X227" s="2">
        <f t="shared" si="89"/>
        <v>0</v>
      </c>
      <c r="Y227" s="2">
        <f t="shared" si="89"/>
        <v>0</v>
      </c>
      <c r="Z227" s="2">
        <f t="shared" si="89"/>
        <v>0</v>
      </c>
      <c r="AA227" s="2">
        <f t="shared" si="89"/>
        <v>0</v>
      </c>
    </row>
    <row r="228" spans="4:28" customFormat="1" x14ac:dyDescent="0.25">
      <c r="E228" t="s">
        <v>13</v>
      </c>
      <c r="F228" t="s">
        <v>7</v>
      </c>
      <c r="H228" s="2">
        <f ca="1">H219</f>
        <v>24013270.235743806</v>
      </c>
      <c r="I228" s="2">
        <f t="shared" ref="I228:AA228" ca="1" si="90">I219</f>
        <v>23224564.077425394</v>
      </c>
      <c r="J228" s="2">
        <f t="shared" ca="1" si="90"/>
        <v>22822065.519081563</v>
      </c>
      <c r="K228" s="2">
        <f t="shared" ca="1" si="90"/>
        <v>21212657.765436336</v>
      </c>
      <c r="L228" s="2">
        <f t="shared" ca="1" si="90"/>
        <v>19607218.421206448</v>
      </c>
      <c r="M228" s="2">
        <f t="shared" ca="1" si="90"/>
        <v>18036118.849574428</v>
      </c>
      <c r="N228" s="2">
        <f t="shared" ca="1" si="90"/>
        <v>16507661.153524335</v>
      </c>
      <c r="O228" s="2">
        <f t="shared" ca="1" si="90"/>
        <v>15020387.34842605</v>
      </c>
      <c r="P228" s="2">
        <f t="shared" ca="1" si="90"/>
        <v>14974176.705300065</v>
      </c>
      <c r="Q228" s="2">
        <f t="shared" ca="1" si="90"/>
        <v>14845670.697054882</v>
      </c>
      <c r="R228" s="2">
        <f t="shared" ca="1" si="90"/>
        <v>16047143.021132302</v>
      </c>
      <c r="S228" s="2">
        <f t="shared" ca="1" si="90"/>
        <v>17372718.537389636</v>
      </c>
      <c r="T228" s="2">
        <f t="shared" ca="1" si="90"/>
        <v>18773461.297375031</v>
      </c>
      <c r="U228" s="2">
        <f t="shared" ca="1" si="90"/>
        <v>19034903.797381774</v>
      </c>
      <c r="V228" s="2">
        <f t="shared" ca="1" si="90"/>
        <v>19309031.773429994</v>
      </c>
      <c r="W228" s="2">
        <f t="shared" ca="1" si="90"/>
        <v>0</v>
      </c>
      <c r="X228" s="2">
        <f t="shared" ca="1" si="90"/>
        <v>0</v>
      </c>
      <c r="Y228" s="2">
        <f t="shared" ca="1" si="90"/>
        <v>0</v>
      </c>
      <c r="Z228" s="2">
        <f t="shared" ca="1" si="90"/>
        <v>0</v>
      </c>
      <c r="AA228" s="2">
        <f t="shared" ca="1" si="90"/>
        <v>0</v>
      </c>
    </row>
    <row r="229" spans="4:28" customFormat="1" x14ac:dyDescent="0.25"/>
    <row r="230" spans="4:28" customFormat="1" x14ac:dyDescent="0.25">
      <c r="E230" t="s">
        <v>14</v>
      </c>
      <c r="F230" t="s">
        <v>7</v>
      </c>
      <c r="G230" s="2">
        <f t="shared" ref="G230:AA230" si="91">SUM(G222:G228)</f>
        <v>-558879.70087703061</v>
      </c>
      <c r="H230" s="2">
        <f t="shared" ca="1" si="91"/>
        <v>59455893.453251317</v>
      </c>
      <c r="I230" s="2">
        <f t="shared" ca="1" si="91"/>
        <v>57443073.298792616</v>
      </c>
      <c r="J230" s="2">
        <f t="shared" ca="1" si="91"/>
        <v>56596986.203674525</v>
      </c>
      <c r="K230" s="2">
        <f t="shared" ca="1" si="91"/>
        <v>52766416.773105025</v>
      </c>
      <c r="L230" s="2">
        <f t="shared" ca="1" si="91"/>
        <v>48984611.973869167</v>
      </c>
      <c r="M230" s="2">
        <f t="shared" ca="1" si="91"/>
        <v>45248750.001741424</v>
      </c>
      <c r="N230" s="2">
        <f t="shared" ca="1" si="91"/>
        <v>41712235.416141912</v>
      </c>
      <c r="O230" s="2">
        <f t="shared" ca="1" si="91"/>
        <v>38299164.533573806</v>
      </c>
      <c r="P230" s="2">
        <f t="shared" ca="1" si="91"/>
        <v>38533544.242562793</v>
      </c>
      <c r="Q230" s="2">
        <f t="shared" ca="1" si="91"/>
        <v>38636741.361334801</v>
      </c>
      <c r="R230" s="2">
        <f t="shared" ca="1" si="91"/>
        <v>42104313.421627253</v>
      </c>
      <c r="S230" s="2">
        <f t="shared" ca="1" si="91"/>
        <v>45952658.092211336</v>
      </c>
      <c r="T230" s="2">
        <f t="shared" ca="1" si="91"/>
        <v>50055137.430963144</v>
      </c>
      <c r="U230" s="2">
        <f t="shared" ca="1" si="91"/>
        <v>51354808.382309735</v>
      </c>
      <c r="V230" s="2">
        <f t="shared" ca="1" si="91"/>
        <v>52723041.089730807</v>
      </c>
      <c r="W230" s="2">
        <f t="shared" ca="1" si="91"/>
        <v>4701787.3369798325</v>
      </c>
      <c r="X230" s="2">
        <f t="shared" ca="1" si="91"/>
        <v>4648320.4205926415</v>
      </c>
      <c r="Y230" s="2">
        <f t="shared" ca="1" si="91"/>
        <v>4593901.6723365635</v>
      </c>
      <c r="Z230" s="2">
        <f t="shared" ca="1" si="91"/>
        <v>4538360.5362969004</v>
      </c>
      <c r="AA230" s="2">
        <f t="shared" ca="1" si="91"/>
        <v>4481537.5271140095</v>
      </c>
    </row>
    <row r="231" spans="4:28" customFormat="1" x14ac:dyDescent="0.25">
      <c r="E231" t="s">
        <v>15</v>
      </c>
      <c r="F231" t="s">
        <v>7</v>
      </c>
      <c r="G231" s="2">
        <f>-G230*G$18</f>
        <v>167663.91026310917</v>
      </c>
      <c r="H231" s="2">
        <f ca="1">-H230*H$18</f>
        <v>-17836768.035975393</v>
      </c>
      <c r="I231" s="2">
        <f t="shared" ref="I231:AA231" ca="1" si="92">-I230*I$18</f>
        <v>-17232921.989637785</v>
      </c>
      <c r="J231" s="2">
        <f t="shared" ca="1" si="92"/>
        <v>-16979095.861102358</v>
      </c>
      <c r="K231" s="2">
        <f t="shared" ca="1" si="92"/>
        <v>-15829925.031931506</v>
      </c>
      <c r="L231" s="2">
        <f t="shared" ca="1" si="92"/>
        <v>-14695383.59216075</v>
      </c>
      <c r="M231" s="2">
        <f t="shared" ca="1" si="92"/>
        <v>-13574625.000522427</v>
      </c>
      <c r="N231" s="2">
        <f t="shared" ca="1" si="92"/>
        <v>-12513670.624842573</v>
      </c>
      <c r="O231" s="2">
        <f t="shared" ca="1" si="92"/>
        <v>-11489749.360072142</v>
      </c>
      <c r="P231" s="2">
        <f t="shared" ca="1" si="92"/>
        <v>-11560063.272768838</v>
      </c>
      <c r="Q231" s="2">
        <f t="shared" ca="1" si="92"/>
        <v>-11591022.408400441</v>
      </c>
      <c r="R231" s="2">
        <f t="shared" ca="1" si="92"/>
        <v>-12631294.026488176</v>
      </c>
      <c r="S231" s="2">
        <f t="shared" ca="1" si="92"/>
        <v>-13785797.427663401</v>
      </c>
      <c r="T231" s="2">
        <f t="shared" ca="1" si="92"/>
        <v>-15016541.229288943</v>
      </c>
      <c r="U231" s="2">
        <f t="shared" ca="1" si="92"/>
        <v>-15406442.514692919</v>
      </c>
      <c r="V231" s="2">
        <f t="shared" ca="1" si="92"/>
        <v>-15816912.326919241</v>
      </c>
      <c r="W231" s="2">
        <f t="shared" ca="1" si="92"/>
        <v>-1410536.2010939496</v>
      </c>
      <c r="X231" s="2">
        <f t="shared" ca="1" si="92"/>
        <v>-1394496.1261777924</v>
      </c>
      <c r="Y231" s="2">
        <f t="shared" ca="1" si="92"/>
        <v>-1378170.5017009689</v>
      </c>
      <c r="Z231" s="2">
        <f t="shared" ca="1" si="92"/>
        <v>-1361508.16088907</v>
      </c>
      <c r="AA231" s="2">
        <f t="shared" ca="1" si="92"/>
        <v>-1344461.2581342028</v>
      </c>
    </row>
    <row r="232" spans="4:28" customFormat="1" x14ac:dyDescent="0.25"/>
    <row r="233" spans="4:28" customFormat="1" x14ac:dyDescent="0.25">
      <c r="D233" t="s">
        <v>28</v>
      </c>
    </row>
    <row r="234" spans="4:28" customFormat="1" x14ac:dyDescent="0.25">
      <c r="E234" t="s">
        <v>1</v>
      </c>
      <c r="F234" t="s">
        <v>7</v>
      </c>
      <c r="G234" s="2">
        <f t="shared" ref="G234:AA234" si="93">-G26</f>
        <v>-50299173.078932755</v>
      </c>
      <c r="H234" s="2">
        <f t="shared" si="93"/>
        <v>-16611346.053988967</v>
      </c>
      <c r="I234" s="2">
        <f t="shared" ca="1" si="93"/>
        <v>-26433040.489605837</v>
      </c>
      <c r="J234" s="2">
        <f t="shared" ca="1" si="93"/>
        <v>-26801069.266667921</v>
      </c>
      <c r="K234" s="2">
        <f t="shared" ca="1" si="93"/>
        <v>-28523650.631986063</v>
      </c>
      <c r="L234" s="2">
        <f t="shared" ca="1" si="93"/>
        <v>-27757298.869013589</v>
      </c>
      <c r="M234" s="2">
        <f t="shared" ca="1" si="93"/>
        <v>-33173724.674259342</v>
      </c>
      <c r="N234" s="2">
        <f t="shared" ca="1" si="93"/>
        <v>-27254633.045682486</v>
      </c>
      <c r="O234" s="2">
        <f t="shared" ca="1" si="93"/>
        <v>-27723766.875344969</v>
      </c>
      <c r="P234" s="2">
        <f t="shared" ca="1" si="93"/>
        <v>-27815790.945794858</v>
      </c>
      <c r="Q234" s="2">
        <f t="shared" ca="1" si="93"/>
        <v>-28607622.415160112</v>
      </c>
      <c r="R234" s="2">
        <f t="shared" ca="1" si="93"/>
        <v>-29245805.87295869</v>
      </c>
      <c r="S234" s="2">
        <f t="shared" ca="1" si="93"/>
        <v>-29873903.505322564</v>
      </c>
      <c r="T234" s="2">
        <f t="shared" ca="1" si="93"/>
        <v>-30426148.174185529</v>
      </c>
      <c r="U234" s="2">
        <f t="shared" ca="1" si="93"/>
        <v>-31009280.188611764</v>
      </c>
      <c r="V234" s="2">
        <f t="shared" ca="1" si="93"/>
        <v>-31710612.11390594</v>
      </c>
      <c r="W234" s="2">
        <f t="shared" ca="1" si="93"/>
        <v>-32399441.562038191</v>
      </c>
      <c r="X234" s="2">
        <f t="shared" ca="1" si="93"/>
        <v>-33069847.529322453</v>
      </c>
      <c r="Y234" s="2">
        <f t="shared" ca="1" si="93"/>
        <v>-33748926.723666266</v>
      </c>
      <c r="Z234" s="2">
        <f t="shared" ca="1" si="93"/>
        <v>-34455817.651180692</v>
      </c>
      <c r="AA234" s="2">
        <f t="shared" ca="1" si="93"/>
        <v>-35189785.657632954</v>
      </c>
    </row>
    <row r="235" spans="4:28" customFormat="1" x14ac:dyDescent="0.25">
      <c r="E235" t="s">
        <v>19</v>
      </c>
      <c r="F235" t="s">
        <v>7</v>
      </c>
      <c r="G235" s="2">
        <f t="shared" ref="G235:AA235" si="94">G84</f>
        <v>0</v>
      </c>
      <c r="H235" s="2">
        <f t="shared" si="94"/>
        <v>0</v>
      </c>
      <c r="I235" s="2">
        <f t="shared" si="94"/>
        <v>0</v>
      </c>
      <c r="J235" s="2">
        <f t="shared" si="94"/>
        <v>0</v>
      </c>
      <c r="K235" s="2">
        <f t="shared" si="94"/>
        <v>0</v>
      </c>
      <c r="L235" s="2">
        <f t="shared" si="94"/>
        <v>0</v>
      </c>
      <c r="M235" s="2">
        <f t="shared" si="94"/>
        <v>0</v>
      </c>
      <c r="N235" s="2">
        <f t="shared" si="94"/>
        <v>0</v>
      </c>
      <c r="O235" s="2">
        <f t="shared" si="94"/>
        <v>0</v>
      </c>
      <c r="P235" s="2">
        <f t="shared" si="94"/>
        <v>0</v>
      </c>
      <c r="Q235" s="2">
        <f t="shared" si="94"/>
        <v>0</v>
      </c>
      <c r="R235" s="2">
        <f t="shared" si="94"/>
        <v>0</v>
      </c>
      <c r="S235" s="2">
        <f t="shared" si="94"/>
        <v>0</v>
      </c>
      <c r="T235" s="2">
        <f t="shared" si="94"/>
        <v>0</v>
      </c>
      <c r="U235" s="2">
        <f t="shared" si="94"/>
        <v>0</v>
      </c>
      <c r="V235" s="2">
        <f t="shared" si="94"/>
        <v>0</v>
      </c>
      <c r="W235" s="2">
        <f t="shared" si="94"/>
        <v>0</v>
      </c>
      <c r="X235" s="2">
        <f t="shared" si="94"/>
        <v>0</v>
      </c>
      <c r="Y235" s="2">
        <f t="shared" si="94"/>
        <v>0</v>
      </c>
      <c r="Z235" s="2">
        <f t="shared" si="94"/>
        <v>0</v>
      </c>
      <c r="AA235" s="2">
        <f t="shared" si="94"/>
        <v>0</v>
      </c>
    </row>
    <row r="236" spans="4:28" customFormat="1" x14ac:dyDescent="0.25">
      <c r="E236" t="s">
        <v>109</v>
      </c>
      <c r="F236" t="s">
        <v>7</v>
      </c>
      <c r="G236" s="2">
        <f t="shared" ref="G236:AA236" si="95">G53</f>
        <v>0</v>
      </c>
      <c r="H236" s="2">
        <f t="shared" si="95"/>
        <v>0</v>
      </c>
      <c r="I236" s="2">
        <f t="shared" si="95"/>
        <v>0</v>
      </c>
      <c r="J236" s="2">
        <f t="shared" si="95"/>
        <v>0</v>
      </c>
      <c r="K236" s="2">
        <f t="shared" si="95"/>
        <v>0</v>
      </c>
      <c r="L236" s="2">
        <f t="shared" si="95"/>
        <v>0</v>
      </c>
      <c r="M236" s="2">
        <f t="shared" si="95"/>
        <v>0</v>
      </c>
      <c r="N236" s="2">
        <f t="shared" si="95"/>
        <v>0</v>
      </c>
      <c r="O236" s="2">
        <f t="shared" si="95"/>
        <v>0</v>
      </c>
      <c r="P236" s="2">
        <f t="shared" si="95"/>
        <v>0</v>
      </c>
      <c r="Q236" s="2">
        <f t="shared" si="95"/>
        <v>0</v>
      </c>
      <c r="R236" s="2">
        <f t="shared" si="95"/>
        <v>0</v>
      </c>
      <c r="S236" s="2">
        <f t="shared" si="95"/>
        <v>0</v>
      </c>
      <c r="T236" s="2">
        <f t="shared" si="95"/>
        <v>0</v>
      </c>
      <c r="U236" s="2">
        <f t="shared" si="95"/>
        <v>0</v>
      </c>
      <c r="V236" s="2">
        <f t="shared" si="95"/>
        <v>0</v>
      </c>
      <c r="W236" s="2">
        <f t="shared" si="95"/>
        <v>0</v>
      </c>
      <c r="X236" s="2">
        <f t="shared" si="95"/>
        <v>0</v>
      </c>
      <c r="Y236" s="2">
        <f t="shared" si="95"/>
        <v>0</v>
      </c>
      <c r="Z236" s="2">
        <f t="shared" si="95"/>
        <v>0</v>
      </c>
      <c r="AA236" s="2">
        <f t="shared" si="95"/>
        <v>0</v>
      </c>
    </row>
    <row r="237" spans="4:28" customFormat="1" x14ac:dyDescent="0.25">
      <c r="E237" t="s">
        <v>11</v>
      </c>
      <c r="F237" t="s">
        <v>7</v>
      </c>
      <c r="G237" s="2">
        <f t="shared" ref="G237:AA237" si="96">G177</f>
        <v>0</v>
      </c>
      <c r="H237" s="2">
        <f t="shared" si="96"/>
        <v>6182225.9834038224</v>
      </c>
      <c r="I237" s="2">
        <f t="shared" si="96"/>
        <v>11995790.371626098</v>
      </c>
      <c r="J237" s="2">
        <f t="shared" si="96"/>
        <v>18050339.664931763</v>
      </c>
      <c r="K237" s="2">
        <f t="shared" si="96"/>
        <v>23862148.984883003</v>
      </c>
      <c r="L237" s="2">
        <f t="shared" si="96"/>
        <v>29434925.431030251</v>
      </c>
      <c r="M237" s="2">
        <f t="shared" si="96"/>
        <v>34761099.634969912</v>
      </c>
      <c r="N237" s="2">
        <f t="shared" si="96"/>
        <v>39853053.565400161</v>
      </c>
      <c r="O237" s="2">
        <f t="shared" si="96"/>
        <v>44714011.691100597</v>
      </c>
      <c r="P237" s="2">
        <f t="shared" si="96"/>
        <v>49721988.340728059</v>
      </c>
      <c r="Q237" s="2">
        <f t="shared" si="96"/>
        <v>54874142.127276734</v>
      </c>
      <c r="R237" s="2">
        <f t="shared" si="96"/>
        <v>60466460.73169291</v>
      </c>
      <c r="S237" s="2">
        <f t="shared" si="96"/>
        <v>66548323.248618223</v>
      </c>
      <c r="T237" s="2">
        <f t="shared" si="96"/>
        <v>73138773.863265544</v>
      </c>
      <c r="U237" s="2">
        <f t="shared" si="96"/>
        <v>79936734.338239014</v>
      </c>
      <c r="V237" s="2">
        <f t="shared" si="96"/>
        <v>86960520.226442367</v>
      </c>
      <c r="W237" s="2">
        <f t="shared" si="96"/>
        <v>88786691.151197642</v>
      </c>
      <c r="X237" s="2">
        <f t="shared" si="96"/>
        <v>90651211.665372789</v>
      </c>
      <c r="Y237" s="2">
        <f t="shared" si="96"/>
        <v>92554887.110345602</v>
      </c>
      <c r="Z237" s="2">
        <f t="shared" si="96"/>
        <v>94498539.739662856</v>
      </c>
      <c r="AA237" s="2">
        <f t="shared" si="96"/>
        <v>96483009.074195772</v>
      </c>
      <c r="AB237" s="2">
        <f t="shared" ref="AB237:AB241" si="97">IF(V237=0,0,IF($G$15&gt;(AA237/V237)^(1/5)-1+2%,AA237*(AA237/V237)^(1/5)/($G$15-((AA237/V237)^(1/5)-1)),AA237*(1+$G$14)/$G$16))</f>
        <v>3216100302.4731989</v>
      </c>
    </row>
    <row r="238" spans="4:28" customFormat="1" x14ac:dyDescent="0.25">
      <c r="E238" t="s">
        <v>57</v>
      </c>
      <c r="F238" t="s">
        <v>7</v>
      </c>
      <c r="G238" s="2">
        <f t="shared" ref="G238:AA238" si="98">G224</f>
        <v>0</v>
      </c>
      <c r="H238" s="2">
        <f t="shared" si="98"/>
        <v>-4081304.5861971751</v>
      </c>
      <c r="I238" s="2">
        <f t="shared" si="98"/>
        <v>-8124453.3182916604</v>
      </c>
      <c r="J238" s="2">
        <f t="shared" si="98"/>
        <v>-12199213.412921648</v>
      </c>
      <c r="K238" s="2">
        <f t="shared" si="98"/>
        <v>-16078452.883336719</v>
      </c>
      <c r="L238" s="2">
        <f t="shared" si="98"/>
        <v>-19769297.856755786</v>
      </c>
      <c r="M238" s="2">
        <f t="shared" si="98"/>
        <v>-23272672.93213268</v>
      </c>
      <c r="N238" s="2">
        <f t="shared" si="98"/>
        <v>-26592500.398821432</v>
      </c>
      <c r="O238" s="2">
        <f t="shared" si="98"/>
        <v>-29731751.2251908</v>
      </c>
      <c r="P238" s="2">
        <f t="shared" si="98"/>
        <v>-32933959.355104275</v>
      </c>
      <c r="Q238" s="2">
        <f t="shared" si="98"/>
        <v>-36187705.326668009</v>
      </c>
      <c r="R238" s="2">
        <f t="shared" si="98"/>
        <v>-39717092.654547654</v>
      </c>
      <c r="S238" s="2">
        <f t="shared" si="98"/>
        <v>-43549830.841256797</v>
      </c>
      <c r="T238" s="2">
        <f t="shared" si="98"/>
        <v>-47704218.710662022</v>
      </c>
      <c r="U238" s="2">
        <f t="shared" si="98"/>
        <v>-51990689.053647444</v>
      </c>
      <c r="V238" s="2">
        <f t="shared" si="98"/>
        <v>-56415111.355761826</v>
      </c>
      <c r="W238" s="2">
        <f t="shared" si="98"/>
        <v>-57599828.694232821</v>
      </c>
      <c r="X238" s="2">
        <f t="shared" si="98"/>
        <v>-58809425.096811704</v>
      </c>
      <c r="Y238" s="2">
        <f t="shared" si="98"/>
        <v>-60044423.023844734</v>
      </c>
      <c r="Z238" s="2">
        <f t="shared" si="98"/>
        <v>-61305355.907345481</v>
      </c>
      <c r="AA238" s="2">
        <f t="shared" si="98"/>
        <v>-62592768.381399721</v>
      </c>
      <c r="AB238" s="2">
        <f t="shared" si="97"/>
        <v>-2086425612.7133284</v>
      </c>
    </row>
    <row r="239" spans="4:28" customFormat="1" x14ac:dyDescent="0.25">
      <c r="E239" t="s">
        <v>10</v>
      </c>
      <c r="F239" t="s">
        <v>7</v>
      </c>
      <c r="G239" s="2">
        <f t="shared" ref="G239:AA239" si="99">-G200</f>
        <v>0</v>
      </c>
      <c r="H239" s="2">
        <f t="shared" si="99"/>
        <v>-1160913.7559999998</v>
      </c>
      <c r="I239" s="2">
        <f t="shared" si="99"/>
        <v>-2308076.9576279996</v>
      </c>
      <c r="J239" s="2">
        <f t="shared" si="99"/>
        <v>-3459871.9243186354</v>
      </c>
      <c r="K239" s="2">
        <f t="shared" si="99"/>
        <v>-4558048.289795775</v>
      </c>
      <c r="L239" s="2">
        <f t="shared" si="99"/>
        <v>-5601671.9148991657</v>
      </c>
      <c r="M239" s="2">
        <f t="shared" si="99"/>
        <v>-6591257.337242173</v>
      </c>
      <c r="N239" s="2">
        <f t="shared" si="99"/>
        <v>-7527731.2622023439</v>
      </c>
      <c r="O239" s="2">
        <f t="shared" si="99"/>
        <v>-8411969.3701764047</v>
      </c>
      <c r="P239" s="2">
        <f t="shared" si="99"/>
        <v>-9312542.4398737326</v>
      </c>
      <c r="Q239" s="2">
        <f t="shared" si="99"/>
        <v>-10225814.962772934</v>
      </c>
      <c r="R239" s="2">
        <f t="shared" si="99"/>
        <v>-11216350.998220688</v>
      </c>
      <c r="S239" s="2">
        <f t="shared" si="99"/>
        <v>-12291772.808528552</v>
      </c>
      <c r="T239" s="2">
        <f t="shared" si="99"/>
        <v>-13457496.930970971</v>
      </c>
      <c r="U239" s="2">
        <f t="shared" si="99"/>
        <v>-14660340.612795902</v>
      </c>
      <c r="V239" s="2">
        <f t="shared" si="99"/>
        <v>-15901696.639972519</v>
      </c>
      <c r="W239" s="2">
        <f t="shared" si="99"/>
        <v>-16235632.26941194</v>
      </c>
      <c r="X239" s="2">
        <f t="shared" si="99"/>
        <v>-16576580.547069591</v>
      </c>
      <c r="Y239" s="2">
        <f t="shared" si="99"/>
        <v>-16924688.73855805</v>
      </c>
      <c r="Z239" s="2">
        <f t="shared" si="99"/>
        <v>-17280107.202067766</v>
      </c>
      <c r="AA239" s="2">
        <f t="shared" si="99"/>
        <v>-17642989.45331119</v>
      </c>
      <c r="AB239" s="2">
        <f t="shared" si="97"/>
        <v>-588099648.44370759</v>
      </c>
    </row>
    <row r="240" spans="4:28" customFormat="1" x14ac:dyDescent="0.25">
      <c r="E240" t="s">
        <v>48</v>
      </c>
      <c r="F240" t="s">
        <v>7</v>
      </c>
      <c r="G240" s="2">
        <f t="shared" ref="G240:AA240" si="100">G207</f>
        <v>0</v>
      </c>
      <c r="H240" s="2">
        <f t="shared" si="100"/>
        <v>0</v>
      </c>
      <c r="I240" s="2">
        <f t="shared" si="100"/>
        <v>0</v>
      </c>
      <c r="J240" s="2">
        <f t="shared" si="100"/>
        <v>0</v>
      </c>
      <c r="K240" s="2">
        <f t="shared" si="100"/>
        <v>0</v>
      </c>
      <c r="L240" s="2">
        <f t="shared" si="100"/>
        <v>0</v>
      </c>
      <c r="M240" s="2">
        <f t="shared" si="100"/>
        <v>0</v>
      </c>
      <c r="N240" s="2">
        <f t="shared" si="100"/>
        <v>0</v>
      </c>
      <c r="O240" s="2">
        <f t="shared" si="100"/>
        <v>0</v>
      </c>
      <c r="P240" s="2">
        <f t="shared" si="100"/>
        <v>0</v>
      </c>
      <c r="Q240" s="2">
        <f t="shared" si="100"/>
        <v>0</v>
      </c>
      <c r="R240" s="2">
        <f t="shared" si="100"/>
        <v>0</v>
      </c>
      <c r="S240" s="2">
        <f t="shared" si="100"/>
        <v>0</v>
      </c>
      <c r="T240" s="2">
        <f t="shared" si="100"/>
        <v>0</v>
      </c>
      <c r="U240" s="2">
        <f t="shared" si="100"/>
        <v>0</v>
      </c>
      <c r="V240" s="2">
        <f t="shared" si="100"/>
        <v>0</v>
      </c>
      <c r="W240" s="2">
        <f t="shared" si="100"/>
        <v>0</v>
      </c>
      <c r="X240" s="2">
        <f t="shared" si="100"/>
        <v>0</v>
      </c>
      <c r="Y240" s="2">
        <f t="shared" si="100"/>
        <v>0</v>
      </c>
      <c r="Z240" s="2">
        <f t="shared" si="100"/>
        <v>0</v>
      </c>
      <c r="AA240" s="2">
        <f t="shared" si="100"/>
        <v>0</v>
      </c>
      <c r="AB240" s="2">
        <f t="shared" si="97"/>
        <v>0</v>
      </c>
    </row>
    <row r="241" spans="3:28" customFormat="1" x14ac:dyDescent="0.25">
      <c r="E241" t="s">
        <v>49</v>
      </c>
      <c r="F241" t="s">
        <v>7</v>
      </c>
      <c r="G241" s="2">
        <f t="shared" ref="G241:AA241" si="101">G214</f>
        <v>0</v>
      </c>
      <c r="H241" s="2">
        <f t="shared" si="101"/>
        <v>0</v>
      </c>
      <c r="I241" s="2">
        <f t="shared" si="101"/>
        <v>0</v>
      </c>
      <c r="J241" s="2">
        <f t="shared" si="101"/>
        <v>0</v>
      </c>
      <c r="K241" s="2">
        <f t="shared" si="101"/>
        <v>0</v>
      </c>
      <c r="L241" s="2">
        <f t="shared" si="101"/>
        <v>0</v>
      </c>
      <c r="M241" s="2">
        <f t="shared" si="101"/>
        <v>0</v>
      </c>
      <c r="N241" s="2">
        <f t="shared" si="101"/>
        <v>0</v>
      </c>
      <c r="O241" s="2">
        <f t="shared" si="101"/>
        <v>0</v>
      </c>
      <c r="P241" s="2">
        <f t="shared" si="101"/>
        <v>0</v>
      </c>
      <c r="Q241" s="2">
        <f t="shared" si="101"/>
        <v>0</v>
      </c>
      <c r="R241" s="2">
        <f t="shared" si="101"/>
        <v>0</v>
      </c>
      <c r="S241" s="2">
        <f t="shared" si="101"/>
        <v>0</v>
      </c>
      <c r="T241" s="2">
        <f t="shared" si="101"/>
        <v>0</v>
      </c>
      <c r="U241" s="2">
        <f t="shared" si="101"/>
        <v>0</v>
      </c>
      <c r="V241" s="2">
        <f t="shared" si="101"/>
        <v>0</v>
      </c>
      <c r="W241" s="2">
        <f t="shared" si="101"/>
        <v>0</v>
      </c>
      <c r="X241" s="2">
        <f t="shared" si="101"/>
        <v>0</v>
      </c>
      <c r="Y241" s="2">
        <f t="shared" si="101"/>
        <v>0</v>
      </c>
      <c r="Z241" s="2">
        <f t="shared" si="101"/>
        <v>0</v>
      </c>
      <c r="AA241" s="2">
        <f t="shared" si="101"/>
        <v>0</v>
      </c>
      <c r="AB241" s="2">
        <f t="shared" si="97"/>
        <v>0</v>
      </c>
    </row>
    <row r="242" spans="3:28" customFormat="1" x14ac:dyDescent="0.25">
      <c r="E242" t="s">
        <v>20</v>
      </c>
      <c r="F242" t="s">
        <v>7</v>
      </c>
      <c r="G242" s="2">
        <f t="shared" ref="G242:AA242" si="102">G231</f>
        <v>167663.91026310917</v>
      </c>
      <c r="H242" s="2">
        <f ca="1">H231</f>
        <v>-17836768.035975393</v>
      </c>
      <c r="I242" s="2">
        <f t="shared" ca="1" si="102"/>
        <v>-17232921.989637785</v>
      </c>
      <c r="J242" s="2">
        <f t="shared" ca="1" si="102"/>
        <v>-16979095.861102358</v>
      </c>
      <c r="K242" s="2">
        <f t="shared" ca="1" si="102"/>
        <v>-15829925.031931506</v>
      </c>
      <c r="L242" s="2">
        <f t="shared" ca="1" si="102"/>
        <v>-14695383.59216075</v>
      </c>
      <c r="M242" s="2">
        <f t="shared" ca="1" si="102"/>
        <v>-13574625.000522427</v>
      </c>
      <c r="N242" s="2">
        <f t="shared" ca="1" si="102"/>
        <v>-12513670.624842573</v>
      </c>
      <c r="O242" s="2">
        <f t="shared" ca="1" si="102"/>
        <v>-11489749.360072142</v>
      </c>
      <c r="P242" s="2">
        <f t="shared" ca="1" si="102"/>
        <v>-11560063.272768838</v>
      </c>
      <c r="Q242" s="2">
        <f t="shared" ca="1" si="102"/>
        <v>-11591022.408400441</v>
      </c>
      <c r="R242" s="2">
        <f t="shared" ca="1" si="102"/>
        <v>-12631294.026488176</v>
      </c>
      <c r="S242" s="2">
        <f t="shared" ca="1" si="102"/>
        <v>-13785797.427663401</v>
      </c>
      <c r="T242" s="2">
        <f t="shared" ca="1" si="102"/>
        <v>-15016541.229288943</v>
      </c>
      <c r="U242" s="2">
        <f t="shared" ca="1" si="102"/>
        <v>-15406442.514692919</v>
      </c>
      <c r="V242" s="2">
        <f t="shared" ca="1" si="102"/>
        <v>-15816912.326919241</v>
      </c>
      <c r="W242" s="2">
        <f t="shared" ca="1" si="102"/>
        <v>-1410536.2010939496</v>
      </c>
      <c r="X242" s="2">
        <f t="shared" ca="1" si="102"/>
        <v>-1394496.1261777924</v>
      </c>
      <c r="Y242" s="2">
        <f t="shared" ca="1" si="102"/>
        <v>-1378170.5017009689</v>
      </c>
      <c r="Z242" s="2">
        <f t="shared" ca="1" si="102"/>
        <v>-1361508.16088907</v>
      </c>
      <c r="AA242" s="2">
        <f t="shared" ca="1" si="102"/>
        <v>-1344461.2581342028</v>
      </c>
      <c r="AB242" s="2">
        <f ca="1">IF(V242=0,0,IF($G$15&gt;(AA242/V242)^(1/5)-1+2%,AA242*(AA242/V242)^(1/5)/($G$15-((AA242/V242)^(1/5)-1)),AA242*(1+$G$14)/$G$16))</f>
        <v>-1862702.3807140274</v>
      </c>
    </row>
    <row r="243" spans="3:28" customFormat="1" x14ac:dyDescent="0.25">
      <c r="E243" t="s">
        <v>173</v>
      </c>
      <c r="F243" t="s">
        <v>7</v>
      </c>
      <c r="G243" s="2">
        <f>-$G$17*G242</f>
        <v>-83831.955131554583</v>
      </c>
      <c r="H243" s="2">
        <f ca="1">-$G$17*H242</f>
        <v>8918384.0179876965</v>
      </c>
      <c r="I243" s="2">
        <f t="shared" ref="I243:AA243" ca="1" si="103">-$G$17*I242</f>
        <v>8616460.9948188923</v>
      </c>
      <c r="J243" s="2">
        <f t="shared" ca="1" si="103"/>
        <v>8489547.9305511788</v>
      </c>
      <c r="K243" s="2">
        <f t="shared" ca="1" si="103"/>
        <v>7914962.5159657532</v>
      </c>
      <c r="L243" s="2">
        <f t="shared" ca="1" si="103"/>
        <v>7347691.7960803751</v>
      </c>
      <c r="M243" s="2">
        <f t="shared" ca="1" si="103"/>
        <v>6787312.5002612136</v>
      </c>
      <c r="N243" s="2">
        <f t="shared" ca="1" si="103"/>
        <v>6256835.3124212865</v>
      </c>
      <c r="O243" s="2">
        <f t="shared" ca="1" si="103"/>
        <v>5744874.6800360708</v>
      </c>
      <c r="P243" s="2">
        <f t="shared" ca="1" si="103"/>
        <v>5780031.6363844192</v>
      </c>
      <c r="Q243" s="2">
        <f t="shared" ca="1" si="103"/>
        <v>5795511.2042002203</v>
      </c>
      <c r="R243" s="2">
        <f t="shared" ca="1" si="103"/>
        <v>6315647.0132440878</v>
      </c>
      <c r="S243" s="2">
        <f t="shared" ca="1" si="103"/>
        <v>6892898.7138317004</v>
      </c>
      <c r="T243" s="2">
        <f t="shared" ca="1" si="103"/>
        <v>7508270.6146444716</v>
      </c>
      <c r="U243" s="2">
        <f t="shared" ca="1" si="103"/>
        <v>7703221.2573464597</v>
      </c>
      <c r="V243" s="2">
        <f t="shared" ca="1" si="103"/>
        <v>7908456.1634596204</v>
      </c>
      <c r="W243" s="2">
        <f t="shared" ca="1" si="103"/>
        <v>705268.10054697481</v>
      </c>
      <c r="X243" s="2">
        <f t="shared" ca="1" si="103"/>
        <v>697248.06308889622</v>
      </c>
      <c r="Y243" s="2">
        <f t="shared" ca="1" si="103"/>
        <v>689085.25085048447</v>
      </c>
      <c r="Z243" s="2">
        <f t="shared" ca="1" si="103"/>
        <v>680754.08044453501</v>
      </c>
      <c r="AA243" s="2">
        <f t="shared" ca="1" si="103"/>
        <v>672230.6290671014</v>
      </c>
      <c r="AB243" s="2">
        <f t="shared" ref="AB243" ca="1" si="104">IF(V243=0,0,IF($G$15&gt;(AA243/V243)^(1/5)-1+2%,AA243*(AA243/V243)^(1/5)/($G$15-((AA243/V243)^(1/5)-1)),AA243*(1+$G$14)/$G$16))</f>
        <v>931351.19035701372</v>
      </c>
    </row>
    <row r="244" spans="3:28" customFormat="1" x14ac:dyDescent="0.25">
      <c r="E244" t="s">
        <v>23</v>
      </c>
      <c r="F244" t="s">
        <v>7</v>
      </c>
      <c r="G244" s="2">
        <f>SUM(G234:G243)</f>
        <v>-50215341.123801202</v>
      </c>
      <c r="H244" s="2">
        <f ca="1">SUM(H234:H243)</f>
        <v>-24589722.430770017</v>
      </c>
      <c r="I244" s="2">
        <f t="shared" ref="I244:AB244" ca="1" si="105">SUM(I234:I243)</f>
        <v>-33486241.388718296</v>
      </c>
      <c r="J244" s="2">
        <f t="shared" ca="1" si="105"/>
        <v>-32899362.869527616</v>
      </c>
      <c r="K244" s="2">
        <f t="shared" ca="1" si="105"/>
        <v>-33212965.33620131</v>
      </c>
      <c r="L244" s="2">
        <f t="shared" ca="1" si="105"/>
        <v>-31041035.005718671</v>
      </c>
      <c r="M244" s="2">
        <f t="shared" ca="1" si="105"/>
        <v>-35063867.808925495</v>
      </c>
      <c r="N244" s="2">
        <f t="shared" ca="1" si="105"/>
        <v>-27778646.453727387</v>
      </c>
      <c r="O244" s="2">
        <f t="shared" ca="1" si="105"/>
        <v>-26898350.459647644</v>
      </c>
      <c r="P244" s="2">
        <f t="shared" ca="1" si="105"/>
        <v>-26120336.036429226</v>
      </c>
      <c r="Q244" s="2">
        <f t="shared" ca="1" si="105"/>
        <v>-25942511.781524543</v>
      </c>
      <c r="R244" s="2">
        <f t="shared" ca="1" si="105"/>
        <v>-26028435.807278212</v>
      </c>
      <c r="S244" s="2">
        <f t="shared" ca="1" si="105"/>
        <v>-26060082.620321393</v>
      </c>
      <c r="T244" s="2">
        <f t="shared" ca="1" si="105"/>
        <v>-25957360.56719745</v>
      </c>
      <c r="U244" s="2">
        <f t="shared" ca="1" si="105"/>
        <v>-25426796.774162553</v>
      </c>
      <c r="V244" s="2">
        <f t="shared" ca="1" si="105"/>
        <v>-24975356.046657532</v>
      </c>
      <c r="W244" s="2">
        <f t="shared" ca="1" si="105"/>
        <v>-18153479.475032285</v>
      </c>
      <c r="X244" s="2">
        <f t="shared" ca="1" si="105"/>
        <v>-18501889.570919853</v>
      </c>
      <c r="Y244" s="2">
        <f t="shared" ca="1" si="105"/>
        <v>-18852236.626573931</v>
      </c>
      <c r="Z244" s="2">
        <f t="shared" ca="1" si="105"/>
        <v>-19223495.101375621</v>
      </c>
      <c r="AA244" s="2">
        <f t="shared" ca="1" si="105"/>
        <v>-19614765.047215194</v>
      </c>
      <c r="AB244" s="2">
        <f t="shared" ca="1" si="105"/>
        <v>540643690.12580585</v>
      </c>
    </row>
    <row r="245" spans="3:28" customFormat="1" x14ac:dyDescent="0.25">
      <c r="E245" t="s">
        <v>31</v>
      </c>
      <c r="F245" t="s">
        <v>7</v>
      </c>
      <c r="G245" s="2">
        <f ca="1">NPV($G$15,H244:AB244)+G244</f>
        <v>-196475839.09943324</v>
      </c>
    </row>
    <row r="247" spans="3:28" customFormat="1" x14ac:dyDescent="0.25">
      <c r="E247" t="s">
        <v>13</v>
      </c>
      <c r="F247" t="s">
        <v>7</v>
      </c>
      <c r="H247" s="2">
        <f t="shared" ref="H247:AA247" ca="1" si="106">H219</f>
        <v>24013270.235743806</v>
      </c>
      <c r="I247" s="2">
        <f t="shared" ca="1" si="106"/>
        <v>23224564.077425394</v>
      </c>
      <c r="J247" s="2">
        <f t="shared" ca="1" si="106"/>
        <v>22822065.519081563</v>
      </c>
      <c r="K247" s="2">
        <f t="shared" ca="1" si="106"/>
        <v>21212657.765436336</v>
      </c>
      <c r="L247" s="2">
        <f t="shared" ca="1" si="106"/>
        <v>19607218.421206448</v>
      </c>
      <c r="M247" s="2">
        <f t="shared" ca="1" si="106"/>
        <v>18036118.849574428</v>
      </c>
      <c r="N247" s="2">
        <f t="shared" ca="1" si="106"/>
        <v>16507661.153524335</v>
      </c>
      <c r="O247" s="2">
        <f t="shared" ca="1" si="106"/>
        <v>15020387.34842605</v>
      </c>
      <c r="P247" s="2">
        <f t="shared" ca="1" si="106"/>
        <v>14974176.705300065</v>
      </c>
      <c r="Q247" s="2">
        <f t="shared" ca="1" si="106"/>
        <v>14845670.697054882</v>
      </c>
      <c r="R247" s="2">
        <f t="shared" ca="1" si="106"/>
        <v>16047143.021132302</v>
      </c>
      <c r="S247" s="2">
        <f t="shared" ca="1" si="106"/>
        <v>17372718.537389636</v>
      </c>
      <c r="T247" s="2">
        <f t="shared" ca="1" si="106"/>
        <v>18773461.297375031</v>
      </c>
      <c r="U247" s="2">
        <f t="shared" ca="1" si="106"/>
        <v>19034903.797381774</v>
      </c>
      <c r="V247" s="2">
        <f t="shared" ca="1" si="106"/>
        <v>19309031.773429994</v>
      </c>
      <c r="W247" s="2">
        <f t="shared" ca="1" si="106"/>
        <v>0</v>
      </c>
      <c r="X247" s="2">
        <f t="shared" ca="1" si="106"/>
        <v>0</v>
      </c>
      <c r="Y247" s="2">
        <f t="shared" ca="1" si="106"/>
        <v>0</v>
      </c>
      <c r="Z247" s="2">
        <f t="shared" ca="1" si="106"/>
        <v>0</v>
      </c>
      <c r="AA247" s="2">
        <f t="shared" ca="1" si="106"/>
        <v>0</v>
      </c>
    </row>
    <row r="248" spans="3:28" customFormat="1" x14ac:dyDescent="0.25">
      <c r="E248" t="s">
        <v>24</v>
      </c>
      <c r="F248" t="s">
        <v>7</v>
      </c>
      <c r="G248" s="2">
        <f ca="1">NPV($G$15,H247:AA247)+G247</f>
        <v>196475839.09943336</v>
      </c>
    </row>
    <row r="249" spans="3:28" customFormat="1" x14ac:dyDescent="0.25">
      <c r="E249" s="3" t="s">
        <v>34</v>
      </c>
      <c r="F249" s="3"/>
      <c r="G249" s="4" t="str">
        <f ca="1">IF(G245&gt;0,"N/A",IF(ABS(G245+G248)&gt;1,"Error","OK"))</f>
        <v>OK</v>
      </c>
    </row>
    <row r="251" spans="3:28" customFormat="1" x14ac:dyDescent="0.25">
      <c r="C251" s="1" t="s">
        <v>35</v>
      </c>
      <c r="D251" s="1"/>
    </row>
    <row r="252" spans="3:28" customFormat="1" x14ac:dyDescent="0.25">
      <c r="C252" s="1"/>
      <c r="D252" s="1"/>
      <c r="G252" s="44"/>
    </row>
    <row r="253" spans="3:28" customFormat="1" x14ac:dyDescent="0.25">
      <c r="C253" s="1"/>
      <c r="D253" t="s">
        <v>35</v>
      </c>
      <c r="F253" t="s">
        <v>7</v>
      </c>
      <c r="G253" s="8" t="e">
        <f ca="1">MAX(0,-G279)</f>
        <v>#REF!</v>
      </c>
    </row>
    <row r="255" spans="3:28" customFormat="1" x14ac:dyDescent="0.25">
      <c r="D255" t="s">
        <v>9</v>
      </c>
    </row>
    <row r="256" spans="3:28" customFormat="1" x14ac:dyDescent="0.25">
      <c r="E256" t="s">
        <v>107</v>
      </c>
      <c r="F256" t="s">
        <v>7</v>
      </c>
      <c r="G256" s="2">
        <f t="shared" ref="G256:AA261" si="107">G222</f>
        <v>0</v>
      </c>
      <c r="H256" s="2">
        <f t="shared" si="107"/>
        <v>35642088.999999993</v>
      </c>
      <c r="I256" s="2">
        <f t="shared" si="107"/>
        <v>34471438.987999991</v>
      </c>
      <c r="J256" s="2">
        <f t="shared" si="107"/>
        <v>33874023.921329536</v>
      </c>
      <c r="K256" s="2">
        <f t="shared" si="107"/>
        <v>31485234.146776929</v>
      </c>
      <c r="L256" s="2">
        <f t="shared" si="107"/>
        <v>29102334.548788421</v>
      </c>
      <c r="M256" s="2">
        <f t="shared" si="107"/>
        <v>26770404.319784526</v>
      </c>
      <c r="N256" s="2">
        <f t="shared" si="107"/>
        <v>24501765.991871051</v>
      </c>
      <c r="O256" s="2">
        <f t="shared" si="107"/>
        <v>22294255.527520508</v>
      </c>
      <c r="P256" s="2">
        <f t="shared" si="107"/>
        <v>22225666.624848187</v>
      </c>
      <c r="Q256" s="2">
        <f t="shared" si="107"/>
        <v>22034929.480846372</v>
      </c>
      <c r="R256" s="2">
        <f t="shared" si="107"/>
        <v>23818234.423713431</v>
      </c>
      <c r="S256" s="2">
        <f t="shared" si="107"/>
        <v>25785741.558844842</v>
      </c>
      <c r="T256" s="2">
        <f t="shared" si="107"/>
        <v>27864816.90457559</v>
      </c>
      <c r="U256" s="2">
        <f t="shared" si="107"/>
        <v>28252867.210183382</v>
      </c>
      <c r="V256" s="2">
        <f t="shared" si="107"/>
        <v>28659746.141032089</v>
      </c>
      <c r="W256" s="2">
        <f t="shared" si="107"/>
        <v>0</v>
      </c>
      <c r="X256" s="2">
        <f t="shared" si="107"/>
        <v>0</v>
      </c>
      <c r="Y256" s="2">
        <f t="shared" si="107"/>
        <v>0</v>
      </c>
      <c r="Z256" s="2">
        <f t="shared" si="107"/>
        <v>0</v>
      </c>
      <c r="AA256" s="2">
        <f t="shared" si="107"/>
        <v>0</v>
      </c>
    </row>
    <row r="257" spans="4:28" customFormat="1" x14ac:dyDescent="0.25">
      <c r="E257" t="s">
        <v>11</v>
      </c>
      <c r="F257" t="s">
        <v>7</v>
      </c>
      <c r="G257" s="2">
        <f t="shared" si="107"/>
        <v>0</v>
      </c>
      <c r="H257" s="2">
        <f t="shared" si="107"/>
        <v>6182225.9834038224</v>
      </c>
      <c r="I257" s="2">
        <f t="shared" si="107"/>
        <v>11995790.371626098</v>
      </c>
      <c r="J257" s="2">
        <f t="shared" si="107"/>
        <v>18050339.664931763</v>
      </c>
      <c r="K257" s="2">
        <f t="shared" si="107"/>
        <v>23862148.984883003</v>
      </c>
      <c r="L257" s="2">
        <f t="shared" si="107"/>
        <v>29434925.431030251</v>
      </c>
      <c r="M257" s="2">
        <f t="shared" si="107"/>
        <v>34761099.634969912</v>
      </c>
      <c r="N257" s="2">
        <f t="shared" si="107"/>
        <v>39853053.565400161</v>
      </c>
      <c r="O257" s="2">
        <f t="shared" si="107"/>
        <v>44714011.691100597</v>
      </c>
      <c r="P257" s="2">
        <f t="shared" si="107"/>
        <v>49721988.340728059</v>
      </c>
      <c r="Q257" s="2">
        <f t="shared" si="107"/>
        <v>54874142.127276734</v>
      </c>
      <c r="R257" s="2">
        <f t="shared" si="107"/>
        <v>60466460.73169291</v>
      </c>
      <c r="S257" s="2">
        <f t="shared" si="107"/>
        <v>66548323.248618223</v>
      </c>
      <c r="T257" s="2">
        <f t="shared" si="107"/>
        <v>73138773.863265544</v>
      </c>
      <c r="U257" s="2">
        <f t="shared" si="107"/>
        <v>79936734.338239014</v>
      </c>
      <c r="V257" s="2">
        <f t="shared" si="107"/>
        <v>86960520.226442367</v>
      </c>
      <c r="W257" s="2">
        <f t="shared" si="107"/>
        <v>88786691.151197642</v>
      </c>
      <c r="X257" s="2">
        <f t="shared" si="107"/>
        <v>90651211.665372789</v>
      </c>
      <c r="Y257" s="2">
        <f t="shared" si="107"/>
        <v>92554887.110345602</v>
      </c>
      <c r="Z257" s="2">
        <f t="shared" si="107"/>
        <v>94498539.739662856</v>
      </c>
      <c r="AA257" s="2">
        <f t="shared" si="107"/>
        <v>96483009.074195772</v>
      </c>
    </row>
    <row r="258" spans="4:28" customFormat="1" x14ac:dyDescent="0.25">
      <c r="E258" t="s">
        <v>57</v>
      </c>
      <c r="F258" t="s">
        <v>7</v>
      </c>
      <c r="G258" s="2">
        <f t="shared" si="107"/>
        <v>0</v>
      </c>
      <c r="H258" s="2">
        <f t="shared" si="107"/>
        <v>-4081304.5861971751</v>
      </c>
      <c r="I258" s="2">
        <f t="shared" si="107"/>
        <v>-8124453.3182916604</v>
      </c>
      <c r="J258" s="2">
        <f t="shared" si="107"/>
        <v>-12199213.412921648</v>
      </c>
      <c r="K258" s="2">
        <f t="shared" si="107"/>
        <v>-16078452.883336719</v>
      </c>
      <c r="L258" s="2">
        <f t="shared" si="107"/>
        <v>-19769297.856755786</v>
      </c>
      <c r="M258" s="2">
        <f t="shared" si="107"/>
        <v>-23272672.93213268</v>
      </c>
      <c r="N258" s="2">
        <f t="shared" si="107"/>
        <v>-26592500.398821432</v>
      </c>
      <c r="O258" s="2">
        <f t="shared" si="107"/>
        <v>-29731751.2251908</v>
      </c>
      <c r="P258" s="2">
        <f t="shared" si="107"/>
        <v>-32933959.355104275</v>
      </c>
      <c r="Q258" s="2">
        <f t="shared" si="107"/>
        <v>-36187705.326668009</v>
      </c>
      <c r="R258" s="2">
        <f t="shared" si="107"/>
        <v>-39717092.654547654</v>
      </c>
      <c r="S258" s="2">
        <f t="shared" si="107"/>
        <v>-43549830.841256797</v>
      </c>
      <c r="T258" s="2">
        <f t="shared" si="107"/>
        <v>-47704218.710662022</v>
      </c>
      <c r="U258" s="2">
        <f t="shared" si="107"/>
        <v>-51990689.053647444</v>
      </c>
      <c r="V258" s="2">
        <f t="shared" si="107"/>
        <v>-56415111.355761826</v>
      </c>
      <c r="W258" s="2">
        <f t="shared" si="107"/>
        <v>-57599828.694232821</v>
      </c>
      <c r="X258" s="2">
        <f t="shared" si="107"/>
        <v>-58809425.096811704</v>
      </c>
      <c r="Y258" s="2">
        <f t="shared" si="107"/>
        <v>-60044423.023844734</v>
      </c>
      <c r="Z258" s="2">
        <f t="shared" si="107"/>
        <v>-61305355.907345481</v>
      </c>
      <c r="AA258" s="2">
        <f t="shared" si="107"/>
        <v>-62592768.381399721</v>
      </c>
    </row>
    <row r="259" spans="4:28" customFormat="1" x14ac:dyDescent="0.25">
      <c r="E259" t="s">
        <v>10</v>
      </c>
      <c r="F259" t="s">
        <v>7</v>
      </c>
      <c r="G259" s="2">
        <f t="shared" si="107"/>
        <v>0</v>
      </c>
      <c r="H259" s="2">
        <f t="shared" si="107"/>
        <v>-1160913.7559999998</v>
      </c>
      <c r="I259" s="2">
        <f t="shared" si="107"/>
        <v>-2308076.9576279996</v>
      </c>
      <c r="J259" s="2">
        <f t="shared" si="107"/>
        <v>-3459871.9243186354</v>
      </c>
      <c r="K259" s="2">
        <f t="shared" si="107"/>
        <v>-4558048.289795775</v>
      </c>
      <c r="L259" s="2">
        <f t="shared" si="107"/>
        <v>-5601671.9148991657</v>
      </c>
      <c r="M259" s="2">
        <f t="shared" si="107"/>
        <v>-6591257.337242173</v>
      </c>
      <c r="N259" s="2">
        <f t="shared" si="107"/>
        <v>-7527731.2622023439</v>
      </c>
      <c r="O259" s="2">
        <f t="shared" si="107"/>
        <v>-8411969.3701764047</v>
      </c>
      <c r="P259" s="2">
        <f t="shared" si="107"/>
        <v>-9312542.4398737326</v>
      </c>
      <c r="Q259" s="2">
        <f t="shared" si="107"/>
        <v>-10225814.962772934</v>
      </c>
      <c r="R259" s="2">
        <f t="shared" si="107"/>
        <v>-11216350.998220688</v>
      </c>
      <c r="S259" s="2">
        <f t="shared" si="107"/>
        <v>-12291772.808528552</v>
      </c>
      <c r="T259" s="2">
        <f t="shared" si="107"/>
        <v>-13457496.930970971</v>
      </c>
      <c r="U259" s="2">
        <f t="shared" si="107"/>
        <v>-14660340.612795902</v>
      </c>
      <c r="V259" s="2">
        <f t="shared" si="107"/>
        <v>-15901696.639972519</v>
      </c>
      <c r="W259" s="2">
        <f t="shared" si="107"/>
        <v>-16235632.26941194</v>
      </c>
      <c r="X259" s="2">
        <f t="shared" si="107"/>
        <v>-16576580.547069591</v>
      </c>
      <c r="Y259" s="2">
        <f t="shared" si="107"/>
        <v>-16924688.73855805</v>
      </c>
      <c r="Z259" s="2">
        <f t="shared" si="107"/>
        <v>-17280107.202067766</v>
      </c>
      <c r="AA259" s="2">
        <f t="shared" si="107"/>
        <v>-17642989.45331119</v>
      </c>
    </row>
    <row r="260" spans="4:28" customFormat="1" x14ac:dyDescent="0.25">
      <c r="E260" t="s">
        <v>12</v>
      </c>
      <c r="F260" t="s">
        <v>7</v>
      </c>
      <c r="G260" s="2">
        <f t="shared" si="107"/>
        <v>-558879.70087703061</v>
      </c>
      <c r="H260" s="2">
        <f t="shared" si="107"/>
        <v>-1139473.4236991303</v>
      </c>
      <c r="I260" s="2">
        <f t="shared" ca="1" si="107"/>
        <v>-1816189.8623391949</v>
      </c>
      <c r="J260" s="2">
        <f t="shared" ca="1" si="107"/>
        <v>-2490357.5644280557</v>
      </c>
      <c r="K260" s="2">
        <f t="shared" ca="1" si="107"/>
        <v>-3157122.950858755</v>
      </c>
      <c r="L260" s="2">
        <f t="shared" ca="1" si="107"/>
        <v>-3788896.6555009997</v>
      </c>
      <c r="M260" s="2">
        <f t="shared" ca="1" si="107"/>
        <v>-4454942.5332125984</v>
      </c>
      <c r="N260" s="2">
        <f t="shared" ca="1" si="107"/>
        <v>-5030013.6336298604</v>
      </c>
      <c r="O260" s="2">
        <f t="shared" ca="1" si="107"/>
        <v>-5585769.4381061429</v>
      </c>
      <c r="P260" s="2">
        <f t="shared" ca="1" si="107"/>
        <v>-6141785.6333355103</v>
      </c>
      <c r="Q260" s="2">
        <f t="shared" ca="1" si="107"/>
        <v>-6704480.6544022486</v>
      </c>
      <c r="R260" s="2">
        <f t="shared" ca="1" si="107"/>
        <v>-7294081.1021430502</v>
      </c>
      <c r="S260" s="2">
        <f t="shared" ca="1" si="107"/>
        <v>-7912521.6028560214</v>
      </c>
      <c r="T260" s="2">
        <f t="shared" ca="1" si="107"/>
        <v>-8560198.9926200323</v>
      </c>
      <c r="U260" s="2">
        <f t="shared" ca="1" si="107"/>
        <v>-9218667.2970510907</v>
      </c>
      <c r="V260" s="2">
        <f t="shared" ca="1" si="107"/>
        <v>-9889449.0554392897</v>
      </c>
      <c r="W260" s="2">
        <f t="shared" ca="1" si="107"/>
        <v>-10249442.850573048</v>
      </c>
      <c r="X260" s="2">
        <f t="shared" ca="1" si="107"/>
        <v>-10616885.600898853</v>
      </c>
      <c r="Y260" s="2">
        <f t="shared" ca="1" si="107"/>
        <v>-10991873.675606254</v>
      </c>
      <c r="Z260" s="2">
        <f t="shared" ca="1" si="107"/>
        <v>-11374716.093952708</v>
      </c>
      <c r="AA260" s="2">
        <f t="shared" ca="1" si="107"/>
        <v>-11765713.712370852</v>
      </c>
    </row>
    <row r="261" spans="4:28" customFormat="1" x14ac:dyDescent="0.25">
      <c r="E261" t="s">
        <v>48</v>
      </c>
      <c r="F261" t="s">
        <v>7</v>
      </c>
      <c r="G261" s="2">
        <f t="shared" si="107"/>
        <v>0</v>
      </c>
      <c r="H261" s="2">
        <f t="shared" si="107"/>
        <v>0</v>
      </c>
      <c r="I261" s="2">
        <f t="shared" si="107"/>
        <v>0</v>
      </c>
      <c r="J261" s="2">
        <f t="shared" si="107"/>
        <v>0</v>
      </c>
      <c r="K261" s="2">
        <f t="shared" si="107"/>
        <v>0</v>
      </c>
      <c r="L261" s="2">
        <f t="shared" si="107"/>
        <v>0</v>
      </c>
      <c r="M261" s="2">
        <f t="shared" si="107"/>
        <v>0</v>
      </c>
      <c r="N261" s="2">
        <f t="shared" si="107"/>
        <v>0</v>
      </c>
      <c r="O261" s="2">
        <f t="shared" si="107"/>
        <v>0</v>
      </c>
      <c r="P261" s="2">
        <f t="shared" si="107"/>
        <v>0</v>
      </c>
      <c r="Q261" s="2">
        <f t="shared" si="107"/>
        <v>0</v>
      </c>
      <c r="R261" s="2">
        <f t="shared" si="107"/>
        <v>0</v>
      </c>
      <c r="S261" s="2">
        <f t="shared" si="107"/>
        <v>0</v>
      </c>
      <c r="T261" s="2">
        <f t="shared" si="107"/>
        <v>0</v>
      </c>
      <c r="U261" s="2">
        <f t="shared" si="107"/>
        <v>0</v>
      </c>
      <c r="V261" s="2">
        <f t="shared" si="107"/>
        <v>0</v>
      </c>
      <c r="W261" s="2">
        <f t="shared" si="107"/>
        <v>0</v>
      </c>
      <c r="X261" s="2">
        <f t="shared" si="107"/>
        <v>0</v>
      </c>
      <c r="Y261" s="2">
        <f t="shared" si="107"/>
        <v>0</v>
      </c>
      <c r="Z261" s="2">
        <f t="shared" si="107"/>
        <v>0</v>
      </c>
      <c r="AA261" s="2">
        <f t="shared" si="107"/>
        <v>0</v>
      </c>
    </row>
    <row r="262" spans="4:28" customFormat="1" x14ac:dyDescent="0.25">
      <c r="E262" t="s">
        <v>13</v>
      </c>
      <c r="F262" t="s">
        <v>7</v>
      </c>
      <c r="G262" s="2" t="e">
        <f ca="1">G253</f>
        <v>#REF!</v>
      </c>
      <c r="H262" s="2"/>
      <c r="I262" s="2"/>
      <c r="J262" s="2"/>
      <c r="K262" s="2"/>
      <c r="L262" s="2"/>
      <c r="M262" s="2"/>
      <c r="N262" s="2"/>
      <c r="O262" s="2"/>
      <c r="P262" s="2"/>
      <c r="Q262" s="2"/>
      <c r="R262" s="2"/>
      <c r="S262" s="2"/>
      <c r="T262" s="2"/>
      <c r="U262" s="2"/>
      <c r="V262" s="2"/>
      <c r="W262" s="2"/>
      <c r="X262" s="2"/>
      <c r="Y262" s="2"/>
      <c r="Z262" s="2"/>
      <c r="AA262" s="2"/>
    </row>
    <row r="263" spans="4:28" customFormat="1" x14ac:dyDescent="0.25"/>
    <row r="264" spans="4:28" customFormat="1" x14ac:dyDescent="0.25">
      <c r="E264" t="s">
        <v>14</v>
      </c>
      <c r="F264" t="s">
        <v>7</v>
      </c>
      <c r="G264" s="2" t="e">
        <f t="shared" ref="G264:AA264" ca="1" si="108">SUM(G256:G262)</f>
        <v>#REF!</v>
      </c>
      <c r="H264" s="2">
        <f t="shared" si="108"/>
        <v>35442623.217507511</v>
      </c>
      <c r="I264" s="2">
        <f t="shared" ca="1" si="108"/>
        <v>34218509.221367225</v>
      </c>
      <c r="J264" s="2">
        <f t="shared" ca="1" si="108"/>
        <v>33774920.684592962</v>
      </c>
      <c r="K264" s="2">
        <f t="shared" ca="1" si="108"/>
        <v>31553759.007668689</v>
      </c>
      <c r="L264" s="2">
        <f t="shared" ca="1" si="108"/>
        <v>29377393.552662719</v>
      </c>
      <c r="M264" s="2">
        <f t="shared" ca="1" si="108"/>
        <v>27212631.152166996</v>
      </c>
      <c r="N264" s="2">
        <f t="shared" ca="1" si="108"/>
        <v>25204574.262617581</v>
      </c>
      <c r="O264" s="2">
        <f t="shared" ca="1" si="108"/>
        <v>23278777.185147755</v>
      </c>
      <c r="P264" s="2">
        <f t="shared" ca="1" si="108"/>
        <v>23559367.53726273</v>
      </c>
      <c r="Q264" s="2">
        <f t="shared" ca="1" si="108"/>
        <v>23791070.664279915</v>
      </c>
      <c r="R264" s="2">
        <f t="shared" ca="1" si="108"/>
        <v>26057170.400494948</v>
      </c>
      <c r="S264" s="2">
        <f t="shared" ca="1" si="108"/>
        <v>28579939.554821696</v>
      </c>
      <c r="T264" s="2">
        <f t="shared" ca="1" si="108"/>
        <v>31281676.133588109</v>
      </c>
      <c r="U264" s="2">
        <f t="shared" ca="1" si="108"/>
        <v>32319904.584927958</v>
      </c>
      <c r="V264" s="2">
        <f t="shared" ca="1" si="108"/>
        <v>33414009.316300813</v>
      </c>
      <c r="W264" s="2">
        <f t="shared" ca="1" si="108"/>
        <v>4701787.3369798325</v>
      </c>
      <c r="X264" s="2">
        <f t="shared" ca="1" si="108"/>
        <v>4648320.4205926415</v>
      </c>
      <c r="Y264" s="2">
        <f t="shared" ca="1" si="108"/>
        <v>4593901.6723365635</v>
      </c>
      <c r="Z264" s="2">
        <f t="shared" ca="1" si="108"/>
        <v>4538360.5362969004</v>
      </c>
      <c r="AA264" s="2">
        <f t="shared" ca="1" si="108"/>
        <v>4481537.5271140095</v>
      </c>
    </row>
    <row r="265" spans="4:28" customFormat="1" x14ac:dyDescent="0.25">
      <c r="E265" t="s">
        <v>15</v>
      </c>
      <c r="F265" t="s">
        <v>7</v>
      </c>
      <c r="G265" s="2" t="e">
        <f ca="1">-G264*G$18</f>
        <v>#REF!</v>
      </c>
      <c r="H265" s="2">
        <f t="shared" ref="H265:AA265" si="109">-H264*H$18</f>
        <v>-10632786.965252252</v>
      </c>
      <c r="I265" s="2">
        <f t="shared" ca="1" si="109"/>
        <v>-10265552.766410166</v>
      </c>
      <c r="J265" s="2">
        <f t="shared" ca="1" si="109"/>
        <v>-10132476.205377888</v>
      </c>
      <c r="K265" s="2">
        <f t="shared" ca="1" si="109"/>
        <v>-9466127.7023006063</v>
      </c>
      <c r="L265" s="2">
        <f t="shared" ca="1" si="109"/>
        <v>-8813218.0657988153</v>
      </c>
      <c r="M265" s="2">
        <f t="shared" ca="1" si="109"/>
        <v>-8163789.3456500983</v>
      </c>
      <c r="N265" s="2">
        <f t="shared" ca="1" si="109"/>
        <v>-7561372.2787852734</v>
      </c>
      <c r="O265" s="2">
        <f t="shared" ca="1" si="109"/>
        <v>-6983633.1555443266</v>
      </c>
      <c r="P265" s="2">
        <f t="shared" ca="1" si="109"/>
        <v>-7067810.2611788185</v>
      </c>
      <c r="Q265" s="2">
        <f t="shared" ca="1" si="109"/>
        <v>-7137321.1992839742</v>
      </c>
      <c r="R265" s="2">
        <f t="shared" ca="1" si="109"/>
        <v>-7817151.1201484837</v>
      </c>
      <c r="S265" s="2">
        <f t="shared" ca="1" si="109"/>
        <v>-8573981.8664465081</v>
      </c>
      <c r="T265" s="2">
        <f t="shared" ca="1" si="109"/>
        <v>-9384502.8400764316</v>
      </c>
      <c r="U265" s="2">
        <f t="shared" ca="1" si="109"/>
        <v>-9695971.3754783869</v>
      </c>
      <c r="V265" s="2">
        <f t="shared" ca="1" si="109"/>
        <v>-10024202.794890244</v>
      </c>
      <c r="W265" s="2">
        <f t="shared" ca="1" si="109"/>
        <v>-1410536.2010939496</v>
      </c>
      <c r="X265" s="2">
        <f t="shared" ca="1" si="109"/>
        <v>-1394496.1261777924</v>
      </c>
      <c r="Y265" s="2">
        <f t="shared" ca="1" si="109"/>
        <v>-1378170.5017009689</v>
      </c>
      <c r="Z265" s="2">
        <f t="shared" ca="1" si="109"/>
        <v>-1361508.16088907</v>
      </c>
      <c r="AA265" s="2">
        <f t="shared" ca="1" si="109"/>
        <v>-1344461.2581342028</v>
      </c>
    </row>
    <row r="266" spans="4:28" customFormat="1" x14ac:dyDescent="0.25"/>
    <row r="267" spans="4:28" customFormat="1" x14ac:dyDescent="0.25">
      <c r="D267" t="s">
        <v>28</v>
      </c>
    </row>
    <row r="268" spans="4:28" customFormat="1" x14ac:dyDescent="0.25">
      <c r="E268" t="s">
        <v>1</v>
      </c>
      <c r="F268" t="s">
        <v>7</v>
      </c>
      <c r="G268" s="2">
        <f t="shared" ref="G268:AA275" si="110">G234</f>
        <v>-50299173.078932755</v>
      </c>
      <c r="H268" s="2">
        <f t="shared" si="110"/>
        <v>-16611346.053988967</v>
      </c>
      <c r="I268" s="2">
        <f t="shared" ca="1" si="110"/>
        <v>-26433040.489605837</v>
      </c>
      <c r="J268" s="2">
        <f t="shared" ca="1" si="110"/>
        <v>-26801069.266667921</v>
      </c>
      <c r="K268" s="2">
        <f t="shared" ca="1" si="110"/>
        <v>-28523650.631986063</v>
      </c>
      <c r="L268" s="2">
        <f t="shared" ca="1" si="110"/>
        <v>-27757298.869013589</v>
      </c>
      <c r="M268" s="2">
        <f t="shared" ca="1" si="110"/>
        <v>-33173724.674259342</v>
      </c>
      <c r="N268" s="2">
        <f t="shared" ca="1" si="110"/>
        <v>-27254633.045682486</v>
      </c>
      <c r="O268" s="2">
        <f t="shared" ca="1" si="110"/>
        <v>-27723766.875344969</v>
      </c>
      <c r="P268" s="2">
        <f t="shared" ca="1" si="110"/>
        <v>-27815790.945794858</v>
      </c>
      <c r="Q268" s="2">
        <f t="shared" ca="1" si="110"/>
        <v>-28607622.415160112</v>
      </c>
      <c r="R268" s="2">
        <f t="shared" ca="1" si="110"/>
        <v>-29245805.87295869</v>
      </c>
      <c r="S268" s="2">
        <f t="shared" ca="1" si="110"/>
        <v>-29873903.505322564</v>
      </c>
      <c r="T268" s="2">
        <f t="shared" ca="1" si="110"/>
        <v>-30426148.174185529</v>
      </c>
      <c r="U268" s="2">
        <f t="shared" ca="1" si="110"/>
        <v>-31009280.188611764</v>
      </c>
      <c r="V268" s="2">
        <f t="shared" ca="1" si="110"/>
        <v>-31710612.11390594</v>
      </c>
      <c r="W268" s="2">
        <f t="shared" ca="1" si="110"/>
        <v>-32399441.562038191</v>
      </c>
      <c r="X268" s="2">
        <f t="shared" ca="1" si="110"/>
        <v>-33069847.529322453</v>
      </c>
      <c r="Y268" s="2">
        <f t="shared" ca="1" si="110"/>
        <v>-33748926.723666266</v>
      </c>
      <c r="Z268" s="2">
        <f t="shared" ca="1" si="110"/>
        <v>-34455817.651180692</v>
      </c>
      <c r="AA268" s="2">
        <f t="shared" ca="1" si="110"/>
        <v>-35189785.657632954</v>
      </c>
    </row>
    <row r="269" spans="4:28" customFormat="1" x14ac:dyDescent="0.25">
      <c r="E269" t="s">
        <v>19</v>
      </c>
      <c r="F269" t="s">
        <v>7</v>
      </c>
      <c r="G269" s="2">
        <f t="shared" si="110"/>
        <v>0</v>
      </c>
      <c r="H269" s="2">
        <f t="shared" si="110"/>
        <v>0</v>
      </c>
      <c r="I269" s="2">
        <f t="shared" si="110"/>
        <v>0</v>
      </c>
      <c r="J269" s="2">
        <f t="shared" si="110"/>
        <v>0</v>
      </c>
      <c r="K269" s="2">
        <f t="shared" si="110"/>
        <v>0</v>
      </c>
      <c r="L269" s="2">
        <f t="shared" si="110"/>
        <v>0</v>
      </c>
      <c r="M269" s="2">
        <f t="shared" si="110"/>
        <v>0</v>
      </c>
      <c r="N269" s="2">
        <f t="shared" si="110"/>
        <v>0</v>
      </c>
      <c r="O269" s="2">
        <f t="shared" si="110"/>
        <v>0</v>
      </c>
      <c r="P269" s="2">
        <f t="shared" si="110"/>
        <v>0</v>
      </c>
      <c r="Q269" s="2">
        <f t="shared" si="110"/>
        <v>0</v>
      </c>
      <c r="R269" s="2">
        <f t="shared" si="110"/>
        <v>0</v>
      </c>
      <c r="S269" s="2">
        <f t="shared" si="110"/>
        <v>0</v>
      </c>
      <c r="T269" s="2">
        <f t="shared" si="110"/>
        <v>0</v>
      </c>
      <c r="U269" s="2">
        <f t="shared" si="110"/>
        <v>0</v>
      </c>
      <c r="V269" s="2">
        <f t="shared" si="110"/>
        <v>0</v>
      </c>
      <c r="W269" s="2">
        <f t="shared" si="110"/>
        <v>0</v>
      </c>
      <c r="X269" s="2">
        <f t="shared" si="110"/>
        <v>0</v>
      </c>
      <c r="Y269" s="2">
        <f t="shared" si="110"/>
        <v>0</v>
      </c>
      <c r="Z269" s="2">
        <f t="shared" si="110"/>
        <v>0</v>
      </c>
      <c r="AA269" s="2">
        <f t="shared" si="110"/>
        <v>0</v>
      </c>
    </row>
    <row r="270" spans="4:28" customFormat="1" x14ac:dyDescent="0.25">
      <c r="E270" t="s">
        <v>109</v>
      </c>
      <c r="F270" t="s">
        <v>7</v>
      </c>
      <c r="G270" s="2">
        <f t="shared" si="110"/>
        <v>0</v>
      </c>
      <c r="H270" s="2">
        <f t="shared" si="110"/>
        <v>0</v>
      </c>
      <c r="I270" s="2">
        <f t="shared" si="110"/>
        <v>0</v>
      </c>
      <c r="J270" s="2">
        <f t="shared" si="110"/>
        <v>0</v>
      </c>
      <c r="K270" s="2">
        <f t="shared" si="110"/>
        <v>0</v>
      </c>
      <c r="L270" s="2">
        <f t="shared" si="110"/>
        <v>0</v>
      </c>
      <c r="M270" s="2">
        <f t="shared" si="110"/>
        <v>0</v>
      </c>
      <c r="N270" s="2">
        <f t="shared" si="110"/>
        <v>0</v>
      </c>
      <c r="O270" s="2">
        <f t="shared" si="110"/>
        <v>0</v>
      </c>
      <c r="P270" s="2">
        <f t="shared" si="110"/>
        <v>0</v>
      </c>
      <c r="Q270" s="2">
        <f t="shared" si="110"/>
        <v>0</v>
      </c>
      <c r="R270" s="2">
        <f t="shared" si="110"/>
        <v>0</v>
      </c>
      <c r="S270" s="2">
        <f t="shared" si="110"/>
        <v>0</v>
      </c>
      <c r="T270" s="2">
        <f t="shared" si="110"/>
        <v>0</v>
      </c>
      <c r="U270" s="2">
        <f t="shared" si="110"/>
        <v>0</v>
      </c>
      <c r="V270" s="2">
        <f t="shared" si="110"/>
        <v>0</v>
      </c>
      <c r="W270" s="2">
        <f t="shared" si="110"/>
        <v>0</v>
      </c>
      <c r="X270" s="2">
        <f t="shared" si="110"/>
        <v>0</v>
      </c>
      <c r="Y270" s="2">
        <f t="shared" si="110"/>
        <v>0</v>
      </c>
      <c r="Z270" s="2">
        <f t="shared" si="110"/>
        <v>0</v>
      </c>
      <c r="AA270" s="2">
        <f t="shared" si="110"/>
        <v>0</v>
      </c>
    </row>
    <row r="271" spans="4:28" customFormat="1" x14ac:dyDescent="0.25">
      <c r="E271" t="s">
        <v>11</v>
      </c>
      <c r="F271" t="s">
        <v>7</v>
      </c>
      <c r="G271" s="2">
        <f t="shared" si="110"/>
        <v>0</v>
      </c>
      <c r="H271" s="2">
        <f t="shared" si="110"/>
        <v>6182225.9834038224</v>
      </c>
      <c r="I271" s="2">
        <f t="shared" si="110"/>
        <v>11995790.371626098</v>
      </c>
      <c r="J271" s="2">
        <f t="shared" si="110"/>
        <v>18050339.664931763</v>
      </c>
      <c r="K271" s="2">
        <f t="shared" si="110"/>
        <v>23862148.984883003</v>
      </c>
      <c r="L271" s="2">
        <f t="shared" si="110"/>
        <v>29434925.431030251</v>
      </c>
      <c r="M271" s="2">
        <f t="shared" si="110"/>
        <v>34761099.634969912</v>
      </c>
      <c r="N271" s="2">
        <f t="shared" si="110"/>
        <v>39853053.565400161</v>
      </c>
      <c r="O271" s="2">
        <f t="shared" si="110"/>
        <v>44714011.691100597</v>
      </c>
      <c r="P271" s="2">
        <f t="shared" si="110"/>
        <v>49721988.340728059</v>
      </c>
      <c r="Q271" s="2">
        <f t="shared" si="110"/>
        <v>54874142.127276734</v>
      </c>
      <c r="R271" s="2">
        <f t="shared" si="110"/>
        <v>60466460.73169291</v>
      </c>
      <c r="S271" s="2">
        <f t="shared" si="110"/>
        <v>66548323.248618223</v>
      </c>
      <c r="T271" s="2">
        <f t="shared" si="110"/>
        <v>73138773.863265544</v>
      </c>
      <c r="U271" s="2">
        <f t="shared" si="110"/>
        <v>79936734.338239014</v>
      </c>
      <c r="V271" s="2">
        <f t="shared" si="110"/>
        <v>86960520.226442367</v>
      </c>
      <c r="W271" s="2">
        <f t="shared" si="110"/>
        <v>88786691.151197642</v>
      </c>
      <c r="X271" s="2">
        <f t="shared" si="110"/>
        <v>90651211.665372789</v>
      </c>
      <c r="Y271" s="2">
        <f t="shared" si="110"/>
        <v>92554887.110345602</v>
      </c>
      <c r="Z271" s="2">
        <f t="shared" si="110"/>
        <v>94498539.739662856</v>
      </c>
      <c r="AA271" s="2">
        <f t="shared" si="110"/>
        <v>96483009.074195772</v>
      </c>
      <c r="AB271" s="2">
        <f t="shared" ref="AB271:AB275" si="111">IF(V271=0,0,IF($G$15&gt;(AA271/V271)^(1/5)-1+2%,AA271*(AA271/V271)^(1/5)/($G$15-((AA271/V271)^(1/5)-1)),AA271*(1+$G$14)/$G$16))</f>
        <v>3216100302.4731989</v>
      </c>
    </row>
    <row r="272" spans="4:28" customFormat="1" x14ac:dyDescent="0.25">
      <c r="E272" t="s">
        <v>57</v>
      </c>
      <c r="F272" t="s">
        <v>7</v>
      </c>
      <c r="G272" s="2">
        <f t="shared" si="110"/>
        <v>0</v>
      </c>
      <c r="H272" s="2">
        <f t="shared" si="110"/>
        <v>-4081304.5861971751</v>
      </c>
      <c r="I272" s="2">
        <f t="shared" si="110"/>
        <v>-8124453.3182916604</v>
      </c>
      <c r="J272" s="2">
        <f t="shared" si="110"/>
        <v>-12199213.412921648</v>
      </c>
      <c r="K272" s="2">
        <f t="shared" si="110"/>
        <v>-16078452.883336719</v>
      </c>
      <c r="L272" s="2">
        <f t="shared" si="110"/>
        <v>-19769297.856755786</v>
      </c>
      <c r="M272" s="2">
        <f t="shared" si="110"/>
        <v>-23272672.93213268</v>
      </c>
      <c r="N272" s="2">
        <f t="shared" si="110"/>
        <v>-26592500.398821432</v>
      </c>
      <c r="O272" s="2">
        <f t="shared" si="110"/>
        <v>-29731751.2251908</v>
      </c>
      <c r="P272" s="2">
        <f t="shared" si="110"/>
        <v>-32933959.355104275</v>
      </c>
      <c r="Q272" s="2">
        <f t="shared" si="110"/>
        <v>-36187705.326668009</v>
      </c>
      <c r="R272" s="2">
        <f t="shared" si="110"/>
        <v>-39717092.654547654</v>
      </c>
      <c r="S272" s="2">
        <f t="shared" si="110"/>
        <v>-43549830.841256797</v>
      </c>
      <c r="T272" s="2">
        <f t="shared" si="110"/>
        <v>-47704218.710662022</v>
      </c>
      <c r="U272" s="2">
        <f t="shared" si="110"/>
        <v>-51990689.053647444</v>
      </c>
      <c r="V272" s="2">
        <f t="shared" si="110"/>
        <v>-56415111.355761826</v>
      </c>
      <c r="W272" s="2">
        <f t="shared" si="110"/>
        <v>-57599828.694232821</v>
      </c>
      <c r="X272" s="2">
        <f t="shared" si="110"/>
        <v>-58809425.096811704</v>
      </c>
      <c r="Y272" s="2">
        <f t="shared" si="110"/>
        <v>-60044423.023844734</v>
      </c>
      <c r="Z272" s="2">
        <f t="shared" si="110"/>
        <v>-61305355.907345481</v>
      </c>
      <c r="AA272" s="2">
        <f t="shared" si="110"/>
        <v>-62592768.381399721</v>
      </c>
      <c r="AB272" s="2">
        <f t="shared" si="111"/>
        <v>-2086425612.7133284</v>
      </c>
    </row>
    <row r="273" spans="1:28" x14ac:dyDescent="0.25">
      <c r="E273" t="s">
        <v>10</v>
      </c>
      <c r="F273" t="s">
        <v>7</v>
      </c>
      <c r="G273" s="2">
        <f t="shared" si="110"/>
        <v>0</v>
      </c>
      <c r="H273" s="2">
        <f t="shared" si="110"/>
        <v>-1160913.7559999998</v>
      </c>
      <c r="I273" s="2">
        <f t="shared" si="110"/>
        <v>-2308076.9576279996</v>
      </c>
      <c r="J273" s="2">
        <f t="shared" si="110"/>
        <v>-3459871.9243186354</v>
      </c>
      <c r="K273" s="2">
        <f t="shared" si="110"/>
        <v>-4558048.289795775</v>
      </c>
      <c r="L273" s="2">
        <f t="shared" si="110"/>
        <v>-5601671.9148991657</v>
      </c>
      <c r="M273" s="2">
        <f t="shared" si="110"/>
        <v>-6591257.337242173</v>
      </c>
      <c r="N273" s="2">
        <f t="shared" si="110"/>
        <v>-7527731.2622023439</v>
      </c>
      <c r="O273" s="2">
        <f t="shared" si="110"/>
        <v>-8411969.3701764047</v>
      </c>
      <c r="P273" s="2">
        <f t="shared" si="110"/>
        <v>-9312542.4398737326</v>
      </c>
      <c r="Q273" s="2">
        <f t="shared" si="110"/>
        <v>-10225814.962772934</v>
      </c>
      <c r="R273" s="2">
        <f t="shared" si="110"/>
        <v>-11216350.998220688</v>
      </c>
      <c r="S273" s="2">
        <f t="shared" si="110"/>
        <v>-12291772.808528552</v>
      </c>
      <c r="T273" s="2">
        <f t="shared" si="110"/>
        <v>-13457496.930970971</v>
      </c>
      <c r="U273" s="2">
        <f t="shared" si="110"/>
        <v>-14660340.612795902</v>
      </c>
      <c r="V273" s="2">
        <f t="shared" si="110"/>
        <v>-15901696.639972519</v>
      </c>
      <c r="W273" s="2">
        <f t="shared" si="110"/>
        <v>-16235632.26941194</v>
      </c>
      <c r="X273" s="2">
        <f t="shared" si="110"/>
        <v>-16576580.547069591</v>
      </c>
      <c r="Y273" s="2">
        <f t="shared" si="110"/>
        <v>-16924688.73855805</v>
      </c>
      <c r="Z273" s="2">
        <f t="shared" si="110"/>
        <v>-17280107.202067766</v>
      </c>
      <c r="AA273" s="2">
        <f t="shared" si="110"/>
        <v>-17642989.45331119</v>
      </c>
      <c r="AB273" s="2">
        <f t="shared" si="111"/>
        <v>-588099648.44370759</v>
      </c>
    </row>
    <row r="274" spans="1:28" x14ac:dyDescent="0.25">
      <c r="E274" t="s">
        <v>48</v>
      </c>
      <c r="F274" t="s">
        <v>7</v>
      </c>
      <c r="G274" s="2">
        <f t="shared" si="110"/>
        <v>0</v>
      </c>
      <c r="H274" s="2">
        <f t="shared" si="110"/>
        <v>0</v>
      </c>
      <c r="I274" s="2">
        <f t="shared" si="110"/>
        <v>0</v>
      </c>
      <c r="J274" s="2">
        <f t="shared" si="110"/>
        <v>0</v>
      </c>
      <c r="K274" s="2">
        <f t="shared" si="110"/>
        <v>0</v>
      </c>
      <c r="L274" s="2">
        <f t="shared" si="110"/>
        <v>0</v>
      </c>
      <c r="M274" s="2">
        <f t="shared" si="110"/>
        <v>0</v>
      </c>
      <c r="N274" s="2">
        <f t="shared" si="110"/>
        <v>0</v>
      </c>
      <c r="O274" s="2">
        <f t="shared" si="110"/>
        <v>0</v>
      </c>
      <c r="P274" s="2">
        <f t="shared" si="110"/>
        <v>0</v>
      </c>
      <c r="Q274" s="2">
        <f t="shared" si="110"/>
        <v>0</v>
      </c>
      <c r="R274" s="2">
        <f t="shared" si="110"/>
        <v>0</v>
      </c>
      <c r="S274" s="2">
        <f t="shared" si="110"/>
        <v>0</v>
      </c>
      <c r="T274" s="2">
        <f t="shared" si="110"/>
        <v>0</v>
      </c>
      <c r="U274" s="2">
        <f t="shared" si="110"/>
        <v>0</v>
      </c>
      <c r="V274" s="2">
        <f t="shared" si="110"/>
        <v>0</v>
      </c>
      <c r="W274" s="2">
        <f t="shared" si="110"/>
        <v>0</v>
      </c>
      <c r="X274" s="2">
        <f t="shared" si="110"/>
        <v>0</v>
      </c>
      <c r="Y274" s="2">
        <f t="shared" si="110"/>
        <v>0</v>
      </c>
      <c r="Z274" s="2">
        <f t="shared" si="110"/>
        <v>0</v>
      </c>
      <c r="AA274" s="2">
        <f t="shared" si="110"/>
        <v>0</v>
      </c>
      <c r="AB274" s="2">
        <f t="shared" si="111"/>
        <v>0</v>
      </c>
    </row>
    <row r="275" spans="1:28" x14ac:dyDescent="0.25">
      <c r="E275" t="s">
        <v>49</v>
      </c>
      <c r="F275" t="s">
        <v>7</v>
      </c>
      <c r="G275" s="2">
        <f t="shared" si="110"/>
        <v>0</v>
      </c>
      <c r="H275" s="2">
        <f t="shared" si="110"/>
        <v>0</v>
      </c>
      <c r="I275" s="2">
        <f t="shared" si="110"/>
        <v>0</v>
      </c>
      <c r="J275" s="2">
        <f t="shared" si="110"/>
        <v>0</v>
      </c>
      <c r="K275" s="2">
        <f t="shared" si="110"/>
        <v>0</v>
      </c>
      <c r="L275" s="2">
        <f t="shared" si="110"/>
        <v>0</v>
      </c>
      <c r="M275" s="2">
        <f t="shared" si="110"/>
        <v>0</v>
      </c>
      <c r="N275" s="2">
        <f t="shared" si="110"/>
        <v>0</v>
      </c>
      <c r="O275" s="2">
        <f t="shared" si="110"/>
        <v>0</v>
      </c>
      <c r="P275" s="2">
        <f t="shared" si="110"/>
        <v>0</v>
      </c>
      <c r="Q275" s="2">
        <f t="shared" si="110"/>
        <v>0</v>
      </c>
      <c r="R275" s="2">
        <f t="shared" si="110"/>
        <v>0</v>
      </c>
      <c r="S275" s="2">
        <f t="shared" si="110"/>
        <v>0</v>
      </c>
      <c r="T275" s="2">
        <f t="shared" si="110"/>
        <v>0</v>
      </c>
      <c r="U275" s="2">
        <f t="shared" si="110"/>
        <v>0</v>
      </c>
      <c r="V275" s="2">
        <f t="shared" si="110"/>
        <v>0</v>
      </c>
      <c r="W275" s="2">
        <f t="shared" si="110"/>
        <v>0</v>
      </c>
      <c r="X275" s="2">
        <f t="shared" si="110"/>
        <v>0</v>
      </c>
      <c r="Y275" s="2">
        <f t="shared" si="110"/>
        <v>0</v>
      </c>
      <c r="Z275" s="2">
        <f t="shared" si="110"/>
        <v>0</v>
      </c>
      <c r="AA275" s="2">
        <f t="shared" si="110"/>
        <v>0</v>
      </c>
      <c r="AB275" s="2">
        <f t="shared" si="111"/>
        <v>0</v>
      </c>
    </row>
    <row r="276" spans="1:28" x14ac:dyDescent="0.25">
      <c r="E276" t="s">
        <v>20</v>
      </c>
      <c r="F276" t="s">
        <v>7</v>
      </c>
      <c r="G276" s="2" t="e">
        <f t="shared" ref="G276:AA276" ca="1" si="112">G265</f>
        <v>#REF!</v>
      </c>
      <c r="H276" s="2">
        <f t="shared" si="112"/>
        <v>-10632786.965252252</v>
      </c>
      <c r="I276" s="2">
        <f t="shared" ca="1" si="112"/>
        <v>-10265552.766410166</v>
      </c>
      <c r="J276" s="2">
        <f t="shared" ca="1" si="112"/>
        <v>-10132476.205377888</v>
      </c>
      <c r="K276" s="2">
        <f t="shared" ca="1" si="112"/>
        <v>-9466127.7023006063</v>
      </c>
      <c r="L276" s="2">
        <f t="shared" ca="1" si="112"/>
        <v>-8813218.0657988153</v>
      </c>
      <c r="M276" s="2">
        <f t="shared" ca="1" si="112"/>
        <v>-8163789.3456500983</v>
      </c>
      <c r="N276" s="2">
        <f t="shared" ca="1" si="112"/>
        <v>-7561372.2787852734</v>
      </c>
      <c r="O276" s="2">
        <f t="shared" ca="1" si="112"/>
        <v>-6983633.1555443266</v>
      </c>
      <c r="P276" s="2">
        <f t="shared" ca="1" si="112"/>
        <v>-7067810.2611788185</v>
      </c>
      <c r="Q276" s="2">
        <f t="shared" ca="1" si="112"/>
        <v>-7137321.1992839742</v>
      </c>
      <c r="R276" s="2">
        <f t="shared" ca="1" si="112"/>
        <v>-7817151.1201484837</v>
      </c>
      <c r="S276" s="2">
        <f t="shared" ca="1" si="112"/>
        <v>-8573981.8664465081</v>
      </c>
      <c r="T276" s="2">
        <f t="shared" ca="1" si="112"/>
        <v>-9384502.8400764316</v>
      </c>
      <c r="U276" s="2">
        <f t="shared" ca="1" si="112"/>
        <v>-9695971.3754783869</v>
      </c>
      <c r="V276" s="2">
        <f t="shared" ca="1" si="112"/>
        <v>-10024202.794890244</v>
      </c>
      <c r="W276" s="2">
        <f t="shared" ca="1" si="112"/>
        <v>-1410536.2010939496</v>
      </c>
      <c r="X276" s="2">
        <f t="shared" ca="1" si="112"/>
        <v>-1394496.1261777924</v>
      </c>
      <c r="Y276" s="2">
        <f t="shared" ca="1" si="112"/>
        <v>-1378170.5017009689</v>
      </c>
      <c r="Z276" s="2">
        <f t="shared" ca="1" si="112"/>
        <v>-1361508.16088907</v>
      </c>
      <c r="AA276" s="2">
        <f t="shared" ca="1" si="112"/>
        <v>-1344461.2581342028</v>
      </c>
      <c r="AB276" s="2">
        <f ca="1">IF(V276=0,0,IF($G$15&gt;(AA276/V276)^(1/5)-1+2%,AA276*(AA276/V276)^(1/5)/($G$15-((AA276/V276)^(1/5)-1)),AA276*(1+$G$14)/$G$16))</f>
        <v>-2351785.0692359423</v>
      </c>
    </row>
    <row r="277" spans="1:28" x14ac:dyDescent="0.25">
      <c r="E277" t="s">
        <v>173</v>
      </c>
      <c r="F277" t="s">
        <v>7</v>
      </c>
      <c r="G277" s="2" t="e">
        <f ca="1">-$G$17*G276</f>
        <v>#REF!</v>
      </c>
      <c r="H277" s="2">
        <f t="shared" ref="H277:AA277" si="113">-$G$17*H276</f>
        <v>5316393.4826261261</v>
      </c>
      <c r="I277" s="2">
        <f t="shared" ca="1" si="113"/>
        <v>5132776.3832050832</v>
      </c>
      <c r="J277" s="2">
        <f t="shared" ca="1" si="113"/>
        <v>5066238.102688944</v>
      </c>
      <c r="K277" s="2">
        <f t="shared" ca="1" si="113"/>
        <v>4733063.8511503031</v>
      </c>
      <c r="L277" s="2">
        <f t="shared" ca="1" si="113"/>
        <v>4406609.0328994077</v>
      </c>
      <c r="M277" s="2">
        <f t="shared" ca="1" si="113"/>
        <v>4081894.6728250491</v>
      </c>
      <c r="N277" s="2">
        <f t="shared" ca="1" si="113"/>
        <v>3780686.1393926367</v>
      </c>
      <c r="O277" s="2">
        <f t="shared" ca="1" si="113"/>
        <v>3491816.5777721633</v>
      </c>
      <c r="P277" s="2">
        <f t="shared" ca="1" si="113"/>
        <v>3533905.1305894093</v>
      </c>
      <c r="Q277" s="2">
        <f t="shared" ca="1" si="113"/>
        <v>3568660.5996419871</v>
      </c>
      <c r="R277" s="2">
        <f t="shared" ca="1" si="113"/>
        <v>3908575.5600742418</v>
      </c>
      <c r="S277" s="2">
        <f t="shared" ca="1" si="113"/>
        <v>4286990.933223254</v>
      </c>
      <c r="T277" s="2">
        <f t="shared" ca="1" si="113"/>
        <v>4692251.4200382158</v>
      </c>
      <c r="U277" s="2">
        <f t="shared" ca="1" si="113"/>
        <v>4847985.6877391934</v>
      </c>
      <c r="V277" s="2">
        <f t="shared" ca="1" si="113"/>
        <v>5012101.3974451218</v>
      </c>
      <c r="W277" s="2">
        <f t="shared" ca="1" si="113"/>
        <v>705268.10054697481</v>
      </c>
      <c r="X277" s="2">
        <f t="shared" ca="1" si="113"/>
        <v>697248.06308889622</v>
      </c>
      <c r="Y277" s="2">
        <f t="shared" ca="1" si="113"/>
        <v>689085.25085048447</v>
      </c>
      <c r="Z277" s="2">
        <f t="shared" ca="1" si="113"/>
        <v>680754.08044453501</v>
      </c>
      <c r="AA277" s="2">
        <f t="shared" ca="1" si="113"/>
        <v>672230.6290671014</v>
      </c>
      <c r="AB277" s="2">
        <f t="shared" ref="AB277" ca="1" si="114">IF(V277=0,0,IF($G$15&gt;(AA277/V277)^(1/5)-1+2%,AA277*(AA277/V277)^(1/5)/($G$15-((AA277/V277)^(1/5)-1)),AA277*(1+$G$14)/$G$16))</f>
        <v>1175892.5346179712</v>
      </c>
    </row>
    <row r="278" spans="1:28" x14ac:dyDescent="0.25">
      <c r="E278" t="s">
        <v>23</v>
      </c>
      <c r="F278" t="s">
        <v>7</v>
      </c>
      <c r="G278" s="2" t="e">
        <f t="shared" ref="G278:AB278" ca="1" si="115">SUM(G268:G277)</f>
        <v>#REF!</v>
      </c>
      <c r="H278" s="2">
        <f t="shared" si="115"/>
        <v>-20987731.895408444</v>
      </c>
      <c r="I278" s="2">
        <f t="shared" ca="1" si="115"/>
        <v>-30002556.777104486</v>
      </c>
      <c r="J278" s="2">
        <f t="shared" ca="1" si="115"/>
        <v>-29476053.041665383</v>
      </c>
      <c r="K278" s="2">
        <f t="shared" ca="1" si="115"/>
        <v>-30031066.671385854</v>
      </c>
      <c r="L278" s="2">
        <f t="shared" ca="1" si="115"/>
        <v>-28099952.2425377</v>
      </c>
      <c r="M278" s="2">
        <f t="shared" ca="1" si="115"/>
        <v>-32358449.981489334</v>
      </c>
      <c r="N278" s="2">
        <f t="shared" ca="1" si="115"/>
        <v>-25302497.280698739</v>
      </c>
      <c r="O278" s="2">
        <f t="shared" ca="1" si="115"/>
        <v>-24645292.357383739</v>
      </c>
      <c r="P278" s="2">
        <f t="shared" ca="1" si="115"/>
        <v>-23874209.530634213</v>
      </c>
      <c r="Q278" s="2">
        <f t="shared" ca="1" si="115"/>
        <v>-23715661.17696631</v>
      </c>
      <c r="R278" s="2">
        <f t="shared" ca="1" si="115"/>
        <v>-23621364.354108363</v>
      </c>
      <c r="S278" s="2">
        <f t="shared" ca="1" si="115"/>
        <v>-23454174.839712948</v>
      </c>
      <c r="T278" s="2">
        <f t="shared" ca="1" si="115"/>
        <v>-23141341.372591194</v>
      </c>
      <c r="U278" s="2">
        <f t="shared" ca="1" si="115"/>
        <v>-22571561.204555288</v>
      </c>
      <c r="V278" s="2">
        <f t="shared" ca="1" si="115"/>
        <v>-22079001.280643038</v>
      </c>
      <c r="W278" s="2">
        <f t="shared" ca="1" si="115"/>
        <v>-18153479.475032285</v>
      </c>
      <c r="X278" s="2">
        <f t="shared" ca="1" si="115"/>
        <v>-18501889.570919853</v>
      </c>
      <c r="Y278" s="2">
        <f t="shared" ca="1" si="115"/>
        <v>-18852236.626573931</v>
      </c>
      <c r="Z278" s="2">
        <f t="shared" ca="1" si="115"/>
        <v>-19223495.101375621</v>
      </c>
      <c r="AA278" s="2">
        <f t="shared" ca="1" si="115"/>
        <v>-19614765.047215194</v>
      </c>
      <c r="AB278" s="2">
        <f t="shared" ca="1" si="115"/>
        <v>540399148.78154504</v>
      </c>
    </row>
    <row r="279" spans="1:28" x14ac:dyDescent="0.25">
      <c r="E279" t="s">
        <v>31</v>
      </c>
      <c r="F279" t="s">
        <v>7</v>
      </c>
      <c r="G279" s="2" t="e">
        <f ca="1">NPV($G$15,H278:AB278)+G278</f>
        <v>#REF!</v>
      </c>
    </row>
    <row r="280" spans="1:28" x14ac:dyDescent="0.25">
      <c r="E280" s="3" t="s">
        <v>34</v>
      </c>
      <c r="F280" s="3"/>
      <c r="G280" s="4" t="e">
        <f ca="1">IF(G279&gt;0,"N/A",IF(ABS(G279+G253)&gt;1,"Error","OK"))</f>
        <v>#REF!</v>
      </c>
    </row>
    <row r="282" spans="1:28" x14ac:dyDescent="0.25">
      <c r="C282" s="1" t="s">
        <v>36</v>
      </c>
      <c r="D282" s="1"/>
      <c r="G282" s="44"/>
    </row>
    <row r="283" spans="1:28" x14ac:dyDescent="0.25">
      <c r="A283" s="14">
        <f>'Notes &amp; Assumptions'!A67</f>
        <v>54</v>
      </c>
      <c r="C283" s="1"/>
      <c r="D283" s="1"/>
      <c r="E283" t="s">
        <v>42</v>
      </c>
      <c r="F283" t="s">
        <v>3</v>
      </c>
      <c r="G283" s="10"/>
      <c r="H283" s="10">
        <v>1</v>
      </c>
      <c r="I283" s="10">
        <v>1</v>
      </c>
      <c r="J283" s="10">
        <v>1</v>
      </c>
      <c r="K283" s="10">
        <v>1</v>
      </c>
      <c r="L283" s="10">
        <v>1</v>
      </c>
      <c r="M283" s="10">
        <v>1</v>
      </c>
      <c r="N283" s="10">
        <v>1</v>
      </c>
      <c r="O283" s="10">
        <v>1</v>
      </c>
      <c r="P283" s="10">
        <v>1</v>
      </c>
      <c r="Q283" s="10">
        <v>1</v>
      </c>
      <c r="R283" s="10">
        <v>1</v>
      </c>
      <c r="S283" s="10">
        <v>1</v>
      </c>
      <c r="T283" s="10">
        <v>1</v>
      </c>
      <c r="U283" s="10">
        <v>1</v>
      </c>
      <c r="V283" s="10">
        <v>1</v>
      </c>
      <c r="W283" s="10">
        <v>0</v>
      </c>
      <c r="X283" s="10">
        <v>0</v>
      </c>
      <c r="Y283" s="10">
        <v>0</v>
      </c>
      <c r="Z283" s="10">
        <v>0</v>
      </c>
      <c r="AA283" s="10">
        <v>0</v>
      </c>
    </row>
    <row r="284" spans="1:28" x14ac:dyDescent="0.25">
      <c r="E284" t="s">
        <v>37</v>
      </c>
      <c r="F284" t="s">
        <v>38</v>
      </c>
      <c r="G284" s="8" t="e">
        <f ca="1">MAX(0,-G311/(NPV($G$16,H283:AA283)+G283))</f>
        <v>#REF!</v>
      </c>
      <c r="H284" s="2" t="e">
        <f t="shared" ref="H284:AA284" ca="1" si="116">G284*(1+$G$14)</f>
        <v>#REF!</v>
      </c>
      <c r="I284" s="2" t="e">
        <f t="shared" ca="1" si="116"/>
        <v>#REF!</v>
      </c>
      <c r="J284" s="2" t="e">
        <f t="shared" ca="1" si="116"/>
        <v>#REF!</v>
      </c>
      <c r="K284" s="2" t="e">
        <f t="shared" ca="1" si="116"/>
        <v>#REF!</v>
      </c>
      <c r="L284" s="2" t="e">
        <f t="shared" ca="1" si="116"/>
        <v>#REF!</v>
      </c>
      <c r="M284" s="2" t="e">
        <f t="shared" ca="1" si="116"/>
        <v>#REF!</v>
      </c>
      <c r="N284" s="2" t="e">
        <f t="shared" ca="1" si="116"/>
        <v>#REF!</v>
      </c>
      <c r="O284" s="2" t="e">
        <f t="shared" ca="1" si="116"/>
        <v>#REF!</v>
      </c>
      <c r="P284" s="2" t="e">
        <f t="shared" ca="1" si="116"/>
        <v>#REF!</v>
      </c>
      <c r="Q284" s="2" t="e">
        <f t="shared" ca="1" si="116"/>
        <v>#REF!</v>
      </c>
      <c r="R284" s="2" t="e">
        <f t="shared" ca="1" si="116"/>
        <v>#REF!</v>
      </c>
      <c r="S284" s="2" t="e">
        <f t="shared" ca="1" si="116"/>
        <v>#REF!</v>
      </c>
      <c r="T284" s="2" t="e">
        <f t="shared" ca="1" si="116"/>
        <v>#REF!</v>
      </c>
      <c r="U284" s="2" t="e">
        <f t="shared" ca="1" si="116"/>
        <v>#REF!</v>
      </c>
      <c r="V284" s="2" t="e">
        <f t="shared" ca="1" si="116"/>
        <v>#REF!</v>
      </c>
      <c r="W284" s="2" t="e">
        <f t="shared" ca="1" si="116"/>
        <v>#REF!</v>
      </c>
      <c r="X284" s="2" t="e">
        <f t="shared" ca="1" si="116"/>
        <v>#REF!</v>
      </c>
      <c r="Y284" s="2" t="e">
        <f t="shared" ca="1" si="116"/>
        <v>#REF!</v>
      </c>
      <c r="Z284" s="2" t="e">
        <f t="shared" ca="1" si="116"/>
        <v>#REF!</v>
      </c>
      <c r="AA284" s="2" t="e">
        <f t="shared" ca="1" si="116"/>
        <v>#REF!</v>
      </c>
    </row>
    <row r="285" spans="1:28" x14ac:dyDescent="0.25">
      <c r="E285" t="s">
        <v>21</v>
      </c>
      <c r="F285" t="s">
        <v>7</v>
      </c>
      <c r="G285" s="2" t="e">
        <f ca="1">G283*G284</f>
        <v>#REF!</v>
      </c>
      <c r="H285" s="2" t="e">
        <f t="shared" ref="H285:AA285" ca="1" si="117">H283*H284</f>
        <v>#REF!</v>
      </c>
      <c r="I285" s="2" t="e">
        <f t="shared" ca="1" si="117"/>
        <v>#REF!</v>
      </c>
      <c r="J285" s="2" t="e">
        <f t="shared" ca="1" si="117"/>
        <v>#REF!</v>
      </c>
      <c r="K285" s="2" t="e">
        <f t="shared" ca="1" si="117"/>
        <v>#REF!</v>
      </c>
      <c r="L285" s="2" t="e">
        <f t="shared" ca="1" si="117"/>
        <v>#REF!</v>
      </c>
      <c r="M285" s="2" t="e">
        <f t="shared" ca="1" si="117"/>
        <v>#REF!</v>
      </c>
      <c r="N285" s="2" t="e">
        <f t="shared" ca="1" si="117"/>
        <v>#REF!</v>
      </c>
      <c r="O285" s="2" t="e">
        <f t="shared" ca="1" si="117"/>
        <v>#REF!</v>
      </c>
      <c r="P285" s="2" t="e">
        <f t="shared" ca="1" si="117"/>
        <v>#REF!</v>
      </c>
      <c r="Q285" s="2" t="e">
        <f t="shared" ca="1" si="117"/>
        <v>#REF!</v>
      </c>
      <c r="R285" s="2" t="e">
        <f t="shared" ca="1" si="117"/>
        <v>#REF!</v>
      </c>
      <c r="S285" s="2" t="e">
        <f t="shared" ca="1" si="117"/>
        <v>#REF!</v>
      </c>
      <c r="T285" s="2" t="e">
        <f t="shared" ca="1" si="117"/>
        <v>#REF!</v>
      </c>
      <c r="U285" s="2" t="e">
        <f t="shared" ca="1" si="117"/>
        <v>#REF!</v>
      </c>
      <c r="V285" s="2" t="e">
        <f t="shared" ca="1" si="117"/>
        <v>#REF!</v>
      </c>
      <c r="W285" s="2" t="e">
        <f t="shared" ca="1" si="117"/>
        <v>#REF!</v>
      </c>
      <c r="X285" s="2" t="e">
        <f t="shared" ca="1" si="117"/>
        <v>#REF!</v>
      </c>
      <c r="Y285" s="2" t="e">
        <f t="shared" ca="1" si="117"/>
        <v>#REF!</v>
      </c>
      <c r="Z285" s="2" t="e">
        <f t="shared" ca="1" si="117"/>
        <v>#REF!</v>
      </c>
      <c r="AA285" s="2" t="e">
        <f t="shared" ca="1" si="117"/>
        <v>#REF!</v>
      </c>
    </row>
    <row r="286" spans="1:28" x14ac:dyDescent="0.25">
      <c r="G286" s="8" t="e">
        <f ca="1">-G311/(NPV($G$16,H283:AA283)+G283)</f>
        <v>#REF!</v>
      </c>
    </row>
    <row r="287" spans="1:28" x14ac:dyDescent="0.25">
      <c r="D287" t="s">
        <v>9</v>
      </c>
    </row>
    <row r="288" spans="1:28" x14ac:dyDescent="0.25">
      <c r="E288" t="s">
        <v>107</v>
      </c>
      <c r="F288" t="s">
        <v>7</v>
      </c>
      <c r="G288" s="2">
        <f t="shared" ref="G288:AA293" si="118">G222</f>
        <v>0</v>
      </c>
      <c r="H288" s="2">
        <f t="shared" si="118"/>
        <v>35642088.999999993</v>
      </c>
      <c r="I288" s="2">
        <f t="shared" si="118"/>
        <v>34471438.987999991</v>
      </c>
      <c r="J288" s="2">
        <f t="shared" si="118"/>
        <v>33874023.921329536</v>
      </c>
      <c r="K288" s="2">
        <f t="shared" si="118"/>
        <v>31485234.146776929</v>
      </c>
      <c r="L288" s="2">
        <f t="shared" si="118"/>
        <v>29102334.548788421</v>
      </c>
      <c r="M288" s="2">
        <f t="shared" si="118"/>
        <v>26770404.319784526</v>
      </c>
      <c r="N288" s="2">
        <f t="shared" si="118"/>
        <v>24501765.991871051</v>
      </c>
      <c r="O288" s="2">
        <f t="shared" si="118"/>
        <v>22294255.527520508</v>
      </c>
      <c r="P288" s="2">
        <f t="shared" si="118"/>
        <v>22225666.624848187</v>
      </c>
      <c r="Q288" s="2">
        <f t="shared" si="118"/>
        <v>22034929.480846372</v>
      </c>
      <c r="R288" s="2">
        <f t="shared" si="118"/>
        <v>23818234.423713431</v>
      </c>
      <c r="S288" s="2">
        <f t="shared" si="118"/>
        <v>25785741.558844842</v>
      </c>
      <c r="T288" s="2">
        <f t="shared" si="118"/>
        <v>27864816.90457559</v>
      </c>
      <c r="U288" s="2">
        <f t="shared" si="118"/>
        <v>28252867.210183382</v>
      </c>
      <c r="V288" s="2">
        <f t="shared" si="118"/>
        <v>28659746.141032089</v>
      </c>
      <c r="W288" s="2">
        <f t="shared" si="118"/>
        <v>0</v>
      </c>
      <c r="X288" s="2">
        <f t="shared" si="118"/>
        <v>0</v>
      </c>
      <c r="Y288" s="2">
        <f t="shared" si="118"/>
        <v>0</v>
      </c>
      <c r="Z288" s="2">
        <f t="shared" si="118"/>
        <v>0</v>
      </c>
      <c r="AA288" s="2">
        <f t="shared" si="118"/>
        <v>0</v>
      </c>
    </row>
    <row r="289" spans="4:28" customFormat="1" x14ac:dyDescent="0.25">
      <c r="E289" t="s">
        <v>11</v>
      </c>
      <c r="F289" t="s">
        <v>7</v>
      </c>
      <c r="G289" s="2">
        <f t="shared" si="118"/>
        <v>0</v>
      </c>
      <c r="H289" s="2">
        <f t="shared" si="118"/>
        <v>6182225.9834038224</v>
      </c>
      <c r="I289" s="2">
        <f t="shared" si="118"/>
        <v>11995790.371626098</v>
      </c>
      <c r="J289" s="2">
        <f t="shared" si="118"/>
        <v>18050339.664931763</v>
      </c>
      <c r="K289" s="2">
        <f t="shared" si="118"/>
        <v>23862148.984883003</v>
      </c>
      <c r="L289" s="2">
        <f t="shared" si="118"/>
        <v>29434925.431030251</v>
      </c>
      <c r="M289" s="2">
        <f t="shared" si="118"/>
        <v>34761099.634969912</v>
      </c>
      <c r="N289" s="2">
        <f t="shared" si="118"/>
        <v>39853053.565400161</v>
      </c>
      <c r="O289" s="2">
        <f t="shared" si="118"/>
        <v>44714011.691100597</v>
      </c>
      <c r="P289" s="2">
        <f t="shared" si="118"/>
        <v>49721988.340728059</v>
      </c>
      <c r="Q289" s="2">
        <f t="shared" si="118"/>
        <v>54874142.127276734</v>
      </c>
      <c r="R289" s="2">
        <f t="shared" si="118"/>
        <v>60466460.73169291</v>
      </c>
      <c r="S289" s="2">
        <f t="shared" si="118"/>
        <v>66548323.248618223</v>
      </c>
      <c r="T289" s="2">
        <f t="shared" si="118"/>
        <v>73138773.863265544</v>
      </c>
      <c r="U289" s="2">
        <f t="shared" si="118"/>
        <v>79936734.338239014</v>
      </c>
      <c r="V289" s="2">
        <f t="shared" si="118"/>
        <v>86960520.226442367</v>
      </c>
      <c r="W289" s="2">
        <f t="shared" si="118"/>
        <v>88786691.151197642</v>
      </c>
      <c r="X289" s="2">
        <f t="shared" si="118"/>
        <v>90651211.665372789</v>
      </c>
      <c r="Y289" s="2">
        <f t="shared" si="118"/>
        <v>92554887.110345602</v>
      </c>
      <c r="Z289" s="2">
        <f t="shared" si="118"/>
        <v>94498539.739662856</v>
      </c>
      <c r="AA289" s="2">
        <f t="shared" si="118"/>
        <v>96483009.074195772</v>
      </c>
    </row>
    <row r="290" spans="4:28" customFormat="1" x14ac:dyDescent="0.25">
      <c r="E290" t="s">
        <v>57</v>
      </c>
      <c r="F290" t="s">
        <v>7</v>
      </c>
      <c r="G290" s="2">
        <f t="shared" si="118"/>
        <v>0</v>
      </c>
      <c r="H290" s="2">
        <f t="shared" si="118"/>
        <v>-4081304.5861971751</v>
      </c>
      <c r="I290" s="2">
        <f t="shared" si="118"/>
        <v>-8124453.3182916604</v>
      </c>
      <c r="J290" s="2">
        <f t="shared" si="118"/>
        <v>-12199213.412921648</v>
      </c>
      <c r="K290" s="2">
        <f t="shared" si="118"/>
        <v>-16078452.883336719</v>
      </c>
      <c r="L290" s="2">
        <f t="shared" si="118"/>
        <v>-19769297.856755786</v>
      </c>
      <c r="M290" s="2">
        <f t="shared" si="118"/>
        <v>-23272672.93213268</v>
      </c>
      <c r="N290" s="2">
        <f t="shared" si="118"/>
        <v>-26592500.398821432</v>
      </c>
      <c r="O290" s="2">
        <f t="shared" si="118"/>
        <v>-29731751.2251908</v>
      </c>
      <c r="P290" s="2">
        <f t="shared" si="118"/>
        <v>-32933959.355104275</v>
      </c>
      <c r="Q290" s="2">
        <f t="shared" si="118"/>
        <v>-36187705.326668009</v>
      </c>
      <c r="R290" s="2">
        <f t="shared" si="118"/>
        <v>-39717092.654547654</v>
      </c>
      <c r="S290" s="2">
        <f t="shared" si="118"/>
        <v>-43549830.841256797</v>
      </c>
      <c r="T290" s="2">
        <f t="shared" si="118"/>
        <v>-47704218.710662022</v>
      </c>
      <c r="U290" s="2">
        <f t="shared" si="118"/>
        <v>-51990689.053647444</v>
      </c>
      <c r="V290" s="2">
        <f t="shared" si="118"/>
        <v>-56415111.355761826</v>
      </c>
      <c r="W290" s="2">
        <f t="shared" si="118"/>
        <v>-57599828.694232821</v>
      </c>
      <c r="X290" s="2">
        <f t="shared" si="118"/>
        <v>-58809425.096811704</v>
      </c>
      <c r="Y290" s="2">
        <f t="shared" si="118"/>
        <v>-60044423.023844734</v>
      </c>
      <c r="Z290" s="2">
        <f t="shared" si="118"/>
        <v>-61305355.907345481</v>
      </c>
      <c r="AA290" s="2">
        <f t="shared" si="118"/>
        <v>-62592768.381399721</v>
      </c>
    </row>
    <row r="291" spans="4:28" customFormat="1" x14ac:dyDescent="0.25">
      <c r="E291" t="s">
        <v>10</v>
      </c>
      <c r="F291" t="s">
        <v>7</v>
      </c>
      <c r="G291" s="2">
        <f t="shared" si="118"/>
        <v>0</v>
      </c>
      <c r="H291" s="2">
        <f t="shared" si="118"/>
        <v>-1160913.7559999998</v>
      </c>
      <c r="I291" s="2">
        <f t="shared" si="118"/>
        <v>-2308076.9576279996</v>
      </c>
      <c r="J291" s="2">
        <f t="shared" si="118"/>
        <v>-3459871.9243186354</v>
      </c>
      <c r="K291" s="2">
        <f t="shared" si="118"/>
        <v>-4558048.289795775</v>
      </c>
      <c r="L291" s="2">
        <f t="shared" si="118"/>
        <v>-5601671.9148991657</v>
      </c>
      <c r="M291" s="2">
        <f t="shared" si="118"/>
        <v>-6591257.337242173</v>
      </c>
      <c r="N291" s="2">
        <f t="shared" si="118"/>
        <v>-7527731.2622023439</v>
      </c>
      <c r="O291" s="2">
        <f t="shared" si="118"/>
        <v>-8411969.3701764047</v>
      </c>
      <c r="P291" s="2">
        <f t="shared" si="118"/>
        <v>-9312542.4398737326</v>
      </c>
      <c r="Q291" s="2">
        <f t="shared" si="118"/>
        <v>-10225814.962772934</v>
      </c>
      <c r="R291" s="2">
        <f t="shared" si="118"/>
        <v>-11216350.998220688</v>
      </c>
      <c r="S291" s="2">
        <f t="shared" si="118"/>
        <v>-12291772.808528552</v>
      </c>
      <c r="T291" s="2">
        <f t="shared" si="118"/>
        <v>-13457496.930970971</v>
      </c>
      <c r="U291" s="2">
        <f t="shared" si="118"/>
        <v>-14660340.612795902</v>
      </c>
      <c r="V291" s="2">
        <f t="shared" si="118"/>
        <v>-15901696.639972519</v>
      </c>
      <c r="W291" s="2">
        <f t="shared" si="118"/>
        <v>-16235632.26941194</v>
      </c>
      <c r="X291" s="2">
        <f t="shared" si="118"/>
        <v>-16576580.547069591</v>
      </c>
      <c r="Y291" s="2">
        <f t="shared" si="118"/>
        <v>-16924688.73855805</v>
      </c>
      <c r="Z291" s="2">
        <f t="shared" si="118"/>
        <v>-17280107.202067766</v>
      </c>
      <c r="AA291" s="2">
        <f t="shared" si="118"/>
        <v>-17642989.45331119</v>
      </c>
    </row>
    <row r="292" spans="4:28" customFormat="1" x14ac:dyDescent="0.25">
      <c r="E292" t="s">
        <v>12</v>
      </c>
      <c r="F292" t="s">
        <v>7</v>
      </c>
      <c r="G292" s="2">
        <f t="shared" si="118"/>
        <v>-558879.70087703061</v>
      </c>
      <c r="H292" s="2">
        <f t="shared" si="118"/>
        <v>-1139473.4236991303</v>
      </c>
      <c r="I292" s="2">
        <f t="shared" ca="1" si="118"/>
        <v>-1816189.8623391949</v>
      </c>
      <c r="J292" s="2">
        <f t="shared" ca="1" si="118"/>
        <v>-2490357.5644280557</v>
      </c>
      <c r="K292" s="2">
        <f t="shared" ca="1" si="118"/>
        <v>-3157122.950858755</v>
      </c>
      <c r="L292" s="2">
        <f t="shared" ca="1" si="118"/>
        <v>-3788896.6555009997</v>
      </c>
      <c r="M292" s="2">
        <f t="shared" ca="1" si="118"/>
        <v>-4454942.5332125984</v>
      </c>
      <c r="N292" s="2">
        <f t="shared" ca="1" si="118"/>
        <v>-5030013.6336298604</v>
      </c>
      <c r="O292" s="2">
        <f t="shared" ca="1" si="118"/>
        <v>-5585769.4381061429</v>
      </c>
      <c r="P292" s="2">
        <f t="shared" ca="1" si="118"/>
        <v>-6141785.6333355103</v>
      </c>
      <c r="Q292" s="2">
        <f t="shared" ca="1" si="118"/>
        <v>-6704480.6544022486</v>
      </c>
      <c r="R292" s="2">
        <f t="shared" ca="1" si="118"/>
        <v>-7294081.1021430502</v>
      </c>
      <c r="S292" s="2">
        <f t="shared" ca="1" si="118"/>
        <v>-7912521.6028560214</v>
      </c>
      <c r="T292" s="2">
        <f t="shared" ca="1" si="118"/>
        <v>-8560198.9926200323</v>
      </c>
      <c r="U292" s="2">
        <f t="shared" ca="1" si="118"/>
        <v>-9218667.2970510907</v>
      </c>
      <c r="V292" s="2">
        <f t="shared" ca="1" si="118"/>
        <v>-9889449.0554392897</v>
      </c>
      <c r="W292" s="2">
        <f t="shared" ca="1" si="118"/>
        <v>-10249442.850573048</v>
      </c>
      <c r="X292" s="2">
        <f t="shared" ca="1" si="118"/>
        <v>-10616885.600898853</v>
      </c>
      <c r="Y292" s="2">
        <f t="shared" ca="1" si="118"/>
        <v>-10991873.675606254</v>
      </c>
      <c r="Z292" s="2">
        <f t="shared" ca="1" si="118"/>
        <v>-11374716.093952708</v>
      </c>
      <c r="AA292" s="2">
        <f t="shared" ca="1" si="118"/>
        <v>-11765713.712370852</v>
      </c>
    </row>
    <row r="293" spans="4:28" customFormat="1" x14ac:dyDescent="0.25">
      <c r="E293" t="s">
        <v>48</v>
      </c>
      <c r="F293" t="s">
        <v>7</v>
      </c>
      <c r="G293" s="2">
        <f t="shared" si="118"/>
        <v>0</v>
      </c>
      <c r="H293" s="2">
        <f t="shared" si="118"/>
        <v>0</v>
      </c>
      <c r="I293" s="2">
        <f t="shared" si="118"/>
        <v>0</v>
      </c>
      <c r="J293" s="2">
        <f t="shared" si="118"/>
        <v>0</v>
      </c>
      <c r="K293" s="2">
        <f t="shared" si="118"/>
        <v>0</v>
      </c>
      <c r="L293" s="2">
        <f t="shared" si="118"/>
        <v>0</v>
      </c>
      <c r="M293" s="2">
        <f t="shared" si="118"/>
        <v>0</v>
      </c>
      <c r="N293" s="2">
        <f t="shared" si="118"/>
        <v>0</v>
      </c>
      <c r="O293" s="2">
        <f t="shared" si="118"/>
        <v>0</v>
      </c>
      <c r="P293" s="2">
        <f t="shared" si="118"/>
        <v>0</v>
      </c>
      <c r="Q293" s="2">
        <f t="shared" si="118"/>
        <v>0</v>
      </c>
      <c r="R293" s="2">
        <f t="shared" si="118"/>
        <v>0</v>
      </c>
      <c r="S293" s="2">
        <f t="shared" si="118"/>
        <v>0</v>
      </c>
      <c r="T293" s="2">
        <f t="shared" si="118"/>
        <v>0</v>
      </c>
      <c r="U293" s="2">
        <f t="shared" si="118"/>
        <v>0</v>
      </c>
      <c r="V293" s="2">
        <f t="shared" si="118"/>
        <v>0</v>
      </c>
      <c r="W293" s="2">
        <f t="shared" si="118"/>
        <v>0</v>
      </c>
      <c r="X293" s="2">
        <f t="shared" si="118"/>
        <v>0</v>
      </c>
      <c r="Y293" s="2">
        <f t="shared" si="118"/>
        <v>0</v>
      </c>
      <c r="Z293" s="2">
        <f t="shared" si="118"/>
        <v>0</v>
      </c>
      <c r="AA293" s="2">
        <f t="shared" si="118"/>
        <v>0</v>
      </c>
    </row>
    <row r="294" spans="4:28" customFormat="1" x14ac:dyDescent="0.25">
      <c r="E294" t="s">
        <v>13</v>
      </c>
      <c r="F294" t="s">
        <v>7</v>
      </c>
      <c r="G294" s="2" t="e">
        <f t="shared" ref="G294:AA294" ca="1" si="119">G285</f>
        <v>#REF!</v>
      </c>
      <c r="H294" s="2" t="e">
        <f t="shared" ca="1" si="119"/>
        <v>#REF!</v>
      </c>
      <c r="I294" s="2" t="e">
        <f t="shared" ca="1" si="119"/>
        <v>#REF!</v>
      </c>
      <c r="J294" s="2" t="e">
        <f t="shared" ca="1" si="119"/>
        <v>#REF!</v>
      </c>
      <c r="K294" s="2" t="e">
        <f t="shared" ca="1" si="119"/>
        <v>#REF!</v>
      </c>
      <c r="L294" s="2" t="e">
        <f t="shared" ca="1" si="119"/>
        <v>#REF!</v>
      </c>
      <c r="M294" s="2" t="e">
        <f t="shared" ca="1" si="119"/>
        <v>#REF!</v>
      </c>
      <c r="N294" s="2" t="e">
        <f t="shared" ca="1" si="119"/>
        <v>#REF!</v>
      </c>
      <c r="O294" s="2" t="e">
        <f t="shared" ca="1" si="119"/>
        <v>#REF!</v>
      </c>
      <c r="P294" s="2" t="e">
        <f t="shared" ca="1" si="119"/>
        <v>#REF!</v>
      </c>
      <c r="Q294" s="2" t="e">
        <f t="shared" ca="1" si="119"/>
        <v>#REF!</v>
      </c>
      <c r="R294" s="2" t="e">
        <f t="shared" ca="1" si="119"/>
        <v>#REF!</v>
      </c>
      <c r="S294" s="2" t="e">
        <f t="shared" ca="1" si="119"/>
        <v>#REF!</v>
      </c>
      <c r="T294" s="2" t="e">
        <f t="shared" ca="1" si="119"/>
        <v>#REF!</v>
      </c>
      <c r="U294" s="2" t="e">
        <f t="shared" ca="1" si="119"/>
        <v>#REF!</v>
      </c>
      <c r="V294" s="2" t="e">
        <f t="shared" ca="1" si="119"/>
        <v>#REF!</v>
      </c>
      <c r="W294" s="2" t="e">
        <f t="shared" ca="1" si="119"/>
        <v>#REF!</v>
      </c>
      <c r="X294" s="2" t="e">
        <f t="shared" ca="1" si="119"/>
        <v>#REF!</v>
      </c>
      <c r="Y294" s="2" t="e">
        <f t="shared" ca="1" si="119"/>
        <v>#REF!</v>
      </c>
      <c r="Z294" s="2" t="e">
        <f t="shared" ca="1" si="119"/>
        <v>#REF!</v>
      </c>
      <c r="AA294" s="2" t="e">
        <f t="shared" ca="1" si="119"/>
        <v>#REF!</v>
      </c>
    </row>
    <row r="295" spans="4:28" customFormat="1" x14ac:dyDescent="0.25"/>
    <row r="296" spans="4:28" customFormat="1" x14ac:dyDescent="0.25">
      <c r="E296" t="s">
        <v>14</v>
      </c>
      <c r="F296" t="s">
        <v>7</v>
      </c>
      <c r="G296" s="2" t="e">
        <f t="shared" ref="G296:AA296" ca="1" si="120">SUM(G288:G294)</f>
        <v>#REF!</v>
      </c>
      <c r="H296" s="2" t="e">
        <f t="shared" ca="1" si="120"/>
        <v>#REF!</v>
      </c>
      <c r="I296" s="2" t="e">
        <f t="shared" ca="1" si="120"/>
        <v>#REF!</v>
      </c>
      <c r="J296" s="2" t="e">
        <f t="shared" ca="1" si="120"/>
        <v>#REF!</v>
      </c>
      <c r="K296" s="2" t="e">
        <f t="shared" ca="1" si="120"/>
        <v>#REF!</v>
      </c>
      <c r="L296" s="2" t="e">
        <f t="shared" ca="1" si="120"/>
        <v>#REF!</v>
      </c>
      <c r="M296" s="2" t="e">
        <f t="shared" ca="1" si="120"/>
        <v>#REF!</v>
      </c>
      <c r="N296" s="2" t="e">
        <f t="shared" ca="1" si="120"/>
        <v>#REF!</v>
      </c>
      <c r="O296" s="2" t="e">
        <f t="shared" ca="1" si="120"/>
        <v>#REF!</v>
      </c>
      <c r="P296" s="2" t="e">
        <f t="shared" ca="1" si="120"/>
        <v>#REF!</v>
      </c>
      <c r="Q296" s="2" t="e">
        <f t="shared" ca="1" si="120"/>
        <v>#REF!</v>
      </c>
      <c r="R296" s="2" t="e">
        <f t="shared" ca="1" si="120"/>
        <v>#REF!</v>
      </c>
      <c r="S296" s="2" t="e">
        <f t="shared" ca="1" si="120"/>
        <v>#REF!</v>
      </c>
      <c r="T296" s="2" t="e">
        <f t="shared" ca="1" si="120"/>
        <v>#REF!</v>
      </c>
      <c r="U296" s="2" t="e">
        <f t="shared" ca="1" si="120"/>
        <v>#REF!</v>
      </c>
      <c r="V296" s="2" t="e">
        <f t="shared" ca="1" si="120"/>
        <v>#REF!</v>
      </c>
      <c r="W296" s="2" t="e">
        <f t="shared" ca="1" si="120"/>
        <v>#REF!</v>
      </c>
      <c r="X296" s="2" t="e">
        <f t="shared" ca="1" si="120"/>
        <v>#REF!</v>
      </c>
      <c r="Y296" s="2" t="e">
        <f t="shared" ca="1" si="120"/>
        <v>#REF!</v>
      </c>
      <c r="Z296" s="2" t="e">
        <f t="shared" ca="1" si="120"/>
        <v>#REF!</v>
      </c>
      <c r="AA296" s="2" t="e">
        <f t="shared" ca="1" si="120"/>
        <v>#REF!</v>
      </c>
    </row>
    <row r="297" spans="4:28" customFormat="1" x14ac:dyDescent="0.25">
      <c r="E297" t="s">
        <v>15</v>
      </c>
      <c r="F297" t="s">
        <v>7</v>
      </c>
      <c r="G297" s="2" t="e">
        <f t="shared" ref="G297:AA297" ca="1" si="121">-G296*G$18</f>
        <v>#REF!</v>
      </c>
      <c r="H297" s="2" t="e">
        <f t="shared" ca="1" si="121"/>
        <v>#REF!</v>
      </c>
      <c r="I297" s="2" t="e">
        <f t="shared" ca="1" si="121"/>
        <v>#REF!</v>
      </c>
      <c r="J297" s="2" t="e">
        <f t="shared" ca="1" si="121"/>
        <v>#REF!</v>
      </c>
      <c r="K297" s="2" t="e">
        <f t="shared" ca="1" si="121"/>
        <v>#REF!</v>
      </c>
      <c r="L297" s="2" t="e">
        <f t="shared" ca="1" si="121"/>
        <v>#REF!</v>
      </c>
      <c r="M297" s="2" t="e">
        <f t="shared" ca="1" si="121"/>
        <v>#REF!</v>
      </c>
      <c r="N297" s="2" t="e">
        <f t="shared" ca="1" si="121"/>
        <v>#REF!</v>
      </c>
      <c r="O297" s="2" t="e">
        <f t="shared" ca="1" si="121"/>
        <v>#REF!</v>
      </c>
      <c r="P297" s="2" t="e">
        <f t="shared" ca="1" si="121"/>
        <v>#REF!</v>
      </c>
      <c r="Q297" s="2" t="e">
        <f t="shared" ca="1" si="121"/>
        <v>#REF!</v>
      </c>
      <c r="R297" s="2" t="e">
        <f t="shared" ca="1" si="121"/>
        <v>#REF!</v>
      </c>
      <c r="S297" s="2" t="e">
        <f t="shared" ca="1" si="121"/>
        <v>#REF!</v>
      </c>
      <c r="T297" s="2" t="e">
        <f t="shared" ca="1" si="121"/>
        <v>#REF!</v>
      </c>
      <c r="U297" s="2" t="e">
        <f t="shared" ca="1" si="121"/>
        <v>#REF!</v>
      </c>
      <c r="V297" s="2" t="e">
        <f t="shared" ca="1" si="121"/>
        <v>#REF!</v>
      </c>
      <c r="W297" s="2" t="e">
        <f t="shared" ca="1" si="121"/>
        <v>#REF!</v>
      </c>
      <c r="X297" s="2" t="e">
        <f t="shared" ca="1" si="121"/>
        <v>#REF!</v>
      </c>
      <c r="Y297" s="2" t="e">
        <f t="shared" ca="1" si="121"/>
        <v>#REF!</v>
      </c>
      <c r="Z297" s="2" t="e">
        <f t="shared" ca="1" si="121"/>
        <v>#REF!</v>
      </c>
      <c r="AA297" s="2" t="e">
        <f t="shared" ca="1" si="121"/>
        <v>#REF!</v>
      </c>
    </row>
    <row r="298" spans="4:28" customFormat="1" x14ac:dyDescent="0.25"/>
    <row r="299" spans="4:28" customFormat="1" x14ac:dyDescent="0.25">
      <c r="D299" t="s">
        <v>28</v>
      </c>
    </row>
    <row r="300" spans="4:28" customFormat="1" x14ac:dyDescent="0.25">
      <c r="E300" t="s">
        <v>1</v>
      </c>
      <c r="F300" t="s">
        <v>7</v>
      </c>
      <c r="G300" s="2">
        <f t="shared" ref="G300:AA307" si="122">G234</f>
        <v>-50299173.078932755</v>
      </c>
      <c r="H300" s="2">
        <f t="shared" si="122"/>
        <v>-16611346.053988967</v>
      </c>
      <c r="I300" s="2">
        <f t="shared" ca="1" si="122"/>
        <v>-26433040.489605837</v>
      </c>
      <c r="J300" s="2">
        <f t="shared" ca="1" si="122"/>
        <v>-26801069.266667921</v>
      </c>
      <c r="K300" s="2">
        <f t="shared" ca="1" si="122"/>
        <v>-28523650.631986063</v>
      </c>
      <c r="L300" s="2">
        <f t="shared" ca="1" si="122"/>
        <v>-27757298.869013589</v>
      </c>
      <c r="M300" s="2">
        <f t="shared" ca="1" si="122"/>
        <v>-33173724.674259342</v>
      </c>
      <c r="N300" s="2">
        <f t="shared" ca="1" si="122"/>
        <v>-27254633.045682486</v>
      </c>
      <c r="O300" s="2">
        <f t="shared" ca="1" si="122"/>
        <v>-27723766.875344969</v>
      </c>
      <c r="P300" s="2">
        <f t="shared" ca="1" si="122"/>
        <v>-27815790.945794858</v>
      </c>
      <c r="Q300" s="2">
        <f t="shared" ca="1" si="122"/>
        <v>-28607622.415160112</v>
      </c>
      <c r="R300" s="2">
        <f t="shared" ca="1" si="122"/>
        <v>-29245805.87295869</v>
      </c>
      <c r="S300" s="2">
        <f t="shared" ca="1" si="122"/>
        <v>-29873903.505322564</v>
      </c>
      <c r="T300" s="2">
        <f t="shared" ca="1" si="122"/>
        <v>-30426148.174185529</v>
      </c>
      <c r="U300" s="2">
        <f t="shared" ca="1" si="122"/>
        <v>-31009280.188611764</v>
      </c>
      <c r="V300" s="2">
        <f t="shared" ca="1" si="122"/>
        <v>-31710612.11390594</v>
      </c>
      <c r="W300" s="2">
        <f t="shared" ca="1" si="122"/>
        <v>-32399441.562038191</v>
      </c>
      <c r="X300" s="2">
        <f t="shared" ca="1" si="122"/>
        <v>-33069847.529322453</v>
      </c>
      <c r="Y300" s="2">
        <f t="shared" ca="1" si="122"/>
        <v>-33748926.723666266</v>
      </c>
      <c r="Z300" s="2">
        <f t="shared" ca="1" si="122"/>
        <v>-34455817.651180692</v>
      </c>
      <c r="AA300" s="2">
        <f t="shared" ca="1" si="122"/>
        <v>-35189785.657632954</v>
      </c>
    </row>
    <row r="301" spans="4:28" customFormat="1" x14ac:dyDescent="0.25">
      <c r="E301" t="s">
        <v>19</v>
      </c>
      <c r="F301" t="s">
        <v>7</v>
      </c>
      <c r="G301" s="2">
        <f t="shared" si="122"/>
        <v>0</v>
      </c>
      <c r="H301" s="2">
        <f t="shared" si="122"/>
        <v>0</v>
      </c>
      <c r="I301" s="2">
        <f t="shared" si="122"/>
        <v>0</v>
      </c>
      <c r="J301" s="2">
        <f t="shared" si="122"/>
        <v>0</v>
      </c>
      <c r="K301" s="2">
        <f t="shared" si="122"/>
        <v>0</v>
      </c>
      <c r="L301" s="2">
        <f t="shared" si="122"/>
        <v>0</v>
      </c>
      <c r="M301" s="2">
        <f t="shared" si="122"/>
        <v>0</v>
      </c>
      <c r="N301" s="2">
        <f t="shared" si="122"/>
        <v>0</v>
      </c>
      <c r="O301" s="2">
        <f t="shared" si="122"/>
        <v>0</v>
      </c>
      <c r="P301" s="2">
        <f t="shared" si="122"/>
        <v>0</v>
      </c>
      <c r="Q301" s="2">
        <f t="shared" si="122"/>
        <v>0</v>
      </c>
      <c r="R301" s="2">
        <f t="shared" si="122"/>
        <v>0</v>
      </c>
      <c r="S301" s="2">
        <f t="shared" si="122"/>
        <v>0</v>
      </c>
      <c r="T301" s="2">
        <f t="shared" si="122"/>
        <v>0</v>
      </c>
      <c r="U301" s="2">
        <f t="shared" si="122"/>
        <v>0</v>
      </c>
      <c r="V301" s="2">
        <f t="shared" si="122"/>
        <v>0</v>
      </c>
      <c r="W301" s="2">
        <f t="shared" si="122"/>
        <v>0</v>
      </c>
      <c r="X301" s="2">
        <f t="shared" si="122"/>
        <v>0</v>
      </c>
      <c r="Y301" s="2">
        <f t="shared" si="122"/>
        <v>0</v>
      </c>
      <c r="Z301" s="2">
        <f t="shared" si="122"/>
        <v>0</v>
      </c>
      <c r="AA301" s="2">
        <f t="shared" si="122"/>
        <v>0</v>
      </c>
    </row>
    <row r="302" spans="4:28" customFormat="1" x14ac:dyDescent="0.25">
      <c r="E302" t="s">
        <v>109</v>
      </c>
      <c r="F302" t="s">
        <v>7</v>
      </c>
      <c r="G302" s="2">
        <f t="shared" si="122"/>
        <v>0</v>
      </c>
      <c r="H302" s="2">
        <f t="shared" si="122"/>
        <v>0</v>
      </c>
      <c r="I302" s="2">
        <f t="shared" si="122"/>
        <v>0</v>
      </c>
      <c r="J302" s="2">
        <f t="shared" si="122"/>
        <v>0</v>
      </c>
      <c r="K302" s="2">
        <f t="shared" si="122"/>
        <v>0</v>
      </c>
      <c r="L302" s="2">
        <f t="shared" si="122"/>
        <v>0</v>
      </c>
      <c r="M302" s="2">
        <f t="shared" si="122"/>
        <v>0</v>
      </c>
      <c r="N302" s="2">
        <f t="shared" si="122"/>
        <v>0</v>
      </c>
      <c r="O302" s="2">
        <f t="shared" si="122"/>
        <v>0</v>
      </c>
      <c r="P302" s="2">
        <f t="shared" si="122"/>
        <v>0</v>
      </c>
      <c r="Q302" s="2">
        <f t="shared" si="122"/>
        <v>0</v>
      </c>
      <c r="R302" s="2">
        <f t="shared" si="122"/>
        <v>0</v>
      </c>
      <c r="S302" s="2">
        <f t="shared" si="122"/>
        <v>0</v>
      </c>
      <c r="T302" s="2">
        <f t="shared" si="122"/>
        <v>0</v>
      </c>
      <c r="U302" s="2">
        <f t="shared" si="122"/>
        <v>0</v>
      </c>
      <c r="V302" s="2">
        <f t="shared" si="122"/>
        <v>0</v>
      </c>
      <c r="W302" s="2">
        <f t="shared" si="122"/>
        <v>0</v>
      </c>
      <c r="X302" s="2">
        <f t="shared" si="122"/>
        <v>0</v>
      </c>
      <c r="Y302" s="2">
        <f t="shared" si="122"/>
        <v>0</v>
      </c>
      <c r="Z302" s="2">
        <f t="shared" si="122"/>
        <v>0</v>
      </c>
      <c r="AA302" s="2">
        <f t="shared" si="122"/>
        <v>0</v>
      </c>
    </row>
    <row r="303" spans="4:28" customFormat="1" x14ac:dyDescent="0.25">
      <c r="E303" t="s">
        <v>11</v>
      </c>
      <c r="F303" t="s">
        <v>7</v>
      </c>
      <c r="G303" s="2">
        <f t="shared" si="122"/>
        <v>0</v>
      </c>
      <c r="H303" s="2">
        <f t="shared" si="122"/>
        <v>6182225.9834038224</v>
      </c>
      <c r="I303" s="2">
        <f t="shared" si="122"/>
        <v>11995790.371626098</v>
      </c>
      <c r="J303" s="2">
        <f t="shared" si="122"/>
        <v>18050339.664931763</v>
      </c>
      <c r="K303" s="2">
        <f t="shared" si="122"/>
        <v>23862148.984883003</v>
      </c>
      <c r="L303" s="2">
        <f t="shared" si="122"/>
        <v>29434925.431030251</v>
      </c>
      <c r="M303" s="2">
        <f t="shared" si="122"/>
        <v>34761099.634969912</v>
      </c>
      <c r="N303" s="2">
        <f t="shared" si="122"/>
        <v>39853053.565400161</v>
      </c>
      <c r="O303" s="2">
        <f t="shared" si="122"/>
        <v>44714011.691100597</v>
      </c>
      <c r="P303" s="2">
        <f t="shared" si="122"/>
        <v>49721988.340728059</v>
      </c>
      <c r="Q303" s="2">
        <f t="shared" si="122"/>
        <v>54874142.127276734</v>
      </c>
      <c r="R303" s="2">
        <f t="shared" si="122"/>
        <v>60466460.73169291</v>
      </c>
      <c r="S303" s="2">
        <f t="shared" si="122"/>
        <v>66548323.248618223</v>
      </c>
      <c r="T303" s="2">
        <f t="shared" si="122"/>
        <v>73138773.863265544</v>
      </c>
      <c r="U303" s="2">
        <f t="shared" si="122"/>
        <v>79936734.338239014</v>
      </c>
      <c r="V303" s="2">
        <f t="shared" si="122"/>
        <v>86960520.226442367</v>
      </c>
      <c r="W303" s="2">
        <f t="shared" si="122"/>
        <v>88786691.151197642</v>
      </c>
      <c r="X303" s="2">
        <f t="shared" si="122"/>
        <v>90651211.665372789</v>
      </c>
      <c r="Y303" s="2">
        <f t="shared" si="122"/>
        <v>92554887.110345602</v>
      </c>
      <c r="Z303" s="2">
        <f t="shared" si="122"/>
        <v>94498539.739662856</v>
      </c>
      <c r="AA303" s="2">
        <f t="shared" si="122"/>
        <v>96483009.074195772</v>
      </c>
      <c r="AB303" s="2">
        <f t="shared" ref="AB303:AB307" si="123">IF(V303=0,0,IF($G$15&gt;(AA303/V303)^(1/5)-1+2%,AA303*(AA303/V303)^(1/5)/($G$15-((AA303/V303)^(1/5)-1)),AA303*(1+$G$14)/$G$16))</f>
        <v>3216100302.4731989</v>
      </c>
    </row>
    <row r="304" spans="4:28" customFormat="1" x14ac:dyDescent="0.25">
      <c r="E304" t="s">
        <v>57</v>
      </c>
      <c r="F304" t="s">
        <v>7</v>
      </c>
      <c r="G304" s="2">
        <f t="shared" si="122"/>
        <v>0</v>
      </c>
      <c r="H304" s="2">
        <f t="shared" si="122"/>
        <v>-4081304.5861971751</v>
      </c>
      <c r="I304" s="2">
        <f t="shared" si="122"/>
        <v>-8124453.3182916604</v>
      </c>
      <c r="J304" s="2">
        <f t="shared" si="122"/>
        <v>-12199213.412921648</v>
      </c>
      <c r="K304" s="2">
        <f t="shared" si="122"/>
        <v>-16078452.883336719</v>
      </c>
      <c r="L304" s="2">
        <f t="shared" si="122"/>
        <v>-19769297.856755786</v>
      </c>
      <c r="M304" s="2">
        <f t="shared" si="122"/>
        <v>-23272672.93213268</v>
      </c>
      <c r="N304" s="2">
        <f t="shared" si="122"/>
        <v>-26592500.398821432</v>
      </c>
      <c r="O304" s="2">
        <f t="shared" si="122"/>
        <v>-29731751.2251908</v>
      </c>
      <c r="P304" s="2">
        <f t="shared" si="122"/>
        <v>-32933959.355104275</v>
      </c>
      <c r="Q304" s="2">
        <f t="shared" si="122"/>
        <v>-36187705.326668009</v>
      </c>
      <c r="R304" s="2">
        <f t="shared" si="122"/>
        <v>-39717092.654547654</v>
      </c>
      <c r="S304" s="2">
        <f t="shared" si="122"/>
        <v>-43549830.841256797</v>
      </c>
      <c r="T304" s="2">
        <f t="shared" si="122"/>
        <v>-47704218.710662022</v>
      </c>
      <c r="U304" s="2">
        <f t="shared" si="122"/>
        <v>-51990689.053647444</v>
      </c>
      <c r="V304" s="2">
        <f t="shared" si="122"/>
        <v>-56415111.355761826</v>
      </c>
      <c r="W304" s="2">
        <f t="shared" si="122"/>
        <v>-57599828.694232821</v>
      </c>
      <c r="X304" s="2">
        <f t="shared" si="122"/>
        <v>-58809425.096811704</v>
      </c>
      <c r="Y304" s="2">
        <f t="shared" si="122"/>
        <v>-60044423.023844734</v>
      </c>
      <c r="Z304" s="2">
        <f t="shared" si="122"/>
        <v>-61305355.907345481</v>
      </c>
      <c r="AA304" s="2">
        <f t="shared" si="122"/>
        <v>-62592768.381399721</v>
      </c>
      <c r="AB304" s="2">
        <f t="shared" si="123"/>
        <v>-2086425612.7133284</v>
      </c>
    </row>
    <row r="305" spans="1:28" x14ac:dyDescent="0.25">
      <c r="E305" t="s">
        <v>10</v>
      </c>
      <c r="F305" t="s">
        <v>7</v>
      </c>
      <c r="G305" s="2">
        <f t="shared" si="122"/>
        <v>0</v>
      </c>
      <c r="H305" s="2">
        <f t="shared" si="122"/>
        <v>-1160913.7559999998</v>
      </c>
      <c r="I305" s="2">
        <f t="shared" si="122"/>
        <v>-2308076.9576279996</v>
      </c>
      <c r="J305" s="2">
        <f t="shared" si="122"/>
        <v>-3459871.9243186354</v>
      </c>
      <c r="K305" s="2">
        <f t="shared" si="122"/>
        <v>-4558048.289795775</v>
      </c>
      <c r="L305" s="2">
        <f t="shared" si="122"/>
        <v>-5601671.9148991657</v>
      </c>
      <c r="M305" s="2">
        <f t="shared" si="122"/>
        <v>-6591257.337242173</v>
      </c>
      <c r="N305" s="2">
        <f t="shared" si="122"/>
        <v>-7527731.2622023439</v>
      </c>
      <c r="O305" s="2">
        <f t="shared" si="122"/>
        <v>-8411969.3701764047</v>
      </c>
      <c r="P305" s="2">
        <f t="shared" si="122"/>
        <v>-9312542.4398737326</v>
      </c>
      <c r="Q305" s="2">
        <f t="shared" si="122"/>
        <v>-10225814.962772934</v>
      </c>
      <c r="R305" s="2">
        <f t="shared" si="122"/>
        <v>-11216350.998220688</v>
      </c>
      <c r="S305" s="2">
        <f t="shared" si="122"/>
        <v>-12291772.808528552</v>
      </c>
      <c r="T305" s="2">
        <f t="shared" si="122"/>
        <v>-13457496.930970971</v>
      </c>
      <c r="U305" s="2">
        <f t="shared" si="122"/>
        <v>-14660340.612795902</v>
      </c>
      <c r="V305" s="2">
        <f t="shared" si="122"/>
        <v>-15901696.639972519</v>
      </c>
      <c r="W305" s="2">
        <f t="shared" si="122"/>
        <v>-16235632.26941194</v>
      </c>
      <c r="X305" s="2">
        <f t="shared" si="122"/>
        <v>-16576580.547069591</v>
      </c>
      <c r="Y305" s="2">
        <f t="shared" si="122"/>
        <v>-16924688.73855805</v>
      </c>
      <c r="Z305" s="2">
        <f t="shared" si="122"/>
        <v>-17280107.202067766</v>
      </c>
      <c r="AA305" s="2">
        <f t="shared" si="122"/>
        <v>-17642989.45331119</v>
      </c>
      <c r="AB305" s="2">
        <f t="shared" si="123"/>
        <v>-588099648.44370759</v>
      </c>
    </row>
    <row r="306" spans="1:28" x14ac:dyDescent="0.25">
      <c r="E306" t="s">
        <v>48</v>
      </c>
      <c r="F306" t="s">
        <v>7</v>
      </c>
      <c r="G306" s="2">
        <f t="shared" si="122"/>
        <v>0</v>
      </c>
      <c r="H306" s="2">
        <f t="shared" si="122"/>
        <v>0</v>
      </c>
      <c r="I306" s="2">
        <f t="shared" si="122"/>
        <v>0</v>
      </c>
      <c r="J306" s="2">
        <f t="shared" si="122"/>
        <v>0</v>
      </c>
      <c r="K306" s="2">
        <f t="shared" si="122"/>
        <v>0</v>
      </c>
      <c r="L306" s="2">
        <f t="shared" si="122"/>
        <v>0</v>
      </c>
      <c r="M306" s="2">
        <f t="shared" si="122"/>
        <v>0</v>
      </c>
      <c r="N306" s="2">
        <f t="shared" si="122"/>
        <v>0</v>
      </c>
      <c r="O306" s="2">
        <f t="shared" si="122"/>
        <v>0</v>
      </c>
      <c r="P306" s="2">
        <f t="shared" si="122"/>
        <v>0</v>
      </c>
      <c r="Q306" s="2">
        <f t="shared" si="122"/>
        <v>0</v>
      </c>
      <c r="R306" s="2">
        <f t="shared" si="122"/>
        <v>0</v>
      </c>
      <c r="S306" s="2">
        <f t="shared" si="122"/>
        <v>0</v>
      </c>
      <c r="T306" s="2">
        <f t="shared" si="122"/>
        <v>0</v>
      </c>
      <c r="U306" s="2">
        <f t="shared" si="122"/>
        <v>0</v>
      </c>
      <c r="V306" s="2">
        <f t="shared" si="122"/>
        <v>0</v>
      </c>
      <c r="W306" s="2">
        <f t="shared" si="122"/>
        <v>0</v>
      </c>
      <c r="X306" s="2">
        <f t="shared" si="122"/>
        <v>0</v>
      </c>
      <c r="Y306" s="2">
        <f t="shared" si="122"/>
        <v>0</v>
      </c>
      <c r="Z306" s="2">
        <f t="shared" si="122"/>
        <v>0</v>
      </c>
      <c r="AA306" s="2">
        <f t="shared" si="122"/>
        <v>0</v>
      </c>
      <c r="AB306" s="2">
        <f t="shared" si="123"/>
        <v>0</v>
      </c>
    </row>
    <row r="307" spans="1:28" x14ac:dyDescent="0.25">
      <c r="E307" t="s">
        <v>49</v>
      </c>
      <c r="F307" t="s">
        <v>7</v>
      </c>
      <c r="G307" s="2">
        <f t="shared" si="122"/>
        <v>0</v>
      </c>
      <c r="H307" s="2">
        <f t="shared" si="122"/>
        <v>0</v>
      </c>
      <c r="I307" s="2">
        <f t="shared" si="122"/>
        <v>0</v>
      </c>
      <c r="J307" s="2">
        <f t="shared" si="122"/>
        <v>0</v>
      </c>
      <c r="K307" s="2">
        <f t="shared" si="122"/>
        <v>0</v>
      </c>
      <c r="L307" s="2">
        <f t="shared" si="122"/>
        <v>0</v>
      </c>
      <c r="M307" s="2">
        <f t="shared" si="122"/>
        <v>0</v>
      </c>
      <c r="N307" s="2">
        <f t="shared" si="122"/>
        <v>0</v>
      </c>
      <c r="O307" s="2">
        <f t="shared" si="122"/>
        <v>0</v>
      </c>
      <c r="P307" s="2">
        <f t="shared" si="122"/>
        <v>0</v>
      </c>
      <c r="Q307" s="2">
        <f t="shared" si="122"/>
        <v>0</v>
      </c>
      <c r="R307" s="2">
        <f t="shared" si="122"/>
        <v>0</v>
      </c>
      <c r="S307" s="2">
        <f t="shared" si="122"/>
        <v>0</v>
      </c>
      <c r="T307" s="2">
        <f t="shared" si="122"/>
        <v>0</v>
      </c>
      <c r="U307" s="2">
        <f t="shared" si="122"/>
        <v>0</v>
      </c>
      <c r="V307" s="2">
        <f t="shared" si="122"/>
        <v>0</v>
      </c>
      <c r="W307" s="2">
        <f t="shared" si="122"/>
        <v>0</v>
      </c>
      <c r="X307" s="2">
        <f t="shared" si="122"/>
        <v>0</v>
      </c>
      <c r="Y307" s="2">
        <f t="shared" si="122"/>
        <v>0</v>
      </c>
      <c r="Z307" s="2">
        <f t="shared" si="122"/>
        <v>0</v>
      </c>
      <c r="AA307" s="2">
        <f t="shared" si="122"/>
        <v>0</v>
      </c>
      <c r="AB307" s="2">
        <f t="shared" si="123"/>
        <v>0</v>
      </c>
    </row>
    <row r="308" spans="1:28" x14ac:dyDescent="0.25">
      <c r="E308" t="s">
        <v>20</v>
      </c>
      <c r="F308" t="s">
        <v>7</v>
      </c>
      <c r="G308" s="2" t="e">
        <f t="shared" ref="G308:AA308" ca="1" si="124">G297</f>
        <v>#REF!</v>
      </c>
      <c r="H308" s="2" t="e">
        <f t="shared" ca="1" si="124"/>
        <v>#REF!</v>
      </c>
      <c r="I308" s="2" t="e">
        <f t="shared" ca="1" si="124"/>
        <v>#REF!</v>
      </c>
      <c r="J308" s="2" t="e">
        <f t="shared" ca="1" si="124"/>
        <v>#REF!</v>
      </c>
      <c r="K308" s="2" t="e">
        <f t="shared" ca="1" si="124"/>
        <v>#REF!</v>
      </c>
      <c r="L308" s="2" t="e">
        <f t="shared" ca="1" si="124"/>
        <v>#REF!</v>
      </c>
      <c r="M308" s="2" t="e">
        <f t="shared" ca="1" si="124"/>
        <v>#REF!</v>
      </c>
      <c r="N308" s="2" t="e">
        <f t="shared" ca="1" si="124"/>
        <v>#REF!</v>
      </c>
      <c r="O308" s="2" t="e">
        <f t="shared" ca="1" si="124"/>
        <v>#REF!</v>
      </c>
      <c r="P308" s="2" t="e">
        <f t="shared" ca="1" si="124"/>
        <v>#REF!</v>
      </c>
      <c r="Q308" s="2" t="e">
        <f t="shared" ca="1" si="124"/>
        <v>#REF!</v>
      </c>
      <c r="R308" s="2" t="e">
        <f t="shared" ca="1" si="124"/>
        <v>#REF!</v>
      </c>
      <c r="S308" s="2" t="e">
        <f t="shared" ca="1" si="124"/>
        <v>#REF!</v>
      </c>
      <c r="T308" s="2" t="e">
        <f t="shared" ca="1" si="124"/>
        <v>#REF!</v>
      </c>
      <c r="U308" s="2" t="e">
        <f t="shared" ca="1" si="124"/>
        <v>#REF!</v>
      </c>
      <c r="V308" s="2" t="e">
        <f t="shared" ca="1" si="124"/>
        <v>#REF!</v>
      </c>
      <c r="W308" s="2" t="e">
        <f t="shared" ca="1" si="124"/>
        <v>#REF!</v>
      </c>
      <c r="X308" s="2" t="e">
        <f t="shared" ca="1" si="124"/>
        <v>#REF!</v>
      </c>
      <c r="Y308" s="2" t="e">
        <f t="shared" ca="1" si="124"/>
        <v>#REF!</v>
      </c>
      <c r="Z308" s="2" t="e">
        <f t="shared" ca="1" si="124"/>
        <v>#REF!</v>
      </c>
      <c r="AA308" s="2" t="e">
        <f t="shared" ca="1" si="124"/>
        <v>#REF!</v>
      </c>
      <c r="AB308" s="2" t="e">
        <f ca="1">IF(V308=0,0,IF($G$15&gt;(AA308/V308)^(1/5)-1+2%,AA308*(AA308/V308)^(1/5)/($G$15-((AA308/V308)^(1/5)-1)),AA308*(1+$G$14)/$G$16))</f>
        <v>#REF!</v>
      </c>
    </row>
    <row r="309" spans="1:28" x14ac:dyDescent="0.25">
      <c r="E309" t="s">
        <v>173</v>
      </c>
      <c r="F309" t="s">
        <v>7</v>
      </c>
      <c r="G309" s="2" t="e">
        <f ca="1">-$G$17*G308</f>
        <v>#REF!</v>
      </c>
      <c r="H309" s="2" t="e">
        <f t="shared" ref="H309:AA309" ca="1" si="125">-$G$17*H308</f>
        <v>#REF!</v>
      </c>
      <c r="I309" s="2" t="e">
        <f t="shared" ca="1" si="125"/>
        <v>#REF!</v>
      </c>
      <c r="J309" s="2" t="e">
        <f t="shared" ca="1" si="125"/>
        <v>#REF!</v>
      </c>
      <c r="K309" s="2" t="e">
        <f t="shared" ca="1" si="125"/>
        <v>#REF!</v>
      </c>
      <c r="L309" s="2" t="e">
        <f t="shared" ca="1" si="125"/>
        <v>#REF!</v>
      </c>
      <c r="M309" s="2" t="e">
        <f t="shared" ca="1" si="125"/>
        <v>#REF!</v>
      </c>
      <c r="N309" s="2" t="e">
        <f t="shared" ca="1" si="125"/>
        <v>#REF!</v>
      </c>
      <c r="O309" s="2" t="e">
        <f t="shared" ca="1" si="125"/>
        <v>#REF!</v>
      </c>
      <c r="P309" s="2" t="e">
        <f t="shared" ca="1" si="125"/>
        <v>#REF!</v>
      </c>
      <c r="Q309" s="2" t="e">
        <f t="shared" ca="1" si="125"/>
        <v>#REF!</v>
      </c>
      <c r="R309" s="2" t="e">
        <f t="shared" ca="1" si="125"/>
        <v>#REF!</v>
      </c>
      <c r="S309" s="2" t="e">
        <f t="shared" ca="1" si="125"/>
        <v>#REF!</v>
      </c>
      <c r="T309" s="2" t="e">
        <f t="shared" ca="1" si="125"/>
        <v>#REF!</v>
      </c>
      <c r="U309" s="2" t="e">
        <f t="shared" ca="1" si="125"/>
        <v>#REF!</v>
      </c>
      <c r="V309" s="2" t="e">
        <f t="shared" ca="1" si="125"/>
        <v>#REF!</v>
      </c>
      <c r="W309" s="2" t="e">
        <f t="shared" ca="1" si="125"/>
        <v>#REF!</v>
      </c>
      <c r="X309" s="2" t="e">
        <f t="shared" ca="1" si="125"/>
        <v>#REF!</v>
      </c>
      <c r="Y309" s="2" t="e">
        <f t="shared" ca="1" si="125"/>
        <v>#REF!</v>
      </c>
      <c r="Z309" s="2" t="e">
        <f t="shared" ca="1" si="125"/>
        <v>#REF!</v>
      </c>
      <c r="AA309" s="2" t="e">
        <f t="shared" ca="1" si="125"/>
        <v>#REF!</v>
      </c>
      <c r="AB309" s="2" t="e">
        <f t="shared" ref="AB309" ca="1" si="126">IF(V309=0,0,IF($G$15&gt;(AA309/V309)^(1/5)-1+2%,AA309*(AA309/V309)^(1/5)/($G$15-((AA309/V309)^(1/5)-1)),AA309*(1+$G$14)/$G$16))</f>
        <v>#REF!</v>
      </c>
    </row>
    <row r="310" spans="1:28" x14ac:dyDescent="0.25">
      <c r="E310" t="s">
        <v>23</v>
      </c>
      <c r="F310" t="s">
        <v>7</v>
      </c>
      <c r="G310" s="2" t="e">
        <f t="shared" ref="G310:AB310" ca="1" si="127">SUM(G300:G309)</f>
        <v>#REF!</v>
      </c>
      <c r="H310" s="2" t="e">
        <f t="shared" ca="1" si="127"/>
        <v>#REF!</v>
      </c>
      <c r="I310" s="2" t="e">
        <f t="shared" ca="1" si="127"/>
        <v>#REF!</v>
      </c>
      <c r="J310" s="2" t="e">
        <f t="shared" ca="1" si="127"/>
        <v>#REF!</v>
      </c>
      <c r="K310" s="2" t="e">
        <f t="shared" ca="1" si="127"/>
        <v>#REF!</v>
      </c>
      <c r="L310" s="2" t="e">
        <f t="shared" ca="1" si="127"/>
        <v>#REF!</v>
      </c>
      <c r="M310" s="2" t="e">
        <f t="shared" ca="1" si="127"/>
        <v>#REF!</v>
      </c>
      <c r="N310" s="2" t="e">
        <f t="shared" ca="1" si="127"/>
        <v>#REF!</v>
      </c>
      <c r="O310" s="2" t="e">
        <f t="shared" ca="1" si="127"/>
        <v>#REF!</v>
      </c>
      <c r="P310" s="2" t="e">
        <f t="shared" ca="1" si="127"/>
        <v>#REF!</v>
      </c>
      <c r="Q310" s="2" t="e">
        <f t="shared" ca="1" si="127"/>
        <v>#REF!</v>
      </c>
      <c r="R310" s="2" t="e">
        <f t="shared" ca="1" si="127"/>
        <v>#REF!</v>
      </c>
      <c r="S310" s="2" t="e">
        <f t="shared" ca="1" si="127"/>
        <v>#REF!</v>
      </c>
      <c r="T310" s="2" t="e">
        <f t="shared" ca="1" si="127"/>
        <v>#REF!</v>
      </c>
      <c r="U310" s="2" t="e">
        <f t="shared" ca="1" si="127"/>
        <v>#REF!</v>
      </c>
      <c r="V310" s="2" t="e">
        <f t="shared" ca="1" si="127"/>
        <v>#REF!</v>
      </c>
      <c r="W310" s="2" t="e">
        <f t="shared" ca="1" si="127"/>
        <v>#REF!</v>
      </c>
      <c r="X310" s="2" t="e">
        <f t="shared" ca="1" si="127"/>
        <v>#REF!</v>
      </c>
      <c r="Y310" s="2" t="e">
        <f t="shared" ca="1" si="127"/>
        <v>#REF!</v>
      </c>
      <c r="Z310" s="2" t="e">
        <f t="shared" ca="1" si="127"/>
        <v>#REF!</v>
      </c>
      <c r="AA310" s="2" t="e">
        <f t="shared" ca="1" si="127"/>
        <v>#REF!</v>
      </c>
      <c r="AB310" s="2" t="e">
        <f t="shared" ca="1" si="127"/>
        <v>#REF!</v>
      </c>
    </row>
    <row r="311" spans="1:28" x14ac:dyDescent="0.25">
      <c r="E311" t="s">
        <v>31</v>
      </c>
      <c r="F311" t="s">
        <v>7</v>
      </c>
      <c r="G311" s="2" t="e">
        <f ca="1">NPV($G$15,H310:AB310)+G310</f>
        <v>#REF!</v>
      </c>
    </row>
    <row r="313" spans="1:28" x14ac:dyDescent="0.25">
      <c r="E313" t="s">
        <v>13</v>
      </c>
      <c r="F313" t="s">
        <v>7</v>
      </c>
      <c r="G313" s="2" t="e">
        <f t="shared" ref="G313:AA313" ca="1" si="128">G285</f>
        <v>#REF!</v>
      </c>
      <c r="H313" s="2" t="e">
        <f t="shared" ca="1" si="128"/>
        <v>#REF!</v>
      </c>
      <c r="I313" s="2" t="e">
        <f t="shared" ca="1" si="128"/>
        <v>#REF!</v>
      </c>
      <c r="J313" s="2" t="e">
        <f t="shared" ca="1" si="128"/>
        <v>#REF!</v>
      </c>
      <c r="K313" s="2" t="e">
        <f t="shared" ca="1" si="128"/>
        <v>#REF!</v>
      </c>
      <c r="L313" s="2" t="e">
        <f t="shared" ca="1" si="128"/>
        <v>#REF!</v>
      </c>
      <c r="M313" s="2" t="e">
        <f t="shared" ca="1" si="128"/>
        <v>#REF!</v>
      </c>
      <c r="N313" s="2" t="e">
        <f t="shared" ca="1" si="128"/>
        <v>#REF!</v>
      </c>
      <c r="O313" s="2" t="e">
        <f t="shared" ca="1" si="128"/>
        <v>#REF!</v>
      </c>
      <c r="P313" s="2" t="e">
        <f t="shared" ca="1" si="128"/>
        <v>#REF!</v>
      </c>
      <c r="Q313" s="2" t="e">
        <f t="shared" ca="1" si="128"/>
        <v>#REF!</v>
      </c>
      <c r="R313" s="2" t="e">
        <f t="shared" ca="1" si="128"/>
        <v>#REF!</v>
      </c>
      <c r="S313" s="2" t="e">
        <f t="shared" ca="1" si="128"/>
        <v>#REF!</v>
      </c>
      <c r="T313" s="2" t="e">
        <f t="shared" ca="1" si="128"/>
        <v>#REF!</v>
      </c>
      <c r="U313" s="2" t="e">
        <f t="shared" ca="1" si="128"/>
        <v>#REF!</v>
      </c>
      <c r="V313" s="2" t="e">
        <f t="shared" ca="1" si="128"/>
        <v>#REF!</v>
      </c>
      <c r="W313" s="2" t="e">
        <f t="shared" ca="1" si="128"/>
        <v>#REF!</v>
      </c>
      <c r="X313" s="2" t="e">
        <f t="shared" ca="1" si="128"/>
        <v>#REF!</v>
      </c>
      <c r="Y313" s="2" t="e">
        <f t="shared" ca="1" si="128"/>
        <v>#REF!</v>
      </c>
      <c r="Z313" s="2" t="e">
        <f t="shared" ca="1" si="128"/>
        <v>#REF!</v>
      </c>
      <c r="AA313" s="2" t="e">
        <f t="shared" ca="1" si="128"/>
        <v>#REF!</v>
      </c>
    </row>
    <row r="314" spans="1:28" x14ac:dyDescent="0.25">
      <c r="E314" t="s">
        <v>24</v>
      </c>
      <c r="F314" t="s">
        <v>7</v>
      </c>
      <c r="G314" t="e">
        <f ca="1">NPV($G$15,H313:AA313)+G313</f>
        <v>#REF!</v>
      </c>
    </row>
    <row r="315" spans="1:28" x14ac:dyDescent="0.25">
      <c r="E315" s="3" t="s">
        <v>34</v>
      </c>
      <c r="F315" s="3"/>
      <c r="G315" s="4" t="e">
        <f ca="1">IF(G311&gt;0,"N/A",IF(ABS(G311+G314)&gt;1,"Error","OK"))</f>
        <v>#REF!</v>
      </c>
    </row>
    <row r="318" spans="1:28" x14ac:dyDescent="0.25">
      <c r="C318" s="1" t="s">
        <v>110</v>
      </c>
    </row>
    <row r="319" spans="1:28" x14ac:dyDescent="0.25">
      <c r="E319" t="s">
        <v>116</v>
      </c>
      <c r="F319" t="s">
        <v>117</v>
      </c>
    </row>
    <row r="320" spans="1:28" x14ac:dyDescent="0.25">
      <c r="A320" s="14">
        <f>'Notes &amp; Assumptions'!A68</f>
        <v>55</v>
      </c>
      <c r="E320" s="19" t="s">
        <v>111</v>
      </c>
      <c r="F320" s="19" t="s">
        <v>119</v>
      </c>
    </row>
    <row r="321" spans="5:6" customFormat="1" x14ac:dyDescent="0.25">
      <c r="E321" s="19" t="s">
        <v>112</v>
      </c>
      <c r="F321" s="19" t="s">
        <v>120</v>
      </c>
    </row>
    <row r="322" spans="5:6" customFormat="1" x14ac:dyDescent="0.25">
      <c r="E322" s="19" t="s">
        <v>113</v>
      </c>
      <c r="F322" s="19" t="s">
        <v>121</v>
      </c>
    </row>
  </sheetData>
  <mergeCells count="1">
    <mergeCell ref="G4:H4"/>
  </mergeCells>
  <dataValidations count="1">
    <dataValidation type="list" showInputMessage="1" showErrorMessage="1" sqref="G4" xr:uid="{04F00E8B-9045-406D-BB5B-6F80CC4AFA95}">
      <formula1>$E$320:$E$322</formula1>
    </dataValidation>
  </dataValidation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811CB2-39FC-4E24-9278-57E76B9A92D3}">
  <dimension ref="A2:AC322"/>
  <sheetViews>
    <sheetView topLeftCell="A76" workbookViewId="0">
      <selection activeCell="H21" sqref="H21"/>
    </sheetView>
  </sheetViews>
  <sheetFormatPr defaultColWidth="11" defaultRowHeight="15.75" x14ac:dyDescent="0.25"/>
  <cols>
    <col min="1" max="1" width="7.625" style="14" customWidth="1"/>
    <col min="2" max="2" width="3.125" customWidth="1"/>
    <col min="3" max="3" width="3.375" customWidth="1"/>
    <col min="4" max="4" width="2.875" customWidth="1"/>
    <col min="5" max="5" width="36.5" bestFit="1" customWidth="1"/>
    <col min="6" max="6" width="17.5" customWidth="1"/>
    <col min="7" max="27" width="15.625" customWidth="1"/>
    <col min="28" max="28" width="11.125" customWidth="1"/>
  </cols>
  <sheetData>
    <row r="2" spans="1:27" x14ac:dyDescent="0.25">
      <c r="C2" s="1" t="s">
        <v>0</v>
      </c>
      <c r="D2" s="1"/>
      <c r="G2">
        <v>0</v>
      </c>
      <c r="H2">
        <v>1</v>
      </c>
      <c r="I2">
        <v>2</v>
      </c>
      <c r="J2">
        <v>3</v>
      </c>
      <c r="K2">
        <v>4</v>
      </c>
      <c r="L2">
        <v>5</v>
      </c>
      <c r="M2">
        <v>6</v>
      </c>
      <c r="N2">
        <v>7</v>
      </c>
      <c r="O2">
        <v>8</v>
      </c>
      <c r="P2">
        <v>9</v>
      </c>
      <c r="Q2">
        <v>10</v>
      </c>
      <c r="R2">
        <v>11</v>
      </c>
      <c r="S2">
        <v>12</v>
      </c>
      <c r="T2">
        <v>13</v>
      </c>
      <c r="U2">
        <v>14</v>
      </c>
      <c r="V2">
        <v>15</v>
      </c>
      <c r="W2">
        <v>16</v>
      </c>
      <c r="X2">
        <v>17</v>
      </c>
      <c r="Y2">
        <v>18</v>
      </c>
      <c r="Z2">
        <v>19</v>
      </c>
      <c r="AA2">
        <v>20</v>
      </c>
    </row>
    <row r="4" spans="1:27" x14ac:dyDescent="0.25">
      <c r="A4" s="14">
        <f>'Notes &amp; Assumptions'!A14</f>
        <v>1</v>
      </c>
      <c r="C4" s="1" t="s">
        <v>114</v>
      </c>
      <c r="F4" t="s">
        <v>115</v>
      </c>
      <c r="G4" s="368" t="s">
        <v>112</v>
      </c>
      <c r="H4" s="368"/>
    </row>
    <row r="6" spans="1:27" x14ac:dyDescent="0.25">
      <c r="C6" s="1" t="s">
        <v>126</v>
      </c>
    </row>
    <row r="7" spans="1:27" x14ac:dyDescent="0.25">
      <c r="A7" s="14">
        <f>'Notes &amp; Assumptions'!A15</f>
        <v>2</v>
      </c>
      <c r="E7" s="10" t="s">
        <v>128</v>
      </c>
      <c r="F7" t="s">
        <v>145</v>
      </c>
      <c r="G7" s="10">
        <v>90</v>
      </c>
    </row>
    <row r="8" spans="1:27" x14ac:dyDescent="0.25">
      <c r="A8" s="14">
        <f>'Notes &amp; Assumptions'!A16</f>
        <v>3</v>
      </c>
      <c r="E8" s="10" t="s">
        <v>129</v>
      </c>
      <c r="F8" t="s">
        <v>145</v>
      </c>
      <c r="G8" s="10">
        <v>25</v>
      </c>
    </row>
    <row r="9" spans="1:27" x14ac:dyDescent="0.25">
      <c r="A9" s="14">
        <f>'Notes &amp; Assumptions'!A17</f>
        <v>4</v>
      </c>
      <c r="E9" s="10" t="s">
        <v>130</v>
      </c>
      <c r="F9" t="s">
        <v>145</v>
      </c>
      <c r="G9" s="10">
        <v>30</v>
      </c>
    </row>
    <row r="10" spans="1:27" x14ac:dyDescent="0.25">
      <c r="A10" s="14">
        <f>'Notes &amp; Assumptions'!A18</f>
        <v>5</v>
      </c>
      <c r="E10" t="s">
        <v>127</v>
      </c>
      <c r="F10" t="s">
        <v>145</v>
      </c>
      <c r="G10" s="10">
        <v>5</v>
      </c>
    </row>
    <row r="13" spans="1:27" x14ac:dyDescent="0.25">
      <c r="C13" s="1" t="s">
        <v>92</v>
      </c>
    </row>
    <row r="14" spans="1:27" x14ac:dyDescent="0.25">
      <c r="A14" s="14">
        <f>'Notes &amp; Assumptions'!A19</f>
        <v>6</v>
      </c>
      <c r="E14" t="s">
        <v>5</v>
      </c>
      <c r="F14" t="s">
        <v>8</v>
      </c>
      <c r="G14" s="17">
        <f>'20 New UGB Water'!G14</f>
        <v>2.1000000000000001E-2</v>
      </c>
    </row>
    <row r="15" spans="1:27" x14ac:dyDescent="0.25">
      <c r="A15" s="14">
        <f>'Notes &amp; Assumptions'!A20</f>
        <v>7</v>
      </c>
      <c r="E15" t="s">
        <v>32</v>
      </c>
      <c r="F15" t="s">
        <v>8</v>
      </c>
      <c r="G15" s="17">
        <f>'20 New UGB Water'!G15</f>
        <v>5.1629999999999843E-2</v>
      </c>
    </row>
    <row r="16" spans="1:27" x14ac:dyDescent="0.25">
      <c r="E16" t="s">
        <v>30</v>
      </c>
      <c r="F16" t="s">
        <v>8</v>
      </c>
      <c r="G16" s="18">
        <f>(1+G15)/(1+G14)-1</f>
        <v>3.0000000000000027E-2</v>
      </c>
    </row>
    <row r="17" spans="1:27" x14ac:dyDescent="0.25">
      <c r="E17" t="s">
        <v>171</v>
      </c>
      <c r="F17" t="s">
        <v>8</v>
      </c>
      <c r="G17" s="11">
        <v>0.5</v>
      </c>
    </row>
    <row r="18" spans="1:27" x14ac:dyDescent="0.25">
      <c r="A18" s="14">
        <f>'Notes &amp; Assumptions'!A22</f>
        <v>9</v>
      </c>
      <c r="E18" t="s">
        <v>16</v>
      </c>
      <c r="F18" t="s">
        <v>8</v>
      </c>
      <c r="G18" s="11">
        <v>0.3</v>
      </c>
      <c r="H18" s="11">
        <v>0.3</v>
      </c>
      <c r="I18" s="11">
        <v>0.3</v>
      </c>
      <c r="J18" s="11">
        <v>0.3</v>
      </c>
      <c r="K18" s="11">
        <v>0.3</v>
      </c>
      <c r="L18" s="11">
        <v>0.3</v>
      </c>
      <c r="M18" s="11">
        <v>0.3</v>
      </c>
      <c r="N18" s="11">
        <v>0.3</v>
      </c>
      <c r="O18" s="11">
        <v>0.3</v>
      </c>
      <c r="P18" s="11">
        <v>0.3</v>
      </c>
      <c r="Q18" s="11">
        <v>0.3</v>
      </c>
      <c r="R18" s="11">
        <v>0.3</v>
      </c>
      <c r="S18" s="11">
        <v>0.3</v>
      </c>
      <c r="T18" s="11">
        <v>0.3</v>
      </c>
      <c r="U18" s="11">
        <v>0.3</v>
      </c>
      <c r="V18" s="11">
        <v>0.3</v>
      </c>
      <c r="W18" s="11">
        <v>0.3</v>
      </c>
      <c r="X18" s="11">
        <v>0.3</v>
      </c>
      <c r="Y18" s="11">
        <v>0.3</v>
      </c>
      <c r="Z18" s="11">
        <v>0.3</v>
      </c>
      <c r="AA18" s="11">
        <v>0.3</v>
      </c>
    </row>
    <row r="20" spans="1:27" x14ac:dyDescent="0.25">
      <c r="A20" s="14">
        <f>'Notes &amp; Assumptions'!A23</f>
        <v>10</v>
      </c>
      <c r="C20" s="1" t="s">
        <v>1</v>
      </c>
      <c r="D20" s="1"/>
    </row>
    <row r="21" spans="1:27" x14ac:dyDescent="0.25">
      <c r="E21" s="2" t="str">
        <f>E7</f>
        <v>Pipes</v>
      </c>
      <c r="F21" t="s">
        <v>7</v>
      </c>
      <c r="G21" s="43">
        <f>IF('Key assumptions'!B3="yes",SUM('Historical growth capex'!M89:V89),0)+IF('Key assumptions'!B5="yes",SUM('Historical growth capex'!E89:L89),0)</f>
        <v>163716110.16843739</v>
      </c>
      <c r="H21" s="10">
        <f>'Forecast capex'!J89*1000*(1+$G$14)^H2</f>
        <v>6890899.8830297235</v>
      </c>
      <c r="I21" s="10">
        <f>'Forecast capex'!K89*1000*(1+$G$14)^I2</f>
        <v>7295251.3372013271</v>
      </c>
      <c r="J21" s="10">
        <f>'Forecast capex'!L89*1000*(1+$G$14)^J2</f>
        <v>0</v>
      </c>
      <c r="K21" s="10">
        <f>'Forecast capex'!M89*1000*(1+$G$14)^K2</f>
        <v>1029520.5813433226</v>
      </c>
      <c r="L21" s="10">
        <f>'Forecast capex'!N89*1000*(1+$G$14)^L2</f>
        <v>218832.06860403085</v>
      </c>
      <c r="M21" s="10">
        <f>'Forecast capex'!O89*1000*(1+$G$14)^M2</f>
        <v>0</v>
      </c>
      <c r="N21" s="10">
        <f>'Forecast capex'!P89*1000*(1+$G$14)^N2</f>
        <v>0</v>
      </c>
      <c r="O21" s="10">
        <f>'Forecast capex'!Q89*1000*(1+$G$14)^O2</f>
        <v>0</v>
      </c>
      <c r="P21" s="10">
        <f>'Forecast capex'!R89*1000*(1+$G$14)^P2</f>
        <v>0</v>
      </c>
      <c r="Q21" s="10">
        <f>'Forecast capex'!S89*1000*(1+$G$14)^Q2</f>
        <v>0</v>
      </c>
      <c r="R21" s="10"/>
      <c r="S21" s="10"/>
      <c r="T21" s="10"/>
      <c r="U21" s="10"/>
      <c r="V21" s="10"/>
      <c r="W21" s="10"/>
      <c r="X21" s="10"/>
      <c r="Y21" s="10"/>
      <c r="Z21" s="10"/>
      <c r="AA21" s="10"/>
    </row>
    <row r="22" spans="1:27" x14ac:dyDescent="0.25">
      <c r="E22" s="2" t="str">
        <f>E8</f>
        <v>Pumps</v>
      </c>
      <c r="F22" t="s">
        <v>7</v>
      </c>
      <c r="G22" s="10"/>
      <c r="H22" s="10"/>
      <c r="I22" s="10"/>
      <c r="J22" s="10"/>
      <c r="K22" s="10"/>
      <c r="L22" s="10"/>
      <c r="M22" s="10"/>
      <c r="N22" s="10"/>
      <c r="O22" s="10"/>
      <c r="P22" s="10"/>
      <c r="Q22" s="10"/>
      <c r="R22" s="10"/>
      <c r="S22" s="10"/>
      <c r="T22" s="10"/>
      <c r="U22" s="10"/>
      <c r="V22" s="10"/>
      <c r="W22" s="10"/>
      <c r="X22" s="10"/>
      <c r="Y22" s="10"/>
      <c r="Z22" s="10"/>
      <c r="AA22" s="10"/>
    </row>
    <row r="23" spans="1:27" x14ac:dyDescent="0.25">
      <c r="E23" s="2" t="str">
        <f>E9</f>
        <v>Valves and Meters</v>
      </c>
      <c r="F23" t="s">
        <v>7</v>
      </c>
      <c r="G23" s="10"/>
      <c r="H23" s="10"/>
      <c r="I23" s="10"/>
      <c r="J23" s="10"/>
      <c r="K23" s="10"/>
      <c r="L23" s="10"/>
      <c r="M23" s="10"/>
      <c r="N23" s="10"/>
      <c r="O23" s="10"/>
      <c r="P23" s="10"/>
      <c r="Q23" s="10"/>
      <c r="R23" s="10"/>
      <c r="S23" s="10"/>
      <c r="T23" s="10"/>
      <c r="U23" s="10"/>
      <c r="V23" s="10"/>
      <c r="W23" s="10"/>
      <c r="X23" s="10"/>
      <c r="Y23" s="10"/>
      <c r="Z23" s="10"/>
      <c r="AA23" s="10"/>
    </row>
    <row r="24" spans="1:27" x14ac:dyDescent="0.25">
      <c r="E24" t="s">
        <v>127</v>
      </c>
      <c r="F24" t="s">
        <v>7</v>
      </c>
      <c r="G24" s="10"/>
      <c r="H24" s="10"/>
      <c r="I24" s="10"/>
      <c r="J24" s="10"/>
      <c r="K24" s="10"/>
      <c r="L24" s="10"/>
      <c r="M24" s="10"/>
      <c r="N24" s="10"/>
      <c r="O24" s="10"/>
      <c r="P24" s="10"/>
      <c r="Q24" s="10"/>
      <c r="R24" s="10"/>
      <c r="S24" s="10"/>
      <c r="T24" s="10"/>
      <c r="U24" s="10"/>
      <c r="V24" s="10"/>
      <c r="W24" s="10"/>
      <c r="X24" s="10"/>
      <c r="Y24" s="10"/>
      <c r="Z24" s="10"/>
      <c r="AA24" s="10"/>
    </row>
    <row r="25" spans="1:27" x14ac:dyDescent="0.25">
      <c r="E25" t="s">
        <v>131</v>
      </c>
      <c r="F25" t="s">
        <v>7</v>
      </c>
      <c r="G25" s="10"/>
      <c r="H25" s="10"/>
      <c r="I25" s="10"/>
      <c r="J25" s="10"/>
      <c r="K25" s="10"/>
      <c r="L25" s="10"/>
      <c r="M25" s="10"/>
      <c r="N25" s="10"/>
      <c r="O25" s="10"/>
      <c r="P25" s="10"/>
      <c r="Q25" s="10"/>
      <c r="R25" s="10"/>
      <c r="S25" s="10"/>
      <c r="T25" s="10"/>
      <c r="U25" s="10"/>
      <c r="V25" s="10"/>
      <c r="W25" s="10"/>
      <c r="X25" s="10"/>
      <c r="Y25" s="10"/>
      <c r="Z25" s="10"/>
      <c r="AA25" s="10"/>
    </row>
    <row r="26" spans="1:27" x14ac:dyDescent="0.25">
      <c r="G26" s="2">
        <f>SUM(G21:G25)</f>
        <v>163716110.16843739</v>
      </c>
      <c r="H26" s="2">
        <f>SUM(H21:H25)</f>
        <v>6890899.8830297235</v>
      </c>
      <c r="I26" s="2">
        <f t="shared" ref="I26:AA26" si="0">SUM(I21:I25)</f>
        <v>7295251.3372013271</v>
      </c>
      <c r="J26" s="2">
        <f t="shared" si="0"/>
        <v>0</v>
      </c>
      <c r="K26" s="2">
        <f t="shared" si="0"/>
        <v>1029520.5813433226</v>
      </c>
      <c r="L26" s="2">
        <f t="shared" si="0"/>
        <v>218832.06860403085</v>
      </c>
      <c r="M26" s="2">
        <f t="shared" si="0"/>
        <v>0</v>
      </c>
      <c r="N26" s="2">
        <f t="shared" si="0"/>
        <v>0</v>
      </c>
      <c r="O26" s="2">
        <f t="shared" si="0"/>
        <v>0</v>
      </c>
      <c r="P26" s="2">
        <f t="shared" si="0"/>
        <v>0</v>
      </c>
      <c r="Q26" s="2">
        <f t="shared" si="0"/>
        <v>0</v>
      </c>
      <c r="R26" s="2">
        <f t="shared" si="0"/>
        <v>0</v>
      </c>
      <c r="S26" s="2">
        <f t="shared" si="0"/>
        <v>0</v>
      </c>
      <c r="T26" s="2">
        <f t="shared" si="0"/>
        <v>0</v>
      </c>
      <c r="U26" s="2">
        <f t="shared" si="0"/>
        <v>0</v>
      </c>
      <c r="V26" s="2">
        <f t="shared" si="0"/>
        <v>0</v>
      </c>
      <c r="W26" s="2">
        <f t="shared" si="0"/>
        <v>0</v>
      </c>
      <c r="X26" s="2">
        <f t="shared" si="0"/>
        <v>0</v>
      </c>
      <c r="Y26" s="2">
        <f t="shared" si="0"/>
        <v>0</v>
      </c>
      <c r="Z26" s="2">
        <f t="shared" si="0"/>
        <v>0</v>
      </c>
      <c r="AA26" s="2">
        <f t="shared" si="0"/>
        <v>0</v>
      </c>
    </row>
    <row r="27" spans="1:27" x14ac:dyDescent="0.25">
      <c r="G27" s="2"/>
      <c r="H27" s="2"/>
      <c r="I27" s="2"/>
      <c r="J27" s="2"/>
      <c r="K27" s="2"/>
      <c r="L27" s="2"/>
      <c r="M27" s="2"/>
      <c r="N27" s="2"/>
      <c r="O27" s="2"/>
      <c r="P27" s="2"/>
      <c r="Q27" s="2"/>
    </row>
    <row r="28" spans="1:27" x14ac:dyDescent="0.25">
      <c r="D28" t="s">
        <v>132</v>
      </c>
      <c r="G28" s="2"/>
      <c r="H28" s="2"/>
      <c r="I28" s="2"/>
      <c r="J28" s="2"/>
      <c r="K28" s="2"/>
      <c r="L28" s="2"/>
      <c r="M28" s="2"/>
      <c r="N28" s="2"/>
      <c r="O28" s="2"/>
      <c r="P28" s="2"/>
      <c r="Q28" s="2"/>
    </row>
    <row r="29" spans="1:27" x14ac:dyDescent="0.25">
      <c r="E29" s="2" t="str">
        <f>E21</f>
        <v>Pipes</v>
      </c>
      <c r="F29" t="s">
        <v>7</v>
      </c>
      <c r="G29" s="2">
        <f t="shared" ref="G29:AA32" si="1">G21/$G7+IF((G$2-$G7+1)&gt;0,-INDEX($G21:$AA21,1,(G$2-$G7+1))/$G7,0)</f>
        <v>1819067.8907604155</v>
      </c>
      <c r="H29" s="2">
        <f>H21/$G7+IF((H$2-$G7+1)&gt;0,-INDEX($G21:$AA21,1,(H$2-$G7+1))/$G7,0)</f>
        <v>76565.554255885814</v>
      </c>
      <c r="I29" s="2">
        <f t="shared" si="1"/>
        <v>81058.348191125857</v>
      </c>
      <c r="J29" s="2">
        <f t="shared" si="1"/>
        <v>0</v>
      </c>
      <c r="K29" s="2">
        <f t="shared" si="1"/>
        <v>11439.117570481363</v>
      </c>
      <c r="L29" s="2">
        <f t="shared" si="1"/>
        <v>2431.4674289336763</v>
      </c>
      <c r="M29" s="2">
        <f t="shared" si="1"/>
        <v>0</v>
      </c>
      <c r="N29" s="2">
        <f t="shared" si="1"/>
        <v>0</v>
      </c>
      <c r="O29" s="2">
        <f t="shared" si="1"/>
        <v>0</v>
      </c>
      <c r="P29" s="2">
        <f t="shared" si="1"/>
        <v>0</v>
      </c>
      <c r="Q29" s="2">
        <f t="shared" si="1"/>
        <v>0</v>
      </c>
      <c r="R29" s="2">
        <f t="shared" si="1"/>
        <v>0</v>
      </c>
      <c r="S29" s="2">
        <f t="shared" si="1"/>
        <v>0</v>
      </c>
      <c r="T29" s="2">
        <f t="shared" si="1"/>
        <v>0</v>
      </c>
      <c r="U29" s="2">
        <f t="shared" si="1"/>
        <v>0</v>
      </c>
      <c r="V29" s="2">
        <f t="shared" si="1"/>
        <v>0</v>
      </c>
      <c r="W29" s="2">
        <f t="shared" si="1"/>
        <v>0</v>
      </c>
      <c r="X29" s="2">
        <f t="shared" si="1"/>
        <v>0</v>
      </c>
      <c r="Y29" s="2">
        <f t="shared" si="1"/>
        <v>0</v>
      </c>
      <c r="Z29" s="2">
        <f t="shared" si="1"/>
        <v>0</v>
      </c>
      <c r="AA29" s="2">
        <f t="shared" si="1"/>
        <v>0</v>
      </c>
    </row>
    <row r="30" spans="1:27" x14ac:dyDescent="0.25">
      <c r="E30" s="2" t="str">
        <f t="shared" ref="E30:E32" si="2">E22</f>
        <v>Pumps</v>
      </c>
      <c r="F30" t="s">
        <v>7</v>
      </c>
      <c r="G30" s="2">
        <f t="shared" si="1"/>
        <v>0</v>
      </c>
      <c r="H30" s="2">
        <f>H22/$G8+IF((H$2-$G8+1)&gt;0,-INDEX($G22:$AA22,1,(H$2-$G8+1))/$G8,0)</f>
        <v>0</v>
      </c>
      <c r="I30" s="2">
        <f t="shared" si="1"/>
        <v>0</v>
      </c>
      <c r="J30" s="2">
        <f t="shared" si="1"/>
        <v>0</v>
      </c>
      <c r="K30" s="2">
        <f t="shared" si="1"/>
        <v>0</v>
      </c>
      <c r="L30" s="2">
        <f t="shared" si="1"/>
        <v>0</v>
      </c>
      <c r="M30" s="2">
        <f t="shared" si="1"/>
        <v>0</v>
      </c>
      <c r="N30" s="2">
        <f t="shared" si="1"/>
        <v>0</v>
      </c>
      <c r="O30" s="2">
        <f t="shared" si="1"/>
        <v>0</v>
      </c>
      <c r="P30" s="2">
        <f t="shared" si="1"/>
        <v>0</v>
      </c>
      <c r="Q30" s="2">
        <f t="shared" si="1"/>
        <v>0</v>
      </c>
      <c r="R30" s="2">
        <f t="shared" si="1"/>
        <v>0</v>
      </c>
      <c r="S30" s="2">
        <f t="shared" si="1"/>
        <v>0</v>
      </c>
      <c r="T30" s="2">
        <f t="shared" si="1"/>
        <v>0</v>
      </c>
      <c r="U30" s="2">
        <f t="shared" si="1"/>
        <v>0</v>
      </c>
      <c r="V30" s="2">
        <f t="shared" si="1"/>
        <v>0</v>
      </c>
      <c r="W30" s="2">
        <f t="shared" si="1"/>
        <v>0</v>
      </c>
      <c r="X30" s="2">
        <f t="shared" si="1"/>
        <v>0</v>
      </c>
      <c r="Y30" s="2">
        <f t="shared" si="1"/>
        <v>0</v>
      </c>
      <c r="Z30" s="2">
        <f t="shared" si="1"/>
        <v>0</v>
      </c>
      <c r="AA30" s="2">
        <f t="shared" si="1"/>
        <v>0</v>
      </c>
    </row>
    <row r="31" spans="1:27" x14ac:dyDescent="0.25">
      <c r="E31" s="2" t="str">
        <f t="shared" si="2"/>
        <v>Valves and Meters</v>
      </c>
      <c r="F31" t="s">
        <v>7</v>
      </c>
      <c r="G31" s="2">
        <f t="shared" si="1"/>
        <v>0</v>
      </c>
      <c r="H31" s="2">
        <f t="shared" si="1"/>
        <v>0</v>
      </c>
      <c r="I31" s="2">
        <f t="shared" si="1"/>
        <v>0</v>
      </c>
      <c r="J31" s="2">
        <f t="shared" si="1"/>
        <v>0</v>
      </c>
      <c r="K31" s="2">
        <f t="shared" si="1"/>
        <v>0</v>
      </c>
      <c r="L31" s="2">
        <f t="shared" si="1"/>
        <v>0</v>
      </c>
      <c r="M31" s="2">
        <f t="shared" si="1"/>
        <v>0</v>
      </c>
      <c r="N31" s="2">
        <f t="shared" si="1"/>
        <v>0</v>
      </c>
      <c r="O31" s="2">
        <f t="shared" si="1"/>
        <v>0</v>
      </c>
      <c r="P31" s="2">
        <f t="shared" si="1"/>
        <v>0</v>
      </c>
      <c r="Q31" s="2">
        <f t="shared" si="1"/>
        <v>0</v>
      </c>
      <c r="R31" s="2">
        <f t="shared" si="1"/>
        <v>0</v>
      </c>
      <c r="S31" s="2">
        <f t="shared" si="1"/>
        <v>0</v>
      </c>
      <c r="T31" s="2">
        <f t="shared" si="1"/>
        <v>0</v>
      </c>
      <c r="U31" s="2">
        <f t="shared" si="1"/>
        <v>0</v>
      </c>
      <c r="V31" s="2">
        <f t="shared" si="1"/>
        <v>0</v>
      </c>
      <c r="W31" s="2">
        <f t="shared" si="1"/>
        <v>0</v>
      </c>
      <c r="X31" s="2">
        <f t="shared" si="1"/>
        <v>0</v>
      </c>
      <c r="Y31" s="2">
        <f t="shared" si="1"/>
        <v>0</v>
      </c>
      <c r="Z31" s="2">
        <f t="shared" si="1"/>
        <v>0</v>
      </c>
      <c r="AA31" s="2">
        <f t="shared" si="1"/>
        <v>0</v>
      </c>
    </row>
    <row r="32" spans="1:27" x14ac:dyDescent="0.25">
      <c r="E32" s="2" t="str">
        <f t="shared" si="2"/>
        <v>Temporary Assets</v>
      </c>
      <c r="F32" t="s">
        <v>7</v>
      </c>
      <c r="G32" s="2">
        <f t="shared" si="1"/>
        <v>0</v>
      </c>
      <c r="H32" s="2">
        <f t="shared" si="1"/>
        <v>0</v>
      </c>
      <c r="I32" s="2">
        <f t="shared" si="1"/>
        <v>0</v>
      </c>
      <c r="J32" s="2">
        <f t="shared" si="1"/>
        <v>0</v>
      </c>
      <c r="K32" s="2">
        <f t="shared" si="1"/>
        <v>0</v>
      </c>
      <c r="L32" s="2">
        <f t="shared" si="1"/>
        <v>0</v>
      </c>
      <c r="M32" s="2">
        <f t="shared" si="1"/>
        <v>0</v>
      </c>
      <c r="N32" s="2">
        <f t="shared" si="1"/>
        <v>0</v>
      </c>
      <c r="O32" s="2">
        <f t="shared" si="1"/>
        <v>0</v>
      </c>
      <c r="P32" s="2">
        <f t="shared" si="1"/>
        <v>0</v>
      </c>
      <c r="Q32" s="2">
        <f t="shared" si="1"/>
        <v>0</v>
      </c>
      <c r="R32" s="2">
        <f t="shared" si="1"/>
        <v>0</v>
      </c>
      <c r="S32" s="2">
        <f t="shared" si="1"/>
        <v>0</v>
      </c>
      <c r="T32" s="2">
        <f t="shared" si="1"/>
        <v>0</v>
      </c>
      <c r="U32" s="2">
        <f t="shared" si="1"/>
        <v>0</v>
      </c>
      <c r="V32" s="2">
        <f t="shared" si="1"/>
        <v>0</v>
      </c>
      <c r="W32" s="2">
        <f t="shared" si="1"/>
        <v>0</v>
      </c>
      <c r="X32" s="2">
        <f t="shared" si="1"/>
        <v>0</v>
      </c>
      <c r="Y32" s="2">
        <f t="shared" si="1"/>
        <v>0</v>
      </c>
      <c r="Z32" s="2">
        <f t="shared" si="1"/>
        <v>0</v>
      </c>
      <c r="AA32" s="2">
        <f t="shared" si="1"/>
        <v>0</v>
      </c>
    </row>
    <row r="33" spans="1:27" x14ac:dyDescent="0.25">
      <c r="G33" s="2"/>
      <c r="H33" s="2"/>
      <c r="I33" s="2"/>
      <c r="J33" s="2"/>
      <c r="K33" s="2"/>
      <c r="L33" s="2"/>
      <c r="M33" s="2"/>
      <c r="N33" s="2"/>
      <c r="O33" s="2"/>
      <c r="P33" s="2"/>
      <c r="Q33" s="2"/>
    </row>
    <row r="34" spans="1:27" x14ac:dyDescent="0.25">
      <c r="D34" t="s">
        <v>133</v>
      </c>
      <c r="F34" t="s">
        <v>7</v>
      </c>
      <c r="G34" s="2">
        <f>SUM($G$29:G32)</f>
        <v>1819067.8907604155</v>
      </c>
      <c r="H34" s="2">
        <f>SUM($G$29:H32)</f>
        <v>1895633.4450163012</v>
      </c>
      <c r="I34" s="2">
        <f>SUM($G$29:I32)</f>
        <v>1976691.793207427</v>
      </c>
      <c r="J34" s="2">
        <f>SUM($G$29:J32)</f>
        <v>1976691.793207427</v>
      </c>
      <c r="K34" s="2">
        <f>SUM($G$29:K32)</f>
        <v>1988130.9107779083</v>
      </c>
      <c r="L34" s="2">
        <f>SUM($G$29:L32)</f>
        <v>1990562.3782068419</v>
      </c>
      <c r="M34" s="2">
        <f>SUM($G$29:M32)</f>
        <v>1990562.3782068419</v>
      </c>
      <c r="N34" s="2">
        <f>SUM($G$29:N32)</f>
        <v>1990562.3782068419</v>
      </c>
      <c r="O34" s="2">
        <f>SUM($G$29:O32)</f>
        <v>1990562.3782068419</v>
      </c>
      <c r="P34" s="2">
        <f>SUM($G$29:P32)</f>
        <v>1990562.3782068419</v>
      </c>
      <c r="Q34" s="2">
        <f>SUM($G$29:Q32)</f>
        <v>1990562.3782068419</v>
      </c>
      <c r="R34" s="2">
        <f>SUM($G$29:R32)</f>
        <v>1990562.3782068419</v>
      </c>
      <c r="S34" s="2">
        <f>SUM($G$29:S32)</f>
        <v>1990562.3782068419</v>
      </c>
      <c r="T34" s="2">
        <f>SUM($G$29:T32)</f>
        <v>1990562.3782068419</v>
      </c>
      <c r="U34" s="2">
        <f>SUM($G$29:U32)</f>
        <v>1990562.3782068419</v>
      </c>
      <c r="V34" s="2">
        <f>SUM($G$29:V32)</f>
        <v>1990562.3782068419</v>
      </c>
      <c r="W34" s="2">
        <f>SUM($G$29:W32)</f>
        <v>1990562.3782068419</v>
      </c>
      <c r="X34" s="2">
        <f>SUM($G$29:X32)</f>
        <v>1990562.3782068419</v>
      </c>
      <c r="Y34" s="2">
        <f>SUM($G$29:Y32)</f>
        <v>1990562.3782068419</v>
      </c>
      <c r="Z34" s="2">
        <f>SUM($G$29:Z32)</f>
        <v>1990562.3782068419</v>
      </c>
      <c r="AA34" s="2">
        <f>SUM($G$29:AA32)</f>
        <v>1990562.3782068419</v>
      </c>
    </row>
    <row r="35" spans="1:27" x14ac:dyDescent="0.25">
      <c r="G35" s="2"/>
      <c r="H35" s="2"/>
      <c r="I35" s="2"/>
      <c r="J35" s="2"/>
      <c r="K35" s="2"/>
      <c r="L35" s="2"/>
      <c r="M35" s="2"/>
      <c r="N35" s="2"/>
      <c r="O35" s="2"/>
      <c r="P35" s="2"/>
      <c r="Q35" s="2"/>
      <c r="R35" s="2"/>
      <c r="S35" s="2"/>
      <c r="T35" s="2"/>
      <c r="U35" s="2"/>
      <c r="V35" s="2"/>
      <c r="W35" s="2"/>
      <c r="X35" s="2"/>
      <c r="Y35" s="2"/>
      <c r="Z35" s="2"/>
      <c r="AA35" s="2"/>
    </row>
    <row r="36" spans="1:27" x14ac:dyDescent="0.25">
      <c r="A36" s="14">
        <f>'Notes &amp; Assumptions'!A24</f>
        <v>11</v>
      </c>
      <c r="C36" s="1" t="s">
        <v>107</v>
      </c>
      <c r="D36" s="1"/>
    </row>
    <row r="37" spans="1:27" x14ac:dyDescent="0.25">
      <c r="E37" s="2" t="str">
        <f>E7</f>
        <v>Pipes</v>
      </c>
      <c r="F37" t="s">
        <v>7</v>
      </c>
      <c r="G37" s="10"/>
      <c r="H37" s="10">
        <f>'Key assumptions'!$B32*(1+$G$14)^H2*(H90+H111+H132+H153)</f>
        <v>71748732.999999985</v>
      </c>
      <c r="I37" s="10">
        <f>'Key assumptions'!$B32*(1+$G$14)^I2*(I90+I111+I132+I153)</f>
        <v>69468268.23999998</v>
      </c>
      <c r="J37" s="10">
        <f>'Key assumptions'!$B32*(1+$G$14)^J2*(J90+J111+J132+J153)</f>
        <v>68324703.061668873</v>
      </c>
      <c r="K37" s="10">
        <f>'Key assumptions'!$B32*(1+$G$14)^K2*(K90+K111+K132+K153)</f>
        <v>63779829.969574504</v>
      </c>
      <c r="L37" s="10">
        <f>'Key assumptions'!$B32*(1+$G$14)^L2*(L90+L111+L132+L153)</f>
        <v>59227520.453961141</v>
      </c>
      <c r="M37" s="10">
        <f>'Key assumptions'!$B32*(1+$G$14)^M2*(M90+M111+M132+M153)</f>
        <v>54698533.470934145</v>
      </c>
      <c r="N37" s="10">
        <f>'Key assumptions'!$B32*(1+$G$14)^N2*(N90+N111+N132+N153)</f>
        <v>50268959.321799316</v>
      </c>
      <c r="O37" s="10">
        <f>'Key assumptions'!$B32*(1+$G$14)^O2*(O90+O111+O132+O153)</f>
        <v>45990452.338097498</v>
      </c>
      <c r="P37" s="10">
        <f>'Key assumptions'!$B32*(1+$G$14)^P2*(P90+P111+P132+P153)</f>
        <v>45625302.843771212</v>
      </c>
      <c r="Q37" s="10">
        <f>'Key assumptions'!$B32*(1+$G$14)^Q2*(Q90+Q111+Q132+Q153)</f>
        <v>45106482.553013481</v>
      </c>
      <c r="R37" s="10">
        <f>'Key assumptions'!$B32*(1+$G$14)^R2*(R90+R111+R132+R153)</f>
        <v>48564651.960069492</v>
      </c>
      <c r="S37" s="10">
        <f>'Key assumptions'!$B32*(1+$G$14)^S2*(S90+S111+S132+S153)</f>
        <v>52519158.075697809</v>
      </c>
      <c r="T37" s="10">
        <f>'Key assumptions'!$B32*(1+$G$14)^T2*(T90+T111+T132+T153)</f>
        <v>56633010.577060565</v>
      </c>
      <c r="U37" s="10">
        <f>'Key assumptions'!$B32*(1+$G$14)^U2*(U90+U111+U132+U153)</f>
        <v>57537640.149705954</v>
      </c>
      <c r="V37" s="10">
        <f>'Key assumptions'!$B32*(1+$G$14)^V2*(V90+V111+V132+V153)</f>
        <v>58484926.800058573</v>
      </c>
      <c r="W37" s="10">
        <f t="shared" ref="W37:X37" si="3">7000*(1+$G$14)^W2*(W90+W111+W132+W153)</f>
        <v>0</v>
      </c>
      <c r="X37" s="10">
        <f t="shared" si="3"/>
        <v>0</v>
      </c>
      <c r="Y37" s="10">
        <f t="shared" ref="Y37:AA37" si="4">2000*(1+$G$14)^Y2*(Y90+Y111+Y132+Y153)</f>
        <v>0</v>
      </c>
      <c r="Z37" s="10">
        <f t="shared" si="4"/>
        <v>0</v>
      </c>
      <c r="AA37" s="10">
        <f t="shared" si="4"/>
        <v>0</v>
      </c>
    </row>
    <row r="38" spans="1:27" x14ac:dyDescent="0.25">
      <c r="E38" s="2" t="str">
        <f>E8</f>
        <v>Pumps</v>
      </c>
      <c r="F38" t="s">
        <v>7</v>
      </c>
      <c r="G38" s="10"/>
      <c r="H38" s="10"/>
      <c r="I38" s="10"/>
      <c r="J38" s="10"/>
      <c r="K38" s="10"/>
      <c r="L38" s="10"/>
      <c r="M38" s="10"/>
      <c r="N38" s="10"/>
      <c r="O38" s="10"/>
      <c r="P38" s="10"/>
      <c r="Q38" s="10"/>
      <c r="R38" s="10"/>
      <c r="S38" s="10"/>
      <c r="T38" s="10"/>
      <c r="U38" s="10"/>
      <c r="V38" s="10"/>
      <c r="W38" s="10"/>
      <c r="X38" s="10"/>
      <c r="Y38" s="10"/>
      <c r="Z38" s="10"/>
      <c r="AA38" s="10"/>
    </row>
    <row r="39" spans="1:27" x14ac:dyDescent="0.25">
      <c r="E39" s="2" t="str">
        <f>E9</f>
        <v>Valves and Meters</v>
      </c>
      <c r="F39" t="s">
        <v>7</v>
      </c>
      <c r="G39" s="10"/>
      <c r="H39" s="10"/>
      <c r="I39" s="10"/>
      <c r="J39" s="10"/>
      <c r="K39" s="10"/>
      <c r="L39" s="10"/>
      <c r="M39" s="10"/>
      <c r="N39" s="10"/>
      <c r="O39" s="10"/>
      <c r="P39" s="10"/>
      <c r="Q39" s="10"/>
      <c r="R39" s="10"/>
      <c r="S39" s="10"/>
      <c r="T39" s="10"/>
      <c r="U39" s="10"/>
      <c r="V39" s="10"/>
      <c r="W39" s="10"/>
      <c r="X39" s="10"/>
      <c r="Y39" s="10"/>
      <c r="Z39" s="10"/>
      <c r="AA39" s="10"/>
    </row>
    <row r="40" spans="1:27" x14ac:dyDescent="0.25">
      <c r="E40" s="2" t="str">
        <f>E10</f>
        <v>Temporary Assets</v>
      </c>
      <c r="F40" t="s">
        <v>7</v>
      </c>
      <c r="G40" s="10"/>
      <c r="H40" s="10"/>
      <c r="I40" s="10"/>
      <c r="J40" s="10"/>
      <c r="K40" s="10"/>
      <c r="L40" s="10"/>
      <c r="M40" s="10"/>
      <c r="N40" s="10"/>
      <c r="O40" s="10"/>
      <c r="P40" s="10"/>
      <c r="Q40" s="10"/>
      <c r="R40" s="10"/>
      <c r="S40" s="10"/>
      <c r="T40" s="10"/>
      <c r="U40" s="10"/>
      <c r="V40" s="10"/>
      <c r="W40" s="10"/>
      <c r="X40" s="10"/>
      <c r="Y40" s="10"/>
      <c r="Z40" s="10"/>
      <c r="AA40" s="10"/>
    </row>
    <row r="41" spans="1:27" x14ac:dyDescent="0.25">
      <c r="E41" t="s">
        <v>131</v>
      </c>
      <c r="F41" t="s">
        <v>7</v>
      </c>
      <c r="G41" s="10"/>
      <c r="H41" s="10"/>
      <c r="I41" s="10"/>
      <c r="J41" s="10"/>
      <c r="K41" s="10"/>
      <c r="L41" s="10"/>
      <c r="M41" s="10"/>
      <c r="N41" s="10"/>
      <c r="O41" s="10"/>
      <c r="P41" s="10"/>
      <c r="Q41" s="10"/>
      <c r="R41" s="10"/>
      <c r="S41" s="10"/>
      <c r="T41" s="10"/>
      <c r="U41" s="10"/>
      <c r="V41" s="10"/>
      <c r="W41" s="10"/>
      <c r="X41" s="10"/>
      <c r="Y41" s="10"/>
      <c r="Z41" s="10"/>
      <c r="AA41" s="10"/>
    </row>
    <row r="42" spans="1:27" x14ac:dyDescent="0.25">
      <c r="G42" s="2">
        <f>SUM(G37:G41)</f>
        <v>0</v>
      </c>
      <c r="H42" s="2">
        <f t="shared" ref="H42:AA42" si="5">SUM(H37:H41)</f>
        <v>71748732.999999985</v>
      </c>
      <c r="I42" s="2">
        <f t="shared" si="5"/>
        <v>69468268.23999998</v>
      </c>
      <c r="J42" s="2">
        <f t="shared" si="5"/>
        <v>68324703.061668873</v>
      </c>
      <c r="K42" s="2">
        <f t="shared" si="5"/>
        <v>63779829.969574504</v>
      </c>
      <c r="L42" s="2">
        <f t="shared" si="5"/>
        <v>59227520.453961141</v>
      </c>
      <c r="M42" s="2">
        <f t="shared" si="5"/>
        <v>54698533.470934145</v>
      </c>
      <c r="N42" s="2">
        <f t="shared" si="5"/>
        <v>50268959.321799316</v>
      </c>
      <c r="O42" s="2">
        <f t="shared" si="5"/>
        <v>45990452.338097498</v>
      </c>
      <c r="P42" s="2">
        <f t="shared" si="5"/>
        <v>45625302.843771212</v>
      </c>
      <c r="Q42" s="2">
        <f t="shared" si="5"/>
        <v>45106482.553013481</v>
      </c>
      <c r="R42" s="2">
        <f t="shared" si="5"/>
        <v>48564651.960069492</v>
      </c>
      <c r="S42" s="2">
        <f t="shared" si="5"/>
        <v>52519158.075697809</v>
      </c>
      <c r="T42" s="2">
        <f t="shared" si="5"/>
        <v>56633010.577060565</v>
      </c>
      <c r="U42" s="2">
        <f t="shared" si="5"/>
        <v>57537640.149705954</v>
      </c>
      <c r="V42" s="2">
        <f t="shared" si="5"/>
        <v>58484926.800058573</v>
      </c>
      <c r="W42" s="2">
        <f t="shared" si="5"/>
        <v>0</v>
      </c>
      <c r="X42" s="2">
        <f t="shared" si="5"/>
        <v>0</v>
      </c>
      <c r="Y42" s="2">
        <f t="shared" si="5"/>
        <v>0</v>
      </c>
      <c r="Z42" s="2">
        <f t="shared" si="5"/>
        <v>0</v>
      </c>
      <c r="AA42" s="2">
        <f t="shared" si="5"/>
        <v>0</v>
      </c>
    </row>
    <row r="43" spans="1:27" x14ac:dyDescent="0.25">
      <c r="G43" s="2"/>
      <c r="H43" s="2"/>
      <c r="I43" s="2"/>
      <c r="J43" s="2"/>
      <c r="K43" s="2"/>
      <c r="L43" s="2"/>
      <c r="M43" s="2"/>
      <c r="N43" s="2"/>
      <c r="O43" s="2"/>
      <c r="P43" s="2"/>
      <c r="Q43" s="2"/>
    </row>
    <row r="44" spans="1:27" x14ac:dyDescent="0.25">
      <c r="D44" t="s">
        <v>134</v>
      </c>
      <c r="G44" s="2"/>
      <c r="H44" s="2"/>
      <c r="I44" s="2"/>
      <c r="J44" s="2"/>
      <c r="K44" s="2"/>
      <c r="L44" s="2"/>
      <c r="M44" s="2"/>
      <c r="N44" s="2"/>
      <c r="O44" s="2"/>
      <c r="P44" s="2"/>
      <c r="Q44" s="2"/>
    </row>
    <row r="45" spans="1:27" x14ac:dyDescent="0.25">
      <c r="E45" s="2" t="str">
        <f>E37</f>
        <v>Pipes</v>
      </c>
      <c r="F45" t="s">
        <v>7</v>
      </c>
      <c r="G45" s="2">
        <f t="shared" ref="G45:AA48" si="6">G37/$G7+IF((G$2-$G7+1)&gt;0,-INDEX($G37:$AA37,1,(G$2-$G7+1))/$G7,0)</f>
        <v>0</v>
      </c>
      <c r="H45" s="2">
        <f t="shared" si="6"/>
        <v>797208.14444444433</v>
      </c>
      <c r="I45" s="2">
        <f t="shared" si="6"/>
        <v>771869.64711111085</v>
      </c>
      <c r="J45" s="2">
        <f t="shared" si="6"/>
        <v>759163.36735187634</v>
      </c>
      <c r="K45" s="2">
        <f t="shared" si="6"/>
        <v>708664.77743971674</v>
      </c>
      <c r="L45" s="2">
        <f t="shared" si="6"/>
        <v>658083.56059956818</v>
      </c>
      <c r="M45" s="2">
        <f t="shared" si="6"/>
        <v>607761.48301037936</v>
      </c>
      <c r="N45" s="2">
        <f t="shared" si="6"/>
        <v>558543.9924644368</v>
      </c>
      <c r="O45" s="2">
        <f t="shared" si="6"/>
        <v>511005.02597886109</v>
      </c>
      <c r="P45" s="2">
        <f t="shared" si="6"/>
        <v>506947.80937523569</v>
      </c>
      <c r="Q45" s="2">
        <f t="shared" si="6"/>
        <v>501183.13947792759</v>
      </c>
      <c r="R45" s="2">
        <f t="shared" si="6"/>
        <v>539607.24400077213</v>
      </c>
      <c r="S45" s="2">
        <f t="shared" si="6"/>
        <v>583546.2008410868</v>
      </c>
      <c r="T45" s="2">
        <f t="shared" si="6"/>
        <v>629255.67307845072</v>
      </c>
      <c r="U45" s="2">
        <f t="shared" si="6"/>
        <v>639307.11277451064</v>
      </c>
      <c r="V45" s="2">
        <f t="shared" si="6"/>
        <v>649832.52000065078</v>
      </c>
      <c r="W45" s="2">
        <f t="shared" si="6"/>
        <v>0</v>
      </c>
      <c r="X45" s="2">
        <f t="shared" si="6"/>
        <v>0</v>
      </c>
      <c r="Y45" s="2">
        <f t="shared" si="6"/>
        <v>0</v>
      </c>
      <c r="Z45" s="2">
        <f t="shared" si="6"/>
        <v>0</v>
      </c>
      <c r="AA45" s="2">
        <f t="shared" si="6"/>
        <v>0</v>
      </c>
    </row>
    <row r="46" spans="1:27" x14ac:dyDescent="0.25">
      <c r="E46" s="2" t="str">
        <f t="shared" ref="E46:E48" si="7">E38</f>
        <v>Pumps</v>
      </c>
      <c r="F46" t="s">
        <v>7</v>
      </c>
      <c r="G46" s="2">
        <f t="shared" si="6"/>
        <v>0</v>
      </c>
      <c r="H46" s="2">
        <f t="shared" si="6"/>
        <v>0</v>
      </c>
      <c r="I46" s="2">
        <f t="shared" si="6"/>
        <v>0</v>
      </c>
      <c r="J46" s="2">
        <f t="shared" si="6"/>
        <v>0</v>
      </c>
      <c r="K46" s="2">
        <f t="shared" si="6"/>
        <v>0</v>
      </c>
      <c r="L46" s="2">
        <f t="shared" si="6"/>
        <v>0</v>
      </c>
      <c r="M46" s="2">
        <f t="shared" si="6"/>
        <v>0</v>
      </c>
      <c r="N46" s="2">
        <f t="shared" si="6"/>
        <v>0</v>
      </c>
      <c r="O46" s="2">
        <f t="shared" si="6"/>
        <v>0</v>
      </c>
      <c r="P46" s="2">
        <f t="shared" si="6"/>
        <v>0</v>
      </c>
      <c r="Q46" s="2">
        <f t="shared" si="6"/>
        <v>0</v>
      </c>
      <c r="R46" s="2">
        <f t="shared" si="6"/>
        <v>0</v>
      </c>
      <c r="S46" s="2">
        <f t="shared" si="6"/>
        <v>0</v>
      </c>
      <c r="T46" s="2">
        <f t="shared" si="6"/>
        <v>0</v>
      </c>
      <c r="U46" s="2">
        <f t="shared" si="6"/>
        <v>0</v>
      </c>
      <c r="V46" s="2">
        <f t="shared" si="6"/>
        <v>0</v>
      </c>
      <c r="W46" s="2">
        <f t="shared" si="6"/>
        <v>0</v>
      </c>
      <c r="X46" s="2">
        <f t="shared" si="6"/>
        <v>0</v>
      </c>
      <c r="Y46" s="2">
        <f t="shared" si="6"/>
        <v>0</v>
      </c>
      <c r="Z46" s="2">
        <f t="shared" si="6"/>
        <v>0</v>
      </c>
      <c r="AA46" s="2">
        <f t="shared" si="6"/>
        <v>0</v>
      </c>
    </row>
    <row r="47" spans="1:27" x14ac:dyDescent="0.25">
      <c r="E47" s="2" t="str">
        <f t="shared" si="7"/>
        <v>Valves and Meters</v>
      </c>
      <c r="F47" t="s">
        <v>7</v>
      </c>
      <c r="G47" s="2">
        <f t="shared" si="6"/>
        <v>0</v>
      </c>
      <c r="H47" s="2">
        <f t="shared" si="6"/>
        <v>0</v>
      </c>
      <c r="I47" s="2">
        <f t="shared" si="6"/>
        <v>0</v>
      </c>
      <c r="J47" s="2">
        <f t="shared" si="6"/>
        <v>0</v>
      </c>
      <c r="K47" s="2">
        <f t="shared" si="6"/>
        <v>0</v>
      </c>
      <c r="L47" s="2">
        <f t="shared" si="6"/>
        <v>0</v>
      </c>
      <c r="M47" s="2">
        <f t="shared" si="6"/>
        <v>0</v>
      </c>
      <c r="N47" s="2">
        <f t="shared" si="6"/>
        <v>0</v>
      </c>
      <c r="O47" s="2">
        <f t="shared" si="6"/>
        <v>0</v>
      </c>
      <c r="P47" s="2">
        <f t="shared" si="6"/>
        <v>0</v>
      </c>
      <c r="Q47" s="2">
        <f t="shared" si="6"/>
        <v>0</v>
      </c>
      <c r="R47" s="2">
        <f t="shared" si="6"/>
        <v>0</v>
      </c>
      <c r="S47" s="2">
        <f t="shared" si="6"/>
        <v>0</v>
      </c>
      <c r="T47" s="2">
        <f t="shared" si="6"/>
        <v>0</v>
      </c>
      <c r="U47" s="2">
        <f t="shared" si="6"/>
        <v>0</v>
      </c>
      <c r="V47" s="2">
        <f t="shared" si="6"/>
        <v>0</v>
      </c>
      <c r="W47" s="2">
        <f t="shared" si="6"/>
        <v>0</v>
      </c>
      <c r="X47" s="2">
        <f t="shared" si="6"/>
        <v>0</v>
      </c>
      <c r="Y47" s="2">
        <f t="shared" si="6"/>
        <v>0</v>
      </c>
      <c r="Z47" s="2">
        <f t="shared" si="6"/>
        <v>0</v>
      </c>
      <c r="AA47" s="2">
        <f t="shared" si="6"/>
        <v>0</v>
      </c>
    </row>
    <row r="48" spans="1:27" x14ac:dyDescent="0.25">
      <c r="E48" s="2" t="str">
        <f t="shared" si="7"/>
        <v>Temporary Assets</v>
      </c>
      <c r="F48" t="s">
        <v>7</v>
      </c>
      <c r="G48" s="2">
        <f t="shared" si="6"/>
        <v>0</v>
      </c>
      <c r="H48" s="2">
        <f t="shared" si="6"/>
        <v>0</v>
      </c>
      <c r="I48" s="2">
        <f t="shared" si="6"/>
        <v>0</v>
      </c>
      <c r="J48" s="2">
        <f t="shared" si="6"/>
        <v>0</v>
      </c>
      <c r="K48" s="2">
        <f t="shared" si="6"/>
        <v>0</v>
      </c>
      <c r="L48" s="2">
        <f t="shared" si="6"/>
        <v>0</v>
      </c>
      <c r="M48" s="2">
        <f t="shared" si="6"/>
        <v>0</v>
      </c>
      <c r="N48" s="2">
        <f t="shared" si="6"/>
        <v>0</v>
      </c>
      <c r="O48" s="2">
        <f t="shared" si="6"/>
        <v>0</v>
      </c>
      <c r="P48" s="2">
        <f t="shared" si="6"/>
        <v>0</v>
      </c>
      <c r="Q48" s="2">
        <f t="shared" si="6"/>
        <v>0</v>
      </c>
      <c r="R48" s="2">
        <f t="shared" si="6"/>
        <v>0</v>
      </c>
      <c r="S48" s="2">
        <f t="shared" si="6"/>
        <v>0</v>
      </c>
      <c r="T48" s="2">
        <f t="shared" si="6"/>
        <v>0</v>
      </c>
      <c r="U48" s="2">
        <f t="shared" si="6"/>
        <v>0</v>
      </c>
      <c r="V48" s="2">
        <f t="shared" si="6"/>
        <v>0</v>
      </c>
      <c r="W48" s="2">
        <f t="shared" si="6"/>
        <v>0</v>
      </c>
      <c r="X48" s="2">
        <f t="shared" si="6"/>
        <v>0</v>
      </c>
      <c r="Y48" s="2">
        <f t="shared" si="6"/>
        <v>0</v>
      </c>
      <c r="Z48" s="2">
        <f t="shared" si="6"/>
        <v>0</v>
      </c>
      <c r="AA48" s="2">
        <f t="shared" si="6"/>
        <v>0</v>
      </c>
    </row>
    <row r="49" spans="1:27" x14ac:dyDescent="0.25">
      <c r="G49" s="2"/>
      <c r="H49" s="2"/>
      <c r="I49" s="2"/>
      <c r="J49" s="2"/>
      <c r="K49" s="2"/>
      <c r="L49" s="2"/>
      <c r="M49" s="2"/>
      <c r="N49" s="2"/>
      <c r="O49" s="2"/>
      <c r="P49" s="2"/>
      <c r="Q49" s="2"/>
    </row>
    <row r="50" spans="1:27" x14ac:dyDescent="0.25">
      <c r="D50" t="s">
        <v>135</v>
      </c>
      <c r="F50" t="s">
        <v>7</v>
      </c>
      <c r="G50" s="2">
        <f>SUM($G$45:G48)</f>
        <v>0</v>
      </c>
      <c r="H50" s="2">
        <f>SUM($G$45:H48)</f>
        <v>797208.14444444433</v>
      </c>
      <c r="I50" s="2">
        <f>SUM($G$45:I48)</f>
        <v>1569077.7915555551</v>
      </c>
      <c r="J50" s="2">
        <f>SUM($G$45:J48)</f>
        <v>2328241.1589074312</v>
      </c>
      <c r="K50" s="2">
        <f>SUM($G$45:K48)</f>
        <v>3036905.9363471479</v>
      </c>
      <c r="L50" s="2">
        <f>SUM($G$45:L48)</f>
        <v>3694989.4969467162</v>
      </c>
      <c r="M50" s="2">
        <f>SUM($G$45:M48)</f>
        <v>4302750.9799570953</v>
      </c>
      <c r="N50" s="2">
        <f>SUM($G$45:N48)</f>
        <v>4861294.9724215325</v>
      </c>
      <c r="O50" s="2">
        <f>SUM($G$45:O48)</f>
        <v>5372299.9984003939</v>
      </c>
      <c r="P50" s="2">
        <f>SUM($G$45:P48)</f>
        <v>5879247.8077756297</v>
      </c>
      <c r="Q50" s="2">
        <f>SUM($G$45:Q48)</f>
        <v>6380430.9472535569</v>
      </c>
      <c r="R50" s="2">
        <f>SUM($G$45:R48)</f>
        <v>6920038.1912543289</v>
      </c>
      <c r="S50" s="2">
        <f>SUM($G$45:S48)</f>
        <v>7503584.3920954159</v>
      </c>
      <c r="T50" s="2">
        <f>SUM($G$45:T48)</f>
        <v>8132840.0651738662</v>
      </c>
      <c r="U50" s="2">
        <f>SUM($G$45:U48)</f>
        <v>8772147.1779483762</v>
      </c>
      <c r="V50" s="2">
        <f>SUM($G$45:V48)</f>
        <v>9421979.6979490276</v>
      </c>
      <c r="W50" s="2">
        <f>SUM($G$45:W48)</f>
        <v>9421979.6979490276</v>
      </c>
      <c r="X50" s="2">
        <f>SUM($G$45:X48)</f>
        <v>9421979.6979490276</v>
      </c>
      <c r="Y50" s="2">
        <f>SUM($G$45:Y48)</f>
        <v>9421979.6979490276</v>
      </c>
      <c r="Z50" s="2">
        <f>SUM($G$45:Z48)</f>
        <v>9421979.6979490276</v>
      </c>
      <c r="AA50" s="2">
        <f>SUM($G$45:AA48)</f>
        <v>9421979.6979490276</v>
      </c>
    </row>
    <row r="51" spans="1:27" x14ac:dyDescent="0.25">
      <c r="G51" s="2"/>
      <c r="H51" s="2"/>
      <c r="I51" s="2"/>
      <c r="J51" s="2"/>
      <c r="K51" s="2"/>
      <c r="L51" s="2"/>
      <c r="M51" s="2"/>
      <c r="N51" s="2"/>
      <c r="O51" s="2"/>
      <c r="P51" s="2"/>
      <c r="Q51" s="2"/>
      <c r="R51" s="2"/>
      <c r="S51" s="2"/>
      <c r="T51" s="2"/>
      <c r="U51" s="2"/>
      <c r="V51" s="2"/>
      <c r="W51" s="2"/>
      <c r="X51" s="2"/>
      <c r="Y51" s="2"/>
      <c r="Z51" s="2"/>
      <c r="AA51" s="2"/>
    </row>
    <row r="52" spans="1:27" x14ac:dyDescent="0.25">
      <c r="A52" s="14">
        <f>'Notes &amp; Assumptions'!A25</f>
        <v>12</v>
      </c>
      <c r="C52" s="1" t="s">
        <v>109</v>
      </c>
      <c r="G52" s="2"/>
      <c r="H52" s="2"/>
      <c r="I52" s="2"/>
      <c r="J52" s="2"/>
      <c r="K52" s="2"/>
      <c r="L52" s="2"/>
      <c r="M52" s="2"/>
      <c r="N52" s="2"/>
      <c r="O52" s="2"/>
      <c r="P52" s="2"/>
      <c r="Q52" s="2"/>
      <c r="R52" s="2"/>
      <c r="S52" s="2"/>
      <c r="T52" s="2"/>
      <c r="U52" s="2"/>
      <c r="V52" s="2"/>
      <c r="W52" s="2"/>
      <c r="X52" s="2"/>
      <c r="Y52" s="2"/>
      <c r="Z52" s="2"/>
      <c r="AA52" s="2"/>
    </row>
    <row r="53" spans="1:27" x14ac:dyDescent="0.25">
      <c r="E53" t="s">
        <v>109</v>
      </c>
      <c r="F53" t="s">
        <v>7</v>
      </c>
      <c r="G53" s="10"/>
      <c r="H53" s="10"/>
      <c r="I53" s="10"/>
      <c r="J53" s="10"/>
      <c r="K53" s="10"/>
      <c r="L53" s="10"/>
      <c r="M53" s="10"/>
      <c r="N53" s="10"/>
      <c r="O53" s="10"/>
      <c r="P53" s="10"/>
      <c r="Q53" s="10"/>
      <c r="R53" s="10"/>
      <c r="S53" s="10"/>
      <c r="T53" s="10"/>
      <c r="U53" s="10"/>
      <c r="V53" s="10"/>
      <c r="W53" s="10"/>
      <c r="X53" s="10"/>
      <c r="Y53" s="10"/>
      <c r="Z53" s="10"/>
      <c r="AA53" s="10"/>
    </row>
    <row r="55" spans="1:27" x14ac:dyDescent="0.25">
      <c r="C55" s="1" t="s">
        <v>25</v>
      </c>
      <c r="D55" s="1"/>
    </row>
    <row r="56" spans="1:27" x14ac:dyDescent="0.25">
      <c r="A56" s="14">
        <f>'Notes &amp; Assumptions'!A26</f>
        <v>13</v>
      </c>
      <c r="D56" t="s">
        <v>2</v>
      </c>
    </row>
    <row r="57" spans="1:27" x14ac:dyDescent="0.25">
      <c r="E57" s="2" t="str">
        <f>E7</f>
        <v>Pipes</v>
      </c>
      <c r="F57" t="s">
        <v>7</v>
      </c>
      <c r="G57" s="10"/>
      <c r="H57" s="10"/>
      <c r="I57" s="10"/>
      <c r="J57" s="10"/>
      <c r="K57" s="10"/>
      <c r="L57" s="10"/>
      <c r="M57" s="10"/>
      <c r="N57" s="10"/>
      <c r="O57" s="10"/>
      <c r="P57" s="10"/>
      <c r="Q57" s="10"/>
      <c r="R57" s="10"/>
      <c r="S57" s="10"/>
      <c r="T57" s="10"/>
      <c r="U57" s="10"/>
      <c r="V57" s="10"/>
      <c r="W57" s="10"/>
      <c r="X57" s="10"/>
      <c r="Y57" s="10"/>
      <c r="Z57" s="10"/>
      <c r="AA57" s="10"/>
    </row>
    <row r="58" spans="1:27" x14ac:dyDescent="0.25">
      <c r="E58" s="2" t="str">
        <f>E8</f>
        <v>Pumps</v>
      </c>
      <c r="F58" t="s">
        <v>7</v>
      </c>
      <c r="G58" s="10"/>
      <c r="H58" s="10"/>
      <c r="I58" s="10"/>
      <c r="J58" s="10"/>
      <c r="K58" s="10"/>
      <c r="L58" s="10"/>
      <c r="M58" s="10"/>
      <c r="N58" s="10"/>
      <c r="O58" s="10"/>
      <c r="P58" s="10"/>
      <c r="Q58" s="10"/>
      <c r="R58" s="10"/>
      <c r="S58" s="10"/>
      <c r="T58" s="10"/>
      <c r="U58" s="10"/>
      <c r="V58" s="10"/>
      <c r="W58" s="10"/>
      <c r="X58" s="10"/>
      <c r="Y58" s="10"/>
      <c r="Z58" s="10"/>
      <c r="AA58" s="10"/>
    </row>
    <row r="59" spans="1:27" x14ac:dyDescent="0.25">
      <c r="E59" s="2" t="str">
        <f>E9</f>
        <v>Valves and Meters</v>
      </c>
      <c r="F59" t="s">
        <v>7</v>
      </c>
      <c r="G59" s="10"/>
      <c r="H59" s="10"/>
      <c r="I59" s="10"/>
      <c r="J59" s="10"/>
      <c r="K59" s="10"/>
      <c r="L59" s="10"/>
      <c r="M59" s="10"/>
      <c r="N59" s="10"/>
      <c r="O59" s="10"/>
      <c r="P59" s="10"/>
      <c r="Q59" s="10"/>
      <c r="R59" s="10"/>
      <c r="S59" s="10"/>
      <c r="T59" s="10"/>
      <c r="U59" s="10"/>
      <c r="V59" s="10"/>
      <c r="W59" s="10"/>
      <c r="X59" s="10"/>
      <c r="Y59" s="10"/>
      <c r="Z59" s="10"/>
      <c r="AA59" s="10"/>
    </row>
    <row r="60" spans="1:27" x14ac:dyDescent="0.25">
      <c r="E60" t="s">
        <v>131</v>
      </c>
      <c r="F60" t="s">
        <v>7</v>
      </c>
      <c r="G60" s="10"/>
      <c r="H60" s="10"/>
      <c r="I60" s="10"/>
      <c r="J60" s="10"/>
      <c r="K60" s="10"/>
      <c r="L60" s="10"/>
      <c r="M60" s="10"/>
      <c r="N60" s="10"/>
      <c r="O60" s="10"/>
      <c r="P60" s="10"/>
      <c r="Q60" s="10"/>
      <c r="R60" s="10"/>
      <c r="S60" s="10"/>
      <c r="T60" s="10"/>
      <c r="U60" s="10"/>
      <c r="V60" s="10"/>
      <c r="W60" s="10"/>
      <c r="X60" s="10"/>
      <c r="Y60" s="10"/>
      <c r="Z60" s="10"/>
      <c r="AA60" s="10"/>
    </row>
    <row r="61" spans="1:27" x14ac:dyDescent="0.25">
      <c r="G61" s="2">
        <f>SUM(G57:G60)</f>
        <v>0</v>
      </c>
      <c r="H61" s="2">
        <f t="shared" ref="H61:AA61" si="8">SUM(H57:H60)</f>
        <v>0</v>
      </c>
      <c r="I61" s="2">
        <f t="shared" si="8"/>
        <v>0</v>
      </c>
      <c r="J61" s="2">
        <f t="shared" si="8"/>
        <v>0</v>
      </c>
      <c r="K61" s="2">
        <f t="shared" si="8"/>
        <v>0</v>
      </c>
      <c r="L61" s="2">
        <f t="shared" si="8"/>
        <v>0</v>
      </c>
      <c r="M61" s="2">
        <f t="shared" si="8"/>
        <v>0</v>
      </c>
      <c r="N61" s="2">
        <f t="shared" si="8"/>
        <v>0</v>
      </c>
      <c r="O61" s="2">
        <f t="shared" si="8"/>
        <v>0</v>
      </c>
      <c r="P61" s="2">
        <f t="shared" si="8"/>
        <v>0</v>
      </c>
      <c r="Q61" s="2">
        <f t="shared" si="8"/>
        <v>0</v>
      </c>
      <c r="R61" s="2">
        <f t="shared" si="8"/>
        <v>0</v>
      </c>
      <c r="S61" s="2">
        <f t="shared" si="8"/>
        <v>0</v>
      </c>
      <c r="T61" s="2">
        <f t="shared" si="8"/>
        <v>0</v>
      </c>
      <c r="U61" s="2">
        <f t="shared" si="8"/>
        <v>0</v>
      </c>
      <c r="V61" s="2">
        <f t="shared" si="8"/>
        <v>0</v>
      </c>
      <c r="W61" s="2">
        <f t="shared" si="8"/>
        <v>0</v>
      </c>
      <c r="X61" s="2">
        <f t="shared" si="8"/>
        <v>0</v>
      </c>
      <c r="Y61" s="2">
        <f t="shared" si="8"/>
        <v>0</v>
      </c>
      <c r="Z61" s="2">
        <f t="shared" si="8"/>
        <v>0</v>
      </c>
      <c r="AA61" s="2">
        <f t="shared" si="8"/>
        <v>0</v>
      </c>
    </row>
    <row r="63" spans="1:27" x14ac:dyDescent="0.25">
      <c r="D63" t="s">
        <v>136</v>
      </c>
      <c r="G63" s="2"/>
      <c r="H63" s="2"/>
      <c r="I63" s="2"/>
      <c r="J63" s="2"/>
      <c r="K63" s="2"/>
      <c r="L63" s="2"/>
      <c r="M63" s="2"/>
      <c r="N63" s="2"/>
      <c r="O63" s="2"/>
      <c r="P63" s="2"/>
      <c r="Q63" s="2"/>
    </row>
    <row r="64" spans="1:27" x14ac:dyDescent="0.25">
      <c r="E64" s="2" t="str">
        <f>E57</f>
        <v>Pipes</v>
      </c>
      <c r="F64" t="s">
        <v>7</v>
      </c>
      <c r="G64" s="2">
        <f t="shared" ref="G64:AA66" si="9">G57/$G7+IF((G$2-$G7+1)&gt;0,-INDEX($G57:$AA57,1,(G$2-$G7+1))/$G7,0)</f>
        <v>0</v>
      </c>
      <c r="H64" s="2">
        <f t="shared" si="9"/>
        <v>0</v>
      </c>
      <c r="I64" s="2">
        <f t="shared" si="9"/>
        <v>0</v>
      </c>
      <c r="J64" s="2">
        <f t="shared" si="9"/>
        <v>0</v>
      </c>
      <c r="K64" s="2">
        <f t="shared" si="9"/>
        <v>0</v>
      </c>
      <c r="L64" s="2">
        <f t="shared" si="9"/>
        <v>0</v>
      </c>
      <c r="M64" s="2">
        <f t="shared" si="9"/>
        <v>0</v>
      </c>
      <c r="N64" s="2">
        <f t="shared" si="9"/>
        <v>0</v>
      </c>
      <c r="O64" s="2">
        <f t="shared" si="9"/>
        <v>0</v>
      </c>
      <c r="P64" s="2">
        <f t="shared" si="9"/>
        <v>0</v>
      </c>
      <c r="Q64" s="2">
        <f t="shared" si="9"/>
        <v>0</v>
      </c>
      <c r="R64" s="2">
        <f t="shared" si="9"/>
        <v>0</v>
      </c>
      <c r="S64" s="2">
        <f t="shared" si="9"/>
        <v>0</v>
      </c>
      <c r="T64" s="2">
        <f t="shared" si="9"/>
        <v>0</v>
      </c>
      <c r="U64" s="2">
        <f t="shared" si="9"/>
        <v>0</v>
      </c>
      <c r="V64" s="2">
        <f t="shared" si="9"/>
        <v>0</v>
      </c>
      <c r="W64" s="2">
        <f t="shared" si="9"/>
        <v>0</v>
      </c>
      <c r="X64" s="2">
        <f t="shared" si="9"/>
        <v>0</v>
      </c>
      <c r="Y64" s="2">
        <f t="shared" si="9"/>
        <v>0</v>
      </c>
      <c r="Z64" s="2">
        <f t="shared" si="9"/>
        <v>0</v>
      </c>
      <c r="AA64" s="2">
        <f t="shared" si="9"/>
        <v>0</v>
      </c>
    </row>
    <row r="65" spans="1:27" x14ac:dyDescent="0.25">
      <c r="E65" s="2" t="str">
        <f t="shared" ref="E65:E66" si="10">E58</f>
        <v>Pumps</v>
      </c>
      <c r="F65" t="s">
        <v>7</v>
      </c>
      <c r="G65" s="2">
        <f t="shared" si="9"/>
        <v>0</v>
      </c>
      <c r="H65" s="2">
        <f t="shared" si="9"/>
        <v>0</v>
      </c>
      <c r="I65" s="2">
        <f t="shared" si="9"/>
        <v>0</v>
      </c>
      <c r="J65" s="2">
        <f t="shared" si="9"/>
        <v>0</v>
      </c>
      <c r="K65" s="2">
        <f t="shared" si="9"/>
        <v>0</v>
      </c>
      <c r="L65" s="2">
        <f t="shared" si="9"/>
        <v>0</v>
      </c>
      <c r="M65" s="2">
        <f t="shared" si="9"/>
        <v>0</v>
      </c>
      <c r="N65" s="2">
        <f t="shared" si="9"/>
        <v>0</v>
      </c>
      <c r="O65" s="2">
        <f t="shared" si="9"/>
        <v>0</v>
      </c>
      <c r="P65" s="2">
        <f t="shared" si="9"/>
        <v>0</v>
      </c>
      <c r="Q65" s="2">
        <f t="shared" si="9"/>
        <v>0</v>
      </c>
      <c r="R65" s="2">
        <f t="shared" si="9"/>
        <v>0</v>
      </c>
      <c r="S65" s="2">
        <f t="shared" si="9"/>
        <v>0</v>
      </c>
      <c r="T65" s="2">
        <f t="shared" si="9"/>
        <v>0</v>
      </c>
      <c r="U65" s="2">
        <f t="shared" si="9"/>
        <v>0</v>
      </c>
      <c r="V65" s="2">
        <f t="shared" si="9"/>
        <v>0</v>
      </c>
      <c r="W65" s="2">
        <f t="shared" si="9"/>
        <v>0</v>
      </c>
      <c r="X65" s="2">
        <f t="shared" si="9"/>
        <v>0</v>
      </c>
      <c r="Y65" s="2">
        <f t="shared" si="9"/>
        <v>0</v>
      </c>
      <c r="Z65" s="2">
        <f t="shared" si="9"/>
        <v>0</v>
      </c>
      <c r="AA65" s="2">
        <f t="shared" si="9"/>
        <v>0</v>
      </c>
    </row>
    <row r="66" spans="1:27" x14ac:dyDescent="0.25">
      <c r="E66" s="2" t="str">
        <f t="shared" si="10"/>
        <v>Valves and Meters</v>
      </c>
      <c r="F66" t="s">
        <v>7</v>
      </c>
      <c r="G66" s="2">
        <f t="shared" si="9"/>
        <v>0</v>
      </c>
      <c r="H66" s="2">
        <f t="shared" si="9"/>
        <v>0</v>
      </c>
      <c r="I66" s="2">
        <f t="shared" si="9"/>
        <v>0</v>
      </c>
      <c r="J66" s="2">
        <f t="shared" si="9"/>
        <v>0</v>
      </c>
      <c r="K66" s="2">
        <f t="shared" si="9"/>
        <v>0</v>
      </c>
      <c r="L66" s="2">
        <f t="shared" si="9"/>
        <v>0</v>
      </c>
      <c r="M66" s="2">
        <f t="shared" si="9"/>
        <v>0</v>
      </c>
      <c r="N66" s="2">
        <f t="shared" si="9"/>
        <v>0</v>
      </c>
      <c r="O66" s="2">
        <f t="shared" si="9"/>
        <v>0</v>
      </c>
      <c r="P66" s="2">
        <f t="shared" si="9"/>
        <v>0</v>
      </c>
      <c r="Q66" s="2">
        <f t="shared" si="9"/>
        <v>0</v>
      </c>
      <c r="R66" s="2">
        <f t="shared" si="9"/>
        <v>0</v>
      </c>
      <c r="S66" s="2">
        <f t="shared" si="9"/>
        <v>0</v>
      </c>
      <c r="T66" s="2">
        <f t="shared" si="9"/>
        <v>0</v>
      </c>
      <c r="U66" s="2">
        <f t="shared" si="9"/>
        <v>0</v>
      </c>
      <c r="V66" s="2">
        <f t="shared" si="9"/>
        <v>0</v>
      </c>
      <c r="W66" s="2">
        <f t="shared" si="9"/>
        <v>0</v>
      </c>
      <c r="X66" s="2">
        <f t="shared" si="9"/>
        <v>0</v>
      </c>
      <c r="Y66" s="2">
        <f t="shared" si="9"/>
        <v>0</v>
      </c>
      <c r="Z66" s="2">
        <f t="shared" si="9"/>
        <v>0</v>
      </c>
      <c r="AA66" s="2">
        <f t="shared" si="9"/>
        <v>0</v>
      </c>
    </row>
    <row r="68" spans="1:27" x14ac:dyDescent="0.25">
      <c r="D68" t="s">
        <v>137</v>
      </c>
      <c r="F68" t="s">
        <v>7</v>
      </c>
      <c r="G68" s="2">
        <f>SUM($G$64:G66)</f>
        <v>0</v>
      </c>
      <c r="H68" s="2">
        <f>SUM($G$64:H66)</f>
        <v>0</v>
      </c>
      <c r="I68" s="2">
        <f>SUM($G$64:I66)</f>
        <v>0</v>
      </c>
      <c r="J68" s="2">
        <f>SUM($G$64:J66)</f>
        <v>0</v>
      </c>
      <c r="K68" s="2">
        <f>SUM($G$64:K66)</f>
        <v>0</v>
      </c>
      <c r="L68" s="2">
        <f>SUM($G$64:L66)</f>
        <v>0</v>
      </c>
      <c r="M68" s="2">
        <f>SUM($G$64:M66)</f>
        <v>0</v>
      </c>
      <c r="N68" s="2">
        <f>SUM($G$64:N66)</f>
        <v>0</v>
      </c>
      <c r="O68" s="2">
        <f>SUM($G$64:O66)</f>
        <v>0</v>
      </c>
      <c r="P68" s="2">
        <f>SUM($G$64:P66)</f>
        <v>0</v>
      </c>
      <c r="Q68" s="2">
        <f>SUM($G$64:Q66)</f>
        <v>0</v>
      </c>
      <c r="R68" s="2">
        <f>SUM($G$64:R66)</f>
        <v>0</v>
      </c>
      <c r="S68" s="2">
        <f>SUM($G$64:S66)</f>
        <v>0</v>
      </c>
      <c r="T68" s="2">
        <f>SUM($G$64:T66)</f>
        <v>0</v>
      </c>
      <c r="U68" s="2">
        <f>SUM($G$64:U66)</f>
        <v>0</v>
      </c>
      <c r="V68" s="2">
        <f>SUM($G$64:V66)</f>
        <v>0</v>
      </c>
      <c r="W68" s="2">
        <f>SUM($G$64:W66)</f>
        <v>0</v>
      </c>
      <c r="X68" s="2">
        <f>SUM($G$64:X66)</f>
        <v>0</v>
      </c>
      <c r="Y68" s="2">
        <f>SUM($G$64:Y66)</f>
        <v>0</v>
      </c>
      <c r="Z68" s="2">
        <f>SUM($G$64:Z66)</f>
        <v>0</v>
      </c>
      <c r="AA68" s="2">
        <f>SUM($G$64:AA66)</f>
        <v>0</v>
      </c>
    </row>
    <row r="70" spans="1:27" x14ac:dyDescent="0.25">
      <c r="A70" s="14">
        <f>'Notes &amp; Assumptions'!A27</f>
        <v>14</v>
      </c>
      <c r="D70" t="s">
        <v>6</v>
      </c>
    </row>
    <row r="71" spans="1:27" x14ac:dyDescent="0.25">
      <c r="E71" s="2" t="str">
        <f>E7</f>
        <v>Pipes</v>
      </c>
      <c r="F71" t="s">
        <v>7</v>
      </c>
      <c r="G71" s="10"/>
      <c r="H71" s="10"/>
      <c r="I71" s="10"/>
      <c r="J71" s="10"/>
      <c r="K71" s="10"/>
      <c r="L71" s="10"/>
      <c r="M71" s="10"/>
      <c r="N71" s="10"/>
      <c r="O71" s="10"/>
      <c r="P71" s="10"/>
      <c r="Q71" s="10"/>
      <c r="R71" s="10"/>
      <c r="S71" s="10"/>
      <c r="T71" s="10"/>
      <c r="U71" s="10"/>
      <c r="V71" s="10"/>
      <c r="W71" s="10"/>
      <c r="X71" s="10"/>
      <c r="Y71" s="10"/>
      <c r="Z71" s="10"/>
      <c r="AA71" s="10"/>
    </row>
    <row r="72" spans="1:27" x14ac:dyDescent="0.25">
      <c r="E72" s="2" t="str">
        <f>E8</f>
        <v>Pumps</v>
      </c>
      <c r="F72" t="s">
        <v>7</v>
      </c>
      <c r="G72" s="10"/>
      <c r="H72" s="10"/>
      <c r="I72" s="10"/>
      <c r="J72" s="10"/>
      <c r="K72" s="10"/>
      <c r="L72" s="10"/>
      <c r="M72" s="10"/>
      <c r="N72" s="10"/>
      <c r="O72" s="10"/>
      <c r="P72" s="10"/>
      <c r="Q72" s="10"/>
      <c r="R72" s="10"/>
      <c r="S72" s="10"/>
      <c r="T72" s="10"/>
      <c r="U72" s="10"/>
      <c r="V72" s="10"/>
      <c r="W72" s="10"/>
      <c r="X72" s="10"/>
      <c r="Y72" s="10"/>
      <c r="Z72" s="10"/>
      <c r="AA72" s="10"/>
    </row>
    <row r="73" spans="1:27" x14ac:dyDescent="0.25">
      <c r="E73" s="2" t="str">
        <f>E9</f>
        <v>Valves and Meters</v>
      </c>
      <c r="F73" t="s">
        <v>7</v>
      </c>
      <c r="G73" s="10"/>
      <c r="H73" s="10"/>
      <c r="I73" s="10"/>
      <c r="J73" s="10"/>
      <c r="K73" s="10"/>
      <c r="L73" s="10"/>
      <c r="M73" s="10"/>
      <c r="N73" s="10"/>
      <c r="O73" s="10"/>
      <c r="P73" s="10"/>
      <c r="Q73" s="10"/>
      <c r="R73" s="10"/>
      <c r="S73" s="10"/>
      <c r="T73" s="10"/>
      <c r="U73" s="10"/>
      <c r="V73" s="10"/>
      <c r="W73" s="10"/>
      <c r="X73" s="10"/>
      <c r="Y73" s="10"/>
      <c r="Z73" s="10"/>
      <c r="AA73" s="10"/>
    </row>
    <row r="74" spans="1:27" x14ac:dyDescent="0.25">
      <c r="E74" t="s">
        <v>131</v>
      </c>
      <c r="F74" t="s">
        <v>7</v>
      </c>
      <c r="G74" s="10"/>
      <c r="H74" s="10"/>
      <c r="I74" s="10"/>
      <c r="J74" s="10"/>
      <c r="K74" s="10"/>
      <c r="L74" s="10"/>
      <c r="M74" s="10"/>
      <c r="N74" s="10"/>
      <c r="O74" s="10"/>
      <c r="P74" s="10"/>
      <c r="Q74" s="10"/>
      <c r="R74" s="10"/>
      <c r="S74" s="10"/>
      <c r="T74" s="10"/>
      <c r="U74" s="10"/>
      <c r="V74" s="10"/>
      <c r="W74" s="10"/>
      <c r="X74" s="10"/>
      <c r="Y74" s="10"/>
      <c r="Z74" s="10"/>
      <c r="AA74" s="10"/>
    </row>
    <row r="75" spans="1:27" x14ac:dyDescent="0.25">
      <c r="G75" s="2">
        <f>SUM(G71:G74)</f>
        <v>0</v>
      </c>
      <c r="H75" s="2">
        <f t="shared" ref="H75:AA75" si="11">SUM(H71:H74)</f>
        <v>0</v>
      </c>
      <c r="I75" s="2">
        <f t="shared" si="11"/>
        <v>0</v>
      </c>
      <c r="J75" s="2">
        <f t="shared" si="11"/>
        <v>0</v>
      </c>
      <c r="K75" s="2">
        <f t="shared" si="11"/>
        <v>0</v>
      </c>
      <c r="L75" s="2">
        <f t="shared" si="11"/>
        <v>0</v>
      </c>
      <c r="M75" s="2">
        <f t="shared" si="11"/>
        <v>0</v>
      </c>
      <c r="N75" s="2">
        <f t="shared" si="11"/>
        <v>0</v>
      </c>
      <c r="O75" s="2">
        <f t="shared" si="11"/>
        <v>0</v>
      </c>
      <c r="P75" s="2">
        <f t="shared" si="11"/>
        <v>0</v>
      </c>
      <c r="Q75" s="2">
        <f t="shared" si="11"/>
        <v>0</v>
      </c>
      <c r="R75" s="2">
        <f t="shared" si="11"/>
        <v>0</v>
      </c>
      <c r="S75" s="2">
        <f t="shared" si="11"/>
        <v>0</v>
      </c>
      <c r="T75" s="2">
        <f t="shared" si="11"/>
        <v>0</v>
      </c>
      <c r="U75" s="2">
        <f t="shared" si="11"/>
        <v>0</v>
      </c>
      <c r="V75" s="2">
        <f t="shared" si="11"/>
        <v>0</v>
      </c>
      <c r="W75" s="2">
        <f t="shared" si="11"/>
        <v>0</v>
      </c>
      <c r="X75" s="2">
        <f t="shared" si="11"/>
        <v>0</v>
      </c>
      <c r="Y75" s="2">
        <f t="shared" si="11"/>
        <v>0</v>
      </c>
      <c r="Z75" s="2">
        <f t="shared" si="11"/>
        <v>0</v>
      </c>
      <c r="AA75" s="2">
        <f t="shared" si="11"/>
        <v>0</v>
      </c>
    </row>
    <row r="76" spans="1:27" x14ac:dyDescent="0.25">
      <c r="G76" s="2"/>
      <c r="H76" s="2"/>
      <c r="I76" s="2"/>
      <c r="J76" s="2"/>
      <c r="K76" s="2"/>
      <c r="L76" s="2"/>
      <c r="M76" s="2"/>
      <c r="N76" s="2"/>
      <c r="O76" s="2"/>
      <c r="P76" s="2"/>
      <c r="Q76" s="2"/>
      <c r="R76" s="2"/>
      <c r="S76" s="2"/>
      <c r="T76" s="2"/>
      <c r="U76" s="2"/>
      <c r="V76" s="2"/>
      <c r="W76" s="2"/>
      <c r="X76" s="2"/>
      <c r="Y76" s="2"/>
      <c r="Z76" s="2"/>
      <c r="AA76" s="2"/>
    </row>
    <row r="77" spans="1:27" x14ac:dyDescent="0.25">
      <c r="D77" t="s">
        <v>136</v>
      </c>
      <c r="G77" s="2"/>
      <c r="H77" s="2"/>
      <c r="I77" s="2"/>
      <c r="J77" s="2"/>
      <c r="K77" s="2"/>
      <c r="L77" s="2"/>
      <c r="M77" s="2"/>
      <c r="N77" s="2"/>
      <c r="O77" s="2"/>
      <c r="P77" s="2"/>
      <c r="Q77" s="2"/>
    </row>
    <row r="78" spans="1:27" x14ac:dyDescent="0.25">
      <c r="E78" s="2" t="str">
        <f>E71</f>
        <v>Pipes</v>
      </c>
      <c r="F78" t="s">
        <v>7</v>
      </c>
      <c r="G78" s="2">
        <f t="shared" ref="G78:AA80" si="12">G71/$G7+IF((G$2-$G7+1)&gt;0,-INDEX($G71:$AA71,1,(G$2-$G7+1))/$G7,0)</f>
        <v>0</v>
      </c>
      <c r="H78" s="2">
        <f t="shared" si="12"/>
        <v>0</v>
      </c>
      <c r="I78" s="2">
        <f t="shared" si="12"/>
        <v>0</v>
      </c>
      <c r="J78" s="2">
        <f t="shared" si="12"/>
        <v>0</v>
      </c>
      <c r="K78" s="2">
        <f t="shared" si="12"/>
        <v>0</v>
      </c>
      <c r="L78" s="2">
        <f t="shared" si="12"/>
        <v>0</v>
      </c>
      <c r="M78" s="2">
        <f t="shared" si="12"/>
        <v>0</v>
      </c>
      <c r="N78" s="2">
        <f t="shared" si="12"/>
        <v>0</v>
      </c>
      <c r="O78" s="2">
        <f t="shared" si="12"/>
        <v>0</v>
      </c>
      <c r="P78" s="2">
        <f t="shared" si="12"/>
        <v>0</v>
      </c>
      <c r="Q78" s="2">
        <f t="shared" si="12"/>
        <v>0</v>
      </c>
      <c r="R78" s="2">
        <f t="shared" si="12"/>
        <v>0</v>
      </c>
      <c r="S78" s="2">
        <f t="shared" si="12"/>
        <v>0</v>
      </c>
      <c r="T78" s="2">
        <f t="shared" si="12"/>
        <v>0</v>
      </c>
      <c r="U78" s="2">
        <f t="shared" si="12"/>
        <v>0</v>
      </c>
      <c r="V78" s="2">
        <f t="shared" si="12"/>
        <v>0</v>
      </c>
      <c r="W78" s="2">
        <f t="shared" si="12"/>
        <v>0</v>
      </c>
      <c r="X78" s="2">
        <f t="shared" si="12"/>
        <v>0</v>
      </c>
      <c r="Y78" s="2">
        <f t="shared" si="12"/>
        <v>0</v>
      </c>
      <c r="Z78" s="2">
        <f t="shared" si="12"/>
        <v>0</v>
      </c>
      <c r="AA78" s="2">
        <f t="shared" si="12"/>
        <v>0</v>
      </c>
    </row>
    <row r="79" spans="1:27" x14ac:dyDescent="0.25">
      <c r="E79" s="2" t="str">
        <f t="shared" ref="E79:E80" si="13">E72</f>
        <v>Pumps</v>
      </c>
      <c r="F79" t="s">
        <v>7</v>
      </c>
      <c r="G79" s="2">
        <f t="shared" si="12"/>
        <v>0</v>
      </c>
      <c r="H79" s="2">
        <f t="shared" si="12"/>
        <v>0</v>
      </c>
      <c r="I79" s="2">
        <f t="shared" si="12"/>
        <v>0</v>
      </c>
      <c r="J79" s="2">
        <f t="shared" si="12"/>
        <v>0</v>
      </c>
      <c r="K79" s="2">
        <f t="shared" si="12"/>
        <v>0</v>
      </c>
      <c r="L79" s="2">
        <f t="shared" si="12"/>
        <v>0</v>
      </c>
      <c r="M79" s="2">
        <f t="shared" si="12"/>
        <v>0</v>
      </c>
      <c r="N79" s="2">
        <f t="shared" si="12"/>
        <v>0</v>
      </c>
      <c r="O79" s="2">
        <f t="shared" si="12"/>
        <v>0</v>
      </c>
      <c r="P79" s="2">
        <f t="shared" si="12"/>
        <v>0</v>
      </c>
      <c r="Q79" s="2">
        <f t="shared" si="12"/>
        <v>0</v>
      </c>
      <c r="R79" s="2">
        <f t="shared" si="12"/>
        <v>0</v>
      </c>
      <c r="S79" s="2">
        <f t="shared" si="12"/>
        <v>0</v>
      </c>
      <c r="T79" s="2">
        <f t="shared" si="12"/>
        <v>0</v>
      </c>
      <c r="U79" s="2">
        <f t="shared" si="12"/>
        <v>0</v>
      </c>
      <c r="V79" s="2">
        <f t="shared" si="12"/>
        <v>0</v>
      </c>
      <c r="W79" s="2">
        <f t="shared" si="12"/>
        <v>0</v>
      </c>
      <c r="X79" s="2">
        <f t="shared" si="12"/>
        <v>0</v>
      </c>
      <c r="Y79" s="2">
        <f t="shared" si="12"/>
        <v>0</v>
      </c>
      <c r="Z79" s="2">
        <f t="shared" si="12"/>
        <v>0</v>
      </c>
      <c r="AA79" s="2">
        <f t="shared" si="12"/>
        <v>0</v>
      </c>
    </row>
    <row r="80" spans="1:27" x14ac:dyDescent="0.25">
      <c r="E80" s="2" t="str">
        <f t="shared" si="13"/>
        <v>Valves and Meters</v>
      </c>
      <c r="F80" t="s">
        <v>7</v>
      </c>
      <c r="G80" s="2">
        <f t="shared" si="12"/>
        <v>0</v>
      </c>
      <c r="H80" s="2">
        <f t="shared" si="12"/>
        <v>0</v>
      </c>
      <c r="I80" s="2">
        <f t="shared" si="12"/>
        <v>0</v>
      </c>
      <c r="J80" s="2">
        <f t="shared" si="12"/>
        <v>0</v>
      </c>
      <c r="K80" s="2">
        <f t="shared" si="12"/>
        <v>0</v>
      </c>
      <c r="L80" s="2">
        <f t="shared" si="12"/>
        <v>0</v>
      </c>
      <c r="M80" s="2">
        <f t="shared" si="12"/>
        <v>0</v>
      </c>
      <c r="N80" s="2">
        <f t="shared" si="12"/>
        <v>0</v>
      </c>
      <c r="O80" s="2">
        <f t="shared" si="12"/>
        <v>0</v>
      </c>
      <c r="P80" s="2">
        <f t="shared" si="12"/>
        <v>0</v>
      </c>
      <c r="Q80" s="2">
        <f t="shared" si="12"/>
        <v>0</v>
      </c>
      <c r="R80" s="2">
        <f t="shared" si="12"/>
        <v>0</v>
      </c>
      <c r="S80" s="2">
        <f t="shared" si="12"/>
        <v>0</v>
      </c>
      <c r="T80" s="2">
        <f t="shared" si="12"/>
        <v>0</v>
      </c>
      <c r="U80" s="2">
        <f t="shared" si="12"/>
        <v>0</v>
      </c>
      <c r="V80" s="2">
        <f t="shared" si="12"/>
        <v>0</v>
      </c>
      <c r="W80" s="2">
        <f t="shared" si="12"/>
        <v>0</v>
      </c>
      <c r="X80" s="2">
        <f t="shared" si="12"/>
        <v>0</v>
      </c>
      <c r="Y80" s="2">
        <f t="shared" si="12"/>
        <v>0</v>
      </c>
      <c r="Z80" s="2">
        <f t="shared" si="12"/>
        <v>0</v>
      </c>
      <c r="AA80" s="2">
        <f t="shared" si="12"/>
        <v>0</v>
      </c>
    </row>
    <row r="82" spans="1:27" x14ac:dyDescent="0.25">
      <c r="D82" t="s">
        <v>137</v>
      </c>
      <c r="F82" t="s">
        <v>7</v>
      </c>
      <c r="G82" s="2">
        <f>SUM($G$77:G80)</f>
        <v>0</v>
      </c>
      <c r="H82" s="2">
        <f>SUM($G$77:H80)</f>
        <v>0</v>
      </c>
      <c r="I82" s="2">
        <f>SUM($G$77:I80)</f>
        <v>0</v>
      </c>
      <c r="J82" s="2">
        <f>SUM($G$77:J80)</f>
        <v>0</v>
      </c>
      <c r="K82" s="2">
        <f>SUM($G$77:K80)</f>
        <v>0</v>
      </c>
      <c r="L82" s="2">
        <f>SUM($G$77:L80)</f>
        <v>0</v>
      </c>
      <c r="M82" s="2">
        <f>SUM($G$77:M80)</f>
        <v>0</v>
      </c>
      <c r="N82" s="2">
        <f>SUM($G$77:N80)</f>
        <v>0</v>
      </c>
      <c r="O82" s="2">
        <f>SUM($G$77:O80)</f>
        <v>0</v>
      </c>
      <c r="P82" s="2">
        <f>SUM($G$77:P80)</f>
        <v>0</v>
      </c>
      <c r="Q82" s="2">
        <f>SUM($G$77:Q80)</f>
        <v>0</v>
      </c>
      <c r="R82" s="2">
        <f>SUM($G$77:R80)</f>
        <v>0</v>
      </c>
      <c r="S82" s="2">
        <f>SUM($G$77:S80)</f>
        <v>0</v>
      </c>
      <c r="T82" s="2">
        <f>SUM($G$77:T80)</f>
        <v>0</v>
      </c>
      <c r="U82" s="2">
        <f>SUM($G$77:U80)</f>
        <v>0</v>
      </c>
      <c r="V82" s="2">
        <f>SUM($G$77:V80)</f>
        <v>0</v>
      </c>
      <c r="W82" s="2">
        <f>SUM($G$77:W80)</f>
        <v>0</v>
      </c>
      <c r="X82" s="2">
        <f>SUM($G$77:X80)</f>
        <v>0</v>
      </c>
      <c r="Y82" s="2">
        <f>SUM($G$77:Y80)</f>
        <v>0</v>
      </c>
      <c r="Z82" s="2">
        <f>SUM($G$77:Z80)</f>
        <v>0</v>
      </c>
      <c r="AA82" s="2">
        <f>SUM($G$77:AA80)</f>
        <v>0</v>
      </c>
    </row>
    <row r="83" spans="1:27" x14ac:dyDescent="0.25">
      <c r="G83" s="2"/>
      <c r="H83" s="2"/>
      <c r="I83" s="2"/>
      <c r="J83" s="2"/>
      <c r="K83" s="2"/>
      <c r="L83" s="2"/>
      <c r="M83" s="2"/>
      <c r="N83" s="2"/>
      <c r="O83" s="2"/>
      <c r="P83" s="2"/>
      <c r="Q83" s="2"/>
      <c r="R83" s="2"/>
      <c r="S83" s="2"/>
      <c r="T83" s="2"/>
      <c r="U83" s="2"/>
      <c r="V83" s="2"/>
      <c r="W83" s="2"/>
      <c r="X83" s="2"/>
      <c r="Y83" s="2"/>
      <c r="Z83" s="2"/>
      <c r="AA83" s="2"/>
    </row>
    <row r="84" spans="1:27" x14ac:dyDescent="0.25">
      <c r="D84" t="s">
        <v>138</v>
      </c>
      <c r="F84" t="s">
        <v>7</v>
      </c>
      <c r="G84" s="2">
        <f t="shared" ref="G84:AA84" si="14">G61-G75</f>
        <v>0</v>
      </c>
      <c r="H84" s="2">
        <f t="shared" si="14"/>
        <v>0</v>
      </c>
      <c r="I84" s="2">
        <f t="shared" si="14"/>
        <v>0</v>
      </c>
      <c r="J84" s="2">
        <f t="shared" si="14"/>
        <v>0</v>
      </c>
      <c r="K84" s="2">
        <f t="shared" si="14"/>
        <v>0</v>
      </c>
      <c r="L84" s="2">
        <f t="shared" si="14"/>
        <v>0</v>
      </c>
      <c r="M84" s="2">
        <f t="shared" si="14"/>
        <v>0</v>
      </c>
      <c r="N84" s="2">
        <f t="shared" si="14"/>
        <v>0</v>
      </c>
      <c r="O84" s="2">
        <f t="shared" si="14"/>
        <v>0</v>
      </c>
      <c r="P84" s="2">
        <f t="shared" si="14"/>
        <v>0</v>
      </c>
      <c r="Q84" s="2">
        <f t="shared" si="14"/>
        <v>0</v>
      </c>
      <c r="R84" s="2">
        <f t="shared" si="14"/>
        <v>0</v>
      </c>
      <c r="S84" s="2">
        <f t="shared" si="14"/>
        <v>0</v>
      </c>
      <c r="T84" s="2">
        <f t="shared" si="14"/>
        <v>0</v>
      </c>
      <c r="U84" s="2">
        <f t="shared" si="14"/>
        <v>0</v>
      </c>
      <c r="V84" s="2">
        <f t="shared" si="14"/>
        <v>0</v>
      </c>
      <c r="W84" s="2">
        <f t="shared" si="14"/>
        <v>0</v>
      </c>
      <c r="X84" s="2">
        <f t="shared" si="14"/>
        <v>0</v>
      </c>
      <c r="Y84" s="2">
        <f t="shared" si="14"/>
        <v>0</v>
      </c>
      <c r="Z84" s="2">
        <f t="shared" si="14"/>
        <v>0</v>
      </c>
      <c r="AA84" s="2">
        <f t="shared" si="14"/>
        <v>0</v>
      </c>
    </row>
    <row r="85" spans="1:27" x14ac:dyDescent="0.25">
      <c r="D85" t="s">
        <v>139</v>
      </c>
      <c r="F85" t="s">
        <v>7</v>
      </c>
      <c r="G85" s="2">
        <f t="shared" ref="G85:AA85" si="15">-G68+G82</f>
        <v>0</v>
      </c>
      <c r="H85" s="2">
        <f t="shared" si="15"/>
        <v>0</v>
      </c>
      <c r="I85" s="2">
        <f t="shared" si="15"/>
        <v>0</v>
      </c>
      <c r="J85" s="2">
        <f t="shared" si="15"/>
        <v>0</v>
      </c>
      <c r="K85" s="2">
        <f t="shared" si="15"/>
        <v>0</v>
      </c>
      <c r="L85" s="2">
        <f t="shared" si="15"/>
        <v>0</v>
      </c>
      <c r="M85" s="2">
        <f t="shared" si="15"/>
        <v>0</v>
      </c>
      <c r="N85" s="2">
        <f t="shared" si="15"/>
        <v>0</v>
      </c>
      <c r="O85" s="2">
        <f t="shared" si="15"/>
        <v>0</v>
      </c>
      <c r="P85" s="2">
        <f t="shared" si="15"/>
        <v>0</v>
      </c>
      <c r="Q85" s="2">
        <f t="shared" si="15"/>
        <v>0</v>
      </c>
      <c r="R85" s="2">
        <f t="shared" si="15"/>
        <v>0</v>
      </c>
      <c r="S85" s="2">
        <f t="shared" si="15"/>
        <v>0</v>
      </c>
      <c r="T85" s="2">
        <f t="shared" si="15"/>
        <v>0</v>
      </c>
      <c r="U85" s="2">
        <f t="shared" si="15"/>
        <v>0</v>
      </c>
      <c r="V85" s="2">
        <f t="shared" si="15"/>
        <v>0</v>
      </c>
      <c r="W85" s="2">
        <f t="shared" si="15"/>
        <v>0</v>
      </c>
      <c r="X85" s="2">
        <f t="shared" si="15"/>
        <v>0</v>
      </c>
      <c r="Y85" s="2">
        <f t="shared" si="15"/>
        <v>0</v>
      </c>
      <c r="Z85" s="2">
        <f t="shared" si="15"/>
        <v>0</v>
      </c>
      <c r="AA85" s="2">
        <f t="shared" si="15"/>
        <v>0</v>
      </c>
    </row>
    <row r="87" spans="1:27" x14ac:dyDescent="0.25">
      <c r="C87" s="1" t="str">
        <f>"Incremental "&amp;G4&amp;" Service Revenue"</f>
        <v>Incremental Wastewater Service Revenue</v>
      </c>
      <c r="D87" s="1"/>
    </row>
    <row r="88" spans="1:27" x14ac:dyDescent="0.25">
      <c r="C88" s="1"/>
      <c r="D88" s="1"/>
    </row>
    <row r="89" spans="1:27" x14ac:dyDescent="0.25">
      <c r="C89" s="1"/>
      <c r="D89" t="s">
        <v>59</v>
      </c>
      <c r="F89" t="s">
        <v>327</v>
      </c>
    </row>
    <row r="90" spans="1:27" x14ac:dyDescent="0.25">
      <c r="A90" s="14">
        <f>'Notes &amp; Assumptions'!A28</f>
        <v>15</v>
      </c>
      <c r="C90" s="1"/>
      <c r="D90" s="1"/>
      <c r="E90" t="s">
        <v>87</v>
      </c>
      <c r="F90" t="s">
        <v>3</v>
      </c>
      <c r="H90" s="10">
        <f>'Customer numbers'!P12</f>
        <v>9465</v>
      </c>
      <c r="I90" s="10">
        <f>'Customer numbers'!Q12</f>
        <v>8946</v>
      </c>
      <c r="J90" s="10">
        <f>'Customer numbers'!R12</f>
        <v>8582.6999999999989</v>
      </c>
      <c r="K90" s="10">
        <f>'Customer numbers'!S12</f>
        <v>7824.5999999999985</v>
      </c>
      <c r="L90" s="10">
        <f>'Customer numbers'!T12</f>
        <v>7079.9999999999982</v>
      </c>
      <c r="M90" s="10">
        <f>'Customer numbers'!U12</f>
        <v>6379.9999999999982</v>
      </c>
      <c r="N90" s="10">
        <f>'Customer numbers'!V12</f>
        <v>5711.9999999999973</v>
      </c>
      <c r="O90" s="10">
        <f>'Customer numbers'!W12</f>
        <v>5080.699999999998</v>
      </c>
      <c r="P90" s="10">
        <f>'Customer numbers'!X12</f>
        <v>4901.9999999999982</v>
      </c>
      <c r="Q90" s="10">
        <f>'Customer numbers'!Y12</f>
        <v>4695.5999999999985</v>
      </c>
      <c r="R90" s="10">
        <f>'Customer numbers'!Z12</f>
        <v>4952.9999999999982</v>
      </c>
      <c r="S90" s="10">
        <f>'Customer numbers'!AA12</f>
        <v>5237.699999999998</v>
      </c>
      <c r="T90" s="10">
        <f>'Customer numbers'!AB12</f>
        <v>5537.9999999999982</v>
      </c>
      <c r="U90" s="10">
        <f>'Customer numbers'!AC12</f>
        <v>5514.5999999999976</v>
      </c>
      <c r="V90" s="10">
        <f>'Customer numbers'!AD12</f>
        <v>5487.2999999999975</v>
      </c>
    </row>
    <row r="91" spans="1:27" x14ac:dyDescent="0.25">
      <c r="C91" s="1"/>
      <c r="D91" s="1"/>
      <c r="E91" t="s">
        <v>60</v>
      </c>
      <c r="F91" t="s">
        <v>3</v>
      </c>
      <c r="G91">
        <f>IF('Key assumptions'!B4="yes",SUM('Customer numbers'!F13:O13),0)</f>
        <v>0</v>
      </c>
      <c r="H91" s="2">
        <f>G91+H90</f>
        <v>9465</v>
      </c>
      <c r="I91" s="2">
        <f t="shared" ref="I91:AA91" si="16">H91+I90</f>
        <v>18411</v>
      </c>
      <c r="J91" s="2">
        <f t="shared" si="16"/>
        <v>26993.699999999997</v>
      </c>
      <c r="K91" s="2">
        <f t="shared" si="16"/>
        <v>34818.299999999996</v>
      </c>
      <c r="L91" s="2">
        <f t="shared" si="16"/>
        <v>41898.299999999996</v>
      </c>
      <c r="M91" s="2">
        <f t="shared" si="16"/>
        <v>48278.299999999996</v>
      </c>
      <c r="N91" s="2">
        <f t="shared" si="16"/>
        <v>53990.299999999996</v>
      </c>
      <c r="O91" s="2">
        <f t="shared" si="16"/>
        <v>59070.999999999993</v>
      </c>
      <c r="P91" s="2">
        <f t="shared" si="16"/>
        <v>63972.999999999993</v>
      </c>
      <c r="Q91" s="2">
        <f t="shared" si="16"/>
        <v>68668.599999999991</v>
      </c>
      <c r="R91" s="2">
        <f t="shared" si="16"/>
        <v>73621.599999999991</v>
      </c>
      <c r="S91" s="2">
        <f t="shared" si="16"/>
        <v>78859.299999999988</v>
      </c>
      <c r="T91" s="2">
        <f t="shared" si="16"/>
        <v>84397.299999999988</v>
      </c>
      <c r="U91" s="2">
        <f t="shared" si="16"/>
        <v>89911.89999999998</v>
      </c>
      <c r="V91" s="2">
        <f t="shared" si="16"/>
        <v>95399.199999999983</v>
      </c>
      <c r="W91" s="2">
        <f t="shared" si="16"/>
        <v>95399.199999999983</v>
      </c>
      <c r="X91" s="2">
        <f t="shared" si="16"/>
        <v>95399.199999999983</v>
      </c>
      <c r="Y91" s="2">
        <f t="shared" si="16"/>
        <v>95399.199999999983</v>
      </c>
      <c r="Z91" s="2">
        <f t="shared" si="16"/>
        <v>95399.199999999983</v>
      </c>
      <c r="AA91" s="2">
        <f t="shared" si="16"/>
        <v>95399.199999999983</v>
      </c>
    </row>
    <row r="92" spans="1:27" x14ac:dyDescent="0.25">
      <c r="A92" s="14">
        <f>'Notes &amp; Assumptions'!A29</f>
        <v>16</v>
      </c>
      <c r="C92" s="1"/>
      <c r="D92" s="1"/>
      <c r="E92" t="s">
        <v>61</v>
      </c>
      <c r="F92" t="s">
        <v>3</v>
      </c>
      <c r="G92" s="10">
        <v>1</v>
      </c>
    </row>
    <row r="93" spans="1:27" x14ac:dyDescent="0.25">
      <c r="C93" s="1"/>
      <c r="D93" s="1"/>
      <c r="E93" t="s">
        <v>88</v>
      </c>
      <c r="F93" t="s">
        <v>3</v>
      </c>
      <c r="H93">
        <f>H90*$G92</f>
        <v>9465</v>
      </c>
      <c r="I93">
        <f t="shared" ref="I93:AA93" si="17">I90*$G92</f>
        <v>8946</v>
      </c>
      <c r="J93">
        <f t="shared" si="17"/>
        <v>8582.6999999999989</v>
      </c>
      <c r="K93">
        <f t="shared" si="17"/>
        <v>7824.5999999999985</v>
      </c>
      <c r="L93">
        <f t="shared" si="17"/>
        <v>7079.9999999999982</v>
      </c>
      <c r="M93">
        <f t="shared" si="17"/>
        <v>6379.9999999999982</v>
      </c>
      <c r="N93">
        <f t="shared" si="17"/>
        <v>5711.9999999999973</v>
      </c>
      <c r="O93">
        <f t="shared" si="17"/>
        <v>5080.699999999998</v>
      </c>
      <c r="P93">
        <f t="shared" si="17"/>
        <v>4901.9999999999982</v>
      </c>
      <c r="Q93">
        <f t="shared" si="17"/>
        <v>4695.5999999999985</v>
      </c>
      <c r="R93">
        <f t="shared" si="17"/>
        <v>4952.9999999999982</v>
      </c>
      <c r="S93">
        <f t="shared" si="17"/>
        <v>5237.699999999998</v>
      </c>
      <c r="T93">
        <f t="shared" si="17"/>
        <v>5537.9999999999982</v>
      </c>
      <c r="U93">
        <f t="shared" si="17"/>
        <v>5514.5999999999976</v>
      </c>
      <c r="V93">
        <f t="shared" si="17"/>
        <v>5487.2999999999975</v>
      </c>
      <c r="W93">
        <f t="shared" si="17"/>
        <v>0</v>
      </c>
      <c r="X93">
        <f t="shared" si="17"/>
        <v>0</v>
      </c>
      <c r="Y93">
        <f t="shared" si="17"/>
        <v>0</v>
      </c>
      <c r="Z93">
        <f t="shared" si="17"/>
        <v>0</v>
      </c>
      <c r="AA93">
        <f t="shared" si="17"/>
        <v>0</v>
      </c>
    </row>
    <row r="94" spans="1:27" x14ac:dyDescent="0.25">
      <c r="C94" s="1"/>
      <c r="D94" s="1"/>
      <c r="E94" t="s">
        <v>89</v>
      </c>
      <c r="F94" t="s">
        <v>3</v>
      </c>
      <c r="H94">
        <f>H91*$G92</f>
        <v>9465</v>
      </c>
      <c r="I94">
        <f t="shared" ref="I94:AA94" si="18">I91*$G92</f>
        <v>18411</v>
      </c>
      <c r="J94">
        <f t="shared" si="18"/>
        <v>26993.699999999997</v>
      </c>
      <c r="K94">
        <f t="shared" si="18"/>
        <v>34818.299999999996</v>
      </c>
      <c r="L94">
        <f t="shared" si="18"/>
        <v>41898.299999999996</v>
      </c>
      <c r="M94">
        <f t="shared" si="18"/>
        <v>48278.299999999996</v>
      </c>
      <c r="N94">
        <f t="shared" si="18"/>
        <v>53990.299999999996</v>
      </c>
      <c r="O94">
        <f t="shared" si="18"/>
        <v>59070.999999999993</v>
      </c>
      <c r="P94">
        <f t="shared" si="18"/>
        <v>63972.999999999993</v>
      </c>
      <c r="Q94">
        <f t="shared" si="18"/>
        <v>68668.599999999991</v>
      </c>
      <c r="R94">
        <f t="shared" si="18"/>
        <v>73621.599999999991</v>
      </c>
      <c r="S94">
        <f t="shared" si="18"/>
        <v>78859.299999999988</v>
      </c>
      <c r="T94">
        <f t="shared" si="18"/>
        <v>84397.299999999988</v>
      </c>
      <c r="U94">
        <f t="shared" si="18"/>
        <v>89911.89999999998</v>
      </c>
      <c r="V94">
        <f t="shared" si="18"/>
        <v>95399.199999999983</v>
      </c>
      <c r="W94">
        <f t="shared" si="18"/>
        <v>95399.199999999983</v>
      </c>
      <c r="X94">
        <f t="shared" si="18"/>
        <v>95399.199999999983</v>
      </c>
      <c r="Y94">
        <f t="shared" si="18"/>
        <v>95399.199999999983</v>
      </c>
      <c r="Z94">
        <f t="shared" si="18"/>
        <v>95399.199999999983</v>
      </c>
      <c r="AA94">
        <f t="shared" si="18"/>
        <v>95399.199999999983</v>
      </c>
    </row>
    <row r="95" spans="1:27" x14ac:dyDescent="0.25">
      <c r="A95" s="14">
        <f>'Notes &amp; Assumptions'!A30</f>
        <v>17</v>
      </c>
      <c r="C95" s="1"/>
      <c r="D95" s="1"/>
      <c r="E95" t="s">
        <v>62</v>
      </c>
      <c r="F95" t="s">
        <v>43</v>
      </c>
      <c r="H95" s="10">
        <f>'Key assumptions'!B23</f>
        <v>112.5</v>
      </c>
      <c r="I95" s="10">
        <f>H95</f>
        <v>112.5</v>
      </c>
      <c r="J95" s="10">
        <f t="shared" ref="J95:AA95" si="19">I95</f>
        <v>112.5</v>
      </c>
      <c r="K95" s="10">
        <f t="shared" si="19"/>
        <v>112.5</v>
      </c>
      <c r="L95" s="10">
        <f t="shared" si="19"/>
        <v>112.5</v>
      </c>
      <c r="M95" s="10">
        <f t="shared" si="19"/>
        <v>112.5</v>
      </c>
      <c r="N95" s="10">
        <f t="shared" si="19"/>
        <v>112.5</v>
      </c>
      <c r="O95" s="10">
        <f t="shared" si="19"/>
        <v>112.5</v>
      </c>
      <c r="P95" s="10">
        <f t="shared" si="19"/>
        <v>112.5</v>
      </c>
      <c r="Q95" s="10">
        <f t="shared" si="19"/>
        <v>112.5</v>
      </c>
      <c r="R95" s="10">
        <f t="shared" si="19"/>
        <v>112.5</v>
      </c>
      <c r="S95" s="10">
        <f t="shared" si="19"/>
        <v>112.5</v>
      </c>
      <c r="T95" s="10">
        <f t="shared" si="19"/>
        <v>112.5</v>
      </c>
      <c r="U95" s="10">
        <f t="shared" si="19"/>
        <v>112.5</v>
      </c>
      <c r="V95" s="10">
        <f t="shared" si="19"/>
        <v>112.5</v>
      </c>
      <c r="W95" s="10">
        <f t="shared" si="19"/>
        <v>112.5</v>
      </c>
      <c r="X95" s="10">
        <f t="shared" si="19"/>
        <v>112.5</v>
      </c>
      <c r="Y95" s="10">
        <f t="shared" si="19"/>
        <v>112.5</v>
      </c>
      <c r="Z95" s="10">
        <f t="shared" si="19"/>
        <v>112.5</v>
      </c>
      <c r="AA95" s="10">
        <f t="shared" si="19"/>
        <v>112.5</v>
      </c>
    </row>
    <row r="96" spans="1:27" x14ac:dyDescent="0.25">
      <c r="C96" s="1"/>
      <c r="D96" s="1"/>
      <c r="E96" t="s">
        <v>63</v>
      </c>
      <c r="F96" t="s">
        <v>43</v>
      </c>
      <c r="H96" s="10"/>
      <c r="I96" s="10"/>
      <c r="J96" s="10"/>
      <c r="K96" s="10"/>
      <c r="L96" s="10"/>
      <c r="M96" s="10"/>
      <c r="N96" s="10"/>
      <c r="O96" s="10"/>
      <c r="P96" s="10"/>
      <c r="Q96" s="10"/>
      <c r="R96" s="10"/>
      <c r="S96" s="10"/>
      <c r="T96" s="10"/>
      <c r="U96" s="10"/>
      <c r="V96" s="10"/>
      <c r="W96" s="10"/>
      <c r="X96" s="10"/>
      <c r="Y96" s="10"/>
      <c r="Z96" s="10"/>
      <c r="AA96" s="10"/>
    </row>
    <row r="97" spans="1:27" x14ac:dyDescent="0.25">
      <c r="C97" s="1"/>
      <c r="D97" s="1"/>
      <c r="E97" t="s">
        <v>140</v>
      </c>
      <c r="F97" t="s">
        <v>43</v>
      </c>
      <c r="H97" s="10"/>
      <c r="I97" s="10"/>
      <c r="J97" s="10"/>
      <c r="K97" s="10"/>
      <c r="L97" s="10"/>
      <c r="M97" s="10"/>
      <c r="N97" s="10"/>
      <c r="O97" s="10"/>
      <c r="P97" s="10"/>
      <c r="Q97" s="10"/>
      <c r="R97" s="10"/>
      <c r="S97" s="10"/>
      <c r="T97" s="10"/>
      <c r="U97" s="10"/>
      <c r="V97" s="10"/>
      <c r="W97" s="10"/>
      <c r="X97" s="10"/>
      <c r="Y97" s="10"/>
      <c r="Z97" s="10"/>
      <c r="AA97" s="10"/>
    </row>
    <row r="98" spans="1:27" x14ac:dyDescent="0.25">
      <c r="C98" s="1"/>
      <c r="D98" s="1"/>
      <c r="E98" t="s">
        <v>64</v>
      </c>
      <c r="F98" t="s">
        <v>144</v>
      </c>
      <c r="H98" s="2">
        <f>H91*H95</f>
        <v>1064812.5</v>
      </c>
      <c r="I98" s="2">
        <f t="shared" ref="I98:AA98" si="20">I91*I95</f>
        <v>2071237.5</v>
      </c>
      <c r="J98" s="2">
        <f t="shared" si="20"/>
        <v>3036791.2499999995</v>
      </c>
      <c r="K98" s="2">
        <f t="shared" si="20"/>
        <v>3917058.7499999995</v>
      </c>
      <c r="L98" s="2">
        <f t="shared" si="20"/>
        <v>4713558.7499999991</v>
      </c>
      <c r="M98" s="2">
        <f t="shared" si="20"/>
        <v>5431308.7499999991</v>
      </c>
      <c r="N98" s="2">
        <f t="shared" si="20"/>
        <v>6073908.7499999991</v>
      </c>
      <c r="O98" s="2">
        <f t="shared" si="20"/>
        <v>6645487.4999999991</v>
      </c>
      <c r="P98" s="2">
        <f t="shared" si="20"/>
        <v>7196962.4999999991</v>
      </c>
      <c r="Q98" s="2">
        <f t="shared" si="20"/>
        <v>7725217.4999999991</v>
      </c>
      <c r="R98" s="2">
        <f t="shared" si="20"/>
        <v>8282429.9999999991</v>
      </c>
      <c r="S98" s="2">
        <f t="shared" si="20"/>
        <v>8871671.2499999981</v>
      </c>
      <c r="T98" s="2">
        <f t="shared" si="20"/>
        <v>9494696.2499999981</v>
      </c>
      <c r="U98" s="2">
        <f t="shared" si="20"/>
        <v>10115088.749999998</v>
      </c>
      <c r="V98" s="2">
        <f t="shared" si="20"/>
        <v>10732409.999999998</v>
      </c>
      <c r="W98" s="2">
        <f t="shared" si="20"/>
        <v>10732409.999999998</v>
      </c>
      <c r="X98" s="2">
        <f t="shared" si="20"/>
        <v>10732409.999999998</v>
      </c>
      <c r="Y98" s="2">
        <f t="shared" si="20"/>
        <v>10732409.999999998</v>
      </c>
      <c r="Z98" s="2">
        <f t="shared" si="20"/>
        <v>10732409.999999998</v>
      </c>
      <c r="AA98" s="2">
        <f t="shared" si="20"/>
        <v>10732409.999999998</v>
      </c>
    </row>
    <row r="99" spans="1:27" x14ac:dyDescent="0.25">
      <c r="C99" s="1"/>
      <c r="D99" s="1"/>
      <c r="E99" t="s">
        <v>65</v>
      </c>
      <c r="F99" t="s">
        <v>144</v>
      </c>
      <c r="H99" s="2">
        <f>H91*H96</f>
        <v>0</v>
      </c>
      <c r="I99" s="2">
        <f t="shared" ref="I99:AA99" si="21">I91*I96</f>
        <v>0</v>
      </c>
      <c r="J99" s="2">
        <f t="shared" si="21"/>
        <v>0</v>
      </c>
      <c r="K99" s="2">
        <f t="shared" si="21"/>
        <v>0</v>
      </c>
      <c r="L99" s="2">
        <f t="shared" si="21"/>
        <v>0</v>
      </c>
      <c r="M99" s="2">
        <f t="shared" si="21"/>
        <v>0</v>
      </c>
      <c r="N99" s="2">
        <f t="shared" si="21"/>
        <v>0</v>
      </c>
      <c r="O99" s="2">
        <f t="shared" si="21"/>
        <v>0</v>
      </c>
      <c r="P99" s="2">
        <f t="shared" si="21"/>
        <v>0</v>
      </c>
      <c r="Q99" s="2">
        <f t="shared" si="21"/>
        <v>0</v>
      </c>
      <c r="R99" s="2">
        <f t="shared" si="21"/>
        <v>0</v>
      </c>
      <c r="S99" s="2">
        <f t="shared" si="21"/>
        <v>0</v>
      </c>
      <c r="T99" s="2">
        <f t="shared" si="21"/>
        <v>0</v>
      </c>
      <c r="U99" s="2">
        <f t="shared" si="21"/>
        <v>0</v>
      </c>
      <c r="V99" s="2">
        <f t="shared" si="21"/>
        <v>0</v>
      </c>
      <c r="W99" s="2">
        <f t="shared" si="21"/>
        <v>0</v>
      </c>
      <c r="X99" s="2">
        <f t="shared" si="21"/>
        <v>0</v>
      </c>
      <c r="Y99" s="2">
        <f t="shared" si="21"/>
        <v>0</v>
      </c>
      <c r="Z99" s="2">
        <f t="shared" si="21"/>
        <v>0</v>
      </c>
      <c r="AA99" s="2">
        <f t="shared" si="21"/>
        <v>0</v>
      </c>
    </row>
    <row r="100" spans="1:27" x14ac:dyDescent="0.25">
      <c r="C100" s="1"/>
      <c r="D100" s="1"/>
      <c r="E100" t="s">
        <v>141</v>
      </c>
      <c r="F100" t="s">
        <v>144</v>
      </c>
      <c r="H100" s="2">
        <f>H91*H97</f>
        <v>0</v>
      </c>
      <c r="I100" s="2">
        <f t="shared" ref="I100:AA100" si="22">I91*I97</f>
        <v>0</v>
      </c>
      <c r="J100" s="2">
        <f t="shared" si="22"/>
        <v>0</v>
      </c>
      <c r="K100" s="2">
        <f t="shared" si="22"/>
        <v>0</v>
      </c>
      <c r="L100" s="2">
        <f t="shared" si="22"/>
        <v>0</v>
      </c>
      <c r="M100" s="2">
        <f t="shared" si="22"/>
        <v>0</v>
      </c>
      <c r="N100" s="2">
        <f t="shared" si="22"/>
        <v>0</v>
      </c>
      <c r="O100" s="2">
        <f t="shared" si="22"/>
        <v>0</v>
      </c>
      <c r="P100" s="2">
        <f t="shared" si="22"/>
        <v>0</v>
      </c>
      <c r="Q100" s="2">
        <f t="shared" si="22"/>
        <v>0</v>
      </c>
      <c r="R100" s="2">
        <f t="shared" si="22"/>
        <v>0</v>
      </c>
      <c r="S100" s="2">
        <f t="shared" si="22"/>
        <v>0</v>
      </c>
      <c r="T100" s="2">
        <f t="shared" si="22"/>
        <v>0</v>
      </c>
      <c r="U100" s="2">
        <f t="shared" si="22"/>
        <v>0</v>
      </c>
      <c r="V100" s="2">
        <f t="shared" si="22"/>
        <v>0</v>
      </c>
      <c r="W100" s="2">
        <f t="shared" si="22"/>
        <v>0</v>
      </c>
      <c r="X100" s="2">
        <f t="shared" si="22"/>
        <v>0</v>
      </c>
      <c r="Y100" s="2">
        <f t="shared" si="22"/>
        <v>0</v>
      </c>
      <c r="Z100" s="2">
        <f t="shared" si="22"/>
        <v>0</v>
      </c>
      <c r="AA100" s="2">
        <f t="shared" si="22"/>
        <v>0</v>
      </c>
    </row>
    <row r="101" spans="1:27" x14ac:dyDescent="0.25">
      <c r="A101" s="14">
        <f>'Notes &amp; Assumptions'!A31</f>
        <v>18</v>
      </c>
      <c r="C101" s="1"/>
      <c r="D101" s="1"/>
      <c r="E101" t="s">
        <v>66</v>
      </c>
      <c r="F101" t="s">
        <v>8</v>
      </c>
      <c r="H101" s="11">
        <f>'YVW tariffs'!D29</f>
        <v>-4.24E-2</v>
      </c>
      <c r="I101" s="11">
        <f>'YVW tariffs'!E29</f>
        <v>-2.7400000000000001E-2</v>
      </c>
      <c r="J101" s="11">
        <f>'YVW tariffs'!F29</f>
        <v>0</v>
      </c>
      <c r="K101" s="11">
        <f>'YVW tariffs'!G29</f>
        <v>0</v>
      </c>
      <c r="L101" s="11">
        <f>'YVW tariffs'!H29</f>
        <v>0</v>
      </c>
      <c r="M101" s="11">
        <v>0</v>
      </c>
      <c r="N101" s="11">
        <v>0</v>
      </c>
      <c r="O101" s="11">
        <v>0</v>
      </c>
      <c r="P101" s="11">
        <v>0</v>
      </c>
      <c r="Q101" s="11">
        <v>0</v>
      </c>
      <c r="R101" s="11">
        <v>0</v>
      </c>
      <c r="S101" s="11">
        <v>0</v>
      </c>
      <c r="T101" s="11">
        <v>0</v>
      </c>
      <c r="U101" s="11">
        <v>0</v>
      </c>
      <c r="V101" s="11">
        <v>0</v>
      </c>
      <c r="W101" s="11">
        <v>0</v>
      </c>
      <c r="X101" s="11">
        <v>0</v>
      </c>
      <c r="Y101" s="11">
        <v>0</v>
      </c>
      <c r="Z101" s="11">
        <v>0</v>
      </c>
      <c r="AA101" s="11">
        <v>0</v>
      </c>
    </row>
    <row r="102" spans="1:27" x14ac:dyDescent="0.25">
      <c r="A102" s="14">
        <f>'Notes &amp; Assumptions'!A32</f>
        <v>19</v>
      </c>
      <c r="C102" s="1"/>
      <c r="D102" s="1"/>
      <c r="E102" t="s">
        <v>40</v>
      </c>
      <c r="F102" t="s">
        <v>41</v>
      </c>
      <c r="G102" s="20">
        <f>'YVW tariffs'!E14</f>
        <v>467.88345999999996</v>
      </c>
      <c r="H102" s="2">
        <f>G102*(1+$G$14)*(1+H101)</f>
        <v>457.45415052321596</v>
      </c>
      <c r="I102" s="2">
        <f t="shared" ref="I102:AA102" si="23">H102*(1+$G$14)*(1+I101)</f>
        <v>454.26322484165627</v>
      </c>
      <c r="J102" s="2">
        <f t="shared" si="23"/>
        <v>463.80275256333101</v>
      </c>
      <c r="K102" s="2">
        <f t="shared" si="23"/>
        <v>473.54261036716093</v>
      </c>
      <c r="L102" s="2">
        <f t="shared" si="23"/>
        <v>483.48700518487129</v>
      </c>
      <c r="M102" s="2">
        <f t="shared" si="23"/>
        <v>493.64023229375357</v>
      </c>
      <c r="N102" s="2">
        <f t="shared" si="23"/>
        <v>504.00667717192238</v>
      </c>
      <c r="O102" s="2">
        <f t="shared" si="23"/>
        <v>514.5908173925327</v>
      </c>
      <c r="P102" s="2">
        <f t="shared" si="23"/>
        <v>525.39722455777587</v>
      </c>
      <c r="Q102" s="2">
        <f t="shared" si="23"/>
        <v>536.43056627348915</v>
      </c>
      <c r="R102" s="2">
        <f t="shared" si="23"/>
        <v>547.69560816523233</v>
      </c>
      <c r="S102" s="2">
        <f t="shared" si="23"/>
        <v>559.19721593670215</v>
      </c>
      <c r="T102" s="2">
        <f t="shared" si="23"/>
        <v>570.94035747137286</v>
      </c>
      <c r="U102" s="2">
        <f t="shared" si="23"/>
        <v>582.93010497827163</v>
      </c>
      <c r="V102" s="2">
        <f t="shared" si="23"/>
        <v>595.17163718281529</v>
      </c>
      <c r="W102" s="2">
        <f t="shared" si="23"/>
        <v>607.67024156365437</v>
      </c>
      <c r="X102" s="2">
        <f t="shared" si="23"/>
        <v>620.43131663649103</v>
      </c>
      <c r="Y102" s="2">
        <f t="shared" si="23"/>
        <v>633.46037428585726</v>
      </c>
      <c r="Z102" s="2">
        <f t="shared" si="23"/>
        <v>646.76304214586025</v>
      </c>
      <c r="AA102" s="2">
        <f t="shared" si="23"/>
        <v>660.34506603092325</v>
      </c>
    </row>
    <row r="103" spans="1:27" x14ac:dyDescent="0.25">
      <c r="C103" s="1"/>
      <c r="D103" s="1"/>
      <c r="E103" t="s">
        <v>67</v>
      </c>
      <c r="F103" t="s">
        <v>143</v>
      </c>
      <c r="G103" s="20">
        <f>'YVW tariffs'!E15</f>
        <v>1.1665946</v>
      </c>
      <c r="H103" s="21">
        <f>G103*(1+$G$14)*(1+'YVW tariffs'!D30)</f>
        <v>0</v>
      </c>
      <c r="I103" s="21">
        <f t="shared" ref="I103:AA103" si="24">H103*(1+$G$14)*(1+I101)</f>
        <v>0</v>
      </c>
      <c r="J103" s="21">
        <f t="shared" si="24"/>
        <v>0</v>
      </c>
      <c r="K103" s="21">
        <f t="shared" si="24"/>
        <v>0</v>
      </c>
      <c r="L103" s="21">
        <f t="shared" si="24"/>
        <v>0</v>
      </c>
      <c r="M103" s="21">
        <f t="shared" si="24"/>
        <v>0</v>
      </c>
      <c r="N103" s="21">
        <f t="shared" si="24"/>
        <v>0</v>
      </c>
      <c r="O103" s="21">
        <f t="shared" si="24"/>
        <v>0</v>
      </c>
      <c r="P103" s="21">
        <f t="shared" si="24"/>
        <v>0</v>
      </c>
      <c r="Q103" s="21">
        <f t="shared" si="24"/>
        <v>0</v>
      </c>
      <c r="R103" s="21">
        <f t="shared" si="24"/>
        <v>0</v>
      </c>
      <c r="S103" s="21">
        <f t="shared" si="24"/>
        <v>0</v>
      </c>
      <c r="T103" s="21">
        <f t="shared" si="24"/>
        <v>0</v>
      </c>
      <c r="U103" s="21">
        <f t="shared" si="24"/>
        <v>0</v>
      </c>
      <c r="V103" s="21">
        <f t="shared" si="24"/>
        <v>0</v>
      </c>
      <c r="W103" s="21">
        <f t="shared" si="24"/>
        <v>0</v>
      </c>
      <c r="X103" s="21">
        <f t="shared" si="24"/>
        <v>0</v>
      </c>
      <c r="Y103" s="21">
        <f t="shared" si="24"/>
        <v>0</v>
      </c>
      <c r="Z103" s="21">
        <f t="shared" si="24"/>
        <v>0</v>
      </c>
      <c r="AA103" s="21">
        <f t="shared" si="24"/>
        <v>0</v>
      </c>
    </row>
    <row r="104" spans="1:27" x14ac:dyDescent="0.25">
      <c r="C104" s="1"/>
      <c r="D104" s="1"/>
      <c r="E104" t="s">
        <v>68</v>
      </c>
      <c r="F104" t="s">
        <v>143</v>
      </c>
      <c r="G104" s="20"/>
      <c r="H104" s="21">
        <f>G104*(1+$G$14)*(1+H101)</f>
        <v>0</v>
      </c>
      <c r="I104" s="21">
        <f t="shared" ref="I104:AA104" si="25">H104*(1+$G$14)*(1+I101)</f>
        <v>0</v>
      </c>
      <c r="J104" s="21">
        <f t="shared" si="25"/>
        <v>0</v>
      </c>
      <c r="K104" s="21">
        <f t="shared" si="25"/>
        <v>0</v>
      </c>
      <c r="L104" s="21">
        <f t="shared" si="25"/>
        <v>0</v>
      </c>
      <c r="M104" s="21">
        <f t="shared" si="25"/>
        <v>0</v>
      </c>
      <c r="N104" s="21">
        <f t="shared" si="25"/>
        <v>0</v>
      </c>
      <c r="O104" s="21">
        <f t="shared" si="25"/>
        <v>0</v>
      </c>
      <c r="P104" s="21">
        <f t="shared" si="25"/>
        <v>0</v>
      </c>
      <c r="Q104" s="21">
        <f t="shared" si="25"/>
        <v>0</v>
      </c>
      <c r="R104" s="21">
        <f t="shared" si="25"/>
        <v>0</v>
      </c>
      <c r="S104" s="21">
        <f t="shared" si="25"/>
        <v>0</v>
      </c>
      <c r="T104" s="21">
        <f t="shared" si="25"/>
        <v>0</v>
      </c>
      <c r="U104" s="21">
        <f t="shared" si="25"/>
        <v>0</v>
      </c>
      <c r="V104" s="21">
        <f t="shared" si="25"/>
        <v>0</v>
      </c>
      <c r="W104" s="21">
        <f t="shared" si="25"/>
        <v>0</v>
      </c>
      <c r="X104" s="21">
        <f t="shared" si="25"/>
        <v>0</v>
      </c>
      <c r="Y104" s="21">
        <f t="shared" si="25"/>
        <v>0</v>
      </c>
      <c r="Z104" s="21">
        <f t="shared" si="25"/>
        <v>0</v>
      </c>
      <c r="AA104" s="21">
        <f t="shared" si="25"/>
        <v>0</v>
      </c>
    </row>
    <row r="105" spans="1:27" x14ac:dyDescent="0.25">
      <c r="C105" s="1"/>
      <c r="D105" s="1"/>
      <c r="E105" t="s">
        <v>142</v>
      </c>
      <c r="F105" t="s">
        <v>143</v>
      </c>
      <c r="G105" s="20"/>
      <c r="H105" s="21">
        <f>G105*(1+$G$14)*(1+H101)</f>
        <v>0</v>
      </c>
      <c r="I105" s="21">
        <f t="shared" ref="I105:AA105" si="26">H105*(1+$G$14)*(1+I101)</f>
        <v>0</v>
      </c>
      <c r="J105" s="21">
        <f t="shared" si="26"/>
        <v>0</v>
      </c>
      <c r="K105" s="21">
        <f t="shared" si="26"/>
        <v>0</v>
      </c>
      <c r="L105" s="21">
        <f t="shared" si="26"/>
        <v>0</v>
      </c>
      <c r="M105" s="21">
        <f t="shared" si="26"/>
        <v>0</v>
      </c>
      <c r="N105" s="21">
        <f t="shared" si="26"/>
        <v>0</v>
      </c>
      <c r="O105" s="21">
        <f t="shared" si="26"/>
        <v>0</v>
      </c>
      <c r="P105" s="21">
        <f t="shared" si="26"/>
        <v>0</v>
      </c>
      <c r="Q105" s="21">
        <f t="shared" si="26"/>
        <v>0</v>
      </c>
      <c r="R105" s="21">
        <f t="shared" si="26"/>
        <v>0</v>
      </c>
      <c r="S105" s="21">
        <f t="shared" si="26"/>
        <v>0</v>
      </c>
      <c r="T105" s="21">
        <f t="shared" si="26"/>
        <v>0</v>
      </c>
      <c r="U105" s="21">
        <f t="shared" si="26"/>
        <v>0</v>
      </c>
      <c r="V105" s="21">
        <f t="shared" si="26"/>
        <v>0</v>
      </c>
      <c r="W105" s="21">
        <f t="shared" si="26"/>
        <v>0</v>
      </c>
      <c r="X105" s="21">
        <f t="shared" si="26"/>
        <v>0</v>
      </c>
      <c r="Y105" s="21">
        <f t="shared" si="26"/>
        <v>0</v>
      </c>
      <c r="Z105" s="21">
        <f t="shared" si="26"/>
        <v>0</v>
      </c>
      <c r="AA105" s="21">
        <f t="shared" si="26"/>
        <v>0</v>
      </c>
    </row>
    <row r="106" spans="1:27" x14ac:dyDescent="0.25">
      <c r="C106" s="1"/>
      <c r="D106" s="1"/>
    </row>
    <row r="107" spans="1:27" x14ac:dyDescent="0.25">
      <c r="C107" s="1"/>
      <c r="D107" s="1"/>
      <c r="E107" t="s">
        <v>69</v>
      </c>
      <c r="F107" t="s">
        <v>58</v>
      </c>
      <c r="H107" s="2">
        <f>SUM(H98:H100)/1000</f>
        <v>1064.8125</v>
      </c>
      <c r="I107" s="2">
        <f t="shared" ref="I107:AA107" si="27">SUM(I98:I100)/1000</f>
        <v>2071.2375000000002</v>
      </c>
      <c r="J107" s="2">
        <f t="shared" si="27"/>
        <v>3036.7912499999993</v>
      </c>
      <c r="K107" s="2">
        <f t="shared" si="27"/>
        <v>3917.0587499999997</v>
      </c>
      <c r="L107" s="2">
        <f t="shared" si="27"/>
        <v>4713.5587499999992</v>
      </c>
      <c r="M107" s="2">
        <f t="shared" si="27"/>
        <v>5431.3087499999992</v>
      </c>
      <c r="N107" s="2">
        <f t="shared" si="27"/>
        <v>6073.9087499999987</v>
      </c>
      <c r="O107" s="2">
        <f t="shared" si="27"/>
        <v>6645.4874999999993</v>
      </c>
      <c r="P107" s="2">
        <f t="shared" si="27"/>
        <v>7196.9624999999987</v>
      </c>
      <c r="Q107" s="2">
        <f t="shared" si="27"/>
        <v>7725.2174999999988</v>
      </c>
      <c r="R107" s="2">
        <f t="shared" si="27"/>
        <v>8282.4299999999985</v>
      </c>
      <c r="S107" s="2">
        <f t="shared" si="27"/>
        <v>8871.6712499999976</v>
      </c>
      <c r="T107" s="2">
        <f t="shared" si="27"/>
        <v>9494.6962499999972</v>
      </c>
      <c r="U107" s="2">
        <f t="shared" si="27"/>
        <v>10115.088749999999</v>
      </c>
      <c r="V107" s="2">
        <f t="shared" si="27"/>
        <v>10732.409999999998</v>
      </c>
      <c r="W107" s="2">
        <f t="shared" si="27"/>
        <v>10732.409999999998</v>
      </c>
      <c r="X107" s="2">
        <f t="shared" si="27"/>
        <v>10732.409999999998</v>
      </c>
      <c r="Y107" s="2">
        <f t="shared" si="27"/>
        <v>10732.409999999998</v>
      </c>
      <c r="Z107" s="2">
        <f t="shared" si="27"/>
        <v>10732.409999999998</v>
      </c>
      <c r="AA107" s="2">
        <f t="shared" si="27"/>
        <v>10732.409999999998</v>
      </c>
    </row>
    <row r="108" spans="1:27" x14ac:dyDescent="0.25">
      <c r="C108" s="1"/>
      <c r="D108" s="1"/>
      <c r="E108" t="s">
        <v>70</v>
      </c>
      <c r="F108" t="s">
        <v>7</v>
      </c>
      <c r="H108" s="2">
        <f>H91*H102+H98*H103+H99*H104+H100*H105</f>
        <v>4329803.5347022386</v>
      </c>
      <c r="I108" s="2">
        <f t="shared" ref="I108:AA108" si="28">I91*I102+I98*I103+I99*I104+I100*I105</f>
        <v>8363440.2325597331</v>
      </c>
      <c r="J108" s="2">
        <f t="shared" si="28"/>
        <v>12519752.361868788</v>
      </c>
      <c r="K108" s="2">
        <f t="shared" si="28"/>
        <v>16487948.670546917</v>
      </c>
      <c r="L108" s="2">
        <f t="shared" si="28"/>
        <v>20257283.589337289</v>
      </c>
      <c r="M108" s="2">
        <f t="shared" si="28"/>
        <v>23832111.22674752</v>
      </c>
      <c r="N108" s="2">
        <f t="shared" si="28"/>
        <v>27211471.702515237</v>
      </c>
      <c r="O108" s="2">
        <f t="shared" si="28"/>
        <v>30397394.174194295</v>
      </c>
      <c r="P108" s="2">
        <f t="shared" si="28"/>
        <v>33611236.646634594</v>
      </c>
      <c r="Q108" s="2">
        <f t="shared" si="28"/>
        <v>36835935.98320771</v>
      </c>
      <c r="R108" s="2">
        <f t="shared" si="28"/>
        <v>40322226.986097462</v>
      </c>
      <c r="S108" s="2">
        <f t="shared" si="28"/>
        <v>44097901.010717168</v>
      </c>
      <c r="T108" s="2">
        <f t="shared" si="28"/>
        <v>48185824.631618693</v>
      </c>
      <c r="U108" s="2">
        <f t="shared" si="28"/>
        <v>52412353.305795848</v>
      </c>
      <c r="V108" s="2">
        <f t="shared" si="28"/>
        <v>56778898.049930818</v>
      </c>
      <c r="W108" s="2">
        <f t="shared" si="28"/>
        <v>57971254.908979364</v>
      </c>
      <c r="X108" s="2">
        <f t="shared" si="28"/>
        <v>59188651.262067921</v>
      </c>
      <c r="Y108" s="2">
        <f t="shared" si="28"/>
        <v>60431612.938571341</v>
      </c>
      <c r="Z108" s="2">
        <f t="shared" si="28"/>
        <v>61700676.810281344</v>
      </c>
      <c r="AA108" s="2">
        <f t="shared" si="28"/>
        <v>62996391.023297243</v>
      </c>
    </row>
    <row r="109" spans="1:27" x14ac:dyDescent="0.25">
      <c r="C109" s="1"/>
      <c r="D109" s="1"/>
    </row>
    <row r="110" spans="1:27" x14ac:dyDescent="0.25">
      <c r="C110" s="1"/>
      <c r="D110" t="s">
        <v>71</v>
      </c>
    </row>
    <row r="111" spans="1:27" x14ac:dyDescent="0.25">
      <c r="A111" s="14">
        <f>'Notes &amp; Assumptions'!A33</f>
        <v>20</v>
      </c>
      <c r="C111" s="1"/>
      <c r="D111" s="1"/>
      <c r="E111" t="s">
        <v>87</v>
      </c>
      <c r="F111" t="s">
        <v>3</v>
      </c>
      <c r="H111" s="10">
        <f>'Customer numbers'!P37</f>
        <v>574</v>
      </c>
      <c r="I111" s="10">
        <f>'Customer numbers'!Q37</f>
        <v>574</v>
      </c>
      <c r="J111" s="10">
        <f>'Customer numbers'!R37</f>
        <v>588</v>
      </c>
      <c r="K111" s="10">
        <f>'Customer numbers'!S37</f>
        <v>560</v>
      </c>
      <c r="L111" s="10">
        <f>'Customer numbers'!T37</f>
        <v>546</v>
      </c>
      <c r="M111" s="10">
        <f>'Customer numbers'!U37</f>
        <v>518</v>
      </c>
      <c r="N111" s="10">
        <f>'Customer numbers'!V37</f>
        <v>496.99999999999994</v>
      </c>
      <c r="O111" s="10">
        <f>'Customer numbers'!W37</f>
        <v>482.99999999999994</v>
      </c>
      <c r="P111" s="10">
        <f>'Customer numbers'!X37</f>
        <v>503.99999999999994</v>
      </c>
      <c r="Q111" s="10">
        <f>'Customer numbers'!Y37</f>
        <v>539</v>
      </c>
      <c r="R111" s="10">
        <f>'Customer numbers'!Z37</f>
        <v>567</v>
      </c>
      <c r="S111" s="10">
        <f>'Customer numbers'!AA37</f>
        <v>609</v>
      </c>
      <c r="T111" s="10">
        <f>'Customer numbers'!AB37</f>
        <v>637</v>
      </c>
      <c r="U111" s="10">
        <f>'Customer numbers'!AC37</f>
        <v>630</v>
      </c>
      <c r="V111" s="10">
        <f>'Customer numbers'!AD37</f>
        <v>630</v>
      </c>
    </row>
    <row r="112" spans="1:27" x14ac:dyDescent="0.25">
      <c r="C112" s="1"/>
      <c r="D112" s="1"/>
      <c r="E112" t="s">
        <v>60</v>
      </c>
      <c r="F112" t="s">
        <v>3</v>
      </c>
      <c r="G112">
        <f>IF('Key assumptions'!B4="yes",SUM('Customer numbers'!F38:O38),0)</f>
        <v>0</v>
      </c>
      <c r="H112" s="2">
        <f>G112+H111</f>
        <v>574</v>
      </c>
      <c r="I112" s="2">
        <f t="shared" ref="I112:AA112" si="29">H112+I111</f>
        <v>1148</v>
      </c>
      <c r="J112" s="2">
        <f t="shared" si="29"/>
        <v>1736</v>
      </c>
      <c r="K112" s="2">
        <f t="shared" si="29"/>
        <v>2296</v>
      </c>
      <c r="L112" s="2">
        <f t="shared" si="29"/>
        <v>2842</v>
      </c>
      <c r="M112" s="2">
        <f t="shared" si="29"/>
        <v>3360</v>
      </c>
      <c r="N112" s="2">
        <f t="shared" si="29"/>
        <v>3857</v>
      </c>
      <c r="O112" s="2">
        <f t="shared" si="29"/>
        <v>4340</v>
      </c>
      <c r="P112" s="2">
        <f t="shared" si="29"/>
        <v>4844</v>
      </c>
      <c r="Q112" s="2">
        <f t="shared" si="29"/>
        <v>5383</v>
      </c>
      <c r="R112" s="2">
        <f t="shared" si="29"/>
        <v>5950</v>
      </c>
      <c r="S112" s="2">
        <f t="shared" si="29"/>
        <v>6559</v>
      </c>
      <c r="T112" s="2">
        <f t="shared" si="29"/>
        <v>7196</v>
      </c>
      <c r="U112" s="2">
        <f t="shared" si="29"/>
        <v>7826</v>
      </c>
      <c r="V112" s="2">
        <f t="shared" si="29"/>
        <v>8456</v>
      </c>
      <c r="W112" s="2">
        <f t="shared" si="29"/>
        <v>8456</v>
      </c>
      <c r="X112" s="2">
        <f t="shared" si="29"/>
        <v>8456</v>
      </c>
      <c r="Y112" s="2">
        <f t="shared" si="29"/>
        <v>8456</v>
      </c>
      <c r="Z112" s="2">
        <f t="shared" si="29"/>
        <v>8456</v>
      </c>
      <c r="AA112" s="2">
        <f t="shared" si="29"/>
        <v>8456</v>
      </c>
    </row>
    <row r="113" spans="1:27" x14ac:dyDescent="0.25">
      <c r="A113" s="14">
        <f>'Notes &amp; Assumptions'!A34</f>
        <v>21</v>
      </c>
      <c r="C113" s="1"/>
      <c r="D113" s="1"/>
      <c r="E113" t="s">
        <v>61</v>
      </c>
      <c r="F113" t="s">
        <v>3</v>
      </c>
      <c r="G113" s="10">
        <v>1</v>
      </c>
    </row>
    <row r="114" spans="1:27" x14ac:dyDescent="0.25">
      <c r="C114" s="1"/>
      <c r="D114" s="1"/>
      <c r="E114" t="s">
        <v>88</v>
      </c>
      <c r="F114" t="s">
        <v>3</v>
      </c>
      <c r="H114">
        <f>H111*$G113</f>
        <v>574</v>
      </c>
      <c r="I114">
        <f t="shared" ref="I114:AA114" si="30">I111*$G113</f>
        <v>574</v>
      </c>
      <c r="J114">
        <f t="shared" si="30"/>
        <v>588</v>
      </c>
      <c r="K114">
        <f t="shared" si="30"/>
        <v>560</v>
      </c>
      <c r="L114">
        <f t="shared" si="30"/>
        <v>546</v>
      </c>
      <c r="M114">
        <f t="shared" si="30"/>
        <v>518</v>
      </c>
      <c r="N114">
        <f t="shared" si="30"/>
        <v>496.99999999999994</v>
      </c>
      <c r="O114">
        <f t="shared" si="30"/>
        <v>482.99999999999994</v>
      </c>
      <c r="P114">
        <f t="shared" si="30"/>
        <v>503.99999999999994</v>
      </c>
      <c r="Q114">
        <f t="shared" si="30"/>
        <v>539</v>
      </c>
      <c r="R114">
        <f t="shared" si="30"/>
        <v>567</v>
      </c>
      <c r="S114">
        <f t="shared" si="30"/>
        <v>609</v>
      </c>
      <c r="T114">
        <f t="shared" si="30"/>
        <v>637</v>
      </c>
      <c r="U114">
        <f t="shared" si="30"/>
        <v>630</v>
      </c>
      <c r="V114">
        <f t="shared" si="30"/>
        <v>630</v>
      </c>
      <c r="W114">
        <f t="shared" si="30"/>
        <v>0</v>
      </c>
      <c r="X114">
        <f t="shared" si="30"/>
        <v>0</v>
      </c>
      <c r="Y114">
        <f t="shared" si="30"/>
        <v>0</v>
      </c>
      <c r="Z114">
        <f t="shared" si="30"/>
        <v>0</v>
      </c>
      <c r="AA114">
        <f t="shared" si="30"/>
        <v>0</v>
      </c>
    </row>
    <row r="115" spans="1:27" x14ac:dyDescent="0.25">
      <c r="C115" s="1"/>
      <c r="D115" s="1"/>
      <c r="E115" t="s">
        <v>89</v>
      </c>
      <c r="F115" t="s">
        <v>3</v>
      </c>
      <c r="H115">
        <f>H112*$G113</f>
        <v>574</v>
      </c>
      <c r="I115">
        <f>I112*$G113</f>
        <v>1148</v>
      </c>
      <c r="J115">
        <f t="shared" ref="J115:AA115" si="31">J112*$G113</f>
        <v>1736</v>
      </c>
      <c r="K115">
        <f t="shared" si="31"/>
        <v>2296</v>
      </c>
      <c r="L115">
        <f t="shared" si="31"/>
        <v>2842</v>
      </c>
      <c r="M115">
        <f t="shared" si="31"/>
        <v>3360</v>
      </c>
      <c r="N115">
        <f t="shared" si="31"/>
        <v>3857</v>
      </c>
      <c r="O115">
        <f t="shared" si="31"/>
        <v>4340</v>
      </c>
      <c r="P115">
        <f t="shared" si="31"/>
        <v>4844</v>
      </c>
      <c r="Q115">
        <f t="shared" si="31"/>
        <v>5383</v>
      </c>
      <c r="R115">
        <f t="shared" si="31"/>
        <v>5950</v>
      </c>
      <c r="S115">
        <f t="shared" si="31"/>
        <v>6559</v>
      </c>
      <c r="T115">
        <f t="shared" si="31"/>
        <v>7196</v>
      </c>
      <c r="U115">
        <f t="shared" si="31"/>
        <v>7826</v>
      </c>
      <c r="V115">
        <f t="shared" si="31"/>
        <v>8456</v>
      </c>
      <c r="W115">
        <f t="shared" si="31"/>
        <v>8456</v>
      </c>
      <c r="X115">
        <f t="shared" si="31"/>
        <v>8456</v>
      </c>
      <c r="Y115">
        <f t="shared" si="31"/>
        <v>8456</v>
      </c>
      <c r="Z115">
        <f t="shared" si="31"/>
        <v>8456</v>
      </c>
      <c r="AA115">
        <f t="shared" si="31"/>
        <v>8456</v>
      </c>
    </row>
    <row r="116" spans="1:27" x14ac:dyDescent="0.25">
      <c r="A116" s="14">
        <f>'Notes &amp; Assumptions'!A35</f>
        <v>22</v>
      </c>
      <c r="C116" s="1"/>
      <c r="D116" s="1"/>
      <c r="E116" t="s">
        <v>62</v>
      </c>
      <c r="F116" t="s">
        <v>43</v>
      </c>
      <c r="H116" s="10">
        <f>0.55*'20 New UGB Water'!H116</f>
        <v>286</v>
      </c>
      <c r="I116" s="10">
        <f>H116</f>
        <v>286</v>
      </c>
      <c r="J116" s="10">
        <f t="shared" ref="J116:AA116" si="32">I116</f>
        <v>286</v>
      </c>
      <c r="K116" s="10">
        <f t="shared" si="32"/>
        <v>286</v>
      </c>
      <c r="L116" s="10">
        <f t="shared" si="32"/>
        <v>286</v>
      </c>
      <c r="M116" s="10">
        <f t="shared" si="32"/>
        <v>286</v>
      </c>
      <c r="N116" s="10">
        <f t="shared" si="32"/>
        <v>286</v>
      </c>
      <c r="O116" s="10">
        <f t="shared" si="32"/>
        <v>286</v>
      </c>
      <c r="P116" s="10">
        <f t="shared" si="32"/>
        <v>286</v>
      </c>
      <c r="Q116" s="10">
        <f t="shared" si="32"/>
        <v>286</v>
      </c>
      <c r="R116" s="10">
        <f t="shared" si="32"/>
        <v>286</v>
      </c>
      <c r="S116" s="10">
        <f t="shared" si="32"/>
        <v>286</v>
      </c>
      <c r="T116" s="10">
        <f t="shared" si="32"/>
        <v>286</v>
      </c>
      <c r="U116" s="10">
        <f t="shared" si="32"/>
        <v>286</v>
      </c>
      <c r="V116" s="10">
        <f t="shared" si="32"/>
        <v>286</v>
      </c>
      <c r="W116" s="10">
        <f t="shared" si="32"/>
        <v>286</v>
      </c>
      <c r="X116" s="10">
        <f t="shared" si="32"/>
        <v>286</v>
      </c>
      <c r="Y116" s="10">
        <f t="shared" si="32"/>
        <v>286</v>
      </c>
      <c r="Z116" s="10">
        <f t="shared" si="32"/>
        <v>286</v>
      </c>
      <c r="AA116" s="10">
        <f t="shared" si="32"/>
        <v>286</v>
      </c>
    </row>
    <row r="117" spans="1:27" x14ac:dyDescent="0.25">
      <c r="C117" s="1"/>
      <c r="D117" s="1"/>
      <c r="E117" t="s">
        <v>63</v>
      </c>
      <c r="F117" t="s">
        <v>43</v>
      </c>
      <c r="H117" s="10"/>
      <c r="I117" s="10"/>
      <c r="J117" s="10"/>
      <c r="K117" s="10"/>
      <c r="L117" s="10"/>
      <c r="M117" s="10"/>
      <c r="N117" s="10"/>
      <c r="O117" s="10"/>
      <c r="P117" s="10"/>
      <c r="Q117" s="10"/>
      <c r="R117" s="10"/>
      <c r="S117" s="10"/>
      <c r="T117" s="10"/>
      <c r="U117" s="10"/>
      <c r="V117" s="10"/>
      <c r="W117" s="10"/>
      <c r="X117" s="10"/>
      <c r="Y117" s="10"/>
      <c r="Z117" s="10"/>
      <c r="AA117" s="10"/>
    </row>
    <row r="118" spans="1:27" x14ac:dyDescent="0.25">
      <c r="C118" s="1"/>
      <c r="D118" s="1"/>
      <c r="E118" t="s">
        <v>140</v>
      </c>
      <c r="F118" t="s">
        <v>43</v>
      </c>
      <c r="H118" s="10"/>
      <c r="I118" s="10"/>
      <c r="J118" s="10"/>
      <c r="K118" s="10"/>
      <c r="L118" s="10"/>
      <c r="M118" s="10"/>
      <c r="N118" s="10"/>
      <c r="O118" s="10"/>
      <c r="P118" s="10"/>
      <c r="Q118" s="10"/>
      <c r="R118" s="10"/>
      <c r="S118" s="10"/>
      <c r="T118" s="10"/>
      <c r="U118" s="10"/>
      <c r="V118" s="10"/>
      <c r="W118" s="10"/>
      <c r="X118" s="10"/>
      <c r="Y118" s="10"/>
      <c r="Z118" s="10"/>
      <c r="AA118" s="10"/>
    </row>
    <row r="119" spans="1:27" x14ac:dyDescent="0.25">
      <c r="C119" s="1"/>
      <c r="D119" s="1"/>
      <c r="E119" t="s">
        <v>64</v>
      </c>
      <c r="F119" t="s">
        <v>144</v>
      </c>
      <c r="H119" s="2">
        <f>H112*H116</f>
        <v>164164</v>
      </c>
      <c r="I119" s="2">
        <f t="shared" ref="I119:AA119" si="33">I112*I116</f>
        <v>328328</v>
      </c>
      <c r="J119" s="2">
        <f t="shared" si="33"/>
        <v>496496</v>
      </c>
      <c r="K119" s="2">
        <f t="shared" si="33"/>
        <v>656656</v>
      </c>
      <c r="L119" s="2">
        <f t="shared" si="33"/>
        <v>812812</v>
      </c>
      <c r="M119" s="2">
        <f t="shared" si="33"/>
        <v>960960</v>
      </c>
      <c r="N119" s="2">
        <f t="shared" si="33"/>
        <v>1103102</v>
      </c>
      <c r="O119" s="2">
        <f t="shared" si="33"/>
        <v>1241240</v>
      </c>
      <c r="P119" s="2">
        <f t="shared" si="33"/>
        <v>1385384</v>
      </c>
      <c r="Q119" s="2">
        <f t="shared" si="33"/>
        <v>1539538</v>
      </c>
      <c r="R119" s="2">
        <f t="shared" si="33"/>
        <v>1701700</v>
      </c>
      <c r="S119" s="2">
        <f t="shared" si="33"/>
        <v>1875874</v>
      </c>
      <c r="T119" s="2">
        <f t="shared" si="33"/>
        <v>2058056</v>
      </c>
      <c r="U119" s="2">
        <f t="shared" si="33"/>
        <v>2238236</v>
      </c>
      <c r="V119" s="2">
        <f t="shared" si="33"/>
        <v>2418416</v>
      </c>
      <c r="W119" s="2">
        <f t="shared" si="33"/>
        <v>2418416</v>
      </c>
      <c r="X119" s="2">
        <f t="shared" si="33"/>
        <v>2418416</v>
      </c>
      <c r="Y119" s="2">
        <f t="shared" si="33"/>
        <v>2418416</v>
      </c>
      <c r="Z119" s="2">
        <f t="shared" si="33"/>
        <v>2418416</v>
      </c>
      <c r="AA119" s="2">
        <f t="shared" si="33"/>
        <v>2418416</v>
      </c>
    </row>
    <row r="120" spans="1:27" x14ac:dyDescent="0.25">
      <c r="C120" s="1"/>
      <c r="D120" s="1"/>
      <c r="E120" t="s">
        <v>65</v>
      </c>
      <c r="F120" t="s">
        <v>144</v>
      </c>
      <c r="H120" s="2">
        <f>H112*H117</f>
        <v>0</v>
      </c>
      <c r="I120" s="2">
        <f t="shared" ref="I120:AA120" si="34">I112*I117</f>
        <v>0</v>
      </c>
      <c r="J120" s="2">
        <f t="shared" si="34"/>
        <v>0</v>
      </c>
      <c r="K120" s="2">
        <f t="shared" si="34"/>
        <v>0</v>
      </c>
      <c r="L120" s="2">
        <f t="shared" si="34"/>
        <v>0</v>
      </c>
      <c r="M120" s="2">
        <f t="shared" si="34"/>
        <v>0</v>
      </c>
      <c r="N120" s="2">
        <f t="shared" si="34"/>
        <v>0</v>
      </c>
      <c r="O120" s="2">
        <f t="shared" si="34"/>
        <v>0</v>
      </c>
      <c r="P120" s="2">
        <f t="shared" si="34"/>
        <v>0</v>
      </c>
      <c r="Q120" s="2">
        <f t="shared" si="34"/>
        <v>0</v>
      </c>
      <c r="R120" s="2">
        <f t="shared" si="34"/>
        <v>0</v>
      </c>
      <c r="S120" s="2">
        <f t="shared" si="34"/>
        <v>0</v>
      </c>
      <c r="T120" s="2">
        <f t="shared" si="34"/>
        <v>0</v>
      </c>
      <c r="U120" s="2">
        <f t="shared" si="34"/>
        <v>0</v>
      </c>
      <c r="V120" s="2">
        <f t="shared" si="34"/>
        <v>0</v>
      </c>
      <c r="W120" s="2">
        <f t="shared" si="34"/>
        <v>0</v>
      </c>
      <c r="X120" s="2">
        <f t="shared" si="34"/>
        <v>0</v>
      </c>
      <c r="Y120" s="2">
        <f t="shared" si="34"/>
        <v>0</v>
      </c>
      <c r="Z120" s="2">
        <f t="shared" si="34"/>
        <v>0</v>
      </c>
      <c r="AA120" s="2">
        <f t="shared" si="34"/>
        <v>0</v>
      </c>
    </row>
    <row r="121" spans="1:27" x14ac:dyDescent="0.25">
      <c r="C121" s="1"/>
      <c r="D121" s="1"/>
      <c r="E121" t="s">
        <v>141</v>
      </c>
      <c r="F121" t="s">
        <v>144</v>
      </c>
      <c r="H121" s="2">
        <f>H112*H118</f>
        <v>0</v>
      </c>
      <c r="I121" s="2">
        <f t="shared" ref="I121:AA121" si="35">I112*I118</f>
        <v>0</v>
      </c>
      <c r="J121" s="2">
        <f t="shared" si="35"/>
        <v>0</v>
      </c>
      <c r="K121" s="2">
        <f t="shared" si="35"/>
        <v>0</v>
      </c>
      <c r="L121" s="2">
        <f t="shared" si="35"/>
        <v>0</v>
      </c>
      <c r="M121" s="2">
        <f t="shared" si="35"/>
        <v>0</v>
      </c>
      <c r="N121" s="2">
        <f t="shared" si="35"/>
        <v>0</v>
      </c>
      <c r="O121" s="2">
        <f t="shared" si="35"/>
        <v>0</v>
      </c>
      <c r="P121" s="2">
        <f t="shared" si="35"/>
        <v>0</v>
      </c>
      <c r="Q121" s="2">
        <f t="shared" si="35"/>
        <v>0</v>
      </c>
      <c r="R121" s="2">
        <f t="shared" si="35"/>
        <v>0</v>
      </c>
      <c r="S121" s="2">
        <f t="shared" si="35"/>
        <v>0</v>
      </c>
      <c r="T121" s="2">
        <f t="shared" si="35"/>
        <v>0</v>
      </c>
      <c r="U121" s="2">
        <f t="shared" si="35"/>
        <v>0</v>
      </c>
      <c r="V121" s="2">
        <f t="shared" si="35"/>
        <v>0</v>
      </c>
      <c r="W121" s="2">
        <f t="shared" si="35"/>
        <v>0</v>
      </c>
      <c r="X121" s="2">
        <f t="shared" si="35"/>
        <v>0</v>
      </c>
      <c r="Y121" s="2">
        <f t="shared" si="35"/>
        <v>0</v>
      </c>
      <c r="Z121" s="2">
        <f t="shared" si="35"/>
        <v>0</v>
      </c>
      <c r="AA121" s="2">
        <f t="shared" si="35"/>
        <v>0</v>
      </c>
    </row>
    <row r="122" spans="1:27" x14ac:dyDescent="0.25">
      <c r="A122" s="14">
        <f>'Notes &amp; Assumptions'!A36</f>
        <v>23</v>
      </c>
      <c r="C122" s="1"/>
      <c r="D122" s="1"/>
      <c r="E122" t="s">
        <v>66</v>
      </c>
      <c r="F122" t="s">
        <v>8</v>
      </c>
      <c r="H122" s="11">
        <f>'YVW tariffs'!D36</f>
        <v>-4.24E-2</v>
      </c>
      <c r="I122" s="11">
        <f>'YVW tariffs'!E36</f>
        <v>-2.7400000000000001E-2</v>
      </c>
      <c r="J122" s="11">
        <f>'YVW tariffs'!F36</f>
        <v>0</v>
      </c>
      <c r="K122" s="11">
        <f>'YVW tariffs'!G36</f>
        <v>0</v>
      </c>
      <c r="L122" s="11">
        <f>'YVW tariffs'!H36</f>
        <v>0</v>
      </c>
      <c r="M122" s="11">
        <v>0</v>
      </c>
      <c r="N122" s="11">
        <v>0</v>
      </c>
      <c r="O122" s="11">
        <v>0</v>
      </c>
      <c r="P122" s="11">
        <v>0</v>
      </c>
      <c r="Q122" s="11">
        <v>0</v>
      </c>
      <c r="R122" s="11">
        <v>0</v>
      </c>
      <c r="S122" s="11">
        <v>0</v>
      </c>
      <c r="T122" s="11">
        <v>0</v>
      </c>
      <c r="U122" s="11">
        <v>0</v>
      </c>
      <c r="V122" s="11">
        <v>0</v>
      </c>
      <c r="W122" s="11">
        <v>0</v>
      </c>
      <c r="X122" s="11">
        <v>0</v>
      </c>
      <c r="Y122" s="11">
        <v>0</v>
      </c>
      <c r="Z122" s="11">
        <v>0</v>
      </c>
      <c r="AA122" s="11">
        <v>0</v>
      </c>
    </row>
    <row r="123" spans="1:27" x14ac:dyDescent="0.25">
      <c r="A123" s="14">
        <f>'Notes &amp; Assumptions'!A37</f>
        <v>24</v>
      </c>
      <c r="C123" s="1"/>
      <c r="D123" s="1"/>
      <c r="E123" t="s">
        <v>40</v>
      </c>
      <c r="F123" t="s">
        <v>41</v>
      </c>
      <c r="G123" s="20">
        <f>'YVW tariffs'!E18</f>
        <v>568.75825999999984</v>
      </c>
      <c r="H123" s="2">
        <f>G123*(1+$G$14)*(1+H122)</f>
        <v>556.08041088129585</v>
      </c>
      <c r="I123" s="2">
        <f t="shared" ref="I123:AA123" si="36">H123*(1+$G$14)*(1+I122)</f>
        <v>552.20152758323445</v>
      </c>
      <c r="J123" s="2">
        <f t="shared" si="36"/>
        <v>563.79775966248235</v>
      </c>
      <c r="K123" s="2">
        <f t="shared" si="36"/>
        <v>575.63751261539437</v>
      </c>
      <c r="L123" s="2">
        <f t="shared" si="36"/>
        <v>587.72590038031763</v>
      </c>
      <c r="M123" s="2">
        <f t="shared" si="36"/>
        <v>600.06814428830421</v>
      </c>
      <c r="N123" s="2">
        <f t="shared" si="36"/>
        <v>612.66957531835851</v>
      </c>
      <c r="O123" s="2">
        <f t="shared" si="36"/>
        <v>625.53563640004393</v>
      </c>
      <c r="P123" s="2">
        <f t="shared" si="36"/>
        <v>638.67188476444483</v>
      </c>
      <c r="Q123" s="2">
        <f t="shared" si="36"/>
        <v>652.08399434449814</v>
      </c>
      <c r="R123" s="2">
        <f t="shared" si="36"/>
        <v>665.77775822573255</v>
      </c>
      <c r="S123" s="2">
        <f t="shared" si="36"/>
        <v>679.75909114847286</v>
      </c>
      <c r="T123" s="2">
        <f t="shared" si="36"/>
        <v>694.03403206259077</v>
      </c>
      <c r="U123" s="2">
        <f t="shared" si="36"/>
        <v>708.60874673590513</v>
      </c>
      <c r="V123" s="2">
        <f t="shared" si="36"/>
        <v>723.48953041735911</v>
      </c>
      <c r="W123" s="2">
        <f t="shared" si="36"/>
        <v>738.68281055612363</v>
      </c>
      <c r="X123" s="2">
        <f t="shared" si="36"/>
        <v>754.19514957780211</v>
      </c>
      <c r="Y123" s="2">
        <f t="shared" si="36"/>
        <v>770.03324771893585</v>
      </c>
      <c r="Z123" s="2">
        <f t="shared" si="36"/>
        <v>786.20394592103344</v>
      </c>
      <c r="AA123" s="2">
        <f t="shared" si="36"/>
        <v>802.7142287853751</v>
      </c>
    </row>
    <row r="124" spans="1:27" x14ac:dyDescent="0.25">
      <c r="C124" s="1"/>
      <c r="D124" s="1"/>
      <c r="E124" t="s">
        <v>67</v>
      </c>
      <c r="F124" t="s">
        <v>143</v>
      </c>
      <c r="G124" s="20">
        <f>'YVW tariffs'!E19</f>
        <v>2.0661976999999996</v>
      </c>
      <c r="H124" s="21">
        <f>G124*(1+$G$14)*(1+H122)</f>
        <v>2.0201413267879191</v>
      </c>
      <c r="I124" s="21">
        <f t="shared" ref="I124:AA124" si="37">H124*(1+$G$14)*(1+I122)</f>
        <v>2.0060500329770425</v>
      </c>
      <c r="J124" s="21">
        <f t="shared" si="37"/>
        <v>2.0481770836695601</v>
      </c>
      <c r="K124" s="21">
        <f t="shared" si="37"/>
        <v>2.0911888024266205</v>
      </c>
      <c r="L124" s="21">
        <f t="shared" si="37"/>
        <v>2.1351037672775792</v>
      </c>
      <c r="M124" s="21">
        <f t="shared" si="37"/>
        <v>2.179940946390408</v>
      </c>
      <c r="N124" s="21">
        <f t="shared" si="37"/>
        <v>2.2257197062646066</v>
      </c>
      <c r="O124" s="21">
        <f t="shared" si="37"/>
        <v>2.272459820096163</v>
      </c>
      <c r="P124" s="21">
        <f t="shared" si="37"/>
        <v>2.3201814763181821</v>
      </c>
      <c r="Q124" s="21">
        <f t="shared" si="37"/>
        <v>2.3689052873208638</v>
      </c>
      <c r="R124" s="21">
        <f t="shared" si="37"/>
        <v>2.4186522983546017</v>
      </c>
      <c r="S124" s="21">
        <f t="shared" si="37"/>
        <v>2.4694439966200483</v>
      </c>
      <c r="T124" s="21">
        <f t="shared" si="37"/>
        <v>2.521302320549069</v>
      </c>
      <c r="U124" s="21">
        <f t="shared" si="37"/>
        <v>2.5742496692805994</v>
      </c>
      <c r="V124" s="21">
        <f t="shared" si="37"/>
        <v>2.6283089123354917</v>
      </c>
      <c r="W124" s="21">
        <f t="shared" si="37"/>
        <v>2.683503399494537</v>
      </c>
      <c r="X124" s="21">
        <f t="shared" si="37"/>
        <v>2.7398569708839222</v>
      </c>
      <c r="Y124" s="21">
        <f t="shared" si="37"/>
        <v>2.7973939672724843</v>
      </c>
      <c r="Z124" s="21">
        <f t="shared" si="37"/>
        <v>2.8561392405852062</v>
      </c>
      <c r="AA124" s="21">
        <f t="shared" si="37"/>
        <v>2.9161181646374952</v>
      </c>
    </row>
    <row r="125" spans="1:27" x14ac:dyDescent="0.25">
      <c r="C125" s="1"/>
      <c r="D125" s="1"/>
      <c r="E125" t="s">
        <v>68</v>
      </c>
      <c r="F125" t="s">
        <v>143</v>
      </c>
      <c r="G125" s="20"/>
      <c r="H125" s="21">
        <f>G125*(1+$G$14)*(1+H122)</f>
        <v>0</v>
      </c>
      <c r="I125" s="21">
        <f t="shared" ref="I125:AA125" si="38">H125*(1+$G$14)*(1+I122)</f>
        <v>0</v>
      </c>
      <c r="J125" s="21">
        <f t="shared" si="38"/>
        <v>0</v>
      </c>
      <c r="K125" s="21">
        <f t="shared" si="38"/>
        <v>0</v>
      </c>
      <c r="L125" s="21">
        <f t="shared" si="38"/>
        <v>0</v>
      </c>
      <c r="M125" s="21">
        <f t="shared" si="38"/>
        <v>0</v>
      </c>
      <c r="N125" s="21">
        <f t="shared" si="38"/>
        <v>0</v>
      </c>
      <c r="O125" s="21">
        <f t="shared" si="38"/>
        <v>0</v>
      </c>
      <c r="P125" s="21">
        <f t="shared" si="38"/>
        <v>0</v>
      </c>
      <c r="Q125" s="21">
        <f t="shared" si="38"/>
        <v>0</v>
      </c>
      <c r="R125" s="21">
        <f t="shared" si="38"/>
        <v>0</v>
      </c>
      <c r="S125" s="21">
        <f t="shared" si="38"/>
        <v>0</v>
      </c>
      <c r="T125" s="21">
        <f t="shared" si="38"/>
        <v>0</v>
      </c>
      <c r="U125" s="21">
        <f t="shared" si="38"/>
        <v>0</v>
      </c>
      <c r="V125" s="21">
        <f t="shared" si="38"/>
        <v>0</v>
      </c>
      <c r="W125" s="21">
        <f t="shared" si="38"/>
        <v>0</v>
      </c>
      <c r="X125" s="21">
        <f t="shared" si="38"/>
        <v>0</v>
      </c>
      <c r="Y125" s="21">
        <f t="shared" si="38"/>
        <v>0</v>
      </c>
      <c r="Z125" s="21">
        <f t="shared" si="38"/>
        <v>0</v>
      </c>
      <c r="AA125" s="21">
        <f t="shared" si="38"/>
        <v>0</v>
      </c>
    </row>
    <row r="126" spans="1:27" x14ac:dyDescent="0.25">
      <c r="C126" s="1"/>
      <c r="D126" s="1"/>
      <c r="E126" t="s">
        <v>142</v>
      </c>
      <c r="F126" t="s">
        <v>143</v>
      </c>
      <c r="G126" s="20"/>
      <c r="H126" s="21">
        <f>G126*(1+$G$14)*(1+H122)</f>
        <v>0</v>
      </c>
      <c r="I126" s="21">
        <f t="shared" ref="I126:AA126" si="39">H126*(1+$G$14)*(1+I122)</f>
        <v>0</v>
      </c>
      <c r="J126" s="21">
        <f t="shared" si="39"/>
        <v>0</v>
      </c>
      <c r="K126" s="21">
        <f t="shared" si="39"/>
        <v>0</v>
      </c>
      <c r="L126" s="21">
        <f t="shared" si="39"/>
        <v>0</v>
      </c>
      <c r="M126" s="21">
        <f t="shared" si="39"/>
        <v>0</v>
      </c>
      <c r="N126" s="21">
        <f t="shared" si="39"/>
        <v>0</v>
      </c>
      <c r="O126" s="21">
        <f t="shared" si="39"/>
        <v>0</v>
      </c>
      <c r="P126" s="21">
        <f t="shared" si="39"/>
        <v>0</v>
      </c>
      <c r="Q126" s="21">
        <f t="shared" si="39"/>
        <v>0</v>
      </c>
      <c r="R126" s="21">
        <f t="shared" si="39"/>
        <v>0</v>
      </c>
      <c r="S126" s="21">
        <f t="shared" si="39"/>
        <v>0</v>
      </c>
      <c r="T126" s="21">
        <f t="shared" si="39"/>
        <v>0</v>
      </c>
      <c r="U126" s="21">
        <f t="shared" si="39"/>
        <v>0</v>
      </c>
      <c r="V126" s="21">
        <f t="shared" si="39"/>
        <v>0</v>
      </c>
      <c r="W126" s="21">
        <f t="shared" si="39"/>
        <v>0</v>
      </c>
      <c r="X126" s="21">
        <f t="shared" si="39"/>
        <v>0</v>
      </c>
      <c r="Y126" s="21">
        <f t="shared" si="39"/>
        <v>0</v>
      </c>
      <c r="Z126" s="21">
        <f t="shared" si="39"/>
        <v>0</v>
      </c>
      <c r="AA126" s="21">
        <f t="shared" si="39"/>
        <v>0</v>
      </c>
    </row>
    <row r="127" spans="1:27" x14ac:dyDescent="0.25">
      <c r="C127" s="1"/>
      <c r="D127" s="1"/>
    </row>
    <row r="128" spans="1:27" x14ac:dyDescent="0.25">
      <c r="C128" s="1"/>
      <c r="D128" s="1"/>
      <c r="E128" t="s">
        <v>72</v>
      </c>
      <c r="F128" t="s">
        <v>58</v>
      </c>
      <c r="H128" s="2">
        <f>SUM(H119:H121)/1000</f>
        <v>164.16399999999999</v>
      </c>
      <c r="I128" s="2">
        <f t="shared" ref="I128:AA128" si="40">SUM(I119:I121)/1000</f>
        <v>328.32799999999997</v>
      </c>
      <c r="J128" s="2">
        <f t="shared" si="40"/>
        <v>496.49599999999998</v>
      </c>
      <c r="K128" s="2">
        <f t="shared" si="40"/>
        <v>656.65599999999995</v>
      </c>
      <c r="L128" s="2">
        <f t="shared" si="40"/>
        <v>812.81200000000001</v>
      </c>
      <c r="M128" s="2">
        <f t="shared" si="40"/>
        <v>960.96</v>
      </c>
      <c r="N128" s="2">
        <f t="shared" si="40"/>
        <v>1103.1020000000001</v>
      </c>
      <c r="O128" s="2">
        <f t="shared" si="40"/>
        <v>1241.24</v>
      </c>
      <c r="P128" s="2">
        <f t="shared" si="40"/>
        <v>1385.384</v>
      </c>
      <c r="Q128" s="2">
        <f t="shared" si="40"/>
        <v>1539.538</v>
      </c>
      <c r="R128" s="2">
        <f t="shared" si="40"/>
        <v>1701.7</v>
      </c>
      <c r="S128" s="2">
        <f t="shared" si="40"/>
        <v>1875.874</v>
      </c>
      <c r="T128" s="2">
        <f t="shared" si="40"/>
        <v>2058.056</v>
      </c>
      <c r="U128" s="2">
        <f t="shared" si="40"/>
        <v>2238.2359999999999</v>
      </c>
      <c r="V128" s="2">
        <f t="shared" si="40"/>
        <v>2418.4160000000002</v>
      </c>
      <c r="W128" s="2">
        <f t="shared" si="40"/>
        <v>2418.4160000000002</v>
      </c>
      <c r="X128" s="2">
        <f t="shared" si="40"/>
        <v>2418.4160000000002</v>
      </c>
      <c r="Y128" s="2">
        <f t="shared" si="40"/>
        <v>2418.4160000000002</v>
      </c>
      <c r="Z128" s="2">
        <f t="shared" si="40"/>
        <v>2418.4160000000002</v>
      </c>
      <c r="AA128" s="2">
        <f t="shared" si="40"/>
        <v>2418.4160000000002</v>
      </c>
    </row>
    <row r="129" spans="1:27" x14ac:dyDescent="0.25">
      <c r="C129" s="1"/>
      <c r="D129" s="1"/>
      <c r="E129" t="s">
        <v>73</v>
      </c>
      <c r="F129" t="s">
        <v>7</v>
      </c>
      <c r="H129" s="2">
        <f>H112*H123+H119*H124+H120*H125+H121*H126</f>
        <v>650824.63661667577</v>
      </c>
      <c r="I129" s="2">
        <f t="shared" ref="I129:AA129" si="41">I112*I123+I119*I124+I120*I125+I121*I126</f>
        <v>1292569.7488928395</v>
      </c>
      <c r="J129" s="2">
        <f t="shared" si="41"/>
        <v>1995664.6401076713</v>
      </c>
      <c r="K129" s="2">
        <f t="shared" si="41"/>
        <v>2694855.4032112006</v>
      </c>
      <c r="L129" s="2">
        <f t="shared" si="41"/>
        <v>3405754.9721692866</v>
      </c>
      <c r="M129" s="2">
        <f t="shared" si="41"/>
        <v>4111065.016652029</v>
      </c>
      <c r="N129" s="2">
        <f t="shared" si="41"/>
        <v>4818262.4114228087</v>
      </c>
      <c r="O129" s="2">
        <f t="shared" si="41"/>
        <v>5535492.6890723519</v>
      </c>
      <c r="P129" s="2">
        <f t="shared" si="41"/>
        <v>6308068.9041865589</v>
      </c>
      <c r="Q129" s="2">
        <f t="shared" si="41"/>
        <v>7157187.849787822</v>
      </c>
      <c r="R129" s="2">
        <f t="shared" si="41"/>
        <v>8077198.2775531346</v>
      </c>
      <c r="S129" s="2">
        <f t="shared" si="41"/>
        <v>9090905.6665584706</v>
      </c>
      <c r="T129" s="2">
        <f t="shared" si="41"/>
        <v>10183250.263342338</v>
      </c>
      <c r="U129" s="2">
        <f t="shared" si="41"/>
        <v>11307350.334727125</v>
      </c>
      <c r="V129" s="2">
        <f t="shared" si="41"/>
        <v>12474171.795743939</v>
      </c>
      <c r="W129" s="2">
        <f t="shared" si="41"/>
        <v>12736129.403454561</v>
      </c>
      <c r="X129" s="2">
        <f t="shared" si="41"/>
        <v>13003588.120927107</v>
      </c>
      <c r="Y129" s="2">
        <f t="shared" si="41"/>
        <v>13276663.471466575</v>
      </c>
      <c r="Z129" s="2">
        <f t="shared" si="41"/>
        <v>13555473.404367371</v>
      </c>
      <c r="AA129" s="2">
        <f t="shared" si="41"/>
        <v>13840138.345859084</v>
      </c>
    </row>
    <row r="130" spans="1:27" x14ac:dyDescent="0.25">
      <c r="C130" s="1"/>
      <c r="D130" s="1"/>
    </row>
    <row r="131" spans="1:27" x14ac:dyDescent="0.25">
      <c r="C131" s="1"/>
      <c r="D131" t="s">
        <v>74</v>
      </c>
    </row>
    <row r="132" spans="1:27" x14ac:dyDescent="0.25">
      <c r="A132" s="14">
        <f>'Notes &amp; Assumptions'!A38</f>
        <v>25</v>
      </c>
      <c r="C132" s="1"/>
      <c r="D132" s="1"/>
      <c r="E132" t="s">
        <v>87</v>
      </c>
      <c r="F132" t="s">
        <v>3</v>
      </c>
      <c r="H132" s="10">
        <v>0</v>
      </c>
      <c r="I132" s="10">
        <v>0</v>
      </c>
      <c r="J132" s="10">
        <v>0</v>
      </c>
      <c r="K132" s="10">
        <v>0</v>
      </c>
      <c r="L132" s="10">
        <v>0</v>
      </c>
      <c r="M132" s="10">
        <v>0</v>
      </c>
      <c r="N132" s="10">
        <v>0</v>
      </c>
      <c r="O132" s="10">
        <v>0</v>
      </c>
      <c r="P132" s="10">
        <v>0</v>
      </c>
      <c r="Q132" s="10">
        <v>0</v>
      </c>
      <c r="R132" s="10">
        <f>AVERAGE($O132:$Q132)</f>
        <v>0</v>
      </c>
      <c r="S132" s="10">
        <f t="shared" ref="S132:V132" si="42">AVERAGE($O132:$Q132)</f>
        <v>0</v>
      </c>
      <c r="T132" s="10">
        <f t="shared" si="42"/>
        <v>0</v>
      </c>
      <c r="U132" s="10">
        <f t="shared" si="42"/>
        <v>0</v>
      </c>
      <c r="V132" s="10">
        <f t="shared" si="42"/>
        <v>0</v>
      </c>
    </row>
    <row r="133" spans="1:27" x14ac:dyDescent="0.25">
      <c r="C133" s="1"/>
      <c r="D133" s="1"/>
      <c r="E133" t="s">
        <v>60</v>
      </c>
      <c r="F133" t="s">
        <v>3</v>
      </c>
      <c r="H133" s="2">
        <f>G133+H132</f>
        <v>0</v>
      </c>
      <c r="I133" s="2">
        <f t="shared" ref="I133:AA133" si="43">H133+I132</f>
        <v>0</v>
      </c>
      <c r="J133" s="2">
        <f t="shared" si="43"/>
        <v>0</v>
      </c>
      <c r="K133" s="2">
        <f t="shared" si="43"/>
        <v>0</v>
      </c>
      <c r="L133" s="2">
        <f t="shared" si="43"/>
        <v>0</v>
      </c>
      <c r="M133" s="2">
        <f t="shared" si="43"/>
        <v>0</v>
      </c>
      <c r="N133" s="2">
        <f t="shared" si="43"/>
        <v>0</v>
      </c>
      <c r="O133" s="2">
        <f t="shared" si="43"/>
        <v>0</v>
      </c>
      <c r="P133" s="2">
        <f t="shared" si="43"/>
        <v>0</v>
      </c>
      <c r="Q133" s="2">
        <f t="shared" si="43"/>
        <v>0</v>
      </c>
      <c r="R133" s="2">
        <f t="shared" si="43"/>
        <v>0</v>
      </c>
      <c r="S133" s="2">
        <f t="shared" si="43"/>
        <v>0</v>
      </c>
      <c r="T133" s="2">
        <f t="shared" si="43"/>
        <v>0</v>
      </c>
      <c r="U133" s="2">
        <f t="shared" si="43"/>
        <v>0</v>
      </c>
      <c r="V133" s="2">
        <f t="shared" si="43"/>
        <v>0</v>
      </c>
      <c r="W133" s="2">
        <f t="shared" si="43"/>
        <v>0</v>
      </c>
      <c r="X133" s="2">
        <f t="shared" si="43"/>
        <v>0</v>
      </c>
      <c r="Y133" s="2">
        <f t="shared" si="43"/>
        <v>0</v>
      </c>
      <c r="Z133" s="2">
        <f t="shared" si="43"/>
        <v>0</v>
      </c>
      <c r="AA133" s="2">
        <f t="shared" si="43"/>
        <v>0</v>
      </c>
    </row>
    <row r="134" spans="1:27" x14ac:dyDescent="0.25">
      <c r="A134" s="14">
        <f>'Notes &amp; Assumptions'!A39</f>
        <v>26</v>
      </c>
      <c r="C134" s="1"/>
      <c r="D134" s="1"/>
      <c r="E134" t="s">
        <v>61</v>
      </c>
      <c r="F134" t="s">
        <v>3</v>
      </c>
      <c r="G134" s="10">
        <v>1</v>
      </c>
    </row>
    <row r="135" spans="1:27" x14ac:dyDescent="0.25">
      <c r="C135" s="1"/>
      <c r="D135" s="1"/>
      <c r="E135" t="s">
        <v>88</v>
      </c>
      <c r="F135" t="s">
        <v>3</v>
      </c>
      <c r="H135">
        <f>H132*$G134</f>
        <v>0</v>
      </c>
      <c r="I135">
        <f t="shared" ref="I135:AA135" si="44">I132*$G134</f>
        <v>0</v>
      </c>
      <c r="J135">
        <f t="shared" si="44"/>
        <v>0</v>
      </c>
      <c r="K135">
        <f t="shared" si="44"/>
        <v>0</v>
      </c>
      <c r="L135">
        <f t="shared" si="44"/>
        <v>0</v>
      </c>
      <c r="M135">
        <f t="shared" si="44"/>
        <v>0</v>
      </c>
      <c r="N135">
        <f t="shared" si="44"/>
        <v>0</v>
      </c>
      <c r="O135">
        <f t="shared" si="44"/>
        <v>0</v>
      </c>
      <c r="P135">
        <f t="shared" si="44"/>
        <v>0</v>
      </c>
      <c r="Q135">
        <f t="shared" si="44"/>
        <v>0</v>
      </c>
      <c r="R135">
        <f t="shared" si="44"/>
        <v>0</v>
      </c>
      <c r="S135">
        <f t="shared" si="44"/>
        <v>0</v>
      </c>
      <c r="T135">
        <f t="shared" si="44"/>
        <v>0</v>
      </c>
      <c r="U135">
        <f t="shared" si="44"/>
        <v>0</v>
      </c>
      <c r="V135">
        <f t="shared" si="44"/>
        <v>0</v>
      </c>
      <c r="W135">
        <f t="shared" si="44"/>
        <v>0</v>
      </c>
      <c r="X135">
        <f t="shared" si="44"/>
        <v>0</v>
      </c>
      <c r="Y135">
        <f t="shared" si="44"/>
        <v>0</v>
      </c>
      <c r="Z135">
        <f t="shared" si="44"/>
        <v>0</v>
      </c>
      <c r="AA135">
        <f t="shared" si="44"/>
        <v>0</v>
      </c>
    </row>
    <row r="136" spans="1:27" x14ac:dyDescent="0.25">
      <c r="C136" s="1"/>
      <c r="D136" s="1"/>
      <c r="E136" t="s">
        <v>89</v>
      </c>
      <c r="F136" t="s">
        <v>3</v>
      </c>
      <c r="H136">
        <f>H133*$G134</f>
        <v>0</v>
      </c>
      <c r="I136">
        <f t="shared" ref="I136:AA136" si="45">I133*$G134</f>
        <v>0</v>
      </c>
      <c r="J136">
        <f t="shared" si="45"/>
        <v>0</v>
      </c>
      <c r="K136">
        <f t="shared" si="45"/>
        <v>0</v>
      </c>
      <c r="L136">
        <f t="shared" si="45"/>
        <v>0</v>
      </c>
      <c r="M136">
        <f t="shared" si="45"/>
        <v>0</v>
      </c>
      <c r="N136">
        <f t="shared" si="45"/>
        <v>0</v>
      </c>
      <c r="O136">
        <f t="shared" si="45"/>
        <v>0</v>
      </c>
      <c r="P136">
        <f t="shared" si="45"/>
        <v>0</v>
      </c>
      <c r="Q136">
        <f t="shared" si="45"/>
        <v>0</v>
      </c>
      <c r="R136">
        <f t="shared" si="45"/>
        <v>0</v>
      </c>
      <c r="S136">
        <f t="shared" si="45"/>
        <v>0</v>
      </c>
      <c r="T136">
        <f t="shared" si="45"/>
        <v>0</v>
      </c>
      <c r="U136">
        <f t="shared" si="45"/>
        <v>0</v>
      </c>
      <c r="V136">
        <f t="shared" si="45"/>
        <v>0</v>
      </c>
      <c r="W136">
        <f t="shared" si="45"/>
        <v>0</v>
      </c>
      <c r="X136">
        <f t="shared" si="45"/>
        <v>0</v>
      </c>
      <c r="Y136">
        <f t="shared" si="45"/>
        <v>0</v>
      </c>
      <c r="Z136">
        <f t="shared" si="45"/>
        <v>0</v>
      </c>
      <c r="AA136">
        <f t="shared" si="45"/>
        <v>0</v>
      </c>
    </row>
    <row r="137" spans="1:27" x14ac:dyDescent="0.25">
      <c r="A137" s="14">
        <f>'Notes &amp; Assumptions'!A40</f>
        <v>27</v>
      </c>
      <c r="C137" s="1"/>
      <c r="D137" s="1"/>
      <c r="E137" t="s">
        <v>62</v>
      </c>
      <c r="F137" t="s">
        <v>43</v>
      </c>
      <c r="H137" s="10"/>
      <c r="I137" s="10"/>
      <c r="J137" s="10"/>
      <c r="K137" s="10"/>
      <c r="L137" s="10"/>
      <c r="M137" s="10"/>
      <c r="N137" s="10"/>
      <c r="O137" s="10"/>
      <c r="P137" s="10"/>
      <c r="Q137" s="10"/>
      <c r="R137" s="10"/>
      <c r="S137" s="10"/>
      <c r="T137" s="10"/>
      <c r="U137" s="10"/>
      <c r="V137" s="10"/>
      <c r="W137" s="10"/>
      <c r="X137" s="10"/>
      <c r="Y137" s="10"/>
      <c r="Z137" s="10"/>
      <c r="AA137" s="10"/>
    </row>
    <row r="138" spans="1:27" x14ac:dyDescent="0.25">
      <c r="C138" s="1"/>
      <c r="D138" s="1"/>
      <c r="E138" t="s">
        <v>63</v>
      </c>
      <c r="F138" t="s">
        <v>43</v>
      </c>
      <c r="H138" s="10"/>
      <c r="I138" s="10"/>
      <c r="J138" s="10"/>
      <c r="K138" s="10"/>
      <c r="L138" s="10"/>
      <c r="M138" s="10"/>
      <c r="N138" s="10"/>
      <c r="O138" s="10"/>
      <c r="P138" s="10"/>
      <c r="Q138" s="10"/>
      <c r="R138" s="10"/>
      <c r="S138" s="10"/>
      <c r="T138" s="10"/>
      <c r="U138" s="10"/>
      <c r="V138" s="10"/>
      <c r="W138" s="10"/>
      <c r="X138" s="10"/>
      <c r="Y138" s="10"/>
      <c r="Z138" s="10"/>
      <c r="AA138" s="10"/>
    </row>
    <row r="139" spans="1:27" x14ac:dyDescent="0.25">
      <c r="A139" s="14">
        <f>'Notes &amp; Assumptions'!A41</f>
        <v>28</v>
      </c>
      <c r="C139" s="1"/>
      <c r="D139" s="1"/>
      <c r="E139" t="s">
        <v>140</v>
      </c>
      <c r="F139" t="s">
        <v>43</v>
      </c>
      <c r="H139" s="10"/>
      <c r="I139" s="10"/>
      <c r="J139" s="10"/>
      <c r="K139" s="10"/>
      <c r="L139" s="10"/>
      <c r="M139" s="10"/>
      <c r="N139" s="10"/>
      <c r="O139" s="10"/>
      <c r="P139" s="10"/>
      <c r="Q139" s="10"/>
      <c r="R139" s="10"/>
      <c r="S139" s="10"/>
      <c r="T139" s="10"/>
      <c r="U139" s="10"/>
      <c r="V139" s="10"/>
      <c r="W139" s="10"/>
      <c r="X139" s="10"/>
      <c r="Y139" s="10"/>
      <c r="Z139" s="10"/>
      <c r="AA139" s="10"/>
    </row>
    <row r="140" spans="1:27" x14ac:dyDescent="0.25">
      <c r="C140" s="1"/>
      <c r="D140" s="1"/>
      <c r="E140" t="s">
        <v>64</v>
      </c>
      <c r="F140" t="s">
        <v>144</v>
      </c>
      <c r="H140" s="2">
        <f>H133*H137</f>
        <v>0</v>
      </c>
      <c r="I140" s="2">
        <f t="shared" ref="I140:AA140" si="46">I133*I137</f>
        <v>0</v>
      </c>
      <c r="J140" s="2">
        <f t="shared" si="46"/>
        <v>0</v>
      </c>
      <c r="K140" s="2">
        <f t="shared" si="46"/>
        <v>0</v>
      </c>
      <c r="L140" s="2">
        <f t="shared" si="46"/>
        <v>0</v>
      </c>
      <c r="M140" s="2">
        <f t="shared" si="46"/>
        <v>0</v>
      </c>
      <c r="N140" s="2">
        <f t="shared" si="46"/>
        <v>0</v>
      </c>
      <c r="O140" s="2">
        <f t="shared" si="46"/>
        <v>0</v>
      </c>
      <c r="P140" s="2">
        <f t="shared" si="46"/>
        <v>0</v>
      </c>
      <c r="Q140" s="2">
        <f t="shared" si="46"/>
        <v>0</v>
      </c>
      <c r="R140" s="2">
        <f t="shared" si="46"/>
        <v>0</v>
      </c>
      <c r="S140" s="2">
        <f t="shared" si="46"/>
        <v>0</v>
      </c>
      <c r="T140" s="2">
        <f t="shared" si="46"/>
        <v>0</v>
      </c>
      <c r="U140" s="2">
        <f t="shared" si="46"/>
        <v>0</v>
      </c>
      <c r="V140" s="2">
        <f t="shared" si="46"/>
        <v>0</v>
      </c>
      <c r="W140" s="2">
        <f t="shared" si="46"/>
        <v>0</v>
      </c>
      <c r="X140" s="2">
        <f t="shared" si="46"/>
        <v>0</v>
      </c>
      <c r="Y140" s="2">
        <f t="shared" si="46"/>
        <v>0</v>
      </c>
      <c r="Z140" s="2">
        <f t="shared" si="46"/>
        <v>0</v>
      </c>
      <c r="AA140" s="2">
        <f t="shared" si="46"/>
        <v>0</v>
      </c>
    </row>
    <row r="141" spans="1:27" x14ac:dyDescent="0.25">
      <c r="C141" s="1"/>
      <c r="D141" s="1"/>
      <c r="E141" t="s">
        <v>65</v>
      </c>
      <c r="F141" t="s">
        <v>144</v>
      </c>
      <c r="H141" s="2">
        <f>H133*H138</f>
        <v>0</v>
      </c>
      <c r="I141" s="2">
        <f t="shared" ref="I141:AA141" si="47">I133*I138</f>
        <v>0</v>
      </c>
      <c r="J141" s="2">
        <f t="shared" si="47"/>
        <v>0</v>
      </c>
      <c r="K141" s="2">
        <f t="shared" si="47"/>
        <v>0</v>
      </c>
      <c r="L141" s="2">
        <f t="shared" si="47"/>
        <v>0</v>
      </c>
      <c r="M141" s="2">
        <f t="shared" si="47"/>
        <v>0</v>
      </c>
      <c r="N141" s="2">
        <f t="shared" si="47"/>
        <v>0</v>
      </c>
      <c r="O141" s="2">
        <f t="shared" si="47"/>
        <v>0</v>
      </c>
      <c r="P141" s="2">
        <f t="shared" si="47"/>
        <v>0</v>
      </c>
      <c r="Q141" s="2">
        <f t="shared" si="47"/>
        <v>0</v>
      </c>
      <c r="R141" s="2">
        <f t="shared" si="47"/>
        <v>0</v>
      </c>
      <c r="S141" s="2">
        <f t="shared" si="47"/>
        <v>0</v>
      </c>
      <c r="T141" s="2">
        <f t="shared" si="47"/>
        <v>0</v>
      </c>
      <c r="U141" s="2">
        <f t="shared" si="47"/>
        <v>0</v>
      </c>
      <c r="V141" s="2">
        <f t="shared" si="47"/>
        <v>0</v>
      </c>
      <c r="W141" s="2">
        <f t="shared" si="47"/>
        <v>0</v>
      </c>
      <c r="X141" s="2">
        <f t="shared" si="47"/>
        <v>0</v>
      </c>
      <c r="Y141" s="2">
        <f t="shared" si="47"/>
        <v>0</v>
      </c>
      <c r="Z141" s="2">
        <f t="shared" si="47"/>
        <v>0</v>
      </c>
      <c r="AA141" s="2">
        <f t="shared" si="47"/>
        <v>0</v>
      </c>
    </row>
    <row r="142" spans="1:27" x14ac:dyDescent="0.25">
      <c r="C142" s="1"/>
      <c r="D142" s="1"/>
      <c r="E142" t="s">
        <v>141</v>
      </c>
      <c r="F142" t="s">
        <v>144</v>
      </c>
      <c r="H142" s="2">
        <f>H133*H139</f>
        <v>0</v>
      </c>
      <c r="I142" s="2">
        <f t="shared" ref="I142:AA142" si="48">I133*I139</f>
        <v>0</v>
      </c>
      <c r="J142" s="2">
        <f t="shared" si="48"/>
        <v>0</v>
      </c>
      <c r="K142" s="2">
        <f t="shared" si="48"/>
        <v>0</v>
      </c>
      <c r="L142" s="2">
        <f t="shared" si="48"/>
        <v>0</v>
      </c>
      <c r="M142" s="2">
        <f t="shared" si="48"/>
        <v>0</v>
      </c>
      <c r="N142" s="2">
        <f t="shared" si="48"/>
        <v>0</v>
      </c>
      <c r="O142" s="2">
        <f t="shared" si="48"/>
        <v>0</v>
      </c>
      <c r="P142" s="2">
        <f t="shared" si="48"/>
        <v>0</v>
      </c>
      <c r="Q142" s="2">
        <f t="shared" si="48"/>
        <v>0</v>
      </c>
      <c r="R142" s="2">
        <f t="shared" si="48"/>
        <v>0</v>
      </c>
      <c r="S142" s="2">
        <f t="shared" si="48"/>
        <v>0</v>
      </c>
      <c r="T142" s="2">
        <f t="shared" si="48"/>
        <v>0</v>
      </c>
      <c r="U142" s="2">
        <f t="shared" si="48"/>
        <v>0</v>
      </c>
      <c r="V142" s="2">
        <f t="shared" si="48"/>
        <v>0</v>
      </c>
      <c r="W142" s="2">
        <f t="shared" si="48"/>
        <v>0</v>
      </c>
      <c r="X142" s="2">
        <f t="shared" si="48"/>
        <v>0</v>
      </c>
      <c r="Y142" s="2">
        <f t="shared" si="48"/>
        <v>0</v>
      </c>
      <c r="Z142" s="2">
        <f t="shared" si="48"/>
        <v>0</v>
      </c>
      <c r="AA142" s="2">
        <f t="shared" si="48"/>
        <v>0</v>
      </c>
    </row>
    <row r="143" spans="1:27" x14ac:dyDescent="0.25">
      <c r="A143" s="14">
        <f>'Notes &amp; Assumptions'!A42</f>
        <v>29</v>
      </c>
      <c r="C143" s="1"/>
      <c r="D143" s="1"/>
      <c r="E143" t="s">
        <v>66</v>
      </c>
      <c r="F143" t="s">
        <v>8</v>
      </c>
      <c r="H143" s="11"/>
      <c r="I143" s="11"/>
      <c r="J143" s="11"/>
      <c r="K143" s="11"/>
      <c r="L143" s="11"/>
      <c r="M143" s="11"/>
      <c r="N143" s="11"/>
      <c r="O143" s="11"/>
      <c r="P143" s="11"/>
      <c r="Q143" s="11"/>
      <c r="R143" s="11"/>
      <c r="S143" s="11"/>
      <c r="T143" s="11"/>
      <c r="U143" s="11"/>
      <c r="V143" s="11"/>
      <c r="W143" s="11"/>
      <c r="X143" s="11"/>
      <c r="Y143" s="11"/>
      <c r="Z143" s="11"/>
      <c r="AA143" s="11"/>
    </row>
    <row r="144" spans="1:27" x14ac:dyDescent="0.25">
      <c r="A144" s="14">
        <f>'Notes &amp; Assumptions'!A43</f>
        <v>30</v>
      </c>
      <c r="C144" s="1"/>
      <c r="D144" s="1"/>
      <c r="E144" t="s">
        <v>40</v>
      </c>
      <c r="F144" t="s">
        <v>41</v>
      </c>
      <c r="G144" s="10"/>
      <c r="H144" s="2">
        <f>G144*(1+$G$14)*(1+H143)</f>
        <v>0</v>
      </c>
      <c r="I144" s="2">
        <f t="shared" ref="I144:AA144" si="49">H144*(1+$G$14)*(1+I143)</f>
        <v>0</v>
      </c>
      <c r="J144" s="2">
        <f t="shared" si="49"/>
        <v>0</v>
      </c>
      <c r="K144" s="2">
        <f t="shared" si="49"/>
        <v>0</v>
      </c>
      <c r="L144" s="2">
        <f t="shared" si="49"/>
        <v>0</v>
      </c>
      <c r="M144" s="2">
        <f t="shared" si="49"/>
        <v>0</v>
      </c>
      <c r="N144" s="2">
        <f t="shared" si="49"/>
        <v>0</v>
      </c>
      <c r="O144" s="2">
        <f t="shared" si="49"/>
        <v>0</v>
      </c>
      <c r="P144" s="2">
        <f t="shared" si="49"/>
        <v>0</v>
      </c>
      <c r="Q144" s="2">
        <f t="shared" si="49"/>
        <v>0</v>
      </c>
      <c r="R144" s="2">
        <f t="shared" si="49"/>
        <v>0</v>
      </c>
      <c r="S144" s="2">
        <f t="shared" si="49"/>
        <v>0</v>
      </c>
      <c r="T144" s="2">
        <f t="shared" si="49"/>
        <v>0</v>
      </c>
      <c r="U144" s="2">
        <f t="shared" si="49"/>
        <v>0</v>
      </c>
      <c r="V144" s="2">
        <f t="shared" si="49"/>
        <v>0</v>
      </c>
      <c r="W144" s="2">
        <f t="shared" si="49"/>
        <v>0</v>
      </c>
      <c r="X144" s="2">
        <f t="shared" si="49"/>
        <v>0</v>
      </c>
      <c r="Y144" s="2">
        <f t="shared" si="49"/>
        <v>0</v>
      </c>
      <c r="Z144" s="2">
        <f t="shared" si="49"/>
        <v>0</v>
      </c>
      <c r="AA144" s="2">
        <f t="shared" si="49"/>
        <v>0</v>
      </c>
    </row>
    <row r="145" spans="1:27" x14ac:dyDescent="0.25">
      <c r="C145" s="1"/>
      <c r="D145" s="1"/>
      <c r="E145" t="s">
        <v>67</v>
      </c>
      <c r="F145" t="s">
        <v>143</v>
      </c>
      <c r="G145" s="20"/>
      <c r="H145" s="21">
        <f>G145*(1+$G$14)*(1+H143)</f>
        <v>0</v>
      </c>
      <c r="I145" s="21">
        <f t="shared" ref="I145:AA145" si="50">H145*(1+$G$14)*(1+I143)</f>
        <v>0</v>
      </c>
      <c r="J145" s="21">
        <f t="shared" si="50"/>
        <v>0</v>
      </c>
      <c r="K145" s="21">
        <f t="shared" si="50"/>
        <v>0</v>
      </c>
      <c r="L145" s="21">
        <f t="shared" si="50"/>
        <v>0</v>
      </c>
      <c r="M145" s="21">
        <f t="shared" si="50"/>
        <v>0</v>
      </c>
      <c r="N145" s="21">
        <f t="shared" si="50"/>
        <v>0</v>
      </c>
      <c r="O145" s="21">
        <f t="shared" si="50"/>
        <v>0</v>
      </c>
      <c r="P145" s="21">
        <f t="shared" si="50"/>
        <v>0</v>
      </c>
      <c r="Q145" s="21">
        <f t="shared" si="50"/>
        <v>0</v>
      </c>
      <c r="R145" s="21">
        <f t="shared" si="50"/>
        <v>0</v>
      </c>
      <c r="S145" s="21">
        <f t="shared" si="50"/>
        <v>0</v>
      </c>
      <c r="T145" s="21">
        <f t="shared" si="50"/>
        <v>0</v>
      </c>
      <c r="U145" s="21">
        <f t="shared" si="50"/>
        <v>0</v>
      </c>
      <c r="V145" s="21">
        <f t="shared" si="50"/>
        <v>0</v>
      </c>
      <c r="W145" s="21">
        <f t="shared" si="50"/>
        <v>0</v>
      </c>
      <c r="X145" s="21">
        <f t="shared" si="50"/>
        <v>0</v>
      </c>
      <c r="Y145" s="21">
        <f t="shared" si="50"/>
        <v>0</v>
      </c>
      <c r="Z145" s="21">
        <f t="shared" si="50"/>
        <v>0</v>
      </c>
      <c r="AA145" s="21">
        <f t="shared" si="50"/>
        <v>0</v>
      </c>
    </row>
    <row r="146" spans="1:27" x14ac:dyDescent="0.25">
      <c r="C146" s="1"/>
      <c r="D146" s="1"/>
      <c r="E146" t="s">
        <v>68</v>
      </c>
      <c r="F146" t="s">
        <v>143</v>
      </c>
      <c r="G146" s="20"/>
      <c r="H146" s="21">
        <f>G146*(1+$G$14)*(1+H143)</f>
        <v>0</v>
      </c>
      <c r="I146" s="21">
        <f t="shared" ref="I146:AA146" si="51">H146*(1+$G$14)*(1+I143)</f>
        <v>0</v>
      </c>
      <c r="J146" s="21">
        <f t="shared" si="51"/>
        <v>0</v>
      </c>
      <c r="K146" s="21">
        <f t="shared" si="51"/>
        <v>0</v>
      </c>
      <c r="L146" s="21">
        <f t="shared" si="51"/>
        <v>0</v>
      </c>
      <c r="M146" s="21">
        <f t="shared" si="51"/>
        <v>0</v>
      </c>
      <c r="N146" s="21">
        <f t="shared" si="51"/>
        <v>0</v>
      </c>
      <c r="O146" s="21">
        <f t="shared" si="51"/>
        <v>0</v>
      </c>
      <c r="P146" s="21">
        <f t="shared" si="51"/>
        <v>0</v>
      </c>
      <c r="Q146" s="21">
        <f t="shared" si="51"/>
        <v>0</v>
      </c>
      <c r="R146" s="21">
        <f t="shared" si="51"/>
        <v>0</v>
      </c>
      <c r="S146" s="21">
        <f t="shared" si="51"/>
        <v>0</v>
      </c>
      <c r="T146" s="21">
        <f t="shared" si="51"/>
        <v>0</v>
      </c>
      <c r="U146" s="21">
        <f t="shared" si="51"/>
        <v>0</v>
      </c>
      <c r="V146" s="21">
        <f t="shared" si="51"/>
        <v>0</v>
      </c>
      <c r="W146" s="21">
        <f t="shared" si="51"/>
        <v>0</v>
      </c>
      <c r="X146" s="21">
        <f t="shared" si="51"/>
        <v>0</v>
      </c>
      <c r="Y146" s="21">
        <f t="shared" si="51"/>
        <v>0</v>
      </c>
      <c r="Z146" s="21">
        <f t="shared" si="51"/>
        <v>0</v>
      </c>
      <c r="AA146" s="21">
        <f t="shared" si="51"/>
        <v>0</v>
      </c>
    </row>
    <row r="147" spans="1:27" x14ac:dyDescent="0.25">
      <c r="C147" s="1"/>
      <c r="D147" s="1"/>
      <c r="E147" t="s">
        <v>142</v>
      </c>
      <c r="F147" t="s">
        <v>143</v>
      </c>
      <c r="G147" s="20"/>
      <c r="H147" s="21">
        <f>G147*(1+$G$14)*(1+H143)</f>
        <v>0</v>
      </c>
      <c r="I147" s="21">
        <f t="shared" ref="I147:AA147" si="52">H147*(1+$G$14)*(1+I143)</f>
        <v>0</v>
      </c>
      <c r="J147" s="21">
        <f t="shared" si="52"/>
        <v>0</v>
      </c>
      <c r="K147" s="21">
        <f t="shared" si="52"/>
        <v>0</v>
      </c>
      <c r="L147" s="21">
        <f t="shared" si="52"/>
        <v>0</v>
      </c>
      <c r="M147" s="21">
        <f t="shared" si="52"/>
        <v>0</v>
      </c>
      <c r="N147" s="21">
        <f t="shared" si="52"/>
        <v>0</v>
      </c>
      <c r="O147" s="21">
        <f t="shared" si="52"/>
        <v>0</v>
      </c>
      <c r="P147" s="21">
        <f t="shared" si="52"/>
        <v>0</v>
      </c>
      <c r="Q147" s="21">
        <f t="shared" si="52"/>
        <v>0</v>
      </c>
      <c r="R147" s="21">
        <f t="shared" si="52"/>
        <v>0</v>
      </c>
      <c r="S147" s="21">
        <f t="shared" si="52"/>
        <v>0</v>
      </c>
      <c r="T147" s="21">
        <f t="shared" si="52"/>
        <v>0</v>
      </c>
      <c r="U147" s="21">
        <f t="shared" si="52"/>
        <v>0</v>
      </c>
      <c r="V147" s="21">
        <f t="shared" si="52"/>
        <v>0</v>
      </c>
      <c r="W147" s="21">
        <f t="shared" si="52"/>
        <v>0</v>
      </c>
      <c r="X147" s="21">
        <f t="shared" si="52"/>
        <v>0</v>
      </c>
      <c r="Y147" s="21">
        <f t="shared" si="52"/>
        <v>0</v>
      </c>
      <c r="Z147" s="21">
        <f t="shared" si="52"/>
        <v>0</v>
      </c>
      <c r="AA147" s="21">
        <f t="shared" si="52"/>
        <v>0</v>
      </c>
    </row>
    <row r="148" spans="1:27" x14ac:dyDescent="0.25">
      <c r="C148" s="1"/>
      <c r="D148" s="1"/>
    </row>
    <row r="149" spans="1:27" x14ac:dyDescent="0.25">
      <c r="C149" s="1"/>
      <c r="D149" s="1"/>
      <c r="E149" t="s">
        <v>75</v>
      </c>
      <c r="F149" t="s">
        <v>58</v>
      </c>
      <c r="H149" s="2">
        <f>SUM(H140:H142)/1000</f>
        <v>0</v>
      </c>
      <c r="I149" s="2">
        <f t="shared" ref="I149:AA149" si="53">SUM(I140:I142)/1000</f>
        <v>0</v>
      </c>
      <c r="J149" s="2">
        <f t="shared" si="53"/>
        <v>0</v>
      </c>
      <c r="K149" s="2">
        <f t="shared" si="53"/>
        <v>0</v>
      </c>
      <c r="L149" s="2">
        <f t="shared" si="53"/>
        <v>0</v>
      </c>
      <c r="M149" s="2">
        <f t="shared" si="53"/>
        <v>0</v>
      </c>
      <c r="N149" s="2">
        <f t="shared" si="53"/>
        <v>0</v>
      </c>
      <c r="O149" s="2">
        <f t="shared" si="53"/>
        <v>0</v>
      </c>
      <c r="P149" s="2">
        <f t="shared" si="53"/>
        <v>0</v>
      </c>
      <c r="Q149" s="2">
        <f t="shared" si="53"/>
        <v>0</v>
      </c>
      <c r="R149" s="2">
        <f t="shared" si="53"/>
        <v>0</v>
      </c>
      <c r="S149" s="2">
        <f t="shared" si="53"/>
        <v>0</v>
      </c>
      <c r="T149" s="2">
        <f t="shared" si="53"/>
        <v>0</v>
      </c>
      <c r="U149" s="2">
        <f t="shared" si="53"/>
        <v>0</v>
      </c>
      <c r="V149" s="2">
        <f t="shared" si="53"/>
        <v>0</v>
      </c>
      <c r="W149" s="2">
        <f t="shared" si="53"/>
        <v>0</v>
      </c>
      <c r="X149" s="2">
        <f t="shared" si="53"/>
        <v>0</v>
      </c>
      <c r="Y149" s="2">
        <f t="shared" si="53"/>
        <v>0</v>
      </c>
      <c r="Z149" s="2">
        <f t="shared" si="53"/>
        <v>0</v>
      </c>
      <c r="AA149" s="2">
        <f t="shared" si="53"/>
        <v>0</v>
      </c>
    </row>
    <row r="150" spans="1:27" x14ac:dyDescent="0.25">
      <c r="C150" s="1"/>
      <c r="D150" s="1"/>
      <c r="E150" t="s">
        <v>76</v>
      </c>
      <c r="F150" t="s">
        <v>7</v>
      </c>
      <c r="H150" s="2">
        <f>H133*H144+H140*H145+H141*H146+H142*H147</f>
        <v>0</v>
      </c>
      <c r="I150" s="2">
        <f t="shared" ref="I150:AA150" si="54">I133*I144+I140*I145+I141*I146+I142*I147</f>
        <v>0</v>
      </c>
      <c r="J150" s="2">
        <f t="shared" si="54"/>
        <v>0</v>
      </c>
      <c r="K150" s="2">
        <f t="shared" si="54"/>
        <v>0</v>
      </c>
      <c r="L150" s="2">
        <f t="shared" si="54"/>
        <v>0</v>
      </c>
      <c r="M150" s="2">
        <f t="shared" si="54"/>
        <v>0</v>
      </c>
      <c r="N150" s="2">
        <f t="shared" si="54"/>
        <v>0</v>
      </c>
      <c r="O150" s="2">
        <f t="shared" si="54"/>
        <v>0</v>
      </c>
      <c r="P150" s="2">
        <f t="shared" si="54"/>
        <v>0</v>
      </c>
      <c r="Q150" s="2">
        <f t="shared" si="54"/>
        <v>0</v>
      </c>
      <c r="R150" s="2">
        <f t="shared" si="54"/>
        <v>0</v>
      </c>
      <c r="S150" s="2">
        <f t="shared" si="54"/>
        <v>0</v>
      </c>
      <c r="T150" s="2">
        <f t="shared" si="54"/>
        <v>0</v>
      </c>
      <c r="U150" s="2">
        <f t="shared" si="54"/>
        <v>0</v>
      </c>
      <c r="V150" s="2">
        <f t="shared" si="54"/>
        <v>0</v>
      </c>
      <c r="W150" s="2">
        <f t="shared" si="54"/>
        <v>0</v>
      </c>
      <c r="X150" s="2">
        <f t="shared" si="54"/>
        <v>0</v>
      </c>
      <c r="Y150" s="2">
        <f t="shared" si="54"/>
        <v>0</v>
      </c>
      <c r="Z150" s="2">
        <f t="shared" si="54"/>
        <v>0</v>
      </c>
      <c r="AA150" s="2">
        <f t="shared" si="54"/>
        <v>0</v>
      </c>
    </row>
    <row r="151" spans="1:27" x14ac:dyDescent="0.25">
      <c r="C151" s="1"/>
      <c r="D151" s="1"/>
    </row>
    <row r="152" spans="1:27" x14ac:dyDescent="0.25">
      <c r="C152" s="1"/>
      <c r="D152" t="s">
        <v>77</v>
      </c>
    </row>
    <row r="153" spans="1:27" x14ac:dyDescent="0.25">
      <c r="A153" s="14">
        <f>'Notes &amp; Assumptions'!A44</f>
        <v>31</v>
      </c>
      <c r="C153" s="1"/>
      <c r="D153" s="1"/>
      <c r="E153" t="s">
        <v>87</v>
      </c>
      <c r="F153" t="s">
        <v>3</v>
      </c>
      <c r="H153" s="10">
        <v>0</v>
      </c>
      <c r="I153" s="10">
        <v>0</v>
      </c>
      <c r="J153" s="10">
        <v>0</v>
      </c>
      <c r="K153" s="10">
        <v>0</v>
      </c>
      <c r="L153" s="10">
        <v>0</v>
      </c>
      <c r="M153" s="10">
        <v>0</v>
      </c>
      <c r="N153" s="10">
        <v>0</v>
      </c>
      <c r="O153" s="10">
        <v>0</v>
      </c>
      <c r="P153" s="10">
        <v>0</v>
      </c>
      <c r="Q153" s="10">
        <v>0</v>
      </c>
      <c r="R153" s="10">
        <f>AVERAGE($O153:$Q153)</f>
        <v>0</v>
      </c>
      <c r="S153" s="10">
        <f t="shared" ref="S153:V153" si="55">AVERAGE($O153:$Q153)</f>
        <v>0</v>
      </c>
      <c r="T153" s="10">
        <f t="shared" si="55"/>
        <v>0</v>
      </c>
      <c r="U153" s="10">
        <f t="shared" si="55"/>
        <v>0</v>
      </c>
      <c r="V153" s="10">
        <f t="shared" si="55"/>
        <v>0</v>
      </c>
    </row>
    <row r="154" spans="1:27" x14ac:dyDescent="0.25">
      <c r="C154" s="1"/>
      <c r="D154" s="1"/>
      <c r="E154" t="s">
        <v>60</v>
      </c>
      <c r="F154" t="s">
        <v>3</v>
      </c>
      <c r="H154" s="2">
        <f>G154+H153</f>
        <v>0</v>
      </c>
      <c r="I154" s="2">
        <f t="shared" ref="I154:AA154" si="56">H154+I153</f>
        <v>0</v>
      </c>
      <c r="J154" s="2">
        <f t="shared" si="56"/>
        <v>0</v>
      </c>
      <c r="K154" s="2">
        <f t="shared" si="56"/>
        <v>0</v>
      </c>
      <c r="L154" s="2">
        <f t="shared" si="56"/>
        <v>0</v>
      </c>
      <c r="M154" s="2">
        <f t="shared" si="56"/>
        <v>0</v>
      </c>
      <c r="N154" s="2">
        <f t="shared" si="56"/>
        <v>0</v>
      </c>
      <c r="O154" s="2">
        <f t="shared" si="56"/>
        <v>0</v>
      </c>
      <c r="P154" s="2">
        <f t="shared" si="56"/>
        <v>0</v>
      </c>
      <c r="Q154" s="2">
        <f t="shared" si="56"/>
        <v>0</v>
      </c>
      <c r="R154" s="2">
        <f t="shared" si="56"/>
        <v>0</v>
      </c>
      <c r="S154" s="2">
        <f t="shared" si="56"/>
        <v>0</v>
      </c>
      <c r="T154" s="2">
        <f t="shared" si="56"/>
        <v>0</v>
      </c>
      <c r="U154" s="2">
        <f t="shared" si="56"/>
        <v>0</v>
      </c>
      <c r="V154" s="2">
        <f t="shared" si="56"/>
        <v>0</v>
      </c>
      <c r="W154" s="2">
        <f t="shared" si="56"/>
        <v>0</v>
      </c>
      <c r="X154" s="2">
        <f t="shared" si="56"/>
        <v>0</v>
      </c>
      <c r="Y154" s="2">
        <f t="shared" si="56"/>
        <v>0</v>
      </c>
      <c r="Z154" s="2">
        <f t="shared" si="56"/>
        <v>0</v>
      </c>
      <c r="AA154" s="2">
        <f t="shared" si="56"/>
        <v>0</v>
      </c>
    </row>
    <row r="155" spans="1:27" x14ac:dyDescent="0.25">
      <c r="A155" s="14">
        <f>'Notes &amp; Assumptions'!A45</f>
        <v>32</v>
      </c>
      <c r="C155" s="1"/>
      <c r="D155" s="1"/>
      <c r="E155" t="s">
        <v>61</v>
      </c>
      <c r="F155" t="s">
        <v>3</v>
      </c>
      <c r="G155" s="10">
        <v>1</v>
      </c>
    </row>
    <row r="156" spans="1:27" x14ac:dyDescent="0.25">
      <c r="C156" s="1"/>
      <c r="D156" s="1"/>
      <c r="E156" t="s">
        <v>88</v>
      </c>
      <c r="F156" t="s">
        <v>3</v>
      </c>
      <c r="H156">
        <f>H153*$G155</f>
        <v>0</v>
      </c>
      <c r="I156">
        <f t="shared" ref="I156:AA156" si="57">I153*$G155</f>
        <v>0</v>
      </c>
      <c r="J156">
        <f t="shared" si="57"/>
        <v>0</v>
      </c>
      <c r="K156">
        <f t="shared" si="57"/>
        <v>0</v>
      </c>
      <c r="L156">
        <f t="shared" si="57"/>
        <v>0</v>
      </c>
      <c r="M156">
        <f t="shared" si="57"/>
        <v>0</v>
      </c>
      <c r="N156">
        <f t="shared" si="57"/>
        <v>0</v>
      </c>
      <c r="O156">
        <f t="shared" si="57"/>
        <v>0</v>
      </c>
      <c r="P156">
        <f t="shared" si="57"/>
        <v>0</v>
      </c>
      <c r="Q156">
        <f t="shared" si="57"/>
        <v>0</v>
      </c>
      <c r="R156">
        <f t="shared" si="57"/>
        <v>0</v>
      </c>
      <c r="S156">
        <f t="shared" si="57"/>
        <v>0</v>
      </c>
      <c r="T156">
        <f t="shared" si="57"/>
        <v>0</v>
      </c>
      <c r="U156">
        <f t="shared" si="57"/>
        <v>0</v>
      </c>
      <c r="V156">
        <f t="shared" si="57"/>
        <v>0</v>
      </c>
      <c r="W156">
        <f t="shared" si="57"/>
        <v>0</v>
      </c>
      <c r="X156">
        <f t="shared" si="57"/>
        <v>0</v>
      </c>
      <c r="Y156">
        <f t="shared" si="57"/>
        <v>0</v>
      </c>
      <c r="Z156">
        <f t="shared" si="57"/>
        <v>0</v>
      </c>
      <c r="AA156">
        <f t="shared" si="57"/>
        <v>0</v>
      </c>
    </row>
    <row r="157" spans="1:27" x14ac:dyDescent="0.25">
      <c r="C157" s="1"/>
      <c r="D157" s="1"/>
      <c r="E157" t="s">
        <v>89</v>
      </c>
      <c r="F157" t="s">
        <v>3</v>
      </c>
      <c r="H157">
        <f>H154*$G155</f>
        <v>0</v>
      </c>
      <c r="I157">
        <f t="shared" ref="I157:AA157" si="58">I154*$G155</f>
        <v>0</v>
      </c>
      <c r="J157">
        <f t="shared" si="58"/>
        <v>0</v>
      </c>
      <c r="K157">
        <f t="shared" si="58"/>
        <v>0</v>
      </c>
      <c r="L157">
        <f t="shared" si="58"/>
        <v>0</v>
      </c>
      <c r="M157">
        <f t="shared" si="58"/>
        <v>0</v>
      </c>
      <c r="N157">
        <f t="shared" si="58"/>
        <v>0</v>
      </c>
      <c r="O157">
        <f t="shared" si="58"/>
        <v>0</v>
      </c>
      <c r="P157">
        <f t="shared" si="58"/>
        <v>0</v>
      </c>
      <c r="Q157">
        <f t="shared" si="58"/>
        <v>0</v>
      </c>
      <c r="R157">
        <f t="shared" si="58"/>
        <v>0</v>
      </c>
      <c r="S157">
        <f t="shared" si="58"/>
        <v>0</v>
      </c>
      <c r="T157">
        <f t="shared" si="58"/>
        <v>0</v>
      </c>
      <c r="U157">
        <f t="shared" si="58"/>
        <v>0</v>
      </c>
      <c r="V157">
        <f t="shared" si="58"/>
        <v>0</v>
      </c>
      <c r="W157">
        <f t="shared" si="58"/>
        <v>0</v>
      </c>
      <c r="X157">
        <f t="shared" si="58"/>
        <v>0</v>
      </c>
      <c r="Y157">
        <f t="shared" si="58"/>
        <v>0</v>
      </c>
      <c r="Z157">
        <f t="shared" si="58"/>
        <v>0</v>
      </c>
      <c r="AA157">
        <f t="shared" si="58"/>
        <v>0</v>
      </c>
    </row>
    <row r="158" spans="1:27" x14ac:dyDescent="0.25">
      <c r="A158" s="14">
        <f>'Notes &amp; Assumptions'!A46</f>
        <v>33</v>
      </c>
      <c r="C158" s="1"/>
      <c r="D158" s="1"/>
      <c r="E158" t="s">
        <v>62</v>
      </c>
      <c r="F158" t="s">
        <v>43</v>
      </c>
      <c r="H158" s="10"/>
      <c r="I158" s="10"/>
      <c r="J158" s="10"/>
      <c r="K158" s="10"/>
      <c r="L158" s="10"/>
      <c r="M158" s="10"/>
      <c r="N158" s="10"/>
      <c r="O158" s="10"/>
      <c r="P158" s="10"/>
      <c r="Q158" s="10"/>
      <c r="R158" s="10"/>
      <c r="S158" s="10"/>
      <c r="T158" s="10"/>
      <c r="U158" s="10"/>
      <c r="V158" s="10"/>
      <c r="W158" s="10"/>
      <c r="X158" s="10"/>
      <c r="Y158" s="10"/>
      <c r="Z158" s="10"/>
      <c r="AA158" s="10"/>
    </row>
    <row r="159" spans="1:27" x14ac:dyDescent="0.25">
      <c r="C159" s="1"/>
      <c r="D159" s="1"/>
      <c r="E159" t="s">
        <v>63</v>
      </c>
      <c r="F159" t="s">
        <v>43</v>
      </c>
      <c r="H159" s="10"/>
      <c r="I159" s="10"/>
      <c r="J159" s="10"/>
      <c r="K159" s="10"/>
      <c r="L159" s="10"/>
      <c r="M159" s="10"/>
      <c r="N159" s="10"/>
      <c r="O159" s="10"/>
      <c r="P159" s="10"/>
      <c r="Q159" s="10"/>
      <c r="R159" s="10"/>
      <c r="S159" s="10"/>
      <c r="T159" s="10"/>
      <c r="U159" s="10"/>
      <c r="V159" s="10"/>
      <c r="W159" s="10"/>
      <c r="X159" s="10"/>
      <c r="Y159" s="10"/>
      <c r="Z159" s="10"/>
      <c r="AA159" s="10"/>
    </row>
    <row r="160" spans="1:27" x14ac:dyDescent="0.25">
      <c r="A160" s="14">
        <f>'Notes &amp; Assumptions'!A47</f>
        <v>34</v>
      </c>
      <c r="C160" s="1"/>
      <c r="D160" s="1"/>
      <c r="E160" t="s">
        <v>140</v>
      </c>
      <c r="F160" t="s">
        <v>43</v>
      </c>
      <c r="H160" s="10"/>
      <c r="I160" s="10"/>
      <c r="J160" s="10"/>
      <c r="K160" s="10"/>
      <c r="L160" s="10"/>
      <c r="M160" s="10"/>
      <c r="N160" s="10"/>
      <c r="O160" s="10"/>
      <c r="P160" s="10"/>
      <c r="Q160" s="10"/>
      <c r="R160" s="10"/>
      <c r="S160" s="10"/>
      <c r="T160" s="10"/>
      <c r="U160" s="10"/>
      <c r="V160" s="10"/>
      <c r="W160" s="10"/>
      <c r="X160" s="10"/>
      <c r="Y160" s="10"/>
      <c r="Z160" s="10"/>
      <c r="AA160" s="10"/>
    </row>
    <row r="161" spans="1:27" x14ac:dyDescent="0.25">
      <c r="C161" s="1"/>
      <c r="D161" s="1"/>
      <c r="E161" t="s">
        <v>64</v>
      </c>
      <c r="F161" t="s">
        <v>144</v>
      </c>
      <c r="H161" s="2">
        <f>H154*H158</f>
        <v>0</v>
      </c>
      <c r="I161" s="2">
        <f t="shared" ref="I161:AA161" si="59">I154*I158</f>
        <v>0</v>
      </c>
      <c r="J161" s="2">
        <f t="shared" si="59"/>
        <v>0</v>
      </c>
      <c r="K161" s="2">
        <f t="shared" si="59"/>
        <v>0</v>
      </c>
      <c r="L161" s="2">
        <f t="shared" si="59"/>
        <v>0</v>
      </c>
      <c r="M161" s="2">
        <f t="shared" si="59"/>
        <v>0</v>
      </c>
      <c r="N161" s="2">
        <f t="shared" si="59"/>
        <v>0</v>
      </c>
      <c r="O161" s="2">
        <f t="shared" si="59"/>
        <v>0</v>
      </c>
      <c r="P161" s="2">
        <f t="shared" si="59"/>
        <v>0</v>
      </c>
      <c r="Q161" s="2">
        <f t="shared" si="59"/>
        <v>0</v>
      </c>
      <c r="R161" s="2">
        <f t="shared" si="59"/>
        <v>0</v>
      </c>
      <c r="S161" s="2">
        <f t="shared" si="59"/>
        <v>0</v>
      </c>
      <c r="T161" s="2">
        <f t="shared" si="59"/>
        <v>0</v>
      </c>
      <c r="U161" s="2">
        <f t="shared" si="59"/>
        <v>0</v>
      </c>
      <c r="V161" s="2">
        <f t="shared" si="59"/>
        <v>0</v>
      </c>
      <c r="W161" s="2">
        <f t="shared" si="59"/>
        <v>0</v>
      </c>
      <c r="X161" s="2">
        <f t="shared" si="59"/>
        <v>0</v>
      </c>
      <c r="Y161" s="2">
        <f t="shared" si="59"/>
        <v>0</v>
      </c>
      <c r="Z161" s="2">
        <f t="shared" si="59"/>
        <v>0</v>
      </c>
      <c r="AA161" s="2">
        <f t="shared" si="59"/>
        <v>0</v>
      </c>
    </row>
    <row r="162" spans="1:27" x14ac:dyDescent="0.25">
      <c r="C162" s="1"/>
      <c r="D162" s="1"/>
      <c r="E162" t="s">
        <v>65</v>
      </c>
      <c r="F162" t="s">
        <v>144</v>
      </c>
      <c r="H162" s="2">
        <f>H154*H159</f>
        <v>0</v>
      </c>
      <c r="I162" s="2">
        <f t="shared" ref="I162:AA162" si="60">I154*I159</f>
        <v>0</v>
      </c>
      <c r="J162" s="2">
        <f t="shared" si="60"/>
        <v>0</v>
      </c>
      <c r="K162" s="2">
        <f t="shared" si="60"/>
        <v>0</v>
      </c>
      <c r="L162" s="2">
        <f t="shared" si="60"/>
        <v>0</v>
      </c>
      <c r="M162" s="2">
        <f t="shared" si="60"/>
        <v>0</v>
      </c>
      <c r="N162" s="2">
        <f t="shared" si="60"/>
        <v>0</v>
      </c>
      <c r="O162" s="2">
        <f t="shared" si="60"/>
        <v>0</v>
      </c>
      <c r="P162" s="2">
        <f t="shared" si="60"/>
        <v>0</v>
      </c>
      <c r="Q162" s="2">
        <f t="shared" si="60"/>
        <v>0</v>
      </c>
      <c r="R162" s="2">
        <f t="shared" si="60"/>
        <v>0</v>
      </c>
      <c r="S162" s="2">
        <f t="shared" si="60"/>
        <v>0</v>
      </c>
      <c r="T162" s="2">
        <f t="shared" si="60"/>
        <v>0</v>
      </c>
      <c r="U162" s="2">
        <f t="shared" si="60"/>
        <v>0</v>
      </c>
      <c r="V162" s="2">
        <f t="shared" si="60"/>
        <v>0</v>
      </c>
      <c r="W162" s="2">
        <f t="shared" si="60"/>
        <v>0</v>
      </c>
      <c r="X162" s="2">
        <f t="shared" si="60"/>
        <v>0</v>
      </c>
      <c r="Y162" s="2">
        <f t="shared" si="60"/>
        <v>0</v>
      </c>
      <c r="Z162" s="2">
        <f t="shared" si="60"/>
        <v>0</v>
      </c>
      <c r="AA162" s="2">
        <f t="shared" si="60"/>
        <v>0</v>
      </c>
    </row>
    <row r="163" spans="1:27" x14ac:dyDescent="0.25">
      <c r="C163" s="1"/>
      <c r="D163" s="1"/>
      <c r="E163" t="s">
        <v>141</v>
      </c>
      <c r="F163" t="s">
        <v>144</v>
      </c>
      <c r="H163" s="2">
        <f>H154*H160</f>
        <v>0</v>
      </c>
      <c r="I163" s="2">
        <f t="shared" ref="I163:AA163" si="61">I154*I160</f>
        <v>0</v>
      </c>
      <c r="J163" s="2">
        <f t="shared" si="61"/>
        <v>0</v>
      </c>
      <c r="K163" s="2">
        <f t="shared" si="61"/>
        <v>0</v>
      </c>
      <c r="L163" s="2">
        <f t="shared" si="61"/>
        <v>0</v>
      </c>
      <c r="M163" s="2">
        <f t="shared" si="61"/>
        <v>0</v>
      </c>
      <c r="N163" s="2">
        <f t="shared" si="61"/>
        <v>0</v>
      </c>
      <c r="O163" s="2">
        <f t="shared" si="61"/>
        <v>0</v>
      </c>
      <c r="P163" s="2">
        <f t="shared" si="61"/>
        <v>0</v>
      </c>
      <c r="Q163" s="2">
        <f t="shared" si="61"/>
        <v>0</v>
      </c>
      <c r="R163" s="2">
        <f t="shared" si="61"/>
        <v>0</v>
      </c>
      <c r="S163" s="2">
        <f t="shared" si="61"/>
        <v>0</v>
      </c>
      <c r="T163" s="2">
        <f t="shared" si="61"/>
        <v>0</v>
      </c>
      <c r="U163" s="2">
        <f t="shared" si="61"/>
        <v>0</v>
      </c>
      <c r="V163" s="2">
        <f t="shared" si="61"/>
        <v>0</v>
      </c>
      <c r="W163" s="2">
        <f t="shared" si="61"/>
        <v>0</v>
      </c>
      <c r="X163" s="2">
        <f t="shared" si="61"/>
        <v>0</v>
      </c>
      <c r="Y163" s="2">
        <f t="shared" si="61"/>
        <v>0</v>
      </c>
      <c r="Z163" s="2">
        <f t="shared" si="61"/>
        <v>0</v>
      </c>
      <c r="AA163" s="2">
        <f t="shared" si="61"/>
        <v>0</v>
      </c>
    </row>
    <row r="164" spans="1:27" x14ac:dyDescent="0.25">
      <c r="A164" s="14">
        <f>'Notes &amp; Assumptions'!A48</f>
        <v>35</v>
      </c>
      <c r="C164" s="1"/>
      <c r="D164" s="1"/>
      <c r="E164" t="s">
        <v>66</v>
      </c>
      <c r="F164" t="s">
        <v>8</v>
      </c>
      <c r="H164" s="11"/>
      <c r="I164" s="11"/>
      <c r="J164" s="11"/>
      <c r="K164" s="11"/>
      <c r="L164" s="11"/>
      <c r="M164" s="11"/>
      <c r="N164" s="11"/>
      <c r="O164" s="11"/>
      <c r="P164" s="11"/>
      <c r="Q164" s="11"/>
      <c r="R164" s="11"/>
      <c r="S164" s="11"/>
      <c r="T164" s="11"/>
      <c r="U164" s="11"/>
      <c r="V164" s="11"/>
      <c r="W164" s="11"/>
      <c r="X164" s="11"/>
      <c r="Y164" s="11"/>
      <c r="Z164" s="11"/>
      <c r="AA164" s="11"/>
    </row>
    <row r="165" spans="1:27" x14ac:dyDescent="0.25">
      <c r="A165" s="14">
        <f>'Notes &amp; Assumptions'!A49</f>
        <v>36</v>
      </c>
      <c r="C165" s="1"/>
      <c r="D165" s="1"/>
      <c r="E165" t="s">
        <v>40</v>
      </c>
      <c r="F165" t="s">
        <v>41</v>
      </c>
      <c r="G165" s="10"/>
      <c r="H165" s="2">
        <f>G165*(1+$G$14)*(1+H164)</f>
        <v>0</v>
      </c>
      <c r="I165" s="2">
        <f t="shared" ref="I165:AA165" si="62">H165*(1+$G$14)*(1+I164)</f>
        <v>0</v>
      </c>
      <c r="J165" s="2">
        <f t="shared" si="62"/>
        <v>0</v>
      </c>
      <c r="K165" s="2">
        <f t="shared" si="62"/>
        <v>0</v>
      </c>
      <c r="L165" s="2">
        <f t="shared" si="62"/>
        <v>0</v>
      </c>
      <c r="M165" s="2">
        <f t="shared" si="62"/>
        <v>0</v>
      </c>
      <c r="N165" s="2">
        <f t="shared" si="62"/>
        <v>0</v>
      </c>
      <c r="O165" s="2">
        <f t="shared" si="62"/>
        <v>0</v>
      </c>
      <c r="P165" s="2">
        <f t="shared" si="62"/>
        <v>0</v>
      </c>
      <c r="Q165" s="2">
        <f t="shared" si="62"/>
        <v>0</v>
      </c>
      <c r="R165" s="2">
        <f t="shared" si="62"/>
        <v>0</v>
      </c>
      <c r="S165" s="2">
        <f t="shared" si="62"/>
        <v>0</v>
      </c>
      <c r="T165" s="2">
        <f t="shared" si="62"/>
        <v>0</v>
      </c>
      <c r="U165" s="2">
        <f t="shared" si="62"/>
        <v>0</v>
      </c>
      <c r="V165" s="2">
        <f t="shared" si="62"/>
        <v>0</v>
      </c>
      <c r="W165" s="2">
        <f t="shared" si="62"/>
        <v>0</v>
      </c>
      <c r="X165" s="2">
        <f t="shared" si="62"/>
        <v>0</v>
      </c>
      <c r="Y165" s="2">
        <f t="shared" si="62"/>
        <v>0</v>
      </c>
      <c r="Z165" s="2">
        <f t="shared" si="62"/>
        <v>0</v>
      </c>
      <c r="AA165" s="2">
        <f t="shared" si="62"/>
        <v>0</v>
      </c>
    </row>
    <row r="166" spans="1:27" x14ac:dyDescent="0.25">
      <c r="C166" s="1"/>
      <c r="D166" s="1"/>
      <c r="E166" t="s">
        <v>67</v>
      </c>
      <c r="F166" t="s">
        <v>143</v>
      </c>
      <c r="G166" s="20"/>
      <c r="H166" s="21">
        <f>G166*(1+$G$14)*(1+H164)</f>
        <v>0</v>
      </c>
      <c r="I166" s="21">
        <f t="shared" ref="I166:AA166" si="63">H166*(1+$G$14)*(1+I164)</f>
        <v>0</v>
      </c>
      <c r="J166" s="21">
        <f t="shared" si="63"/>
        <v>0</v>
      </c>
      <c r="K166" s="21">
        <f t="shared" si="63"/>
        <v>0</v>
      </c>
      <c r="L166" s="21">
        <f t="shared" si="63"/>
        <v>0</v>
      </c>
      <c r="M166" s="21">
        <f t="shared" si="63"/>
        <v>0</v>
      </c>
      <c r="N166" s="21">
        <f t="shared" si="63"/>
        <v>0</v>
      </c>
      <c r="O166" s="21">
        <f t="shared" si="63"/>
        <v>0</v>
      </c>
      <c r="P166" s="21">
        <f t="shared" si="63"/>
        <v>0</v>
      </c>
      <c r="Q166" s="21">
        <f t="shared" si="63"/>
        <v>0</v>
      </c>
      <c r="R166" s="21">
        <f t="shared" si="63"/>
        <v>0</v>
      </c>
      <c r="S166" s="21">
        <f t="shared" si="63"/>
        <v>0</v>
      </c>
      <c r="T166" s="21">
        <f t="shared" si="63"/>
        <v>0</v>
      </c>
      <c r="U166" s="21">
        <f t="shared" si="63"/>
        <v>0</v>
      </c>
      <c r="V166" s="21">
        <f t="shared" si="63"/>
        <v>0</v>
      </c>
      <c r="W166" s="21">
        <f t="shared" si="63"/>
        <v>0</v>
      </c>
      <c r="X166" s="21">
        <f t="shared" si="63"/>
        <v>0</v>
      </c>
      <c r="Y166" s="21">
        <f t="shared" si="63"/>
        <v>0</v>
      </c>
      <c r="Z166" s="21">
        <f t="shared" si="63"/>
        <v>0</v>
      </c>
      <c r="AA166" s="21">
        <f t="shared" si="63"/>
        <v>0</v>
      </c>
    </row>
    <row r="167" spans="1:27" x14ac:dyDescent="0.25">
      <c r="C167" s="1"/>
      <c r="D167" s="1"/>
      <c r="E167" t="s">
        <v>68</v>
      </c>
      <c r="F167" t="s">
        <v>143</v>
      </c>
      <c r="G167" s="20"/>
      <c r="H167" s="21">
        <f>G167*(1+$G$14)*(1+H164)</f>
        <v>0</v>
      </c>
      <c r="I167" s="21">
        <f t="shared" ref="I167:AA167" si="64">H167*(1+$G$14)*(1+I164)</f>
        <v>0</v>
      </c>
      <c r="J167" s="21">
        <f t="shared" si="64"/>
        <v>0</v>
      </c>
      <c r="K167" s="21">
        <f t="shared" si="64"/>
        <v>0</v>
      </c>
      <c r="L167" s="21">
        <f t="shared" si="64"/>
        <v>0</v>
      </c>
      <c r="M167" s="21">
        <f t="shared" si="64"/>
        <v>0</v>
      </c>
      <c r="N167" s="21">
        <f t="shared" si="64"/>
        <v>0</v>
      </c>
      <c r="O167" s="21">
        <f t="shared" si="64"/>
        <v>0</v>
      </c>
      <c r="P167" s="21">
        <f t="shared" si="64"/>
        <v>0</v>
      </c>
      <c r="Q167" s="21">
        <f t="shared" si="64"/>
        <v>0</v>
      </c>
      <c r="R167" s="21">
        <f t="shared" si="64"/>
        <v>0</v>
      </c>
      <c r="S167" s="21">
        <f t="shared" si="64"/>
        <v>0</v>
      </c>
      <c r="T167" s="21">
        <f t="shared" si="64"/>
        <v>0</v>
      </c>
      <c r="U167" s="21">
        <f t="shared" si="64"/>
        <v>0</v>
      </c>
      <c r="V167" s="21">
        <f t="shared" si="64"/>
        <v>0</v>
      </c>
      <c r="W167" s="21">
        <f t="shared" si="64"/>
        <v>0</v>
      </c>
      <c r="X167" s="21">
        <f t="shared" si="64"/>
        <v>0</v>
      </c>
      <c r="Y167" s="21">
        <f t="shared" si="64"/>
        <v>0</v>
      </c>
      <c r="Z167" s="21">
        <f t="shared" si="64"/>
        <v>0</v>
      </c>
      <c r="AA167" s="21">
        <f t="shared" si="64"/>
        <v>0</v>
      </c>
    </row>
    <row r="168" spans="1:27" x14ac:dyDescent="0.25">
      <c r="C168" s="1"/>
      <c r="D168" s="1"/>
      <c r="E168" t="s">
        <v>142</v>
      </c>
      <c r="F168" t="s">
        <v>143</v>
      </c>
      <c r="G168" s="20"/>
      <c r="H168" s="21">
        <f>G168*(1+$G$14)*(1+H164)</f>
        <v>0</v>
      </c>
      <c r="I168" s="21">
        <f t="shared" ref="I168:AA168" si="65">H168*(1+$G$14)*(1+I164)</f>
        <v>0</v>
      </c>
      <c r="J168" s="21">
        <f t="shared" si="65"/>
        <v>0</v>
      </c>
      <c r="K168" s="21">
        <f t="shared" si="65"/>
        <v>0</v>
      </c>
      <c r="L168" s="21">
        <f t="shared" si="65"/>
        <v>0</v>
      </c>
      <c r="M168" s="21">
        <f t="shared" si="65"/>
        <v>0</v>
      </c>
      <c r="N168" s="21">
        <f t="shared" si="65"/>
        <v>0</v>
      </c>
      <c r="O168" s="21">
        <f t="shared" si="65"/>
        <v>0</v>
      </c>
      <c r="P168" s="21">
        <f t="shared" si="65"/>
        <v>0</v>
      </c>
      <c r="Q168" s="21">
        <f t="shared" si="65"/>
        <v>0</v>
      </c>
      <c r="R168" s="21">
        <f t="shared" si="65"/>
        <v>0</v>
      </c>
      <c r="S168" s="21">
        <f t="shared" si="65"/>
        <v>0</v>
      </c>
      <c r="T168" s="21">
        <f t="shared" si="65"/>
        <v>0</v>
      </c>
      <c r="U168" s="21">
        <f t="shared" si="65"/>
        <v>0</v>
      </c>
      <c r="V168" s="21">
        <f t="shared" si="65"/>
        <v>0</v>
      </c>
      <c r="W168" s="21">
        <f t="shared" si="65"/>
        <v>0</v>
      </c>
      <c r="X168" s="21">
        <f t="shared" si="65"/>
        <v>0</v>
      </c>
      <c r="Y168" s="21">
        <f t="shared" si="65"/>
        <v>0</v>
      </c>
      <c r="Z168" s="21">
        <f t="shared" si="65"/>
        <v>0</v>
      </c>
      <c r="AA168" s="21">
        <f t="shared" si="65"/>
        <v>0</v>
      </c>
    </row>
    <row r="169" spans="1:27" x14ac:dyDescent="0.25">
      <c r="C169" s="1"/>
      <c r="D169" s="1"/>
    </row>
    <row r="170" spans="1:27" x14ac:dyDescent="0.25">
      <c r="C170" s="1"/>
      <c r="D170" s="1"/>
      <c r="E170" t="s">
        <v>78</v>
      </c>
      <c r="F170" t="s">
        <v>58</v>
      </c>
      <c r="H170" s="2">
        <f>SUM(H161:H163)/1000</f>
        <v>0</v>
      </c>
      <c r="I170" s="2">
        <f t="shared" ref="I170:AA170" si="66">SUM(I161:I163)/1000</f>
        <v>0</v>
      </c>
      <c r="J170" s="2">
        <f t="shared" si="66"/>
        <v>0</v>
      </c>
      <c r="K170" s="2">
        <f t="shared" si="66"/>
        <v>0</v>
      </c>
      <c r="L170" s="2">
        <f t="shared" si="66"/>
        <v>0</v>
      </c>
      <c r="M170" s="2">
        <f t="shared" si="66"/>
        <v>0</v>
      </c>
      <c r="N170" s="2">
        <f t="shared" si="66"/>
        <v>0</v>
      </c>
      <c r="O170" s="2">
        <f t="shared" si="66"/>
        <v>0</v>
      </c>
      <c r="P170" s="2">
        <f t="shared" si="66"/>
        <v>0</v>
      </c>
      <c r="Q170" s="2">
        <f t="shared" si="66"/>
        <v>0</v>
      </c>
      <c r="R170" s="2">
        <f t="shared" si="66"/>
        <v>0</v>
      </c>
      <c r="S170" s="2">
        <f t="shared" si="66"/>
        <v>0</v>
      </c>
      <c r="T170" s="2">
        <f t="shared" si="66"/>
        <v>0</v>
      </c>
      <c r="U170" s="2">
        <f t="shared" si="66"/>
        <v>0</v>
      </c>
      <c r="V170" s="2">
        <f t="shared" si="66"/>
        <v>0</v>
      </c>
      <c r="W170" s="2">
        <f t="shared" si="66"/>
        <v>0</v>
      </c>
      <c r="X170" s="2">
        <f t="shared" si="66"/>
        <v>0</v>
      </c>
      <c r="Y170" s="2">
        <f t="shared" si="66"/>
        <v>0</v>
      </c>
      <c r="Z170" s="2">
        <f t="shared" si="66"/>
        <v>0</v>
      </c>
      <c r="AA170" s="2">
        <f t="shared" si="66"/>
        <v>0</v>
      </c>
    </row>
    <row r="171" spans="1:27" x14ac:dyDescent="0.25">
      <c r="C171" s="1"/>
      <c r="D171" s="1"/>
      <c r="E171" t="s">
        <v>79</v>
      </c>
      <c r="F171" t="s">
        <v>7</v>
      </c>
      <c r="H171" s="2">
        <f>H154*H165+H161*H166+H162*H167+H163*H168</f>
        <v>0</v>
      </c>
      <c r="I171" s="2">
        <f t="shared" ref="I171:AA171" si="67">I154*I165+I161*I166+I162*I167+I163*I168</f>
        <v>0</v>
      </c>
      <c r="J171" s="2">
        <f t="shared" si="67"/>
        <v>0</v>
      </c>
      <c r="K171" s="2">
        <f t="shared" si="67"/>
        <v>0</v>
      </c>
      <c r="L171" s="2">
        <f t="shared" si="67"/>
        <v>0</v>
      </c>
      <c r="M171" s="2">
        <f t="shared" si="67"/>
        <v>0</v>
      </c>
      <c r="N171" s="2">
        <f t="shared" si="67"/>
        <v>0</v>
      </c>
      <c r="O171" s="2">
        <f t="shared" si="67"/>
        <v>0</v>
      </c>
      <c r="P171" s="2">
        <f t="shared" si="67"/>
        <v>0</v>
      </c>
      <c r="Q171" s="2">
        <f t="shared" si="67"/>
        <v>0</v>
      </c>
      <c r="R171" s="2">
        <f t="shared" si="67"/>
        <v>0</v>
      </c>
      <c r="S171" s="2">
        <f t="shared" si="67"/>
        <v>0</v>
      </c>
      <c r="T171" s="2">
        <f t="shared" si="67"/>
        <v>0</v>
      </c>
      <c r="U171" s="2">
        <f t="shared" si="67"/>
        <v>0</v>
      </c>
      <c r="V171" s="2">
        <f t="shared" si="67"/>
        <v>0</v>
      </c>
      <c r="W171" s="2">
        <f t="shared" si="67"/>
        <v>0</v>
      </c>
      <c r="X171" s="2">
        <f t="shared" si="67"/>
        <v>0</v>
      </c>
      <c r="Y171" s="2">
        <f t="shared" si="67"/>
        <v>0</v>
      </c>
      <c r="Z171" s="2">
        <f t="shared" si="67"/>
        <v>0</v>
      </c>
      <c r="AA171" s="2">
        <f t="shared" si="67"/>
        <v>0</v>
      </c>
    </row>
    <row r="172" spans="1:27" x14ac:dyDescent="0.25">
      <c r="C172" s="1"/>
      <c r="D172" s="1"/>
    </row>
    <row r="173" spans="1:27" x14ac:dyDescent="0.25">
      <c r="C173" s="1"/>
      <c r="D173" t="s">
        <v>80</v>
      </c>
    </row>
    <row r="174" spans="1:27" x14ac:dyDescent="0.25">
      <c r="C174" s="1"/>
      <c r="E174" t="s">
        <v>91</v>
      </c>
      <c r="F174" t="s">
        <v>3</v>
      </c>
      <c r="H174">
        <f>SUM(H93,H114,H135,H156)</f>
        <v>10039</v>
      </c>
      <c r="I174">
        <f t="shared" ref="H174:AA175" si="68">SUM(I93,I114,I135,I156)</f>
        <v>9520</v>
      </c>
      <c r="J174">
        <f t="shared" si="68"/>
        <v>9170.6999999999989</v>
      </c>
      <c r="K174">
        <f t="shared" si="68"/>
        <v>8384.5999999999985</v>
      </c>
      <c r="L174">
        <f t="shared" si="68"/>
        <v>7625.9999999999982</v>
      </c>
      <c r="M174">
        <f t="shared" si="68"/>
        <v>6897.9999999999982</v>
      </c>
      <c r="N174">
        <f t="shared" si="68"/>
        <v>6208.9999999999973</v>
      </c>
      <c r="O174">
        <f t="shared" si="68"/>
        <v>5563.699999999998</v>
      </c>
      <c r="P174">
        <f t="shared" si="68"/>
        <v>5405.9999999999982</v>
      </c>
      <c r="Q174">
        <f t="shared" si="68"/>
        <v>5234.5999999999985</v>
      </c>
      <c r="R174">
        <f t="shared" si="68"/>
        <v>5519.9999999999982</v>
      </c>
      <c r="S174">
        <f t="shared" si="68"/>
        <v>5846.699999999998</v>
      </c>
      <c r="T174">
        <f t="shared" si="68"/>
        <v>6174.9999999999982</v>
      </c>
      <c r="U174">
        <f t="shared" si="68"/>
        <v>6144.5999999999976</v>
      </c>
      <c r="V174">
        <f t="shared" si="68"/>
        <v>6117.2999999999975</v>
      </c>
      <c r="W174">
        <f t="shared" si="68"/>
        <v>0</v>
      </c>
      <c r="X174">
        <f t="shared" si="68"/>
        <v>0</v>
      </c>
      <c r="Y174">
        <f t="shared" si="68"/>
        <v>0</v>
      </c>
      <c r="Z174">
        <f t="shared" si="68"/>
        <v>0</v>
      </c>
      <c r="AA174">
        <f t="shared" si="68"/>
        <v>0</v>
      </c>
    </row>
    <row r="175" spans="1:27" x14ac:dyDescent="0.25">
      <c r="C175" s="1"/>
      <c r="D175" s="1"/>
      <c r="E175" t="s">
        <v>90</v>
      </c>
      <c r="F175" t="s">
        <v>3</v>
      </c>
      <c r="H175">
        <f t="shared" si="68"/>
        <v>10039</v>
      </c>
      <c r="I175">
        <f t="shared" si="68"/>
        <v>19559</v>
      </c>
      <c r="J175">
        <f t="shared" si="68"/>
        <v>28729.699999999997</v>
      </c>
      <c r="K175">
        <f t="shared" si="68"/>
        <v>37114.299999999996</v>
      </c>
      <c r="L175">
        <f t="shared" si="68"/>
        <v>44740.299999999996</v>
      </c>
      <c r="M175">
        <f t="shared" si="68"/>
        <v>51638.299999999996</v>
      </c>
      <c r="N175">
        <f t="shared" si="68"/>
        <v>57847.299999999996</v>
      </c>
      <c r="O175">
        <f t="shared" si="68"/>
        <v>63410.999999999993</v>
      </c>
      <c r="P175">
        <f t="shared" si="68"/>
        <v>68817</v>
      </c>
      <c r="Q175">
        <f t="shared" si="68"/>
        <v>74051.599999999991</v>
      </c>
      <c r="R175">
        <f t="shared" si="68"/>
        <v>79571.599999999991</v>
      </c>
      <c r="S175">
        <f t="shared" si="68"/>
        <v>85418.299999999988</v>
      </c>
      <c r="T175">
        <f t="shared" si="68"/>
        <v>91593.299999999988</v>
      </c>
      <c r="U175">
        <f t="shared" si="68"/>
        <v>97737.89999999998</v>
      </c>
      <c r="V175">
        <f t="shared" si="68"/>
        <v>103855.19999999998</v>
      </c>
      <c r="W175">
        <f t="shared" si="68"/>
        <v>103855.19999999998</v>
      </c>
      <c r="X175">
        <f t="shared" si="68"/>
        <v>103855.19999999998</v>
      </c>
      <c r="Y175">
        <f t="shared" si="68"/>
        <v>103855.19999999998</v>
      </c>
      <c r="Z175">
        <f t="shared" si="68"/>
        <v>103855.19999999998</v>
      </c>
      <c r="AA175">
        <f t="shared" si="68"/>
        <v>103855.19999999998</v>
      </c>
    </row>
    <row r="176" spans="1:27" x14ac:dyDescent="0.25">
      <c r="C176" s="1"/>
      <c r="D176" s="1"/>
      <c r="E176" t="s">
        <v>81</v>
      </c>
      <c r="F176" t="s">
        <v>58</v>
      </c>
      <c r="H176" s="2">
        <f>SUM(H107,H128,H149,H170)</f>
        <v>1228.9765</v>
      </c>
      <c r="I176" s="2">
        <f t="shared" ref="H176:AA177" si="69">SUM(I107,I128,I149,I170)</f>
        <v>2399.5655000000002</v>
      </c>
      <c r="J176" s="2">
        <f t="shared" si="69"/>
        <v>3533.2872499999994</v>
      </c>
      <c r="K176" s="2">
        <f t="shared" si="69"/>
        <v>4573.7147499999992</v>
      </c>
      <c r="L176" s="2">
        <f t="shared" si="69"/>
        <v>5526.3707499999991</v>
      </c>
      <c r="M176" s="2">
        <f t="shared" si="69"/>
        <v>6392.2687499999993</v>
      </c>
      <c r="N176" s="2">
        <f t="shared" si="69"/>
        <v>7177.0107499999986</v>
      </c>
      <c r="O176" s="2">
        <f t="shared" si="69"/>
        <v>7886.7274999999991</v>
      </c>
      <c r="P176" s="2">
        <f t="shared" si="69"/>
        <v>8582.3464999999997</v>
      </c>
      <c r="Q176" s="2">
        <f t="shared" si="69"/>
        <v>9264.7554999999993</v>
      </c>
      <c r="R176" s="2">
        <f t="shared" si="69"/>
        <v>9984.1299999999992</v>
      </c>
      <c r="S176" s="2">
        <f t="shared" si="69"/>
        <v>10747.545249999997</v>
      </c>
      <c r="T176" s="2">
        <f t="shared" si="69"/>
        <v>11552.752249999998</v>
      </c>
      <c r="U176" s="2">
        <f t="shared" si="69"/>
        <v>12353.32475</v>
      </c>
      <c r="V176" s="2">
        <f t="shared" si="69"/>
        <v>13150.825999999997</v>
      </c>
      <c r="W176" s="2">
        <f t="shared" si="69"/>
        <v>13150.825999999997</v>
      </c>
      <c r="X176" s="2">
        <f t="shared" si="69"/>
        <v>13150.825999999997</v>
      </c>
      <c r="Y176" s="2">
        <f t="shared" si="69"/>
        <v>13150.825999999997</v>
      </c>
      <c r="Z176" s="2">
        <f t="shared" si="69"/>
        <v>13150.825999999997</v>
      </c>
      <c r="AA176" s="2">
        <f t="shared" si="69"/>
        <v>13150.825999999997</v>
      </c>
    </row>
    <row r="177" spans="1:27" x14ac:dyDescent="0.25">
      <c r="C177" s="1"/>
      <c r="D177" s="1"/>
      <c r="E177" t="s">
        <v>82</v>
      </c>
      <c r="F177" t="s">
        <v>7</v>
      </c>
      <c r="H177" s="2">
        <f t="shared" si="69"/>
        <v>4980628.1713189147</v>
      </c>
      <c r="I177" s="2">
        <f t="shared" si="69"/>
        <v>9656009.9814525731</v>
      </c>
      <c r="J177" s="2">
        <f t="shared" si="69"/>
        <v>14515417.001976458</v>
      </c>
      <c r="K177" s="2">
        <f t="shared" si="69"/>
        <v>19182804.073758118</v>
      </c>
      <c r="L177" s="2">
        <f t="shared" si="69"/>
        <v>23663038.561506577</v>
      </c>
      <c r="M177" s="2">
        <f t="shared" si="69"/>
        <v>27943176.243399549</v>
      </c>
      <c r="N177" s="2">
        <f t="shared" si="69"/>
        <v>32029734.113938045</v>
      </c>
      <c r="O177" s="2">
        <f t="shared" si="69"/>
        <v>35932886.863266647</v>
      </c>
      <c r="P177" s="2">
        <f t="shared" si="69"/>
        <v>39919305.550821155</v>
      </c>
      <c r="Q177" s="2">
        <f t="shared" si="69"/>
        <v>43993123.832995534</v>
      </c>
      <c r="R177" s="2">
        <f t="shared" si="69"/>
        <v>48399425.263650596</v>
      </c>
      <c r="S177" s="2">
        <f t="shared" si="69"/>
        <v>53188806.677275643</v>
      </c>
      <c r="T177" s="2">
        <f t="shared" si="69"/>
        <v>58369074.894961029</v>
      </c>
      <c r="U177" s="2">
        <f t="shared" si="69"/>
        <v>63719703.640522972</v>
      </c>
      <c r="V177" s="2">
        <f t="shared" si="69"/>
        <v>69253069.845674753</v>
      </c>
      <c r="W177" s="2">
        <f t="shared" si="69"/>
        <v>70707384.312433928</v>
      </c>
      <c r="X177" s="2">
        <f t="shared" si="69"/>
        <v>72192239.382995024</v>
      </c>
      <c r="Y177" s="2">
        <f t="shared" si="69"/>
        <v>73708276.41003792</v>
      </c>
      <c r="Z177" s="2">
        <f t="shared" si="69"/>
        <v>75256150.214648709</v>
      </c>
      <c r="AA177" s="2">
        <f t="shared" si="69"/>
        <v>76836529.369156331</v>
      </c>
    </row>
    <row r="178" spans="1:27" x14ac:dyDescent="0.25">
      <c r="C178" s="1"/>
      <c r="D178" s="1"/>
    </row>
    <row r="179" spans="1:27" x14ac:dyDescent="0.25">
      <c r="C179" s="1"/>
      <c r="D179" s="1"/>
      <c r="E179" s="3" t="s">
        <v>84</v>
      </c>
      <c r="F179" s="3" t="s">
        <v>85</v>
      </c>
      <c r="G179" s="3"/>
      <c r="H179" s="9">
        <f>H176*1000/H175</f>
        <v>122.420211176412</v>
      </c>
      <c r="I179" s="9">
        <f t="shared" ref="I179:AA179" si="70">I176*1000/I175</f>
        <v>122.68344496139885</v>
      </c>
      <c r="J179" s="9">
        <f t="shared" si="70"/>
        <v>122.98378507259038</v>
      </c>
      <c r="K179" s="9">
        <f t="shared" si="70"/>
        <v>123.23322142678158</v>
      </c>
      <c r="L179" s="9">
        <f t="shared" si="70"/>
        <v>123.52109284023575</v>
      </c>
      <c r="M179" s="9">
        <f t="shared" si="70"/>
        <v>123.7892949612981</v>
      </c>
      <c r="N179" s="9">
        <f t="shared" si="70"/>
        <v>124.06820629484865</v>
      </c>
      <c r="O179" s="9">
        <f t="shared" si="70"/>
        <v>124.37475359164813</v>
      </c>
      <c r="P179" s="9">
        <f t="shared" si="70"/>
        <v>124.71259281863493</v>
      </c>
      <c r="Q179" s="9">
        <f t="shared" si="70"/>
        <v>125.11215827882181</v>
      </c>
      <c r="R179" s="9">
        <f t="shared" si="70"/>
        <v>125.473535784124</v>
      </c>
      <c r="S179" s="9">
        <f t="shared" si="70"/>
        <v>125.82251402802443</v>
      </c>
      <c r="T179" s="9">
        <f t="shared" si="70"/>
        <v>126.13097519141684</v>
      </c>
      <c r="U179" s="9">
        <f t="shared" si="70"/>
        <v>126.3923692856098</v>
      </c>
      <c r="V179" s="9">
        <f t="shared" si="70"/>
        <v>126.62655312396491</v>
      </c>
      <c r="W179" s="9">
        <f t="shared" si="70"/>
        <v>126.62655312396491</v>
      </c>
      <c r="X179" s="9">
        <f t="shared" si="70"/>
        <v>126.62655312396491</v>
      </c>
      <c r="Y179" s="9">
        <f t="shared" si="70"/>
        <v>126.62655312396491</v>
      </c>
      <c r="Z179" s="9">
        <f t="shared" si="70"/>
        <v>126.62655312396491</v>
      </c>
      <c r="AA179" s="9">
        <f t="shared" si="70"/>
        <v>126.62655312396491</v>
      </c>
    </row>
    <row r="180" spans="1:27" x14ac:dyDescent="0.25">
      <c r="C180" s="1"/>
      <c r="D180" s="1"/>
      <c r="E180" s="3" t="s">
        <v>83</v>
      </c>
      <c r="F180" s="3" t="s">
        <v>22</v>
      </c>
      <c r="G180" s="3"/>
      <c r="H180" s="9">
        <f>H177/H175</f>
        <v>496.12791825071366</v>
      </c>
      <c r="I180" s="9">
        <f t="shared" ref="I180:AA180" si="71">I177/I175</f>
        <v>493.68628158150074</v>
      </c>
      <c r="J180" s="9">
        <f t="shared" si="71"/>
        <v>505.24081358233673</v>
      </c>
      <c r="K180" s="9">
        <f t="shared" si="71"/>
        <v>516.85749357412431</v>
      </c>
      <c r="L180" s="9">
        <f t="shared" si="71"/>
        <v>528.89762834640317</v>
      </c>
      <c r="M180" s="9">
        <f t="shared" si="71"/>
        <v>541.13276857293044</v>
      </c>
      <c r="N180" s="9">
        <f t="shared" si="71"/>
        <v>553.69453913904442</v>
      </c>
      <c r="O180" s="9">
        <f t="shared" si="71"/>
        <v>566.66645949861459</v>
      </c>
      <c r="P180" s="9">
        <f t="shared" si="71"/>
        <v>580.07913089528972</v>
      </c>
      <c r="Q180" s="9">
        <f t="shared" si="71"/>
        <v>594.08741786802091</v>
      </c>
      <c r="R180" s="9">
        <f t="shared" si="71"/>
        <v>608.24999451626718</v>
      </c>
      <c r="S180" s="9">
        <f t="shared" si="71"/>
        <v>622.68631753705768</v>
      </c>
      <c r="T180" s="9">
        <f t="shared" si="71"/>
        <v>637.26358691040764</v>
      </c>
      <c r="U180" s="9">
        <f t="shared" si="71"/>
        <v>651.94467694234254</v>
      </c>
      <c r="V180" s="9">
        <f t="shared" si="71"/>
        <v>666.82332560791144</v>
      </c>
      <c r="W180" s="9">
        <f t="shared" si="71"/>
        <v>680.82661544567759</v>
      </c>
      <c r="X180" s="9">
        <f t="shared" si="71"/>
        <v>695.12397437003676</v>
      </c>
      <c r="Y180" s="9">
        <f t="shared" si="71"/>
        <v>709.72157783180751</v>
      </c>
      <c r="Z180" s="9">
        <f t="shared" si="71"/>
        <v>724.62573096627534</v>
      </c>
      <c r="AA180" s="9">
        <f t="shared" si="71"/>
        <v>739.84287131656708</v>
      </c>
    </row>
    <row r="181" spans="1:27" x14ac:dyDescent="0.25">
      <c r="C181" s="1"/>
      <c r="D181" s="1"/>
      <c r="E181" s="3" t="s">
        <v>86</v>
      </c>
      <c r="F181" s="3" t="s">
        <v>4</v>
      </c>
      <c r="G181" s="3"/>
      <c r="H181" s="9">
        <f>H177/H176</f>
        <v>4052.6634734829468</v>
      </c>
      <c r="I181" s="9">
        <f t="shared" ref="I181:AA181" si="72">I177/I176</f>
        <v>4024.0660158901987</v>
      </c>
      <c r="J181" s="9">
        <f t="shared" si="72"/>
        <v>4108.1904682322274</v>
      </c>
      <c r="K181" s="9">
        <f t="shared" si="72"/>
        <v>4194.1408947197942</v>
      </c>
      <c r="L181" s="9">
        <f t="shared" si="72"/>
        <v>4281.8405843485225</v>
      </c>
      <c r="M181" s="9">
        <f t="shared" si="72"/>
        <v>4371.4019757694878</v>
      </c>
      <c r="N181" s="9">
        <f t="shared" si="72"/>
        <v>4462.8237618200656</v>
      </c>
      <c r="O181" s="9">
        <f t="shared" si="72"/>
        <v>4556.1212636377577</v>
      </c>
      <c r="P181" s="9">
        <f t="shared" si="72"/>
        <v>4651.3276469111515</v>
      </c>
      <c r="Q181" s="9">
        <f t="shared" si="72"/>
        <v>4748.4387292244828</v>
      </c>
      <c r="R181" s="9">
        <f t="shared" si="72"/>
        <v>4847.6357242594595</v>
      </c>
      <c r="S181" s="9">
        <f t="shared" si="72"/>
        <v>4948.9260514884227</v>
      </c>
      <c r="T181" s="9">
        <f t="shared" si="72"/>
        <v>5052.3956224336971</v>
      </c>
      <c r="U181" s="9">
        <f t="shared" si="72"/>
        <v>5158.101558086455</v>
      </c>
      <c r="V181" s="9">
        <f t="shared" si="72"/>
        <v>5266.0623633583755</v>
      </c>
      <c r="W181" s="9">
        <f t="shared" si="72"/>
        <v>5376.6496729889013</v>
      </c>
      <c r="X181" s="9">
        <f t="shared" si="72"/>
        <v>5489.5593161216675</v>
      </c>
      <c r="Y181" s="9">
        <f t="shared" si="72"/>
        <v>5604.8400617602219</v>
      </c>
      <c r="Z181" s="9">
        <f t="shared" si="72"/>
        <v>5722.5417030571862</v>
      </c>
      <c r="AA181" s="9">
        <f t="shared" si="72"/>
        <v>5842.7150788213867</v>
      </c>
    </row>
    <row r="182" spans="1:27" x14ac:dyDescent="0.25">
      <c r="C182" s="1"/>
      <c r="D182" s="1"/>
    </row>
    <row r="183" spans="1:27" x14ac:dyDescent="0.25">
      <c r="C183" s="1" t="str">
        <f>"Incremental "&amp;VLOOKUP(G4,E320:F322,2,FALSE)&amp;" Charges"</f>
        <v>Incremental Bulk Wastewater Charges</v>
      </c>
      <c r="G183" t="s">
        <v>323</v>
      </c>
      <c r="H183" s="53">
        <v>1</v>
      </c>
      <c r="I183" s="2"/>
      <c r="J183" s="2"/>
      <c r="K183" s="2"/>
      <c r="L183" s="2"/>
      <c r="M183" s="2"/>
      <c r="N183" s="2"/>
      <c r="O183" s="2"/>
      <c r="P183" s="2"/>
      <c r="Q183" s="2"/>
      <c r="R183" s="2"/>
      <c r="S183" s="2"/>
      <c r="T183" s="2"/>
      <c r="U183" s="2"/>
      <c r="V183" s="2"/>
      <c r="W183" s="2"/>
      <c r="X183" s="2"/>
      <c r="Y183" s="2"/>
      <c r="Z183" s="2"/>
      <c r="AA183" s="2"/>
    </row>
    <row r="184" spans="1:27" x14ac:dyDescent="0.25">
      <c r="A184" s="14">
        <f>'Notes &amp; Assumptions'!A50</f>
        <v>37</v>
      </c>
      <c r="E184" t="s">
        <v>118</v>
      </c>
      <c r="F184" t="s">
        <v>8</v>
      </c>
      <c r="H184" s="11">
        <f>'Bulk charges'!E29</f>
        <v>3.2399999999999998E-2</v>
      </c>
      <c r="I184" s="11">
        <f>'Bulk charges'!F29</f>
        <v>3.2399999999999998E-2</v>
      </c>
      <c r="J184" s="11">
        <f>'Bulk charges'!G29</f>
        <v>3.2399999999999998E-2</v>
      </c>
      <c r="K184" s="11"/>
      <c r="L184" s="11"/>
      <c r="M184" s="11"/>
      <c r="N184" s="11"/>
      <c r="O184" s="11"/>
      <c r="P184" s="11"/>
      <c r="Q184" s="11"/>
      <c r="R184" s="11"/>
      <c r="S184" s="11"/>
      <c r="T184" s="11"/>
      <c r="U184" s="11"/>
      <c r="V184" s="11"/>
      <c r="W184" s="11"/>
      <c r="X184" s="11"/>
      <c r="Y184" s="11"/>
      <c r="Z184" s="11"/>
      <c r="AA184" s="11"/>
    </row>
    <row r="185" spans="1:27" x14ac:dyDescent="0.25">
      <c r="A185" s="14">
        <f>'Notes &amp; Assumptions'!A51</f>
        <v>38</v>
      </c>
      <c r="E185" t="s">
        <v>122</v>
      </c>
      <c r="F185" t="s">
        <v>4</v>
      </c>
      <c r="G185" s="20">
        <f>AVERAGE('Bulk charges'!D34:D35)</f>
        <v>74.83235719999999</v>
      </c>
      <c r="H185" s="2">
        <f>G185*(1+$G$14)</f>
        <v>76.403836701199978</v>
      </c>
      <c r="I185" s="2">
        <f t="shared" ref="I185:K185" si="73">H185*(1+$G$14)</f>
        <v>78.008317271925165</v>
      </c>
      <c r="J185" s="2">
        <f t="shared" si="73"/>
        <v>79.646491934635591</v>
      </c>
      <c r="K185" s="2">
        <f t="shared" si="73"/>
        <v>81.319068265262928</v>
      </c>
      <c r="L185" s="2">
        <f t="shared" ref="L185:AA185" si="74">K185*(1+$G$14)*(1+L184)</f>
        <v>83.026768698833436</v>
      </c>
      <c r="M185" s="2">
        <f t="shared" si="74"/>
        <v>84.770330841508937</v>
      </c>
      <c r="N185" s="2">
        <f t="shared" si="74"/>
        <v>86.550507789180614</v>
      </c>
      <c r="O185" s="2">
        <f t="shared" si="74"/>
        <v>88.368068452753405</v>
      </c>
      <c r="P185" s="2">
        <f t="shared" si="74"/>
        <v>90.223797890261224</v>
      </c>
      <c r="Q185" s="2">
        <f t="shared" si="74"/>
        <v>92.118497645956708</v>
      </c>
      <c r="R185" s="2">
        <f t="shared" si="74"/>
        <v>94.052986096521792</v>
      </c>
      <c r="S185" s="2">
        <f t="shared" si="74"/>
        <v>96.028098804548748</v>
      </c>
      <c r="T185" s="2">
        <f t="shared" si="74"/>
        <v>98.044688879444266</v>
      </c>
      <c r="U185" s="2">
        <f t="shared" si="74"/>
        <v>100.10362734591259</v>
      </c>
      <c r="V185" s="2">
        <f t="shared" si="74"/>
        <v>102.20580352017674</v>
      </c>
      <c r="W185" s="2">
        <f t="shared" si="74"/>
        <v>104.35212539410044</v>
      </c>
      <c r="X185" s="2">
        <f t="shared" si="74"/>
        <v>106.54352002737654</v>
      </c>
      <c r="Y185" s="2">
        <f t="shared" si="74"/>
        <v>108.78093394795144</v>
      </c>
      <c r="Z185" s="2">
        <f t="shared" si="74"/>
        <v>111.06533356085841</v>
      </c>
      <c r="AA185" s="2">
        <f t="shared" si="74"/>
        <v>113.39770556563643</v>
      </c>
    </row>
    <row r="186" spans="1:27" x14ac:dyDescent="0.25">
      <c r="A186" s="14">
        <f>'Notes &amp; Assumptions'!A52</f>
        <v>39</v>
      </c>
      <c r="E186" t="s">
        <v>123</v>
      </c>
      <c r="F186" t="s">
        <v>7</v>
      </c>
      <c r="G186" s="20">
        <f>'Bulk charges'!D32*H183</f>
        <v>190.24571706250899</v>
      </c>
      <c r="H186" s="10">
        <f>G186*(1+$G$14)*(1+H184)*(H154+H133+H112+H91)</f>
        <v>2013163.652375405</v>
      </c>
      <c r="I186" s="10">
        <f>H186/(H154+H133+H112+H91)*(1+$G$14)*(1+I184)*(I154+I133+I112+I91)</f>
        <v>4134366.8622149224</v>
      </c>
      <c r="J186" s="10">
        <f>I186/(I154+I133+I112+I91)*(1+$G$14)*(1+J184)*(J154+J133+J112+J91)</f>
        <v>6401285.4411385814</v>
      </c>
      <c r="K186" s="10">
        <f t="shared" ref="K186:AA186" si="75">J186/(J154+J133+J112+J91)*(1+$G$14)*(1+K184)*(K154+K133+K112+K91)</f>
        <v>8443123.0413564593</v>
      </c>
      <c r="L186" s="10">
        <f t="shared" si="75"/>
        <v>10391697.076898973</v>
      </c>
      <c r="M186" s="10">
        <f t="shared" si="75"/>
        <v>12245746.500593847</v>
      </c>
      <c r="N186" s="10">
        <f t="shared" si="75"/>
        <v>14006259.352965185</v>
      </c>
      <c r="O186" s="10">
        <f t="shared" si="75"/>
        <v>15675789.206744717</v>
      </c>
      <c r="P186" s="10">
        <f t="shared" si="75"/>
        <v>17369458.963637266</v>
      </c>
      <c r="Q186" s="10">
        <f t="shared" si="75"/>
        <v>19083179.856240559</v>
      </c>
      <c r="R186" s="10">
        <f t="shared" si="75"/>
        <v>20936309.498890728</v>
      </c>
      <c r="S186" s="10">
        <f t="shared" si="75"/>
        <v>22946619.006632373</v>
      </c>
      <c r="T186" s="10">
        <f t="shared" si="75"/>
        <v>25122174.597153589</v>
      </c>
      <c r="U186" s="10">
        <f t="shared" si="75"/>
        <v>27370470.863249592</v>
      </c>
      <c r="V186" s="10">
        <f t="shared" si="75"/>
        <v>29694311.069037654</v>
      </c>
      <c r="W186" s="10">
        <f t="shared" si="75"/>
        <v>30317891.601487443</v>
      </c>
      <c r="X186" s="10">
        <f t="shared" si="75"/>
        <v>30954567.325118676</v>
      </c>
      <c r="Y186" s="10">
        <f t="shared" si="75"/>
        <v>31604613.238946166</v>
      </c>
      <c r="Z186" s="10">
        <f t="shared" si="75"/>
        <v>32268310.116964031</v>
      </c>
      <c r="AA186" s="10">
        <f t="shared" si="75"/>
        <v>32945944.629420273</v>
      </c>
    </row>
    <row r="187" spans="1:27" x14ac:dyDescent="0.25">
      <c r="E187" t="s">
        <v>57</v>
      </c>
      <c r="F187" t="s">
        <v>7</v>
      </c>
      <c r="H187" s="2">
        <f>H185*H176+H186</f>
        <v>2107062.1721910173</v>
      </c>
      <c r="I187" s="2">
        <f t="shared" ref="I187:AA187" si="76">I185*I176+I186</f>
        <v>4321552.9290536884</v>
      </c>
      <c r="J187" s="2">
        <f t="shared" si="76"/>
        <v>6682699.3755984567</v>
      </c>
      <c r="K187" s="2">
        <f t="shared" si="76"/>
        <v>8815053.2633375488</v>
      </c>
      <c r="L187" s="2">
        <f t="shared" si="76"/>
        <v>10850533.782903222</v>
      </c>
      <c r="M187" s="2">
        <f t="shared" si="76"/>
        <v>12787621.237359185</v>
      </c>
      <c r="N187" s="2">
        <f t="shared" si="76"/>
        <v>14627433.277786093</v>
      </c>
      <c r="O187" s="2">
        <f t="shared" si="76"/>
        <v>16372724.08233293</v>
      </c>
      <c r="P187" s="2">
        <f t="shared" si="76"/>
        <v>18143790.859677456</v>
      </c>
      <c r="Q187" s="2">
        <f t="shared" si="76"/>
        <v>19936635.213957675</v>
      </c>
      <c r="R187" s="2">
        <f t="shared" si="76"/>
        <v>21875346.738966595</v>
      </c>
      <c r="S187" s="2">
        <f t="shared" si="76"/>
        <v>23978685.34380573</v>
      </c>
      <c r="T187" s="2">
        <f t="shared" si="76"/>
        <v>26254860.597206138</v>
      </c>
      <c r="U187" s="2">
        <f t="shared" si="76"/>
        <v>28607083.480506632</v>
      </c>
      <c r="V187" s="2">
        <f t="shared" si="76"/>
        <v>31038401.807321686</v>
      </c>
      <c r="W187" s="2">
        <f t="shared" si="76"/>
        <v>31690208.245275438</v>
      </c>
      <c r="X187" s="2">
        <f t="shared" si="76"/>
        <v>32355702.618426219</v>
      </c>
      <c r="Y187" s="2">
        <f t="shared" si="76"/>
        <v>33035172.373413168</v>
      </c>
      <c r="Z187" s="2">
        <f t="shared" si="76"/>
        <v>33728910.99325484</v>
      </c>
      <c r="AA187" s="2">
        <f t="shared" si="76"/>
        <v>34437218.124113187</v>
      </c>
    </row>
    <row r="188" spans="1:27" x14ac:dyDescent="0.25">
      <c r="H188" s="2"/>
      <c r="I188" s="2"/>
      <c r="J188" s="2"/>
      <c r="K188" s="2"/>
      <c r="L188" s="2"/>
      <c r="M188" s="2"/>
      <c r="N188" s="2"/>
      <c r="O188" s="2"/>
      <c r="P188" s="2"/>
      <c r="Q188" s="2"/>
      <c r="R188" s="2"/>
      <c r="S188" s="2"/>
      <c r="T188" s="2"/>
      <c r="U188" s="2"/>
      <c r="V188" s="2"/>
      <c r="W188" s="2"/>
      <c r="X188" s="2"/>
      <c r="Y188" s="2"/>
      <c r="Z188" s="2"/>
      <c r="AA188" s="2"/>
    </row>
    <row r="189" spans="1:27" x14ac:dyDescent="0.25">
      <c r="C189" s="1" t="s">
        <v>10</v>
      </c>
      <c r="G189" s="2"/>
    </row>
    <row r="190" spans="1:27" x14ac:dyDescent="0.25">
      <c r="C190" s="1"/>
      <c r="D190" t="s">
        <v>149</v>
      </c>
      <c r="G190" s="2"/>
    </row>
    <row r="191" spans="1:27" x14ac:dyDescent="0.25">
      <c r="A191" s="14">
        <f>'Notes &amp; Assumptions'!A53</f>
        <v>40</v>
      </c>
      <c r="C191" s="1"/>
      <c r="E191" t="s">
        <v>125</v>
      </c>
      <c r="G191" s="2"/>
      <c r="H191" s="11"/>
      <c r="I191" s="11"/>
      <c r="J191" s="11"/>
      <c r="K191" s="11"/>
      <c r="L191" s="11"/>
      <c r="M191" s="11"/>
      <c r="N191" s="11"/>
      <c r="O191" s="11"/>
      <c r="P191" s="11"/>
      <c r="Q191" s="11"/>
      <c r="R191" s="11"/>
      <c r="S191" s="11"/>
      <c r="T191" s="11"/>
      <c r="U191" s="11"/>
      <c r="V191" s="11"/>
      <c r="W191" s="11"/>
      <c r="X191" s="11"/>
      <c r="Y191" s="11"/>
      <c r="Z191" s="11"/>
      <c r="AA191" s="11"/>
    </row>
    <row r="192" spans="1:27" x14ac:dyDescent="0.25">
      <c r="A192" s="14">
        <f>'Notes &amp; Assumptions'!A54</f>
        <v>41</v>
      </c>
      <c r="E192" t="s">
        <v>26</v>
      </c>
      <c r="F192" t="s">
        <v>22</v>
      </c>
      <c r="G192" s="10">
        <f>'Key assumptions'!B13</f>
        <v>72</v>
      </c>
      <c r="H192" s="2">
        <f t="shared" ref="H192:W193" si="77">G192*(1+$G$14)*(1+H$191)</f>
        <v>73.512</v>
      </c>
      <c r="I192" s="2">
        <f t="shared" si="77"/>
        <v>75.055751999999998</v>
      </c>
      <c r="J192" s="2">
        <f t="shared" si="77"/>
        <v>76.631922791999997</v>
      </c>
      <c r="K192" s="2">
        <f t="shared" si="77"/>
        <v>78.241193170631988</v>
      </c>
      <c r="L192" s="2">
        <f t="shared" si="77"/>
        <v>79.884258227215255</v>
      </c>
      <c r="M192" s="2">
        <f t="shared" si="77"/>
        <v>81.561827649986768</v>
      </c>
      <c r="N192" s="2">
        <f t="shared" si="77"/>
        <v>83.274626030636483</v>
      </c>
      <c r="O192" s="2">
        <f t="shared" si="77"/>
        <v>85.023393177279843</v>
      </c>
      <c r="P192" s="2">
        <f t="shared" si="77"/>
        <v>86.808884434002707</v>
      </c>
      <c r="Q192" s="2">
        <f t="shared" si="77"/>
        <v>88.631871007116757</v>
      </c>
      <c r="R192" s="2">
        <f t="shared" si="77"/>
        <v>90.493140298266198</v>
      </c>
      <c r="S192" s="2">
        <f t="shared" si="77"/>
        <v>92.393496244529786</v>
      </c>
      <c r="T192" s="2">
        <f t="shared" si="77"/>
        <v>94.3337596656649</v>
      </c>
      <c r="U192" s="2">
        <f t="shared" si="77"/>
        <v>96.314768618643853</v>
      </c>
      <c r="V192" s="2">
        <f t="shared" si="77"/>
        <v>98.337378759635371</v>
      </c>
      <c r="W192" s="2">
        <f t="shared" si="77"/>
        <v>100.40246371358771</v>
      </c>
      <c r="X192" s="2">
        <f t="shared" ref="X192:AA193" si="78">W192*(1+$G$14)*(1+X$191)</f>
        <v>102.51091545157304</v>
      </c>
      <c r="Y192" s="2">
        <f t="shared" si="78"/>
        <v>104.66364467605607</v>
      </c>
      <c r="Z192" s="2">
        <f t="shared" si="78"/>
        <v>106.86158121425323</v>
      </c>
      <c r="AA192" s="2">
        <f t="shared" si="78"/>
        <v>109.10567441975255</v>
      </c>
    </row>
    <row r="193" spans="1:29" x14ac:dyDescent="0.25">
      <c r="A193" s="14">
        <f>'Notes &amp; Assumptions'!A55</f>
        <v>42</v>
      </c>
      <c r="E193" t="s">
        <v>27</v>
      </c>
      <c r="F193" t="s">
        <v>4</v>
      </c>
      <c r="G193" s="10"/>
      <c r="H193" s="2">
        <f t="shared" si="77"/>
        <v>0</v>
      </c>
      <c r="I193" s="2">
        <f t="shared" si="77"/>
        <v>0</v>
      </c>
      <c r="J193" s="2">
        <f t="shared" si="77"/>
        <v>0</v>
      </c>
      <c r="K193" s="2">
        <f t="shared" si="77"/>
        <v>0</v>
      </c>
      <c r="L193" s="2">
        <f t="shared" si="77"/>
        <v>0</v>
      </c>
      <c r="M193" s="2">
        <f t="shared" si="77"/>
        <v>0</v>
      </c>
      <c r="N193" s="2">
        <f t="shared" si="77"/>
        <v>0</v>
      </c>
      <c r="O193" s="2">
        <f t="shared" si="77"/>
        <v>0</v>
      </c>
      <c r="P193" s="2">
        <f t="shared" si="77"/>
        <v>0</v>
      </c>
      <c r="Q193" s="2">
        <f t="shared" si="77"/>
        <v>0</v>
      </c>
      <c r="R193" s="2">
        <f t="shared" si="77"/>
        <v>0</v>
      </c>
      <c r="S193" s="2">
        <f t="shared" si="77"/>
        <v>0</v>
      </c>
      <c r="T193" s="2">
        <f t="shared" si="77"/>
        <v>0</v>
      </c>
      <c r="U193" s="2">
        <f t="shared" si="77"/>
        <v>0</v>
      </c>
      <c r="V193" s="2">
        <f t="shared" si="77"/>
        <v>0</v>
      </c>
      <c r="W193" s="2">
        <f t="shared" si="77"/>
        <v>0</v>
      </c>
      <c r="X193" s="2">
        <f t="shared" si="78"/>
        <v>0</v>
      </c>
      <c r="Y193" s="2">
        <f t="shared" si="78"/>
        <v>0</v>
      </c>
      <c r="Z193" s="2">
        <f t="shared" si="78"/>
        <v>0</v>
      </c>
      <c r="AA193" s="2">
        <f t="shared" si="78"/>
        <v>0</v>
      </c>
    </row>
    <row r="194" spans="1:29" x14ac:dyDescent="0.25">
      <c r="A194" s="14">
        <f>'Notes &amp; Assumptions'!A56</f>
        <v>43</v>
      </c>
      <c r="E194" t="s">
        <v>39</v>
      </c>
      <c r="F194" t="s">
        <v>7</v>
      </c>
      <c r="G194" s="2"/>
      <c r="H194" s="10"/>
      <c r="I194" s="10"/>
      <c r="J194" s="10"/>
      <c r="K194" s="10"/>
      <c r="L194" s="10"/>
      <c r="M194" s="10"/>
      <c r="N194" s="10"/>
      <c r="O194" s="10"/>
      <c r="P194" s="10"/>
      <c r="Q194" s="10"/>
      <c r="R194" s="10"/>
      <c r="S194" s="10"/>
      <c r="T194" s="10"/>
      <c r="U194" s="10"/>
      <c r="V194" s="10"/>
      <c r="W194" s="10"/>
      <c r="X194" s="10"/>
      <c r="Y194" s="10"/>
      <c r="Z194" s="10"/>
      <c r="AA194" s="10"/>
    </row>
    <row r="195" spans="1:29" x14ac:dyDescent="0.25">
      <c r="B195" s="14"/>
      <c r="C195" s="14"/>
      <c r="D195" s="14"/>
      <c r="E195" s="14"/>
      <c r="F195" s="14"/>
      <c r="G195" s="14"/>
      <c r="H195" s="14"/>
      <c r="I195" s="14"/>
      <c r="J195" s="14"/>
      <c r="K195" s="14"/>
      <c r="L195" s="14"/>
      <c r="M195" s="14"/>
      <c r="N195" s="14"/>
      <c r="O195" s="14"/>
      <c r="P195" s="14"/>
      <c r="Q195" s="14"/>
      <c r="R195" s="14"/>
      <c r="S195" s="14"/>
      <c r="T195" s="14"/>
      <c r="U195" s="14"/>
      <c r="V195" s="14"/>
      <c r="W195" s="14"/>
      <c r="X195" s="14"/>
      <c r="Y195" s="14"/>
      <c r="Z195" s="14"/>
      <c r="AA195" s="14"/>
      <c r="AB195" s="14"/>
      <c r="AC195" s="14"/>
    </row>
    <row r="196" spans="1:29" x14ac:dyDescent="0.25">
      <c r="D196" t="s">
        <v>124</v>
      </c>
      <c r="G196" s="14"/>
      <c r="H196" s="14"/>
      <c r="I196" s="14"/>
      <c r="J196" s="14"/>
      <c r="K196" s="14"/>
      <c r="L196" s="14"/>
      <c r="M196" s="14"/>
      <c r="N196" s="14"/>
      <c r="O196" s="14"/>
      <c r="P196" s="14"/>
      <c r="Q196" s="14"/>
      <c r="R196" s="14"/>
      <c r="S196" s="14"/>
      <c r="T196" s="14"/>
      <c r="U196" s="14"/>
      <c r="V196" s="14"/>
      <c r="W196" s="14"/>
      <c r="X196" s="14"/>
      <c r="Y196" s="14"/>
      <c r="Z196" s="14"/>
      <c r="AA196" s="14"/>
    </row>
    <row r="197" spans="1:29" x14ac:dyDescent="0.25">
      <c r="A197" s="14">
        <f>'Notes &amp; Assumptions'!A57</f>
        <v>44</v>
      </c>
      <c r="E197" t="s">
        <v>27</v>
      </c>
      <c r="F197" t="s">
        <v>4</v>
      </c>
      <c r="G197" s="14"/>
      <c r="H197" s="10"/>
      <c r="I197" s="10"/>
      <c r="J197" s="10"/>
      <c r="K197" s="10"/>
      <c r="L197" s="10"/>
      <c r="M197" s="10"/>
      <c r="N197" s="10"/>
      <c r="O197" s="10"/>
      <c r="P197" s="10"/>
      <c r="Q197" s="10"/>
      <c r="R197" s="10"/>
      <c r="S197" s="10"/>
      <c r="T197" s="10"/>
      <c r="U197" s="10"/>
      <c r="V197" s="10"/>
      <c r="W197" s="10"/>
      <c r="X197" s="10"/>
      <c r="Y197" s="10"/>
      <c r="Z197" s="10"/>
      <c r="AA197" s="10"/>
    </row>
    <row r="198" spans="1:29" x14ac:dyDescent="0.25">
      <c r="A198" s="14">
        <f>'Notes &amp; Assumptions'!A58</f>
        <v>45</v>
      </c>
      <c r="E198" t="s">
        <v>39</v>
      </c>
      <c r="F198" t="s">
        <v>7</v>
      </c>
      <c r="G198" s="2"/>
      <c r="H198" s="10"/>
      <c r="I198" s="10"/>
      <c r="J198" s="10"/>
      <c r="K198" s="10"/>
      <c r="L198" s="10"/>
      <c r="M198" s="10"/>
      <c r="N198" s="10"/>
      <c r="O198" s="10"/>
      <c r="P198" s="10"/>
      <c r="Q198" s="10"/>
      <c r="R198" s="10"/>
      <c r="S198" s="10"/>
      <c r="T198" s="10"/>
      <c r="U198" s="10"/>
      <c r="V198" s="10"/>
      <c r="W198" s="10"/>
      <c r="X198" s="10"/>
      <c r="Y198" s="10"/>
      <c r="Z198" s="10"/>
      <c r="AA198" s="10"/>
    </row>
    <row r="199" spans="1:29" x14ac:dyDescent="0.25">
      <c r="G199" s="2"/>
    </row>
    <row r="200" spans="1:29" x14ac:dyDescent="0.25">
      <c r="E200" t="s">
        <v>10</v>
      </c>
      <c r="F200" t="s">
        <v>7</v>
      </c>
      <c r="G200" s="2"/>
      <c r="H200" s="2">
        <f>H192*H175+(H193+H197)*H176+H194+H198</f>
        <v>737986.96799999999</v>
      </c>
      <c r="I200" s="2">
        <f t="shared" ref="I200:AA200" si="79">I192*I175+(I193+I197)*I176+I194+I198</f>
        <v>1468015.453368</v>
      </c>
      <c r="J200" s="2">
        <f t="shared" si="79"/>
        <v>2201612.1522373222</v>
      </c>
      <c r="K200" s="2">
        <f t="shared" si="79"/>
        <v>2903867.1156927864</v>
      </c>
      <c r="L200" s="2">
        <f t="shared" si="79"/>
        <v>3574045.6783630783</v>
      </c>
      <c r="M200" s="2">
        <f t="shared" si="79"/>
        <v>4211714.1247383114</v>
      </c>
      <c r="N200" s="2">
        <f t="shared" si="79"/>
        <v>4817212.2743820371</v>
      </c>
      <c r="O200" s="2">
        <f t="shared" si="79"/>
        <v>5391418.3847644916</v>
      </c>
      <c r="P200" s="2">
        <f t="shared" si="79"/>
        <v>5973927.0000947639</v>
      </c>
      <c r="Q200" s="2">
        <f t="shared" si="79"/>
        <v>6563331.8590706065</v>
      </c>
      <c r="R200" s="2">
        <f t="shared" si="79"/>
        <v>7200683.9625575179</v>
      </c>
      <c r="S200" s="2">
        <f t="shared" si="79"/>
        <v>7892095.3802641174</v>
      </c>
      <c r="T200" s="2">
        <f t="shared" si="79"/>
        <v>8640340.3491851445</v>
      </c>
      <c r="U200" s="2">
        <f t="shared" si="79"/>
        <v>9413603.2237721495</v>
      </c>
      <c r="V200" s="2">
        <f t="shared" si="79"/>
        <v>10212848.138557682</v>
      </c>
      <c r="W200" s="2">
        <f t="shared" si="79"/>
        <v>10427317.949467393</v>
      </c>
      <c r="X200" s="2">
        <f t="shared" si="79"/>
        <v>10646291.626406206</v>
      </c>
      <c r="Y200" s="2">
        <f t="shared" si="79"/>
        <v>10869863.750560736</v>
      </c>
      <c r="Z200" s="2">
        <f t="shared" si="79"/>
        <v>11098130.88932251</v>
      </c>
      <c r="AA200" s="2">
        <f t="shared" si="79"/>
        <v>11331191.637998283</v>
      </c>
    </row>
    <row r="201" spans="1:29" x14ac:dyDescent="0.25">
      <c r="G201" s="2"/>
      <c r="H201" s="2"/>
      <c r="I201" s="2"/>
      <c r="J201" s="2"/>
      <c r="K201" s="2"/>
      <c r="L201" s="2"/>
      <c r="M201" s="2"/>
      <c r="N201" s="2"/>
      <c r="O201" s="2"/>
      <c r="P201" s="2"/>
      <c r="Q201" s="2"/>
      <c r="R201" s="2"/>
      <c r="S201" s="2"/>
      <c r="T201" s="2"/>
      <c r="U201" s="2"/>
      <c r="V201" s="2"/>
      <c r="W201" s="2"/>
      <c r="X201" s="2"/>
      <c r="Y201" s="2"/>
      <c r="Z201" s="2"/>
      <c r="AA201" s="2"/>
    </row>
    <row r="202" spans="1:29" x14ac:dyDescent="0.25">
      <c r="C202" s="1" t="s">
        <v>48</v>
      </c>
      <c r="G202" s="2"/>
      <c r="H202" s="2"/>
      <c r="I202" s="2"/>
      <c r="J202" s="2"/>
      <c r="K202" s="2"/>
      <c r="L202" s="2"/>
      <c r="M202" s="2"/>
      <c r="N202" s="2"/>
      <c r="O202" s="2"/>
      <c r="P202" s="2"/>
      <c r="Q202" s="2"/>
      <c r="R202" s="2"/>
      <c r="S202" s="2"/>
      <c r="T202" s="2"/>
      <c r="U202" s="2"/>
      <c r="V202" s="2"/>
      <c r="W202" s="2"/>
      <c r="X202" s="2"/>
      <c r="Y202" s="2"/>
      <c r="Z202" s="2"/>
      <c r="AA202" s="2"/>
    </row>
    <row r="203" spans="1:29" x14ac:dyDescent="0.25">
      <c r="A203" s="14">
        <f>'Notes &amp; Assumptions'!A59</f>
        <v>46</v>
      </c>
      <c r="E203" s="10" t="s">
        <v>44</v>
      </c>
      <c r="F203" t="s">
        <v>7</v>
      </c>
      <c r="G203" s="2"/>
      <c r="H203" s="10"/>
      <c r="I203" s="10"/>
      <c r="J203" s="10"/>
      <c r="K203" s="10"/>
      <c r="L203" s="10"/>
      <c r="M203" s="10"/>
      <c r="N203" s="10"/>
      <c r="O203" s="10"/>
      <c r="P203" s="10"/>
      <c r="Q203" s="10"/>
      <c r="R203" s="10"/>
      <c r="S203" s="10"/>
      <c r="T203" s="10"/>
      <c r="U203" s="10"/>
      <c r="V203" s="10"/>
      <c r="W203" s="10"/>
      <c r="X203" s="10"/>
      <c r="Y203" s="10"/>
      <c r="Z203" s="10"/>
      <c r="AA203" s="10"/>
    </row>
    <row r="204" spans="1:29" x14ac:dyDescent="0.25">
      <c r="A204" s="14">
        <f>'Notes &amp; Assumptions'!A60</f>
        <v>47</v>
      </c>
      <c r="E204" s="10" t="s">
        <v>45</v>
      </c>
      <c r="F204" t="s">
        <v>7</v>
      </c>
      <c r="G204" s="2"/>
      <c r="H204" s="10"/>
      <c r="I204" s="10"/>
      <c r="J204" s="10"/>
      <c r="K204" s="10"/>
      <c r="L204" s="10"/>
      <c r="M204" s="10"/>
      <c r="N204" s="10"/>
      <c r="O204" s="10"/>
      <c r="P204" s="10"/>
      <c r="Q204" s="10"/>
      <c r="R204" s="10"/>
      <c r="S204" s="10"/>
      <c r="T204" s="10"/>
      <c r="U204" s="10"/>
      <c r="V204" s="10"/>
      <c r="W204" s="10"/>
      <c r="X204" s="10"/>
      <c r="Y204" s="10"/>
      <c r="Z204" s="10"/>
      <c r="AA204" s="10"/>
    </row>
    <row r="205" spans="1:29" x14ac:dyDescent="0.25">
      <c r="A205" s="14">
        <f>'Notes &amp; Assumptions'!A61</f>
        <v>48</v>
      </c>
      <c r="E205" s="10" t="s">
        <v>46</v>
      </c>
      <c r="F205" t="s">
        <v>7</v>
      </c>
      <c r="G205" s="2"/>
      <c r="H205" s="10"/>
      <c r="I205" s="10"/>
      <c r="J205" s="10"/>
      <c r="K205" s="10"/>
      <c r="L205" s="10"/>
      <c r="M205" s="10"/>
      <c r="N205" s="10"/>
      <c r="O205" s="10"/>
      <c r="P205" s="10"/>
      <c r="Q205" s="10"/>
      <c r="R205" s="10"/>
      <c r="S205" s="10"/>
      <c r="T205" s="10"/>
      <c r="U205" s="10"/>
      <c r="V205" s="10"/>
      <c r="W205" s="10"/>
      <c r="X205" s="10"/>
      <c r="Y205" s="10"/>
      <c r="Z205" s="10"/>
      <c r="AA205" s="10"/>
    </row>
    <row r="206" spans="1:29" x14ac:dyDescent="0.25">
      <c r="A206" s="14">
        <f>'Notes &amp; Assumptions'!A62</f>
        <v>49</v>
      </c>
      <c r="E206" s="10" t="s">
        <v>47</v>
      </c>
      <c r="F206" t="s">
        <v>7</v>
      </c>
      <c r="G206" s="2"/>
      <c r="H206" s="10"/>
      <c r="I206" s="10"/>
      <c r="J206" s="10"/>
      <c r="K206" s="10"/>
      <c r="L206" s="10"/>
      <c r="M206" s="10"/>
      <c r="N206" s="10"/>
      <c r="O206" s="10"/>
      <c r="P206" s="10"/>
      <c r="Q206" s="10"/>
      <c r="R206" s="10"/>
      <c r="S206" s="10"/>
      <c r="T206" s="10"/>
      <c r="U206" s="10"/>
      <c r="V206" s="10"/>
      <c r="W206" s="10"/>
      <c r="X206" s="10"/>
      <c r="Y206" s="10"/>
      <c r="Z206" s="10"/>
      <c r="AA206" s="10"/>
    </row>
    <row r="207" spans="1:29" x14ac:dyDescent="0.25">
      <c r="E207" t="s">
        <v>17</v>
      </c>
      <c r="G207" s="2"/>
      <c r="H207" s="2">
        <f>SUM(H203:H206)</f>
        <v>0</v>
      </c>
      <c r="I207" s="2">
        <f t="shared" ref="I207:AA207" si="80">SUM(I203:I206)</f>
        <v>0</v>
      </c>
      <c r="J207" s="2">
        <f t="shared" si="80"/>
        <v>0</v>
      </c>
      <c r="K207" s="2">
        <f t="shared" si="80"/>
        <v>0</v>
      </c>
      <c r="L207" s="2">
        <f t="shared" si="80"/>
        <v>0</v>
      </c>
      <c r="M207" s="2">
        <f t="shared" si="80"/>
        <v>0</v>
      </c>
      <c r="N207" s="2">
        <f t="shared" si="80"/>
        <v>0</v>
      </c>
      <c r="O207" s="2">
        <f t="shared" si="80"/>
        <v>0</v>
      </c>
      <c r="P207" s="2">
        <f t="shared" si="80"/>
        <v>0</v>
      </c>
      <c r="Q207" s="2">
        <f t="shared" si="80"/>
        <v>0</v>
      </c>
      <c r="R207" s="2">
        <f t="shared" si="80"/>
        <v>0</v>
      </c>
      <c r="S207" s="2">
        <f t="shared" si="80"/>
        <v>0</v>
      </c>
      <c r="T207" s="2">
        <f t="shared" si="80"/>
        <v>0</v>
      </c>
      <c r="U207" s="2">
        <f t="shared" si="80"/>
        <v>0</v>
      </c>
      <c r="V207" s="2">
        <f t="shared" si="80"/>
        <v>0</v>
      </c>
      <c r="W207" s="2">
        <f t="shared" si="80"/>
        <v>0</v>
      </c>
      <c r="X207" s="2">
        <f t="shared" si="80"/>
        <v>0</v>
      </c>
      <c r="Y207" s="2">
        <f t="shared" si="80"/>
        <v>0</v>
      </c>
      <c r="Z207" s="2">
        <f t="shared" si="80"/>
        <v>0</v>
      </c>
      <c r="AA207" s="2">
        <f t="shared" si="80"/>
        <v>0</v>
      </c>
    </row>
    <row r="208" spans="1:29" x14ac:dyDescent="0.25">
      <c r="G208" s="2"/>
      <c r="H208" s="2"/>
      <c r="I208" s="2"/>
      <c r="J208" s="2"/>
      <c r="K208" s="2"/>
      <c r="L208" s="2"/>
      <c r="M208" s="2"/>
      <c r="N208" s="2"/>
      <c r="O208" s="2"/>
      <c r="P208" s="2"/>
      <c r="Q208" s="2"/>
      <c r="R208" s="2"/>
      <c r="S208" s="2"/>
      <c r="T208" s="2"/>
      <c r="U208" s="2"/>
      <c r="V208" s="2"/>
      <c r="W208" s="2"/>
      <c r="X208" s="2"/>
      <c r="Y208" s="2"/>
      <c r="Z208" s="2"/>
      <c r="AA208" s="2"/>
    </row>
    <row r="209" spans="1:27" x14ac:dyDescent="0.25">
      <c r="C209" s="1" t="s">
        <v>49</v>
      </c>
      <c r="G209" s="2"/>
      <c r="H209" s="2"/>
      <c r="I209" s="2"/>
      <c r="J209" s="2"/>
      <c r="K209" s="2"/>
      <c r="L209" s="2"/>
      <c r="M209" s="2"/>
      <c r="N209" s="2"/>
      <c r="O209" s="2"/>
      <c r="P209" s="2"/>
      <c r="Q209" s="2"/>
      <c r="R209" s="2"/>
      <c r="S209" s="2"/>
      <c r="T209" s="2"/>
      <c r="U209" s="2"/>
      <c r="V209" s="2"/>
      <c r="W209" s="2"/>
      <c r="X209" s="2"/>
      <c r="Y209" s="2"/>
      <c r="Z209" s="2"/>
      <c r="AA209" s="2"/>
    </row>
    <row r="210" spans="1:27" x14ac:dyDescent="0.25">
      <c r="A210" s="14">
        <f>'Notes &amp; Assumptions'!A63</f>
        <v>50</v>
      </c>
      <c r="E210" s="10" t="s">
        <v>174</v>
      </c>
      <c r="F210" t="s">
        <v>7</v>
      </c>
      <c r="G210" s="24">
        <v>0</v>
      </c>
      <c r="H210" s="10">
        <f>H107*($G$210*(1+$G$14)^(H2))</f>
        <v>0</v>
      </c>
      <c r="I210" s="10">
        <f>I107*($G$210*(1+$G$14)^(I2))</f>
        <v>0</v>
      </c>
      <c r="J210" s="10">
        <f t="shared" ref="J210:AA210" si="81">J107*($G$210*(1+$G$14)^(J2))</f>
        <v>0</v>
      </c>
      <c r="K210" s="10">
        <f t="shared" si="81"/>
        <v>0</v>
      </c>
      <c r="L210" s="10">
        <f t="shared" si="81"/>
        <v>0</v>
      </c>
      <c r="M210" s="10">
        <f t="shared" si="81"/>
        <v>0</v>
      </c>
      <c r="N210" s="10">
        <f t="shared" si="81"/>
        <v>0</v>
      </c>
      <c r="O210" s="10">
        <f t="shared" si="81"/>
        <v>0</v>
      </c>
      <c r="P210" s="10">
        <f t="shared" si="81"/>
        <v>0</v>
      </c>
      <c r="Q210" s="10">
        <f t="shared" si="81"/>
        <v>0</v>
      </c>
      <c r="R210" s="10">
        <f t="shared" si="81"/>
        <v>0</v>
      </c>
      <c r="S210" s="10">
        <f t="shared" si="81"/>
        <v>0</v>
      </c>
      <c r="T210" s="10">
        <f t="shared" si="81"/>
        <v>0</v>
      </c>
      <c r="U210" s="10">
        <f t="shared" si="81"/>
        <v>0</v>
      </c>
      <c r="V210" s="10">
        <f t="shared" si="81"/>
        <v>0</v>
      </c>
      <c r="W210" s="10">
        <f t="shared" si="81"/>
        <v>0</v>
      </c>
      <c r="X210" s="10">
        <f t="shared" si="81"/>
        <v>0</v>
      </c>
      <c r="Y210" s="10">
        <f t="shared" si="81"/>
        <v>0</v>
      </c>
      <c r="Z210" s="10">
        <f t="shared" si="81"/>
        <v>0</v>
      </c>
      <c r="AA210" s="10">
        <f t="shared" si="81"/>
        <v>0</v>
      </c>
    </row>
    <row r="211" spans="1:27" x14ac:dyDescent="0.25">
      <c r="A211" s="14">
        <f>'Notes &amp; Assumptions'!A64</f>
        <v>51</v>
      </c>
      <c r="E211" s="10" t="s">
        <v>50</v>
      </c>
      <c r="F211" t="s">
        <v>7</v>
      </c>
      <c r="G211" s="2"/>
      <c r="H211" s="10"/>
      <c r="I211" s="10"/>
      <c r="J211" s="10"/>
      <c r="K211" s="10"/>
      <c r="L211" s="10"/>
      <c r="M211" s="10"/>
      <c r="N211" s="10"/>
      <c r="O211" s="10"/>
      <c r="P211" s="10"/>
      <c r="Q211" s="10"/>
      <c r="R211" s="10"/>
      <c r="S211" s="10"/>
      <c r="T211" s="10"/>
      <c r="U211" s="10"/>
      <c r="V211" s="10"/>
      <c r="W211" s="10"/>
      <c r="X211" s="10"/>
      <c r="Y211" s="10"/>
      <c r="Z211" s="10"/>
      <c r="AA211" s="10"/>
    </row>
    <row r="212" spans="1:27" x14ac:dyDescent="0.25">
      <c r="A212" s="14">
        <f>'Notes &amp; Assumptions'!A65</f>
        <v>52</v>
      </c>
      <c r="E212" s="10" t="s">
        <v>51</v>
      </c>
      <c r="F212" t="s">
        <v>7</v>
      </c>
      <c r="G212" s="2"/>
      <c r="H212" s="10"/>
      <c r="I212" s="10"/>
      <c r="J212" s="10"/>
      <c r="K212" s="10"/>
      <c r="L212" s="10"/>
      <c r="M212" s="10"/>
      <c r="N212" s="10"/>
      <c r="O212" s="10"/>
      <c r="P212" s="10"/>
      <c r="Q212" s="10"/>
      <c r="R212" s="10"/>
      <c r="S212" s="10"/>
      <c r="T212" s="10"/>
      <c r="U212" s="10"/>
      <c r="V212" s="10"/>
      <c r="W212" s="10"/>
      <c r="X212" s="10"/>
      <c r="Y212" s="10"/>
      <c r="Z212" s="10"/>
      <c r="AA212" s="10"/>
    </row>
    <row r="213" spans="1:27" x14ac:dyDescent="0.25">
      <c r="A213" s="14">
        <f>'Notes &amp; Assumptions'!A66</f>
        <v>53</v>
      </c>
      <c r="E213" s="10" t="s">
        <v>52</v>
      </c>
      <c r="F213" t="s">
        <v>7</v>
      </c>
      <c r="G213" s="2"/>
      <c r="H213" s="10"/>
      <c r="I213" s="10"/>
      <c r="J213" s="10"/>
      <c r="K213" s="10"/>
      <c r="L213" s="10"/>
      <c r="M213" s="10"/>
      <c r="N213" s="10"/>
      <c r="O213" s="10"/>
      <c r="P213" s="10"/>
      <c r="Q213" s="10"/>
      <c r="R213" s="10"/>
      <c r="S213" s="10"/>
      <c r="T213" s="10"/>
      <c r="U213" s="10"/>
      <c r="V213" s="10"/>
      <c r="W213" s="10"/>
      <c r="X213" s="10"/>
      <c r="Y213" s="10"/>
      <c r="Z213" s="10"/>
      <c r="AA213" s="10"/>
    </row>
    <row r="214" spans="1:27" x14ac:dyDescent="0.25">
      <c r="E214" t="s">
        <v>17</v>
      </c>
      <c r="G214" s="2"/>
      <c r="H214" s="2">
        <f>SUM(H210:H213)</f>
        <v>0</v>
      </c>
      <c r="I214" s="2">
        <f t="shared" ref="I214:AA214" si="82">SUM(I210:I213)</f>
        <v>0</v>
      </c>
      <c r="J214" s="2">
        <f t="shared" si="82"/>
        <v>0</v>
      </c>
      <c r="K214" s="2">
        <f t="shared" si="82"/>
        <v>0</v>
      </c>
      <c r="L214" s="2">
        <f t="shared" si="82"/>
        <v>0</v>
      </c>
      <c r="M214" s="2">
        <f t="shared" si="82"/>
        <v>0</v>
      </c>
      <c r="N214" s="2">
        <f t="shared" si="82"/>
        <v>0</v>
      </c>
      <c r="O214" s="2">
        <f t="shared" si="82"/>
        <v>0</v>
      </c>
      <c r="P214" s="2">
        <f t="shared" si="82"/>
        <v>0</v>
      </c>
      <c r="Q214" s="2">
        <f t="shared" si="82"/>
        <v>0</v>
      </c>
      <c r="R214" s="2">
        <f t="shared" si="82"/>
        <v>0</v>
      </c>
      <c r="S214" s="2">
        <f t="shared" si="82"/>
        <v>0</v>
      </c>
      <c r="T214" s="2">
        <f t="shared" si="82"/>
        <v>0</v>
      </c>
      <c r="U214" s="2">
        <f t="shared" si="82"/>
        <v>0</v>
      </c>
      <c r="V214" s="2">
        <f t="shared" si="82"/>
        <v>0</v>
      </c>
      <c r="W214" s="2">
        <f t="shared" si="82"/>
        <v>0</v>
      </c>
      <c r="X214" s="2">
        <f t="shared" si="82"/>
        <v>0</v>
      </c>
      <c r="Y214" s="2">
        <f t="shared" si="82"/>
        <v>0</v>
      </c>
      <c r="Z214" s="2">
        <f t="shared" si="82"/>
        <v>0</v>
      </c>
      <c r="AA214" s="2">
        <f t="shared" si="82"/>
        <v>0</v>
      </c>
    </row>
    <row r="215" spans="1:27" x14ac:dyDescent="0.25">
      <c r="G215" s="2"/>
      <c r="H215" s="2"/>
      <c r="I215" s="2"/>
      <c r="J215" s="2"/>
      <c r="K215" s="2"/>
      <c r="L215" s="2"/>
      <c r="M215" s="2"/>
      <c r="N215" s="2"/>
      <c r="O215" s="2"/>
      <c r="P215" s="2"/>
      <c r="Q215" s="2"/>
      <c r="R215" s="2"/>
      <c r="S215" s="2"/>
      <c r="T215" s="2"/>
      <c r="U215" s="2"/>
      <c r="V215" s="2"/>
      <c r="W215" s="2"/>
      <c r="X215" s="2"/>
      <c r="Y215" s="2"/>
      <c r="Z215" s="2"/>
      <c r="AA215" s="2"/>
    </row>
    <row r="216" spans="1:27" x14ac:dyDescent="0.25">
      <c r="C216" s="1" t="s">
        <v>33</v>
      </c>
      <c r="G216" s="2"/>
      <c r="H216" s="2"/>
      <c r="I216" s="2"/>
      <c r="J216" s="2"/>
      <c r="K216" s="2"/>
      <c r="L216" s="2"/>
      <c r="M216" s="2"/>
      <c r="N216" s="2"/>
      <c r="O216" s="2"/>
      <c r="P216" s="2"/>
      <c r="Q216" s="2"/>
      <c r="R216" s="2"/>
      <c r="S216" s="2"/>
      <c r="T216" s="2"/>
      <c r="U216" s="2"/>
      <c r="V216" s="2"/>
      <c r="W216" s="2"/>
      <c r="X216" s="2"/>
      <c r="Y216" s="2"/>
      <c r="Z216" s="2"/>
      <c r="AA216" s="2"/>
    </row>
    <row r="217" spans="1:27" x14ac:dyDescent="0.25">
      <c r="C217" s="1"/>
      <c r="D217" s="1"/>
      <c r="E217" t="s">
        <v>29</v>
      </c>
      <c r="F217" t="s">
        <v>3</v>
      </c>
      <c r="G217" s="44"/>
      <c r="H217" s="2">
        <f>H174</f>
        <v>10039</v>
      </c>
      <c r="I217" s="2">
        <f t="shared" ref="I217:AA217" si="83">I174</f>
        <v>9520</v>
      </c>
      <c r="J217" s="2">
        <f t="shared" si="83"/>
        <v>9170.6999999999989</v>
      </c>
      <c r="K217" s="2">
        <f t="shared" si="83"/>
        <v>8384.5999999999985</v>
      </c>
      <c r="L217" s="2">
        <f t="shared" si="83"/>
        <v>7625.9999999999982</v>
      </c>
      <c r="M217" s="2">
        <f t="shared" si="83"/>
        <v>6897.9999999999982</v>
      </c>
      <c r="N217" s="2">
        <f t="shared" si="83"/>
        <v>6208.9999999999973</v>
      </c>
      <c r="O217" s="2">
        <f t="shared" si="83"/>
        <v>5563.699999999998</v>
      </c>
      <c r="P217" s="2">
        <f t="shared" si="83"/>
        <v>5405.9999999999982</v>
      </c>
      <c r="Q217" s="2">
        <f t="shared" si="83"/>
        <v>5234.5999999999985</v>
      </c>
      <c r="R217" s="2">
        <f t="shared" si="83"/>
        <v>5519.9999999999982</v>
      </c>
      <c r="S217" s="2">
        <f t="shared" si="83"/>
        <v>5846.699999999998</v>
      </c>
      <c r="T217" s="2">
        <f t="shared" si="83"/>
        <v>6174.9999999999982</v>
      </c>
      <c r="U217" s="2">
        <f t="shared" si="83"/>
        <v>6144.5999999999976</v>
      </c>
      <c r="V217" s="2">
        <f t="shared" si="83"/>
        <v>6117.2999999999975</v>
      </c>
      <c r="W217" s="2">
        <f t="shared" si="83"/>
        <v>0</v>
      </c>
      <c r="X217" s="2">
        <f t="shared" si="83"/>
        <v>0</v>
      </c>
      <c r="Y217" s="2">
        <f t="shared" si="83"/>
        <v>0</v>
      </c>
      <c r="Z217" s="2">
        <f t="shared" si="83"/>
        <v>0</v>
      </c>
      <c r="AA217" s="2">
        <f t="shared" si="83"/>
        <v>0</v>
      </c>
    </row>
    <row r="218" spans="1:27" x14ac:dyDescent="0.25">
      <c r="E218" t="s">
        <v>18</v>
      </c>
      <c r="F218" t="s">
        <v>22</v>
      </c>
      <c r="G218" s="8">
        <f ca="1">MAX(0,-G245/(NPV($G$16,H217:AA217)))</f>
        <v>0</v>
      </c>
      <c r="H218" s="2">
        <f t="shared" ref="H218:AA218" ca="1" si="84">G218*(1+$G$14)</f>
        <v>0</v>
      </c>
      <c r="I218" s="2">
        <f t="shared" ca="1" si="84"/>
        <v>0</v>
      </c>
      <c r="J218" s="2">
        <f t="shared" ca="1" si="84"/>
        <v>0</v>
      </c>
      <c r="K218" s="2">
        <f t="shared" ca="1" si="84"/>
        <v>0</v>
      </c>
      <c r="L218" s="2">
        <f t="shared" ca="1" si="84"/>
        <v>0</v>
      </c>
      <c r="M218" s="2">
        <f t="shared" ca="1" si="84"/>
        <v>0</v>
      </c>
      <c r="N218" s="2">
        <f t="shared" ca="1" si="84"/>
        <v>0</v>
      </c>
      <c r="O218" s="2">
        <f t="shared" ca="1" si="84"/>
        <v>0</v>
      </c>
      <c r="P218" s="2">
        <f t="shared" ca="1" si="84"/>
        <v>0</v>
      </c>
      <c r="Q218" s="2">
        <f t="shared" ca="1" si="84"/>
        <v>0</v>
      </c>
      <c r="R218" s="2">
        <f t="shared" ca="1" si="84"/>
        <v>0</v>
      </c>
      <c r="S218" s="2">
        <f t="shared" ca="1" si="84"/>
        <v>0</v>
      </c>
      <c r="T218" s="2">
        <f t="shared" ca="1" si="84"/>
        <v>0</v>
      </c>
      <c r="U218" s="2">
        <f t="shared" ca="1" si="84"/>
        <v>0</v>
      </c>
      <c r="V218" s="2">
        <f t="shared" ca="1" si="84"/>
        <v>0</v>
      </c>
      <c r="W218" s="2">
        <f t="shared" ca="1" si="84"/>
        <v>0</v>
      </c>
      <c r="X218" s="2">
        <f t="shared" ca="1" si="84"/>
        <v>0</v>
      </c>
      <c r="Y218" s="2">
        <f t="shared" ca="1" si="84"/>
        <v>0</v>
      </c>
      <c r="Z218" s="2">
        <f t="shared" ca="1" si="84"/>
        <v>0</v>
      </c>
      <c r="AA218" s="2">
        <f t="shared" ca="1" si="84"/>
        <v>0</v>
      </c>
    </row>
    <row r="219" spans="1:27" x14ac:dyDescent="0.25">
      <c r="E219" t="s">
        <v>21</v>
      </c>
      <c r="F219" t="s">
        <v>7</v>
      </c>
      <c r="H219" s="2">
        <f ca="1">H218*H217</f>
        <v>0</v>
      </c>
      <c r="I219" s="2">
        <f t="shared" ref="I219:AA219" ca="1" si="85">I218*I217</f>
        <v>0</v>
      </c>
      <c r="J219" s="2">
        <f t="shared" ca="1" si="85"/>
        <v>0</v>
      </c>
      <c r="K219" s="2">
        <f t="shared" ca="1" si="85"/>
        <v>0</v>
      </c>
      <c r="L219" s="2">
        <f t="shared" ca="1" si="85"/>
        <v>0</v>
      </c>
      <c r="M219" s="2">
        <f t="shared" ca="1" si="85"/>
        <v>0</v>
      </c>
      <c r="N219" s="2">
        <f t="shared" ca="1" si="85"/>
        <v>0</v>
      </c>
      <c r="O219" s="2">
        <f t="shared" ca="1" si="85"/>
        <v>0</v>
      </c>
      <c r="P219" s="2">
        <f t="shared" ca="1" si="85"/>
        <v>0</v>
      </c>
      <c r="Q219" s="2">
        <f t="shared" ca="1" si="85"/>
        <v>0</v>
      </c>
      <c r="R219" s="2">
        <f t="shared" ca="1" si="85"/>
        <v>0</v>
      </c>
      <c r="S219" s="2">
        <f t="shared" ca="1" si="85"/>
        <v>0</v>
      </c>
      <c r="T219" s="2">
        <f t="shared" ca="1" si="85"/>
        <v>0</v>
      </c>
      <c r="U219" s="2">
        <f t="shared" ca="1" si="85"/>
        <v>0</v>
      </c>
      <c r="V219" s="2">
        <f t="shared" ca="1" si="85"/>
        <v>0</v>
      </c>
      <c r="W219" s="2">
        <f t="shared" ca="1" si="85"/>
        <v>0</v>
      </c>
      <c r="X219" s="2">
        <f t="shared" ca="1" si="85"/>
        <v>0</v>
      </c>
      <c r="Y219" s="2">
        <f t="shared" ca="1" si="85"/>
        <v>0</v>
      </c>
      <c r="Z219" s="2">
        <f t="shared" ca="1" si="85"/>
        <v>0</v>
      </c>
      <c r="AA219" s="2">
        <f t="shared" ca="1" si="85"/>
        <v>0</v>
      </c>
    </row>
    <row r="220" spans="1:27" x14ac:dyDescent="0.25">
      <c r="G220" s="8">
        <f ca="1">-G245/(NPV($G$16,H217:AA217))</f>
        <v>-3157.075421051285</v>
      </c>
    </row>
    <row r="221" spans="1:27" x14ac:dyDescent="0.25">
      <c r="D221" t="s">
        <v>9</v>
      </c>
    </row>
    <row r="222" spans="1:27" x14ac:dyDescent="0.25">
      <c r="E222" t="s">
        <v>107</v>
      </c>
      <c r="F222" t="s">
        <v>7</v>
      </c>
      <c r="G222" s="2">
        <f t="shared" ref="G222:AA222" si="86">G42</f>
        <v>0</v>
      </c>
      <c r="H222" s="2">
        <f t="shared" si="86"/>
        <v>71748732.999999985</v>
      </c>
      <c r="I222" s="2">
        <f t="shared" si="86"/>
        <v>69468268.23999998</v>
      </c>
      <c r="J222" s="2">
        <f t="shared" si="86"/>
        <v>68324703.061668873</v>
      </c>
      <c r="K222" s="2">
        <f t="shared" si="86"/>
        <v>63779829.969574504</v>
      </c>
      <c r="L222" s="2">
        <f t="shared" si="86"/>
        <v>59227520.453961141</v>
      </c>
      <c r="M222" s="2">
        <f t="shared" si="86"/>
        <v>54698533.470934145</v>
      </c>
      <c r="N222" s="2">
        <f t="shared" si="86"/>
        <v>50268959.321799316</v>
      </c>
      <c r="O222" s="2">
        <f t="shared" si="86"/>
        <v>45990452.338097498</v>
      </c>
      <c r="P222" s="2">
        <f t="shared" si="86"/>
        <v>45625302.843771212</v>
      </c>
      <c r="Q222" s="2">
        <f t="shared" si="86"/>
        <v>45106482.553013481</v>
      </c>
      <c r="R222" s="2">
        <f t="shared" si="86"/>
        <v>48564651.960069492</v>
      </c>
      <c r="S222" s="2">
        <f t="shared" si="86"/>
        <v>52519158.075697809</v>
      </c>
      <c r="T222" s="2">
        <f t="shared" si="86"/>
        <v>56633010.577060565</v>
      </c>
      <c r="U222" s="2">
        <f t="shared" si="86"/>
        <v>57537640.149705954</v>
      </c>
      <c r="V222" s="2">
        <f t="shared" si="86"/>
        <v>58484926.800058573</v>
      </c>
      <c r="W222" s="2">
        <f t="shared" si="86"/>
        <v>0</v>
      </c>
      <c r="X222" s="2">
        <f t="shared" si="86"/>
        <v>0</v>
      </c>
      <c r="Y222" s="2">
        <f t="shared" si="86"/>
        <v>0</v>
      </c>
      <c r="Z222" s="2">
        <f t="shared" si="86"/>
        <v>0</v>
      </c>
      <c r="AA222" s="2">
        <f t="shared" si="86"/>
        <v>0</v>
      </c>
    </row>
    <row r="223" spans="1:27" x14ac:dyDescent="0.25">
      <c r="E223" t="s">
        <v>11</v>
      </c>
      <c r="F223" t="s">
        <v>7</v>
      </c>
      <c r="G223" s="2">
        <f t="shared" ref="G223:AA223" si="87">G177</f>
        <v>0</v>
      </c>
      <c r="H223" s="2">
        <f t="shared" si="87"/>
        <v>4980628.1713189147</v>
      </c>
      <c r="I223" s="2">
        <f t="shared" si="87"/>
        <v>9656009.9814525731</v>
      </c>
      <c r="J223" s="2">
        <f t="shared" si="87"/>
        <v>14515417.001976458</v>
      </c>
      <c r="K223" s="2">
        <f t="shared" si="87"/>
        <v>19182804.073758118</v>
      </c>
      <c r="L223" s="2">
        <f t="shared" si="87"/>
        <v>23663038.561506577</v>
      </c>
      <c r="M223" s="2">
        <f t="shared" si="87"/>
        <v>27943176.243399549</v>
      </c>
      <c r="N223" s="2">
        <f t="shared" si="87"/>
        <v>32029734.113938045</v>
      </c>
      <c r="O223" s="2">
        <f t="shared" si="87"/>
        <v>35932886.863266647</v>
      </c>
      <c r="P223" s="2">
        <f t="shared" si="87"/>
        <v>39919305.550821155</v>
      </c>
      <c r="Q223" s="2">
        <f t="shared" si="87"/>
        <v>43993123.832995534</v>
      </c>
      <c r="R223" s="2">
        <f t="shared" si="87"/>
        <v>48399425.263650596</v>
      </c>
      <c r="S223" s="2">
        <f t="shared" si="87"/>
        <v>53188806.677275643</v>
      </c>
      <c r="T223" s="2">
        <f t="shared" si="87"/>
        <v>58369074.894961029</v>
      </c>
      <c r="U223" s="2">
        <f t="shared" si="87"/>
        <v>63719703.640522972</v>
      </c>
      <c r="V223" s="2">
        <f t="shared" si="87"/>
        <v>69253069.845674753</v>
      </c>
      <c r="W223" s="2">
        <f t="shared" si="87"/>
        <v>70707384.312433928</v>
      </c>
      <c r="X223" s="2">
        <f t="shared" si="87"/>
        <v>72192239.382995024</v>
      </c>
      <c r="Y223" s="2">
        <f t="shared" si="87"/>
        <v>73708276.41003792</v>
      </c>
      <c r="Z223" s="2">
        <f t="shared" si="87"/>
        <v>75256150.214648709</v>
      </c>
      <c r="AA223" s="2">
        <f t="shared" si="87"/>
        <v>76836529.369156331</v>
      </c>
    </row>
    <row r="224" spans="1:27" x14ac:dyDescent="0.25">
      <c r="E224" t="s">
        <v>57</v>
      </c>
      <c r="F224" t="s">
        <v>7</v>
      </c>
      <c r="G224" s="2">
        <f t="shared" ref="G224:AA224" si="88">-G187</f>
        <v>0</v>
      </c>
      <c r="H224" s="2">
        <f t="shared" si="88"/>
        <v>-2107062.1721910173</v>
      </c>
      <c r="I224" s="2">
        <f t="shared" si="88"/>
        <v>-4321552.9290536884</v>
      </c>
      <c r="J224" s="2">
        <f t="shared" si="88"/>
        <v>-6682699.3755984567</v>
      </c>
      <c r="K224" s="2">
        <f t="shared" si="88"/>
        <v>-8815053.2633375488</v>
      </c>
      <c r="L224" s="2">
        <f t="shared" si="88"/>
        <v>-10850533.782903222</v>
      </c>
      <c r="M224" s="2">
        <f t="shared" si="88"/>
        <v>-12787621.237359185</v>
      </c>
      <c r="N224" s="2">
        <f t="shared" si="88"/>
        <v>-14627433.277786093</v>
      </c>
      <c r="O224" s="2">
        <f t="shared" si="88"/>
        <v>-16372724.08233293</v>
      </c>
      <c r="P224" s="2">
        <f t="shared" si="88"/>
        <v>-18143790.859677456</v>
      </c>
      <c r="Q224" s="2">
        <f t="shared" si="88"/>
        <v>-19936635.213957675</v>
      </c>
      <c r="R224" s="2">
        <f t="shared" si="88"/>
        <v>-21875346.738966595</v>
      </c>
      <c r="S224" s="2">
        <f t="shared" si="88"/>
        <v>-23978685.34380573</v>
      </c>
      <c r="T224" s="2">
        <f t="shared" si="88"/>
        <v>-26254860.597206138</v>
      </c>
      <c r="U224" s="2">
        <f t="shared" si="88"/>
        <v>-28607083.480506632</v>
      </c>
      <c r="V224" s="2">
        <f t="shared" si="88"/>
        <v>-31038401.807321686</v>
      </c>
      <c r="W224" s="2">
        <f t="shared" si="88"/>
        <v>-31690208.245275438</v>
      </c>
      <c r="X224" s="2">
        <f t="shared" si="88"/>
        <v>-32355702.618426219</v>
      </c>
      <c r="Y224" s="2">
        <f t="shared" si="88"/>
        <v>-33035172.373413168</v>
      </c>
      <c r="Z224" s="2">
        <f t="shared" si="88"/>
        <v>-33728910.99325484</v>
      </c>
      <c r="AA224" s="2">
        <f t="shared" si="88"/>
        <v>-34437218.124113187</v>
      </c>
    </row>
    <row r="225" spans="4:28" customFormat="1" x14ac:dyDescent="0.25">
      <c r="E225" t="s">
        <v>10</v>
      </c>
      <c r="F225" t="s">
        <v>7</v>
      </c>
      <c r="G225" s="2">
        <f t="shared" ref="G225:AA225" si="89">-G200</f>
        <v>0</v>
      </c>
      <c r="H225" s="2">
        <f t="shared" si="89"/>
        <v>-737986.96799999999</v>
      </c>
      <c r="I225" s="2">
        <f t="shared" si="89"/>
        <v>-1468015.453368</v>
      </c>
      <c r="J225" s="2">
        <f t="shared" si="89"/>
        <v>-2201612.1522373222</v>
      </c>
      <c r="K225" s="2">
        <f t="shared" si="89"/>
        <v>-2903867.1156927864</v>
      </c>
      <c r="L225" s="2">
        <f t="shared" si="89"/>
        <v>-3574045.6783630783</v>
      </c>
      <c r="M225" s="2">
        <f t="shared" si="89"/>
        <v>-4211714.1247383114</v>
      </c>
      <c r="N225" s="2">
        <f t="shared" si="89"/>
        <v>-4817212.2743820371</v>
      </c>
      <c r="O225" s="2">
        <f t="shared" si="89"/>
        <v>-5391418.3847644916</v>
      </c>
      <c r="P225" s="2">
        <f t="shared" si="89"/>
        <v>-5973927.0000947639</v>
      </c>
      <c r="Q225" s="2">
        <f t="shared" si="89"/>
        <v>-6563331.8590706065</v>
      </c>
      <c r="R225" s="2">
        <f t="shared" si="89"/>
        <v>-7200683.9625575179</v>
      </c>
      <c r="S225" s="2">
        <f t="shared" si="89"/>
        <v>-7892095.3802641174</v>
      </c>
      <c r="T225" s="2">
        <f t="shared" si="89"/>
        <v>-8640340.3491851445</v>
      </c>
      <c r="U225" s="2">
        <f t="shared" si="89"/>
        <v>-9413603.2237721495</v>
      </c>
      <c r="V225" s="2">
        <f t="shared" si="89"/>
        <v>-10212848.138557682</v>
      </c>
      <c r="W225" s="2">
        <f t="shared" si="89"/>
        <v>-10427317.949467393</v>
      </c>
      <c r="X225" s="2">
        <f t="shared" si="89"/>
        <v>-10646291.626406206</v>
      </c>
      <c r="Y225" s="2">
        <f t="shared" si="89"/>
        <v>-10869863.750560736</v>
      </c>
      <c r="Z225" s="2">
        <f t="shared" si="89"/>
        <v>-11098130.88932251</v>
      </c>
      <c r="AA225" s="2">
        <f t="shared" si="89"/>
        <v>-11331191.637998283</v>
      </c>
    </row>
    <row r="226" spans="4:28" customFormat="1" x14ac:dyDescent="0.25">
      <c r="E226" t="s">
        <v>12</v>
      </c>
      <c r="F226" t="s">
        <v>7</v>
      </c>
      <c r="G226" s="2">
        <f t="shared" ref="G226:AA226" si="90">-G34-G50-G85</f>
        <v>-1819067.8907604155</v>
      </c>
      <c r="H226" s="2">
        <f t="shared" si="90"/>
        <v>-2692841.5894607455</v>
      </c>
      <c r="I226" s="2">
        <f t="shared" si="90"/>
        <v>-3545769.5847629821</v>
      </c>
      <c r="J226" s="2">
        <f t="shared" si="90"/>
        <v>-4304932.9521148577</v>
      </c>
      <c r="K226" s="2">
        <f t="shared" si="90"/>
        <v>-5025036.8471250562</v>
      </c>
      <c r="L226" s="2">
        <f t="shared" si="90"/>
        <v>-5685551.8751535583</v>
      </c>
      <c r="M226" s="2">
        <f t="shared" si="90"/>
        <v>-6293313.358163937</v>
      </c>
      <c r="N226" s="2">
        <f t="shared" si="90"/>
        <v>-6851857.3506283741</v>
      </c>
      <c r="O226" s="2">
        <f t="shared" si="90"/>
        <v>-7362862.3766072355</v>
      </c>
      <c r="P226" s="2">
        <f t="shared" si="90"/>
        <v>-7869810.1859824713</v>
      </c>
      <c r="Q226" s="2">
        <f t="shared" si="90"/>
        <v>-8370993.3254603986</v>
      </c>
      <c r="R226" s="2">
        <f t="shared" si="90"/>
        <v>-8910600.5694611706</v>
      </c>
      <c r="S226" s="2">
        <f t="shared" si="90"/>
        <v>-9494146.7703022584</v>
      </c>
      <c r="T226" s="2">
        <f t="shared" si="90"/>
        <v>-10123402.443380708</v>
      </c>
      <c r="U226" s="2">
        <f t="shared" si="90"/>
        <v>-10762709.556155218</v>
      </c>
      <c r="V226" s="2">
        <f t="shared" si="90"/>
        <v>-11412542.076155869</v>
      </c>
      <c r="W226" s="2">
        <f t="shared" si="90"/>
        <v>-11412542.076155869</v>
      </c>
      <c r="X226" s="2">
        <f t="shared" si="90"/>
        <v>-11412542.076155869</v>
      </c>
      <c r="Y226" s="2">
        <f t="shared" si="90"/>
        <v>-11412542.076155869</v>
      </c>
      <c r="Z226" s="2">
        <f t="shared" si="90"/>
        <v>-11412542.076155869</v>
      </c>
      <c r="AA226" s="2">
        <f t="shared" si="90"/>
        <v>-11412542.076155869</v>
      </c>
    </row>
    <row r="227" spans="4:28" customFormat="1" x14ac:dyDescent="0.25">
      <c r="E227" t="s">
        <v>48</v>
      </c>
      <c r="F227" t="s">
        <v>7</v>
      </c>
      <c r="G227" s="2">
        <f t="shared" ref="G227:AA227" si="91">G207</f>
        <v>0</v>
      </c>
      <c r="H227" s="2">
        <f t="shared" si="91"/>
        <v>0</v>
      </c>
      <c r="I227" s="2">
        <f t="shared" si="91"/>
        <v>0</v>
      </c>
      <c r="J227" s="2">
        <f t="shared" si="91"/>
        <v>0</v>
      </c>
      <c r="K227" s="2">
        <f t="shared" si="91"/>
        <v>0</v>
      </c>
      <c r="L227" s="2">
        <f t="shared" si="91"/>
        <v>0</v>
      </c>
      <c r="M227" s="2">
        <f t="shared" si="91"/>
        <v>0</v>
      </c>
      <c r="N227" s="2">
        <f t="shared" si="91"/>
        <v>0</v>
      </c>
      <c r="O227" s="2">
        <f t="shared" si="91"/>
        <v>0</v>
      </c>
      <c r="P227" s="2">
        <f t="shared" si="91"/>
        <v>0</v>
      </c>
      <c r="Q227" s="2">
        <f t="shared" si="91"/>
        <v>0</v>
      </c>
      <c r="R227" s="2">
        <f t="shared" si="91"/>
        <v>0</v>
      </c>
      <c r="S227" s="2">
        <f t="shared" si="91"/>
        <v>0</v>
      </c>
      <c r="T227" s="2">
        <f t="shared" si="91"/>
        <v>0</v>
      </c>
      <c r="U227" s="2">
        <f t="shared" si="91"/>
        <v>0</v>
      </c>
      <c r="V227" s="2">
        <f t="shared" si="91"/>
        <v>0</v>
      </c>
      <c r="W227" s="2">
        <f t="shared" si="91"/>
        <v>0</v>
      </c>
      <c r="X227" s="2">
        <f t="shared" si="91"/>
        <v>0</v>
      </c>
      <c r="Y227" s="2">
        <f t="shared" si="91"/>
        <v>0</v>
      </c>
      <c r="Z227" s="2">
        <f t="shared" si="91"/>
        <v>0</v>
      </c>
      <c r="AA227" s="2">
        <f t="shared" si="91"/>
        <v>0</v>
      </c>
    </row>
    <row r="228" spans="4:28" customFormat="1" x14ac:dyDescent="0.25">
      <c r="E228" t="s">
        <v>13</v>
      </c>
      <c r="F228" t="s">
        <v>7</v>
      </c>
      <c r="H228" s="2">
        <f t="shared" ref="H228:AA228" ca="1" si="92">H219</f>
        <v>0</v>
      </c>
      <c r="I228" s="2">
        <f t="shared" ca="1" si="92"/>
        <v>0</v>
      </c>
      <c r="J228" s="2">
        <f t="shared" ca="1" si="92"/>
        <v>0</v>
      </c>
      <c r="K228" s="2">
        <f t="shared" ca="1" si="92"/>
        <v>0</v>
      </c>
      <c r="L228" s="2">
        <f t="shared" ca="1" si="92"/>
        <v>0</v>
      </c>
      <c r="M228" s="2">
        <f t="shared" ca="1" si="92"/>
        <v>0</v>
      </c>
      <c r="N228" s="2">
        <f t="shared" ca="1" si="92"/>
        <v>0</v>
      </c>
      <c r="O228" s="2">
        <f t="shared" ca="1" si="92"/>
        <v>0</v>
      </c>
      <c r="P228" s="2">
        <f t="shared" ca="1" si="92"/>
        <v>0</v>
      </c>
      <c r="Q228" s="2">
        <f t="shared" ca="1" si="92"/>
        <v>0</v>
      </c>
      <c r="R228" s="2">
        <f t="shared" ca="1" si="92"/>
        <v>0</v>
      </c>
      <c r="S228" s="2">
        <f t="shared" ca="1" si="92"/>
        <v>0</v>
      </c>
      <c r="T228" s="2">
        <f t="shared" ca="1" si="92"/>
        <v>0</v>
      </c>
      <c r="U228" s="2">
        <f t="shared" ca="1" si="92"/>
        <v>0</v>
      </c>
      <c r="V228" s="2">
        <f t="shared" ca="1" si="92"/>
        <v>0</v>
      </c>
      <c r="W228" s="2">
        <f t="shared" ca="1" si="92"/>
        <v>0</v>
      </c>
      <c r="X228" s="2">
        <f t="shared" ca="1" si="92"/>
        <v>0</v>
      </c>
      <c r="Y228" s="2">
        <f t="shared" ca="1" si="92"/>
        <v>0</v>
      </c>
      <c r="Z228" s="2">
        <f t="shared" ca="1" si="92"/>
        <v>0</v>
      </c>
      <c r="AA228" s="2">
        <f t="shared" ca="1" si="92"/>
        <v>0</v>
      </c>
    </row>
    <row r="229" spans="4:28" customFormat="1" x14ac:dyDescent="0.25"/>
    <row r="230" spans="4:28" customFormat="1" x14ac:dyDescent="0.25">
      <c r="E230" t="s">
        <v>14</v>
      </c>
      <c r="F230" t="s">
        <v>7</v>
      </c>
      <c r="G230" s="2">
        <f t="shared" ref="G230:AA230" si="93">SUM(G222:G228)</f>
        <v>-1819067.8907604155</v>
      </c>
      <c r="H230" s="2">
        <f t="shared" ca="1" si="93"/>
        <v>71191470.44166714</v>
      </c>
      <c r="I230" s="2">
        <f t="shared" ca="1" si="93"/>
        <v>69788940.254267886</v>
      </c>
      <c r="J230" s="2">
        <f t="shared" ca="1" si="93"/>
        <v>69650875.583694696</v>
      </c>
      <c r="K230" s="2">
        <f t="shared" ca="1" si="93"/>
        <v>66218676.817177236</v>
      </c>
      <c r="L230" s="2">
        <f t="shared" ca="1" si="93"/>
        <v>62780427.679047853</v>
      </c>
      <c r="M230" s="2">
        <f t="shared" ca="1" si="93"/>
        <v>59349060.994072266</v>
      </c>
      <c r="N230" s="2">
        <f t="shared" ca="1" si="93"/>
        <v>56002190.53294085</v>
      </c>
      <c r="O230" s="2">
        <f t="shared" ca="1" si="93"/>
        <v>52796334.357659489</v>
      </c>
      <c r="P230" s="2">
        <f t="shared" ca="1" si="93"/>
        <v>53557080.348837674</v>
      </c>
      <c r="Q230" s="2">
        <f t="shared" ca="1" si="93"/>
        <v>54228645.987520337</v>
      </c>
      <c r="R230" s="2">
        <f t="shared" ca="1" si="93"/>
        <v>58977445.952734798</v>
      </c>
      <c r="S230" s="2">
        <f t="shared" ca="1" si="93"/>
        <v>64343037.258601345</v>
      </c>
      <c r="T230" s="2">
        <f t="shared" ca="1" si="93"/>
        <v>69983482.082249612</v>
      </c>
      <c r="U230" s="2">
        <f t="shared" ca="1" si="93"/>
        <v>72473947.529794931</v>
      </c>
      <c r="V230" s="2">
        <f t="shared" ca="1" si="93"/>
        <v>75074204.623698086</v>
      </c>
      <c r="W230" s="2">
        <f t="shared" ca="1" si="93"/>
        <v>17177316.041535228</v>
      </c>
      <c r="X230" s="2">
        <f t="shared" ca="1" si="93"/>
        <v>17777703.062006727</v>
      </c>
      <c r="Y230" s="2">
        <f t="shared" ca="1" si="93"/>
        <v>18390698.209908143</v>
      </c>
      <c r="Z230" s="2">
        <f t="shared" ca="1" si="93"/>
        <v>19016566.255915485</v>
      </c>
      <c r="AA230" s="2">
        <f t="shared" ca="1" si="93"/>
        <v>19655577.53088899</v>
      </c>
    </row>
    <row r="231" spans="4:28" customFormat="1" x14ac:dyDescent="0.25">
      <c r="E231" t="s">
        <v>15</v>
      </c>
      <c r="F231" t="s">
        <v>7</v>
      </c>
      <c r="G231" s="2">
        <f>-G230*G$18</f>
        <v>545720.36722812464</v>
      </c>
      <c r="H231" s="2">
        <f t="shared" ref="H231:AA231" ca="1" si="94">-H230*H$18</f>
        <v>-21357441.132500142</v>
      </c>
      <c r="I231" s="2">
        <f t="shared" ca="1" si="94"/>
        <v>-20936682.076280367</v>
      </c>
      <c r="J231" s="2">
        <f t="shared" ca="1" si="94"/>
        <v>-20895262.675108407</v>
      </c>
      <c r="K231" s="2">
        <f t="shared" ca="1" si="94"/>
        <v>-19865603.045153171</v>
      </c>
      <c r="L231" s="2">
        <f t="shared" ca="1" si="94"/>
        <v>-18834128.303714354</v>
      </c>
      <c r="M231" s="2">
        <f t="shared" ca="1" si="94"/>
        <v>-17804718.298221678</v>
      </c>
      <c r="N231" s="2">
        <f t="shared" ca="1" si="94"/>
        <v>-16800657.159882255</v>
      </c>
      <c r="O231" s="2">
        <f t="shared" ca="1" si="94"/>
        <v>-15838900.307297846</v>
      </c>
      <c r="P231" s="2">
        <f t="shared" ca="1" si="94"/>
        <v>-16067124.104651302</v>
      </c>
      <c r="Q231" s="2">
        <f t="shared" ca="1" si="94"/>
        <v>-16268593.796256101</v>
      </c>
      <c r="R231" s="2">
        <f t="shared" ca="1" si="94"/>
        <v>-17693233.785820439</v>
      </c>
      <c r="S231" s="2">
        <f t="shared" ca="1" si="94"/>
        <v>-19302911.177580401</v>
      </c>
      <c r="T231" s="2">
        <f t="shared" ca="1" si="94"/>
        <v>-20995044.624674883</v>
      </c>
      <c r="U231" s="2">
        <f t="shared" ca="1" si="94"/>
        <v>-21742184.25893848</v>
      </c>
      <c r="V231" s="2">
        <f t="shared" ca="1" si="94"/>
        <v>-22522261.387109425</v>
      </c>
      <c r="W231" s="2">
        <f t="shared" ca="1" si="94"/>
        <v>-5153194.8124605687</v>
      </c>
      <c r="X231" s="2">
        <f t="shared" ca="1" si="94"/>
        <v>-5333310.9186020177</v>
      </c>
      <c r="Y231" s="2">
        <f t="shared" ca="1" si="94"/>
        <v>-5517209.4629724426</v>
      </c>
      <c r="Z231" s="2">
        <f t="shared" ca="1" si="94"/>
        <v>-5704969.8767746454</v>
      </c>
      <c r="AA231" s="2">
        <f t="shared" ca="1" si="94"/>
        <v>-5896673.2592666969</v>
      </c>
    </row>
    <row r="232" spans="4:28" customFormat="1" x14ac:dyDescent="0.25"/>
    <row r="233" spans="4:28" customFormat="1" x14ac:dyDescent="0.25">
      <c r="D233" t="s">
        <v>28</v>
      </c>
    </row>
    <row r="234" spans="4:28" customFormat="1" x14ac:dyDescent="0.25">
      <c r="E234" t="s">
        <v>1</v>
      </c>
      <c r="F234" t="s">
        <v>7</v>
      </c>
      <c r="G234" s="2">
        <f t="shared" ref="G234:AA234" si="95">-G26</f>
        <v>-163716110.16843739</v>
      </c>
      <c r="H234" s="2">
        <f t="shared" si="95"/>
        <v>-6890899.8830297235</v>
      </c>
      <c r="I234" s="2">
        <f t="shared" si="95"/>
        <v>-7295251.3372013271</v>
      </c>
      <c r="J234" s="2">
        <f t="shared" si="95"/>
        <v>0</v>
      </c>
      <c r="K234" s="2">
        <f t="shared" si="95"/>
        <v>-1029520.5813433226</v>
      </c>
      <c r="L234" s="2">
        <f t="shared" si="95"/>
        <v>-218832.06860403085</v>
      </c>
      <c r="M234" s="2">
        <f t="shared" si="95"/>
        <v>0</v>
      </c>
      <c r="N234" s="2">
        <f t="shared" si="95"/>
        <v>0</v>
      </c>
      <c r="O234" s="2">
        <f t="shared" si="95"/>
        <v>0</v>
      </c>
      <c r="P234" s="2">
        <f t="shared" si="95"/>
        <v>0</v>
      </c>
      <c r="Q234" s="2">
        <f t="shared" si="95"/>
        <v>0</v>
      </c>
      <c r="R234" s="2">
        <f t="shared" si="95"/>
        <v>0</v>
      </c>
      <c r="S234" s="2">
        <f t="shared" si="95"/>
        <v>0</v>
      </c>
      <c r="T234" s="2">
        <f t="shared" si="95"/>
        <v>0</v>
      </c>
      <c r="U234" s="2">
        <f t="shared" si="95"/>
        <v>0</v>
      </c>
      <c r="V234" s="2">
        <f t="shared" si="95"/>
        <v>0</v>
      </c>
      <c r="W234" s="2">
        <f t="shared" si="95"/>
        <v>0</v>
      </c>
      <c r="X234" s="2">
        <f t="shared" si="95"/>
        <v>0</v>
      </c>
      <c r="Y234" s="2">
        <f t="shared" si="95"/>
        <v>0</v>
      </c>
      <c r="Z234" s="2">
        <f t="shared" si="95"/>
        <v>0</v>
      </c>
      <c r="AA234" s="2">
        <f t="shared" si="95"/>
        <v>0</v>
      </c>
    </row>
    <row r="235" spans="4:28" customFormat="1" x14ac:dyDescent="0.25">
      <c r="E235" t="s">
        <v>19</v>
      </c>
      <c r="F235" t="s">
        <v>7</v>
      </c>
      <c r="G235" s="2">
        <f t="shared" ref="G235:AA235" si="96">G84</f>
        <v>0</v>
      </c>
      <c r="H235" s="2">
        <f t="shared" si="96"/>
        <v>0</v>
      </c>
      <c r="I235" s="2">
        <f t="shared" si="96"/>
        <v>0</v>
      </c>
      <c r="J235" s="2">
        <f t="shared" si="96"/>
        <v>0</v>
      </c>
      <c r="K235" s="2">
        <f t="shared" si="96"/>
        <v>0</v>
      </c>
      <c r="L235" s="2">
        <f t="shared" si="96"/>
        <v>0</v>
      </c>
      <c r="M235" s="2">
        <f t="shared" si="96"/>
        <v>0</v>
      </c>
      <c r="N235" s="2">
        <f t="shared" si="96"/>
        <v>0</v>
      </c>
      <c r="O235" s="2">
        <f t="shared" si="96"/>
        <v>0</v>
      </c>
      <c r="P235" s="2">
        <f t="shared" si="96"/>
        <v>0</v>
      </c>
      <c r="Q235" s="2">
        <f t="shared" si="96"/>
        <v>0</v>
      </c>
      <c r="R235" s="2">
        <f t="shared" si="96"/>
        <v>0</v>
      </c>
      <c r="S235" s="2">
        <f t="shared" si="96"/>
        <v>0</v>
      </c>
      <c r="T235" s="2">
        <f t="shared" si="96"/>
        <v>0</v>
      </c>
      <c r="U235" s="2">
        <f t="shared" si="96"/>
        <v>0</v>
      </c>
      <c r="V235" s="2">
        <f t="shared" si="96"/>
        <v>0</v>
      </c>
      <c r="W235" s="2">
        <f t="shared" si="96"/>
        <v>0</v>
      </c>
      <c r="X235" s="2">
        <f t="shared" si="96"/>
        <v>0</v>
      </c>
      <c r="Y235" s="2">
        <f t="shared" si="96"/>
        <v>0</v>
      </c>
      <c r="Z235" s="2">
        <f t="shared" si="96"/>
        <v>0</v>
      </c>
      <c r="AA235" s="2">
        <f t="shared" si="96"/>
        <v>0</v>
      </c>
    </row>
    <row r="236" spans="4:28" customFormat="1" x14ac:dyDescent="0.25">
      <c r="E236" t="s">
        <v>109</v>
      </c>
      <c r="F236" t="s">
        <v>7</v>
      </c>
      <c r="G236" s="2">
        <f t="shared" ref="G236:AA236" si="97">G53</f>
        <v>0</v>
      </c>
      <c r="H236" s="2">
        <f t="shared" si="97"/>
        <v>0</v>
      </c>
      <c r="I236" s="2">
        <f t="shared" si="97"/>
        <v>0</v>
      </c>
      <c r="J236" s="2">
        <f t="shared" si="97"/>
        <v>0</v>
      </c>
      <c r="K236" s="2">
        <f t="shared" si="97"/>
        <v>0</v>
      </c>
      <c r="L236" s="2">
        <f t="shared" si="97"/>
        <v>0</v>
      </c>
      <c r="M236" s="2">
        <f t="shared" si="97"/>
        <v>0</v>
      </c>
      <c r="N236" s="2">
        <f t="shared" si="97"/>
        <v>0</v>
      </c>
      <c r="O236" s="2">
        <f t="shared" si="97"/>
        <v>0</v>
      </c>
      <c r="P236" s="2">
        <f t="shared" si="97"/>
        <v>0</v>
      </c>
      <c r="Q236" s="2">
        <f t="shared" si="97"/>
        <v>0</v>
      </c>
      <c r="R236" s="2">
        <f t="shared" si="97"/>
        <v>0</v>
      </c>
      <c r="S236" s="2">
        <f t="shared" si="97"/>
        <v>0</v>
      </c>
      <c r="T236" s="2">
        <f t="shared" si="97"/>
        <v>0</v>
      </c>
      <c r="U236" s="2">
        <f t="shared" si="97"/>
        <v>0</v>
      </c>
      <c r="V236" s="2">
        <f t="shared" si="97"/>
        <v>0</v>
      </c>
      <c r="W236" s="2">
        <f t="shared" si="97"/>
        <v>0</v>
      </c>
      <c r="X236" s="2">
        <f t="shared" si="97"/>
        <v>0</v>
      </c>
      <c r="Y236" s="2">
        <f t="shared" si="97"/>
        <v>0</v>
      </c>
      <c r="Z236" s="2">
        <f t="shared" si="97"/>
        <v>0</v>
      </c>
      <c r="AA236" s="2">
        <f t="shared" si="97"/>
        <v>0</v>
      </c>
    </row>
    <row r="237" spans="4:28" customFormat="1" x14ac:dyDescent="0.25">
      <c r="E237" t="s">
        <v>11</v>
      </c>
      <c r="F237" t="s">
        <v>7</v>
      </c>
      <c r="G237" s="2">
        <f t="shared" ref="G237:AA237" si="98">G177</f>
        <v>0</v>
      </c>
      <c r="H237" s="2">
        <f t="shared" si="98"/>
        <v>4980628.1713189147</v>
      </c>
      <c r="I237" s="2">
        <f t="shared" si="98"/>
        <v>9656009.9814525731</v>
      </c>
      <c r="J237" s="2">
        <f t="shared" si="98"/>
        <v>14515417.001976458</v>
      </c>
      <c r="K237" s="2">
        <f t="shared" si="98"/>
        <v>19182804.073758118</v>
      </c>
      <c r="L237" s="2">
        <f t="shared" si="98"/>
        <v>23663038.561506577</v>
      </c>
      <c r="M237" s="2">
        <f t="shared" si="98"/>
        <v>27943176.243399549</v>
      </c>
      <c r="N237" s="2">
        <f t="shared" si="98"/>
        <v>32029734.113938045</v>
      </c>
      <c r="O237" s="2">
        <f t="shared" si="98"/>
        <v>35932886.863266647</v>
      </c>
      <c r="P237" s="2">
        <f t="shared" si="98"/>
        <v>39919305.550821155</v>
      </c>
      <c r="Q237" s="2">
        <f t="shared" si="98"/>
        <v>43993123.832995534</v>
      </c>
      <c r="R237" s="2">
        <f t="shared" si="98"/>
        <v>48399425.263650596</v>
      </c>
      <c r="S237" s="2">
        <f t="shared" si="98"/>
        <v>53188806.677275643</v>
      </c>
      <c r="T237" s="2">
        <f t="shared" si="98"/>
        <v>58369074.894961029</v>
      </c>
      <c r="U237" s="2">
        <f t="shared" si="98"/>
        <v>63719703.640522972</v>
      </c>
      <c r="V237" s="2">
        <f t="shared" si="98"/>
        <v>69253069.845674753</v>
      </c>
      <c r="W237" s="2">
        <f t="shared" si="98"/>
        <v>70707384.312433928</v>
      </c>
      <c r="X237" s="2">
        <f t="shared" si="98"/>
        <v>72192239.382995024</v>
      </c>
      <c r="Y237" s="2">
        <f t="shared" si="98"/>
        <v>73708276.41003792</v>
      </c>
      <c r="Z237" s="2">
        <f t="shared" si="98"/>
        <v>75256150.214648709</v>
      </c>
      <c r="AA237" s="2">
        <f t="shared" si="98"/>
        <v>76836529.369156331</v>
      </c>
      <c r="AB237" s="2">
        <f t="shared" ref="AB237:AB241" si="99">IF(V237=0,0,IF($G$15&gt;(AA237/V237)^(1/5)-1+2%,AA237*(AA237/V237)^(1/5)/($G$15-((AA237/V237)^(1/5)-1)),AA237*(1+$G$14)/$G$16))</f>
        <v>2561217645.6385498</v>
      </c>
    </row>
    <row r="238" spans="4:28" customFormat="1" x14ac:dyDescent="0.25">
      <c r="E238" t="s">
        <v>57</v>
      </c>
      <c r="F238" t="s">
        <v>7</v>
      </c>
      <c r="G238" s="2">
        <f t="shared" ref="G238:AA238" si="100">G224</f>
        <v>0</v>
      </c>
      <c r="H238" s="2">
        <f t="shared" si="100"/>
        <v>-2107062.1721910173</v>
      </c>
      <c r="I238" s="2">
        <f t="shared" si="100"/>
        <v>-4321552.9290536884</v>
      </c>
      <c r="J238" s="2">
        <f t="shared" si="100"/>
        <v>-6682699.3755984567</v>
      </c>
      <c r="K238" s="2">
        <f t="shared" si="100"/>
        <v>-8815053.2633375488</v>
      </c>
      <c r="L238" s="2">
        <f t="shared" si="100"/>
        <v>-10850533.782903222</v>
      </c>
      <c r="M238" s="2">
        <f t="shared" si="100"/>
        <v>-12787621.237359185</v>
      </c>
      <c r="N238" s="2">
        <f t="shared" si="100"/>
        <v>-14627433.277786093</v>
      </c>
      <c r="O238" s="2">
        <f t="shared" si="100"/>
        <v>-16372724.08233293</v>
      </c>
      <c r="P238" s="2">
        <f t="shared" si="100"/>
        <v>-18143790.859677456</v>
      </c>
      <c r="Q238" s="2">
        <f t="shared" si="100"/>
        <v>-19936635.213957675</v>
      </c>
      <c r="R238" s="2">
        <f t="shared" si="100"/>
        <v>-21875346.738966595</v>
      </c>
      <c r="S238" s="2">
        <f t="shared" si="100"/>
        <v>-23978685.34380573</v>
      </c>
      <c r="T238" s="2">
        <f t="shared" si="100"/>
        <v>-26254860.597206138</v>
      </c>
      <c r="U238" s="2">
        <f t="shared" si="100"/>
        <v>-28607083.480506632</v>
      </c>
      <c r="V238" s="2">
        <f t="shared" si="100"/>
        <v>-31038401.807321686</v>
      </c>
      <c r="W238" s="2">
        <f t="shared" si="100"/>
        <v>-31690208.245275438</v>
      </c>
      <c r="X238" s="2">
        <f t="shared" si="100"/>
        <v>-32355702.618426219</v>
      </c>
      <c r="Y238" s="2">
        <f t="shared" si="100"/>
        <v>-33035172.373413168</v>
      </c>
      <c r="Z238" s="2">
        <f t="shared" si="100"/>
        <v>-33728910.99325484</v>
      </c>
      <c r="AA238" s="2">
        <f t="shared" si="100"/>
        <v>-34437218.124113187</v>
      </c>
      <c r="AB238" s="2">
        <f t="shared" si="99"/>
        <v>-1147907270.8037751</v>
      </c>
    </row>
    <row r="239" spans="4:28" customFormat="1" x14ac:dyDescent="0.25">
      <c r="E239" t="s">
        <v>10</v>
      </c>
      <c r="F239" t="s">
        <v>7</v>
      </c>
      <c r="G239" s="2">
        <f t="shared" ref="G239:AA239" si="101">-G200</f>
        <v>0</v>
      </c>
      <c r="H239" s="2">
        <f t="shared" si="101"/>
        <v>-737986.96799999999</v>
      </c>
      <c r="I239" s="2">
        <f t="shared" si="101"/>
        <v>-1468015.453368</v>
      </c>
      <c r="J239" s="2">
        <f t="shared" si="101"/>
        <v>-2201612.1522373222</v>
      </c>
      <c r="K239" s="2">
        <f t="shared" si="101"/>
        <v>-2903867.1156927864</v>
      </c>
      <c r="L239" s="2">
        <f t="shared" si="101"/>
        <v>-3574045.6783630783</v>
      </c>
      <c r="M239" s="2">
        <f t="shared" si="101"/>
        <v>-4211714.1247383114</v>
      </c>
      <c r="N239" s="2">
        <f t="shared" si="101"/>
        <v>-4817212.2743820371</v>
      </c>
      <c r="O239" s="2">
        <f t="shared" si="101"/>
        <v>-5391418.3847644916</v>
      </c>
      <c r="P239" s="2">
        <f t="shared" si="101"/>
        <v>-5973927.0000947639</v>
      </c>
      <c r="Q239" s="2">
        <f t="shared" si="101"/>
        <v>-6563331.8590706065</v>
      </c>
      <c r="R239" s="2">
        <f t="shared" si="101"/>
        <v>-7200683.9625575179</v>
      </c>
      <c r="S239" s="2">
        <f t="shared" si="101"/>
        <v>-7892095.3802641174</v>
      </c>
      <c r="T239" s="2">
        <f t="shared" si="101"/>
        <v>-8640340.3491851445</v>
      </c>
      <c r="U239" s="2">
        <f t="shared" si="101"/>
        <v>-9413603.2237721495</v>
      </c>
      <c r="V239" s="2">
        <f t="shared" si="101"/>
        <v>-10212848.138557682</v>
      </c>
      <c r="W239" s="2">
        <f t="shared" si="101"/>
        <v>-10427317.949467393</v>
      </c>
      <c r="X239" s="2">
        <f t="shared" si="101"/>
        <v>-10646291.626406206</v>
      </c>
      <c r="Y239" s="2">
        <f t="shared" si="101"/>
        <v>-10869863.750560736</v>
      </c>
      <c r="Z239" s="2">
        <f t="shared" si="101"/>
        <v>-11098130.88932251</v>
      </c>
      <c r="AA239" s="2">
        <f t="shared" si="101"/>
        <v>-11331191.637998283</v>
      </c>
      <c r="AB239" s="2">
        <f t="shared" si="99"/>
        <v>-377706387.93327689</v>
      </c>
    </row>
    <row r="240" spans="4:28" customFormat="1" x14ac:dyDescent="0.25">
      <c r="E240" t="s">
        <v>48</v>
      </c>
      <c r="F240" t="s">
        <v>7</v>
      </c>
      <c r="G240" s="2">
        <f t="shared" ref="G240:AA240" si="102">G207</f>
        <v>0</v>
      </c>
      <c r="H240" s="2">
        <f t="shared" si="102"/>
        <v>0</v>
      </c>
      <c r="I240" s="2">
        <f t="shared" si="102"/>
        <v>0</v>
      </c>
      <c r="J240" s="2">
        <f t="shared" si="102"/>
        <v>0</v>
      </c>
      <c r="K240" s="2">
        <f t="shared" si="102"/>
        <v>0</v>
      </c>
      <c r="L240" s="2">
        <f t="shared" si="102"/>
        <v>0</v>
      </c>
      <c r="M240" s="2">
        <f t="shared" si="102"/>
        <v>0</v>
      </c>
      <c r="N240" s="2">
        <f t="shared" si="102"/>
        <v>0</v>
      </c>
      <c r="O240" s="2">
        <f t="shared" si="102"/>
        <v>0</v>
      </c>
      <c r="P240" s="2">
        <f t="shared" si="102"/>
        <v>0</v>
      </c>
      <c r="Q240" s="2">
        <f t="shared" si="102"/>
        <v>0</v>
      </c>
      <c r="R240" s="2">
        <f t="shared" si="102"/>
        <v>0</v>
      </c>
      <c r="S240" s="2">
        <f t="shared" si="102"/>
        <v>0</v>
      </c>
      <c r="T240" s="2">
        <f t="shared" si="102"/>
        <v>0</v>
      </c>
      <c r="U240" s="2">
        <f t="shared" si="102"/>
        <v>0</v>
      </c>
      <c r="V240" s="2">
        <f t="shared" si="102"/>
        <v>0</v>
      </c>
      <c r="W240" s="2">
        <f t="shared" si="102"/>
        <v>0</v>
      </c>
      <c r="X240" s="2">
        <f t="shared" si="102"/>
        <v>0</v>
      </c>
      <c r="Y240" s="2">
        <f t="shared" si="102"/>
        <v>0</v>
      </c>
      <c r="Z240" s="2">
        <f t="shared" si="102"/>
        <v>0</v>
      </c>
      <c r="AA240" s="2">
        <f t="shared" si="102"/>
        <v>0</v>
      </c>
      <c r="AB240" s="2">
        <f t="shared" si="99"/>
        <v>0</v>
      </c>
    </row>
    <row r="241" spans="1:28" x14ac:dyDescent="0.25">
      <c r="A241"/>
      <c r="E241" t="s">
        <v>49</v>
      </c>
      <c r="F241" t="s">
        <v>7</v>
      </c>
      <c r="G241" s="2">
        <f t="shared" ref="G241:AA241" si="103">G214</f>
        <v>0</v>
      </c>
      <c r="H241" s="2">
        <f t="shared" si="103"/>
        <v>0</v>
      </c>
      <c r="I241" s="2">
        <f t="shared" si="103"/>
        <v>0</v>
      </c>
      <c r="J241" s="2">
        <f t="shared" si="103"/>
        <v>0</v>
      </c>
      <c r="K241" s="2">
        <f t="shared" si="103"/>
        <v>0</v>
      </c>
      <c r="L241" s="2">
        <f t="shared" si="103"/>
        <v>0</v>
      </c>
      <c r="M241" s="2">
        <f t="shared" si="103"/>
        <v>0</v>
      </c>
      <c r="N241" s="2">
        <f t="shared" si="103"/>
        <v>0</v>
      </c>
      <c r="O241" s="2">
        <f t="shared" si="103"/>
        <v>0</v>
      </c>
      <c r="P241" s="2">
        <f t="shared" si="103"/>
        <v>0</v>
      </c>
      <c r="Q241" s="2">
        <f t="shared" si="103"/>
        <v>0</v>
      </c>
      <c r="R241" s="2">
        <f t="shared" si="103"/>
        <v>0</v>
      </c>
      <c r="S241" s="2">
        <f t="shared" si="103"/>
        <v>0</v>
      </c>
      <c r="T241" s="2">
        <f t="shared" si="103"/>
        <v>0</v>
      </c>
      <c r="U241" s="2">
        <f t="shared" si="103"/>
        <v>0</v>
      </c>
      <c r="V241" s="2">
        <f t="shared" si="103"/>
        <v>0</v>
      </c>
      <c r="W241" s="2">
        <f t="shared" si="103"/>
        <v>0</v>
      </c>
      <c r="X241" s="2">
        <f t="shared" si="103"/>
        <v>0</v>
      </c>
      <c r="Y241" s="2">
        <f t="shared" si="103"/>
        <v>0</v>
      </c>
      <c r="Z241" s="2">
        <f t="shared" si="103"/>
        <v>0</v>
      </c>
      <c r="AA241" s="2">
        <f t="shared" si="103"/>
        <v>0</v>
      </c>
      <c r="AB241" s="2">
        <f t="shared" si="99"/>
        <v>0</v>
      </c>
    </row>
    <row r="242" spans="1:28" x14ac:dyDescent="0.25">
      <c r="A242"/>
      <c r="E242" t="s">
        <v>20</v>
      </c>
      <c r="F242" t="s">
        <v>7</v>
      </c>
      <c r="G242" s="2">
        <f t="shared" ref="G242:AA242" si="104">G231</f>
        <v>545720.36722812464</v>
      </c>
      <c r="H242" s="2">
        <f t="shared" ca="1" si="104"/>
        <v>-21357441.132500142</v>
      </c>
      <c r="I242" s="2">
        <f t="shared" ca="1" si="104"/>
        <v>-20936682.076280367</v>
      </c>
      <c r="J242" s="2">
        <f t="shared" ca="1" si="104"/>
        <v>-20895262.675108407</v>
      </c>
      <c r="K242" s="2">
        <f t="shared" ca="1" si="104"/>
        <v>-19865603.045153171</v>
      </c>
      <c r="L242" s="2">
        <f t="shared" ca="1" si="104"/>
        <v>-18834128.303714354</v>
      </c>
      <c r="M242" s="2">
        <f t="shared" ca="1" si="104"/>
        <v>-17804718.298221678</v>
      </c>
      <c r="N242" s="2">
        <f t="shared" ca="1" si="104"/>
        <v>-16800657.159882255</v>
      </c>
      <c r="O242" s="2">
        <f t="shared" ca="1" si="104"/>
        <v>-15838900.307297846</v>
      </c>
      <c r="P242" s="2">
        <f t="shared" ca="1" si="104"/>
        <v>-16067124.104651302</v>
      </c>
      <c r="Q242" s="2">
        <f t="shared" ca="1" si="104"/>
        <v>-16268593.796256101</v>
      </c>
      <c r="R242" s="2">
        <f t="shared" ca="1" si="104"/>
        <v>-17693233.785820439</v>
      </c>
      <c r="S242" s="2">
        <f t="shared" ca="1" si="104"/>
        <v>-19302911.177580401</v>
      </c>
      <c r="T242" s="2">
        <f t="shared" ca="1" si="104"/>
        <v>-20995044.624674883</v>
      </c>
      <c r="U242" s="2">
        <f t="shared" ca="1" si="104"/>
        <v>-21742184.25893848</v>
      </c>
      <c r="V242" s="2">
        <f t="shared" ca="1" si="104"/>
        <v>-22522261.387109425</v>
      </c>
      <c r="W242" s="2">
        <f t="shared" ca="1" si="104"/>
        <v>-5153194.8124605687</v>
      </c>
      <c r="X242" s="2">
        <f t="shared" ca="1" si="104"/>
        <v>-5333310.9186020177</v>
      </c>
      <c r="Y242" s="2">
        <f t="shared" ca="1" si="104"/>
        <v>-5517209.4629724426</v>
      </c>
      <c r="Z242" s="2">
        <f t="shared" ca="1" si="104"/>
        <v>-5704969.8767746454</v>
      </c>
      <c r="AA242" s="2">
        <f t="shared" ca="1" si="104"/>
        <v>-5896673.2592666969</v>
      </c>
      <c r="AB242" s="2">
        <f ca="1">IF(V242=0,0,IF($G$15&gt;(AA242/V242)^(1/5)-1+2%,AA242*(AA242/V242)^(1/5)/($G$15-((AA242/V242)^(1/5)-1)),AA242*(1+$G$14)/$G$16))</f>
        <v>-15729607.243611578</v>
      </c>
    </row>
    <row r="243" spans="1:28" x14ac:dyDescent="0.25">
      <c r="A243"/>
      <c r="E243" t="s">
        <v>173</v>
      </c>
      <c r="F243" t="s">
        <v>7</v>
      </c>
      <c r="G243" s="2">
        <f>-$G$17*G242</f>
        <v>-272860.18361406232</v>
      </c>
      <c r="H243" s="2">
        <f t="shared" ref="H243:AA243" ca="1" si="105">-$G$17*H242</f>
        <v>10678720.566250071</v>
      </c>
      <c r="I243" s="2">
        <f t="shared" ca="1" si="105"/>
        <v>10468341.038140183</v>
      </c>
      <c r="J243" s="2">
        <f t="shared" ca="1" si="105"/>
        <v>10447631.337554203</v>
      </c>
      <c r="K243" s="2">
        <f t="shared" ca="1" si="105"/>
        <v>9932801.5225765854</v>
      </c>
      <c r="L243" s="2">
        <f t="shared" ca="1" si="105"/>
        <v>9417064.1518571768</v>
      </c>
      <c r="M243" s="2">
        <f t="shared" ca="1" si="105"/>
        <v>8902359.1491108388</v>
      </c>
      <c r="N243" s="2">
        <f t="shared" ca="1" si="105"/>
        <v>8400328.5799411274</v>
      </c>
      <c r="O243" s="2">
        <f t="shared" ca="1" si="105"/>
        <v>7919450.1536489232</v>
      </c>
      <c r="P243" s="2">
        <f t="shared" ca="1" si="105"/>
        <v>8033562.052325651</v>
      </c>
      <c r="Q243" s="2">
        <f t="shared" ca="1" si="105"/>
        <v>8134296.8981280504</v>
      </c>
      <c r="R243" s="2">
        <f t="shared" ca="1" si="105"/>
        <v>8846616.8929102197</v>
      </c>
      <c r="S243" s="2">
        <f t="shared" ca="1" si="105"/>
        <v>9651455.5887902007</v>
      </c>
      <c r="T243" s="2">
        <f t="shared" ca="1" si="105"/>
        <v>10497522.312337441</v>
      </c>
      <c r="U243" s="2">
        <f t="shared" ca="1" si="105"/>
        <v>10871092.12946924</v>
      </c>
      <c r="V243" s="2">
        <f t="shared" ca="1" si="105"/>
        <v>11261130.693554712</v>
      </c>
      <c r="W243" s="2">
        <f t="shared" ca="1" si="105"/>
        <v>2576597.4062302844</v>
      </c>
      <c r="X243" s="2">
        <f t="shared" ca="1" si="105"/>
        <v>2666655.4593010088</v>
      </c>
      <c r="Y243" s="2">
        <f t="shared" ca="1" si="105"/>
        <v>2758604.7314862213</v>
      </c>
      <c r="Z243" s="2">
        <f t="shared" ca="1" si="105"/>
        <v>2852484.9383873227</v>
      </c>
      <c r="AA243" s="2">
        <f t="shared" ca="1" si="105"/>
        <v>2948336.6296333484</v>
      </c>
      <c r="AB243" s="2">
        <f t="shared" ref="AB243" ca="1" si="106">IF(V243=0,0,IF($G$15&gt;(AA243/V243)^(1/5)-1+2%,AA243*(AA243/V243)^(1/5)/($G$15-((AA243/V243)^(1/5)-1)),AA243*(1+$G$14)/$G$16))</f>
        <v>7864803.6218057889</v>
      </c>
    </row>
    <row r="244" spans="1:28" x14ac:dyDescent="0.25">
      <c r="A244"/>
      <c r="E244" t="s">
        <v>23</v>
      </c>
      <c r="F244" t="s">
        <v>7</v>
      </c>
      <c r="G244" s="2">
        <f>SUM(G234:G243)</f>
        <v>-163443249.98482335</v>
      </c>
      <c r="H244" s="2">
        <f t="shared" ref="H244:AB244" ca="1" si="107">SUM(H234:H243)</f>
        <v>-15434041.418151896</v>
      </c>
      <c r="I244" s="2">
        <f t="shared" ca="1" si="107"/>
        <v>-13897150.776310625</v>
      </c>
      <c r="J244" s="2">
        <f t="shared" ca="1" si="107"/>
        <v>-4816525.8634135239</v>
      </c>
      <c r="K244" s="2">
        <f t="shared" ca="1" si="107"/>
        <v>-3498438.4091921262</v>
      </c>
      <c r="L244" s="2">
        <f t="shared" ca="1" si="107"/>
        <v>-397437.12022093125</v>
      </c>
      <c r="M244" s="2">
        <f t="shared" ca="1" si="107"/>
        <v>2041481.7321912143</v>
      </c>
      <c r="N244" s="2">
        <f t="shared" ca="1" si="107"/>
        <v>4184759.9818287864</v>
      </c>
      <c r="O244" s="2">
        <f t="shared" ca="1" si="107"/>
        <v>6249294.2425202997</v>
      </c>
      <c r="P244" s="2">
        <f t="shared" ca="1" si="107"/>
        <v>7768025.638723284</v>
      </c>
      <c r="Q244" s="2">
        <f t="shared" ca="1" si="107"/>
        <v>9358859.8618392013</v>
      </c>
      <c r="R244" s="2">
        <f t="shared" ca="1" si="107"/>
        <v>10476777.669216264</v>
      </c>
      <c r="S244" s="2">
        <f t="shared" ca="1" si="107"/>
        <v>11666570.364415593</v>
      </c>
      <c r="T244" s="2">
        <f t="shared" ca="1" si="107"/>
        <v>12976351.636232303</v>
      </c>
      <c r="U244" s="2">
        <f t="shared" ca="1" si="107"/>
        <v>14827924.806774953</v>
      </c>
      <c r="V244" s="2">
        <f t="shared" ca="1" si="107"/>
        <v>16740689.206240678</v>
      </c>
      <c r="W244" s="2">
        <f t="shared" ca="1" si="107"/>
        <v>26013260.711460818</v>
      </c>
      <c r="X244" s="2">
        <f t="shared" ca="1" si="107"/>
        <v>26523589.678861588</v>
      </c>
      <c r="Y244" s="2">
        <f t="shared" ca="1" si="107"/>
        <v>27044635.55457779</v>
      </c>
      <c r="Z244" s="2">
        <f t="shared" ca="1" si="107"/>
        <v>27576623.393684033</v>
      </c>
      <c r="AA244" s="2">
        <f t="shared" ca="1" si="107"/>
        <v>28119782.977411512</v>
      </c>
      <c r="AB244" s="2">
        <f t="shared" ca="1" si="107"/>
        <v>1027739183.2796921</v>
      </c>
    </row>
    <row r="245" spans="1:28" x14ac:dyDescent="0.25">
      <c r="A245"/>
      <c r="E245" t="s">
        <v>31</v>
      </c>
      <c r="F245" t="s">
        <v>7</v>
      </c>
      <c r="G245" s="2">
        <f ca="1">NPV($G$15,H244:AB244)+G244</f>
        <v>267336103.53130794</v>
      </c>
    </row>
    <row r="247" spans="1:28" x14ac:dyDescent="0.25">
      <c r="A247"/>
      <c r="E247" t="s">
        <v>13</v>
      </c>
      <c r="F247" t="s">
        <v>7</v>
      </c>
      <c r="H247" s="2">
        <f t="shared" ref="H247:AA247" ca="1" si="108">H219</f>
        <v>0</v>
      </c>
      <c r="I247" s="2">
        <f t="shared" ca="1" si="108"/>
        <v>0</v>
      </c>
      <c r="J247" s="2">
        <f t="shared" ca="1" si="108"/>
        <v>0</v>
      </c>
      <c r="K247" s="2">
        <f t="shared" ca="1" si="108"/>
        <v>0</v>
      </c>
      <c r="L247" s="2">
        <f t="shared" ca="1" si="108"/>
        <v>0</v>
      </c>
      <c r="M247" s="2">
        <f t="shared" ca="1" si="108"/>
        <v>0</v>
      </c>
      <c r="N247" s="2">
        <f t="shared" ca="1" si="108"/>
        <v>0</v>
      </c>
      <c r="O247" s="2">
        <f t="shared" ca="1" si="108"/>
        <v>0</v>
      </c>
      <c r="P247" s="2">
        <f t="shared" ca="1" si="108"/>
        <v>0</v>
      </c>
      <c r="Q247" s="2">
        <f t="shared" ca="1" si="108"/>
        <v>0</v>
      </c>
      <c r="R247" s="2">
        <f t="shared" ca="1" si="108"/>
        <v>0</v>
      </c>
      <c r="S247" s="2">
        <f t="shared" ca="1" si="108"/>
        <v>0</v>
      </c>
      <c r="T247" s="2">
        <f t="shared" ca="1" si="108"/>
        <v>0</v>
      </c>
      <c r="U247" s="2">
        <f t="shared" ca="1" si="108"/>
        <v>0</v>
      </c>
      <c r="V247" s="2">
        <f t="shared" ca="1" si="108"/>
        <v>0</v>
      </c>
      <c r="W247" s="2">
        <f t="shared" ca="1" si="108"/>
        <v>0</v>
      </c>
      <c r="X247" s="2">
        <f t="shared" ca="1" si="108"/>
        <v>0</v>
      </c>
      <c r="Y247" s="2">
        <f t="shared" ca="1" si="108"/>
        <v>0</v>
      </c>
      <c r="Z247" s="2">
        <f t="shared" ca="1" si="108"/>
        <v>0</v>
      </c>
      <c r="AA247" s="2">
        <f t="shared" ca="1" si="108"/>
        <v>0</v>
      </c>
    </row>
    <row r="248" spans="1:28" x14ac:dyDescent="0.25">
      <c r="A248"/>
      <c r="E248" t="s">
        <v>24</v>
      </c>
      <c r="F248" t="s">
        <v>7</v>
      </c>
      <c r="G248" s="2">
        <f ca="1">NPV($G$15,H247:AA247)+G247</f>
        <v>0</v>
      </c>
    </row>
    <row r="249" spans="1:28" x14ac:dyDescent="0.25">
      <c r="A249"/>
      <c r="E249" s="3" t="s">
        <v>34</v>
      </c>
      <c r="F249" s="3"/>
      <c r="G249" s="4" t="str">
        <f ca="1">IF(G245&gt;0,"N/A",IF(ABS(G245+G248)&gt;1,"Error","OK"))</f>
        <v>N/A</v>
      </c>
    </row>
    <row r="251" spans="1:28" x14ac:dyDescent="0.25">
      <c r="A251"/>
      <c r="C251" s="1" t="s">
        <v>35</v>
      </c>
      <c r="D251" s="1"/>
    </row>
    <row r="252" spans="1:28" x14ac:dyDescent="0.25">
      <c r="A252"/>
      <c r="C252" s="1"/>
      <c r="D252" s="1"/>
      <c r="G252" s="44"/>
    </row>
    <row r="253" spans="1:28" x14ac:dyDescent="0.25">
      <c r="A253"/>
      <c r="C253" s="1"/>
      <c r="D253" t="s">
        <v>35</v>
      </c>
      <c r="F253" t="s">
        <v>7</v>
      </c>
      <c r="G253" s="8">
        <f ca="1">MAX(0,-G279)</f>
        <v>0</v>
      </c>
    </row>
    <row r="255" spans="1:28" x14ac:dyDescent="0.25">
      <c r="A255"/>
      <c r="D255" t="s">
        <v>9</v>
      </c>
    </row>
    <row r="256" spans="1:28" x14ac:dyDescent="0.25">
      <c r="A256"/>
      <c r="E256" t="s">
        <v>107</v>
      </c>
      <c r="F256" t="s">
        <v>7</v>
      </c>
      <c r="G256" s="2">
        <f t="shared" ref="G256:AA261" si="109">G222</f>
        <v>0</v>
      </c>
      <c r="H256" s="2">
        <f t="shared" si="109"/>
        <v>71748732.999999985</v>
      </c>
      <c r="I256" s="2">
        <f t="shared" si="109"/>
        <v>69468268.23999998</v>
      </c>
      <c r="J256" s="2">
        <f t="shared" si="109"/>
        <v>68324703.061668873</v>
      </c>
      <c r="K256" s="2">
        <f t="shared" si="109"/>
        <v>63779829.969574504</v>
      </c>
      <c r="L256" s="2">
        <f t="shared" si="109"/>
        <v>59227520.453961141</v>
      </c>
      <c r="M256" s="2">
        <f t="shared" si="109"/>
        <v>54698533.470934145</v>
      </c>
      <c r="N256" s="2">
        <f t="shared" si="109"/>
        <v>50268959.321799316</v>
      </c>
      <c r="O256" s="2">
        <f t="shared" si="109"/>
        <v>45990452.338097498</v>
      </c>
      <c r="P256" s="2">
        <f t="shared" si="109"/>
        <v>45625302.843771212</v>
      </c>
      <c r="Q256" s="2">
        <f t="shared" si="109"/>
        <v>45106482.553013481</v>
      </c>
      <c r="R256" s="2">
        <f t="shared" si="109"/>
        <v>48564651.960069492</v>
      </c>
      <c r="S256" s="2">
        <f t="shared" si="109"/>
        <v>52519158.075697809</v>
      </c>
      <c r="T256" s="2">
        <f t="shared" si="109"/>
        <v>56633010.577060565</v>
      </c>
      <c r="U256" s="2">
        <f t="shared" si="109"/>
        <v>57537640.149705954</v>
      </c>
      <c r="V256" s="2">
        <f t="shared" si="109"/>
        <v>58484926.800058573</v>
      </c>
      <c r="W256" s="2">
        <f t="shared" si="109"/>
        <v>0</v>
      </c>
      <c r="X256" s="2">
        <f t="shared" si="109"/>
        <v>0</v>
      </c>
      <c r="Y256" s="2">
        <f t="shared" si="109"/>
        <v>0</v>
      </c>
      <c r="Z256" s="2">
        <f t="shared" si="109"/>
        <v>0</v>
      </c>
      <c r="AA256" s="2">
        <f t="shared" si="109"/>
        <v>0</v>
      </c>
    </row>
    <row r="257" spans="4:28" customFormat="1" x14ac:dyDescent="0.25">
      <c r="E257" t="s">
        <v>11</v>
      </c>
      <c r="F257" t="s">
        <v>7</v>
      </c>
      <c r="G257" s="2">
        <f t="shared" si="109"/>
        <v>0</v>
      </c>
      <c r="H257" s="2">
        <f t="shared" si="109"/>
        <v>4980628.1713189147</v>
      </c>
      <c r="I257" s="2">
        <f t="shared" si="109"/>
        <v>9656009.9814525731</v>
      </c>
      <c r="J257" s="2">
        <f t="shared" si="109"/>
        <v>14515417.001976458</v>
      </c>
      <c r="K257" s="2">
        <f t="shared" si="109"/>
        <v>19182804.073758118</v>
      </c>
      <c r="L257" s="2">
        <f t="shared" si="109"/>
        <v>23663038.561506577</v>
      </c>
      <c r="M257" s="2">
        <f t="shared" si="109"/>
        <v>27943176.243399549</v>
      </c>
      <c r="N257" s="2">
        <f t="shared" si="109"/>
        <v>32029734.113938045</v>
      </c>
      <c r="O257" s="2">
        <f t="shared" si="109"/>
        <v>35932886.863266647</v>
      </c>
      <c r="P257" s="2">
        <f t="shared" si="109"/>
        <v>39919305.550821155</v>
      </c>
      <c r="Q257" s="2">
        <f t="shared" si="109"/>
        <v>43993123.832995534</v>
      </c>
      <c r="R257" s="2">
        <f t="shared" si="109"/>
        <v>48399425.263650596</v>
      </c>
      <c r="S257" s="2">
        <f t="shared" si="109"/>
        <v>53188806.677275643</v>
      </c>
      <c r="T257" s="2">
        <f t="shared" si="109"/>
        <v>58369074.894961029</v>
      </c>
      <c r="U257" s="2">
        <f t="shared" si="109"/>
        <v>63719703.640522972</v>
      </c>
      <c r="V257" s="2">
        <f t="shared" si="109"/>
        <v>69253069.845674753</v>
      </c>
      <c r="W257" s="2">
        <f t="shared" si="109"/>
        <v>70707384.312433928</v>
      </c>
      <c r="X257" s="2">
        <f t="shared" si="109"/>
        <v>72192239.382995024</v>
      </c>
      <c r="Y257" s="2">
        <f t="shared" si="109"/>
        <v>73708276.41003792</v>
      </c>
      <c r="Z257" s="2">
        <f t="shared" si="109"/>
        <v>75256150.214648709</v>
      </c>
      <c r="AA257" s="2">
        <f t="shared" si="109"/>
        <v>76836529.369156331</v>
      </c>
    </row>
    <row r="258" spans="4:28" customFormat="1" x14ac:dyDescent="0.25">
      <c r="E258" t="s">
        <v>57</v>
      </c>
      <c r="F258" t="s">
        <v>7</v>
      </c>
      <c r="G258" s="2">
        <f t="shared" si="109"/>
        <v>0</v>
      </c>
      <c r="H258" s="2">
        <f t="shared" si="109"/>
        <v>-2107062.1721910173</v>
      </c>
      <c r="I258" s="2">
        <f t="shared" si="109"/>
        <v>-4321552.9290536884</v>
      </c>
      <c r="J258" s="2">
        <f t="shared" si="109"/>
        <v>-6682699.3755984567</v>
      </c>
      <c r="K258" s="2">
        <f t="shared" si="109"/>
        <v>-8815053.2633375488</v>
      </c>
      <c r="L258" s="2">
        <f t="shared" si="109"/>
        <v>-10850533.782903222</v>
      </c>
      <c r="M258" s="2">
        <f t="shared" si="109"/>
        <v>-12787621.237359185</v>
      </c>
      <c r="N258" s="2">
        <f t="shared" si="109"/>
        <v>-14627433.277786093</v>
      </c>
      <c r="O258" s="2">
        <f t="shared" si="109"/>
        <v>-16372724.08233293</v>
      </c>
      <c r="P258" s="2">
        <f t="shared" si="109"/>
        <v>-18143790.859677456</v>
      </c>
      <c r="Q258" s="2">
        <f t="shared" si="109"/>
        <v>-19936635.213957675</v>
      </c>
      <c r="R258" s="2">
        <f t="shared" si="109"/>
        <v>-21875346.738966595</v>
      </c>
      <c r="S258" s="2">
        <f t="shared" si="109"/>
        <v>-23978685.34380573</v>
      </c>
      <c r="T258" s="2">
        <f t="shared" si="109"/>
        <v>-26254860.597206138</v>
      </c>
      <c r="U258" s="2">
        <f t="shared" si="109"/>
        <v>-28607083.480506632</v>
      </c>
      <c r="V258" s="2">
        <f t="shared" si="109"/>
        <v>-31038401.807321686</v>
      </c>
      <c r="W258" s="2">
        <f t="shared" si="109"/>
        <v>-31690208.245275438</v>
      </c>
      <c r="X258" s="2">
        <f t="shared" si="109"/>
        <v>-32355702.618426219</v>
      </c>
      <c r="Y258" s="2">
        <f t="shared" si="109"/>
        <v>-33035172.373413168</v>
      </c>
      <c r="Z258" s="2">
        <f t="shared" si="109"/>
        <v>-33728910.99325484</v>
      </c>
      <c r="AA258" s="2">
        <f t="shared" si="109"/>
        <v>-34437218.124113187</v>
      </c>
    </row>
    <row r="259" spans="4:28" customFormat="1" x14ac:dyDescent="0.25">
      <c r="E259" t="s">
        <v>10</v>
      </c>
      <c r="F259" t="s">
        <v>7</v>
      </c>
      <c r="G259" s="2">
        <f t="shared" si="109"/>
        <v>0</v>
      </c>
      <c r="H259" s="2">
        <f t="shared" si="109"/>
        <v>-737986.96799999999</v>
      </c>
      <c r="I259" s="2">
        <f t="shared" si="109"/>
        <v>-1468015.453368</v>
      </c>
      <c r="J259" s="2">
        <f t="shared" si="109"/>
        <v>-2201612.1522373222</v>
      </c>
      <c r="K259" s="2">
        <f t="shared" si="109"/>
        <v>-2903867.1156927864</v>
      </c>
      <c r="L259" s="2">
        <f t="shared" si="109"/>
        <v>-3574045.6783630783</v>
      </c>
      <c r="M259" s="2">
        <f t="shared" si="109"/>
        <v>-4211714.1247383114</v>
      </c>
      <c r="N259" s="2">
        <f t="shared" si="109"/>
        <v>-4817212.2743820371</v>
      </c>
      <c r="O259" s="2">
        <f t="shared" si="109"/>
        <v>-5391418.3847644916</v>
      </c>
      <c r="P259" s="2">
        <f t="shared" si="109"/>
        <v>-5973927.0000947639</v>
      </c>
      <c r="Q259" s="2">
        <f t="shared" si="109"/>
        <v>-6563331.8590706065</v>
      </c>
      <c r="R259" s="2">
        <f t="shared" si="109"/>
        <v>-7200683.9625575179</v>
      </c>
      <c r="S259" s="2">
        <f t="shared" si="109"/>
        <v>-7892095.3802641174</v>
      </c>
      <c r="T259" s="2">
        <f t="shared" si="109"/>
        <v>-8640340.3491851445</v>
      </c>
      <c r="U259" s="2">
        <f t="shared" si="109"/>
        <v>-9413603.2237721495</v>
      </c>
      <c r="V259" s="2">
        <f t="shared" si="109"/>
        <v>-10212848.138557682</v>
      </c>
      <c r="W259" s="2">
        <f t="shared" si="109"/>
        <v>-10427317.949467393</v>
      </c>
      <c r="X259" s="2">
        <f t="shared" si="109"/>
        <v>-10646291.626406206</v>
      </c>
      <c r="Y259" s="2">
        <f t="shared" si="109"/>
        <v>-10869863.750560736</v>
      </c>
      <c r="Z259" s="2">
        <f t="shared" si="109"/>
        <v>-11098130.88932251</v>
      </c>
      <c r="AA259" s="2">
        <f t="shared" si="109"/>
        <v>-11331191.637998283</v>
      </c>
    </row>
    <row r="260" spans="4:28" customFormat="1" x14ac:dyDescent="0.25">
      <c r="E260" t="s">
        <v>12</v>
      </c>
      <c r="F260" t="s">
        <v>7</v>
      </c>
      <c r="G260" s="2">
        <f t="shared" si="109"/>
        <v>-1819067.8907604155</v>
      </c>
      <c r="H260" s="2">
        <f t="shared" si="109"/>
        <v>-2692841.5894607455</v>
      </c>
      <c r="I260" s="2">
        <f t="shared" si="109"/>
        <v>-3545769.5847629821</v>
      </c>
      <c r="J260" s="2">
        <f t="shared" si="109"/>
        <v>-4304932.9521148577</v>
      </c>
      <c r="K260" s="2">
        <f t="shared" si="109"/>
        <v>-5025036.8471250562</v>
      </c>
      <c r="L260" s="2">
        <f t="shared" si="109"/>
        <v>-5685551.8751535583</v>
      </c>
      <c r="M260" s="2">
        <f t="shared" si="109"/>
        <v>-6293313.358163937</v>
      </c>
      <c r="N260" s="2">
        <f t="shared" si="109"/>
        <v>-6851857.3506283741</v>
      </c>
      <c r="O260" s="2">
        <f t="shared" si="109"/>
        <v>-7362862.3766072355</v>
      </c>
      <c r="P260" s="2">
        <f t="shared" si="109"/>
        <v>-7869810.1859824713</v>
      </c>
      <c r="Q260" s="2">
        <f t="shared" si="109"/>
        <v>-8370993.3254603986</v>
      </c>
      <c r="R260" s="2">
        <f t="shared" si="109"/>
        <v>-8910600.5694611706</v>
      </c>
      <c r="S260" s="2">
        <f t="shared" si="109"/>
        <v>-9494146.7703022584</v>
      </c>
      <c r="T260" s="2">
        <f t="shared" si="109"/>
        <v>-10123402.443380708</v>
      </c>
      <c r="U260" s="2">
        <f t="shared" si="109"/>
        <v>-10762709.556155218</v>
      </c>
      <c r="V260" s="2">
        <f t="shared" si="109"/>
        <v>-11412542.076155869</v>
      </c>
      <c r="W260" s="2">
        <f t="shared" si="109"/>
        <v>-11412542.076155869</v>
      </c>
      <c r="X260" s="2">
        <f t="shared" si="109"/>
        <v>-11412542.076155869</v>
      </c>
      <c r="Y260" s="2">
        <f t="shared" si="109"/>
        <v>-11412542.076155869</v>
      </c>
      <c r="Z260" s="2">
        <f t="shared" si="109"/>
        <v>-11412542.076155869</v>
      </c>
      <c r="AA260" s="2">
        <f t="shared" si="109"/>
        <v>-11412542.076155869</v>
      </c>
    </row>
    <row r="261" spans="4:28" customFormat="1" x14ac:dyDescent="0.25">
      <c r="E261" t="s">
        <v>48</v>
      </c>
      <c r="F261" t="s">
        <v>7</v>
      </c>
      <c r="G261" s="2">
        <f t="shared" si="109"/>
        <v>0</v>
      </c>
      <c r="H261" s="2">
        <f t="shared" si="109"/>
        <v>0</v>
      </c>
      <c r="I261" s="2">
        <f t="shared" si="109"/>
        <v>0</v>
      </c>
      <c r="J261" s="2">
        <f t="shared" si="109"/>
        <v>0</v>
      </c>
      <c r="K261" s="2">
        <f t="shared" si="109"/>
        <v>0</v>
      </c>
      <c r="L261" s="2">
        <f t="shared" si="109"/>
        <v>0</v>
      </c>
      <c r="M261" s="2">
        <f t="shared" si="109"/>
        <v>0</v>
      </c>
      <c r="N261" s="2">
        <f t="shared" si="109"/>
        <v>0</v>
      </c>
      <c r="O261" s="2">
        <f t="shared" si="109"/>
        <v>0</v>
      </c>
      <c r="P261" s="2">
        <f t="shared" si="109"/>
        <v>0</v>
      </c>
      <c r="Q261" s="2">
        <f t="shared" si="109"/>
        <v>0</v>
      </c>
      <c r="R261" s="2">
        <f t="shared" si="109"/>
        <v>0</v>
      </c>
      <c r="S261" s="2">
        <f t="shared" si="109"/>
        <v>0</v>
      </c>
      <c r="T261" s="2">
        <f t="shared" si="109"/>
        <v>0</v>
      </c>
      <c r="U261" s="2">
        <f t="shared" si="109"/>
        <v>0</v>
      </c>
      <c r="V261" s="2">
        <f t="shared" si="109"/>
        <v>0</v>
      </c>
      <c r="W261" s="2">
        <f t="shared" si="109"/>
        <v>0</v>
      </c>
      <c r="X261" s="2">
        <f t="shared" si="109"/>
        <v>0</v>
      </c>
      <c r="Y261" s="2">
        <f t="shared" si="109"/>
        <v>0</v>
      </c>
      <c r="Z261" s="2">
        <f t="shared" si="109"/>
        <v>0</v>
      </c>
      <c r="AA261" s="2">
        <f t="shared" si="109"/>
        <v>0</v>
      </c>
    </row>
    <row r="262" spans="4:28" customFormat="1" x14ac:dyDescent="0.25">
      <c r="E262" t="s">
        <v>13</v>
      </c>
      <c r="F262" t="s">
        <v>7</v>
      </c>
      <c r="G262" s="2">
        <f ca="1">G253</f>
        <v>0</v>
      </c>
      <c r="H262" s="2"/>
      <c r="I262" s="2"/>
      <c r="J262" s="2"/>
      <c r="K262" s="2"/>
      <c r="L262" s="2"/>
      <c r="M262" s="2"/>
      <c r="N262" s="2"/>
      <c r="O262" s="2"/>
      <c r="P262" s="2"/>
      <c r="Q262" s="2"/>
      <c r="R262" s="2"/>
      <c r="S262" s="2"/>
      <c r="T262" s="2"/>
      <c r="U262" s="2"/>
      <c r="V262" s="2"/>
      <c r="W262" s="2"/>
      <c r="X262" s="2"/>
      <c r="Y262" s="2"/>
      <c r="Z262" s="2"/>
      <c r="AA262" s="2"/>
    </row>
    <row r="263" spans="4:28" customFormat="1" x14ac:dyDescent="0.25"/>
    <row r="264" spans="4:28" customFormat="1" x14ac:dyDescent="0.25">
      <c r="E264" t="s">
        <v>14</v>
      </c>
      <c r="F264" t="s">
        <v>7</v>
      </c>
      <c r="G264" s="2">
        <f t="shared" ref="G264:AA264" ca="1" si="110">SUM(G256:G262)</f>
        <v>-1819067.8907604155</v>
      </c>
      <c r="H264" s="2">
        <f t="shared" si="110"/>
        <v>71191470.44166714</v>
      </c>
      <c r="I264" s="2">
        <f t="shared" si="110"/>
        <v>69788940.254267886</v>
      </c>
      <c r="J264" s="2">
        <f t="shared" si="110"/>
        <v>69650875.583694696</v>
      </c>
      <c r="K264" s="2">
        <f t="shared" si="110"/>
        <v>66218676.817177236</v>
      </c>
      <c r="L264" s="2">
        <f t="shared" si="110"/>
        <v>62780427.679047853</v>
      </c>
      <c r="M264" s="2">
        <f t="shared" si="110"/>
        <v>59349060.994072266</v>
      </c>
      <c r="N264" s="2">
        <f t="shared" si="110"/>
        <v>56002190.53294085</v>
      </c>
      <c r="O264" s="2">
        <f t="shared" si="110"/>
        <v>52796334.357659489</v>
      </c>
      <c r="P264" s="2">
        <f t="shared" si="110"/>
        <v>53557080.348837674</v>
      </c>
      <c r="Q264" s="2">
        <f t="shared" si="110"/>
        <v>54228645.987520337</v>
      </c>
      <c r="R264" s="2">
        <f t="shared" si="110"/>
        <v>58977445.952734798</v>
      </c>
      <c r="S264" s="2">
        <f t="shared" si="110"/>
        <v>64343037.258601345</v>
      </c>
      <c r="T264" s="2">
        <f t="shared" si="110"/>
        <v>69983482.082249612</v>
      </c>
      <c r="U264" s="2">
        <f t="shared" si="110"/>
        <v>72473947.529794931</v>
      </c>
      <c r="V264" s="2">
        <f t="shared" si="110"/>
        <v>75074204.623698086</v>
      </c>
      <c r="W264" s="2">
        <f t="shared" si="110"/>
        <v>17177316.041535228</v>
      </c>
      <c r="X264" s="2">
        <f t="shared" si="110"/>
        <v>17777703.062006727</v>
      </c>
      <c r="Y264" s="2">
        <f t="shared" si="110"/>
        <v>18390698.209908143</v>
      </c>
      <c r="Z264" s="2">
        <f t="shared" si="110"/>
        <v>19016566.255915485</v>
      </c>
      <c r="AA264" s="2">
        <f t="shared" si="110"/>
        <v>19655577.53088899</v>
      </c>
    </row>
    <row r="265" spans="4:28" customFormat="1" x14ac:dyDescent="0.25">
      <c r="E265" t="s">
        <v>15</v>
      </c>
      <c r="F265" t="s">
        <v>7</v>
      </c>
      <c r="G265" s="2">
        <f ca="1">-G264*G$18</f>
        <v>545720.36722812464</v>
      </c>
      <c r="H265" s="2">
        <f t="shared" ref="H265:AA265" si="111">-H264*H$18</f>
        <v>-21357441.132500142</v>
      </c>
      <c r="I265" s="2">
        <f t="shared" si="111"/>
        <v>-20936682.076280367</v>
      </c>
      <c r="J265" s="2">
        <f t="shared" si="111"/>
        <v>-20895262.675108407</v>
      </c>
      <c r="K265" s="2">
        <f t="shared" si="111"/>
        <v>-19865603.045153171</v>
      </c>
      <c r="L265" s="2">
        <f t="shared" si="111"/>
        <v>-18834128.303714354</v>
      </c>
      <c r="M265" s="2">
        <f t="shared" si="111"/>
        <v>-17804718.298221678</v>
      </c>
      <c r="N265" s="2">
        <f t="shared" si="111"/>
        <v>-16800657.159882255</v>
      </c>
      <c r="O265" s="2">
        <f t="shared" si="111"/>
        <v>-15838900.307297846</v>
      </c>
      <c r="P265" s="2">
        <f t="shared" si="111"/>
        <v>-16067124.104651302</v>
      </c>
      <c r="Q265" s="2">
        <f t="shared" si="111"/>
        <v>-16268593.796256101</v>
      </c>
      <c r="R265" s="2">
        <f t="shared" si="111"/>
        <v>-17693233.785820439</v>
      </c>
      <c r="S265" s="2">
        <f t="shared" si="111"/>
        <v>-19302911.177580401</v>
      </c>
      <c r="T265" s="2">
        <f t="shared" si="111"/>
        <v>-20995044.624674883</v>
      </c>
      <c r="U265" s="2">
        <f t="shared" si="111"/>
        <v>-21742184.25893848</v>
      </c>
      <c r="V265" s="2">
        <f t="shared" si="111"/>
        <v>-22522261.387109425</v>
      </c>
      <c r="W265" s="2">
        <f t="shared" si="111"/>
        <v>-5153194.8124605687</v>
      </c>
      <c r="X265" s="2">
        <f t="shared" si="111"/>
        <v>-5333310.9186020177</v>
      </c>
      <c r="Y265" s="2">
        <f t="shared" si="111"/>
        <v>-5517209.4629724426</v>
      </c>
      <c r="Z265" s="2">
        <f t="shared" si="111"/>
        <v>-5704969.8767746454</v>
      </c>
      <c r="AA265" s="2">
        <f t="shared" si="111"/>
        <v>-5896673.2592666969</v>
      </c>
    </row>
    <row r="266" spans="4:28" customFormat="1" x14ac:dyDescent="0.25"/>
    <row r="267" spans="4:28" customFormat="1" x14ac:dyDescent="0.25">
      <c r="D267" t="s">
        <v>28</v>
      </c>
    </row>
    <row r="268" spans="4:28" customFormat="1" x14ac:dyDescent="0.25">
      <c r="E268" t="s">
        <v>1</v>
      </c>
      <c r="F268" t="s">
        <v>7</v>
      </c>
      <c r="G268" s="2">
        <f t="shared" ref="G268:AA275" si="112">G234</f>
        <v>-163716110.16843739</v>
      </c>
      <c r="H268" s="2">
        <f t="shared" si="112"/>
        <v>-6890899.8830297235</v>
      </c>
      <c r="I268" s="2">
        <f t="shared" si="112"/>
        <v>-7295251.3372013271</v>
      </c>
      <c r="J268" s="2">
        <f t="shared" si="112"/>
        <v>0</v>
      </c>
      <c r="K268" s="2">
        <f t="shared" si="112"/>
        <v>-1029520.5813433226</v>
      </c>
      <c r="L268" s="2">
        <f t="shared" si="112"/>
        <v>-218832.06860403085</v>
      </c>
      <c r="M268" s="2">
        <f t="shared" si="112"/>
        <v>0</v>
      </c>
      <c r="N268" s="2">
        <f t="shared" si="112"/>
        <v>0</v>
      </c>
      <c r="O268" s="2">
        <f t="shared" si="112"/>
        <v>0</v>
      </c>
      <c r="P268" s="2">
        <f t="shared" si="112"/>
        <v>0</v>
      </c>
      <c r="Q268" s="2">
        <f t="shared" si="112"/>
        <v>0</v>
      </c>
      <c r="R268" s="2">
        <f t="shared" si="112"/>
        <v>0</v>
      </c>
      <c r="S268" s="2">
        <f t="shared" si="112"/>
        <v>0</v>
      </c>
      <c r="T268" s="2">
        <f t="shared" si="112"/>
        <v>0</v>
      </c>
      <c r="U268" s="2">
        <f t="shared" si="112"/>
        <v>0</v>
      </c>
      <c r="V268" s="2">
        <f t="shared" si="112"/>
        <v>0</v>
      </c>
      <c r="W268" s="2">
        <f t="shared" si="112"/>
        <v>0</v>
      </c>
      <c r="X268" s="2">
        <f t="shared" si="112"/>
        <v>0</v>
      </c>
      <c r="Y268" s="2">
        <f t="shared" si="112"/>
        <v>0</v>
      </c>
      <c r="Z268" s="2">
        <f t="shared" si="112"/>
        <v>0</v>
      </c>
      <c r="AA268" s="2">
        <f t="shared" si="112"/>
        <v>0</v>
      </c>
    </row>
    <row r="269" spans="4:28" customFormat="1" x14ac:dyDescent="0.25">
      <c r="E269" t="s">
        <v>19</v>
      </c>
      <c r="F269" t="s">
        <v>7</v>
      </c>
      <c r="G269" s="2">
        <f t="shared" si="112"/>
        <v>0</v>
      </c>
      <c r="H269" s="2">
        <f t="shared" si="112"/>
        <v>0</v>
      </c>
      <c r="I269" s="2">
        <f t="shared" si="112"/>
        <v>0</v>
      </c>
      <c r="J269" s="2">
        <f t="shared" si="112"/>
        <v>0</v>
      </c>
      <c r="K269" s="2">
        <f t="shared" si="112"/>
        <v>0</v>
      </c>
      <c r="L269" s="2">
        <f t="shared" si="112"/>
        <v>0</v>
      </c>
      <c r="M269" s="2">
        <f t="shared" si="112"/>
        <v>0</v>
      </c>
      <c r="N269" s="2">
        <f t="shared" si="112"/>
        <v>0</v>
      </c>
      <c r="O269" s="2">
        <f t="shared" si="112"/>
        <v>0</v>
      </c>
      <c r="P269" s="2">
        <f t="shared" si="112"/>
        <v>0</v>
      </c>
      <c r="Q269" s="2">
        <f t="shared" si="112"/>
        <v>0</v>
      </c>
      <c r="R269" s="2">
        <f t="shared" si="112"/>
        <v>0</v>
      </c>
      <c r="S269" s="2">
        <f t="shared" si="112"/>
        <v>0</v>
      </c>
      <c r="T269" s="2">
        <f t="shared" si="112"/>
        <v>0</v>
      </c>
      <c r="U269" s="2">
        <f t="shared" si="112"/>
        <v>0</v>
      </c>
      <c r="V269" s="2">
        <f t="shared" si="112"/>
        <v>0</v>
      </c>
      <c r="W269" s="2">
        <f t="shared" si="112"/>
        <v>0</v>
      </c>
      <c r="X269" s="2">
        <f t="shared" si="112"/>
        <v>0</v>
      </c>
      <c r="Y269" s="2">
        <f t="shared" si="112"/>
        <v>0</v>
      </c>
      <c r="Z269" s="2">
        <f t="shared" si="112"/>
        <v>0</v>
      </c>
      <c r="AA269" s="2">
        <f t="shared" si="112"/>
        <v>0</v>
      </c>
    </row>
    <row r="270" spans="4:28" customFormat="1" x14ac:dyDescent="0.25">
      <c r="E270" t="s">
        <v>109</v>
      </c>
      <c r="F270" t="s">
        <v>7</v>
      </c>
      <c r="G270" s="2">
        <f t="shared" si="112"/>
        <v>0</v>
      </c>
      <c r="H270" s="2">
        <f t="shared" si="112"/>
        <v>0</v>
      </c>
      <c r="I270" s="2">
        <f t="shared" si="112"/>
        <v>0</v>
      </c>
      <c r="J270" s="2">
        <f t="shared" si="112"/>
        <v>0</v>
      </c>
      <c r="K270" s="2">
        <f t="shared" si="112"/>
        <v>0</v>
      </c>
      <c r="L270" s="2">
        <f t="shared" si="112"/>
        <v>0</v>
      </c>
      <c r="M270" s="2">
        <f t="shared" si="112"/>
        <v>0</v>
      </c>
      <c r="N270" s="2">
        <f t="shared" si="112"/>
        <v>0</v>
      </c>
      <c r="O270" s="2">
        <f t="shared" si="112"/>
        <v>0</v>
      </c>
      <c r="P270" s="2">
        <f t="shared" si="112"/>
        <v>0</v>
      </c>
      <c r="Q270" s="2">
        <f t="shared" si="112"/>
        <v>0</v>
      </c>
      <c r="R270" s="2">
        <f t="shared" si="112"/>
        <v>0</v>
      </c>
      <c r="S270" s="2">
        <f t="shared" si="112"/>
        <v>0</v>
      </c>
      <c r="T270" s="2">
        <f t="shared" si="112"/>
        <v>0</v>
      </c>
      <c r="U270" s="2">
        <f t="shared" si="112"/>
        <v>0</v>
      </c>
      <c r="V270" s="2">
        <f t="shared" si="112"/>
        <v>0</v>
      </c>
      <c r="W270" s="2">
        <f t="shared" si="112"/>
        <v>0</v>
      </c>
      <c r="X270" s="2">
        <f t="shared" si="112"/>
        <v>0</v>
      </c>
      <c r="Y270" s="2">
        <f t="shared" si="112"/>
        <v>0</v>
      </c>
      <c r="Z270" s="2">
        <f t="shared" si="112"/>
        <v>0</v>
      </c>
      <c r="AA270" s="2">
        <f t="shared" si="112"/>
        <v>0</v>
      </c>
    </row>
    <row r="271" spans="4:28" customFormat="1" x14ac:dyDescent="0.25">
      <c r="E271" t="s">
        <v>11</v>
      </c>
      <c r="F271" t="s">
        <v>7</v>
      </c>
      <c r="G271" s="2">
        <f t="shared" si="112"/>
        <v>0</v>
      </c>
      <c r="H271" s="2">
        <f t="shared" si="112"/>
        <v>4980628.1713189147</v>
      </c>
      <c r="I271" s="2">
        <f t="shared" si="112"/>
        <v>9656009.9814525731</v>
      </c>
      <c r="J271" s="2">
        <f t="shared" si="112"/>
        <v>14515417.001976458</v>
      </c>
      <c r="K271" s="2">
        <f t="shared" si="112"/>
        <v>19182804.073758118</v>
      </c>
      <c r="L271" s="2">
        <f t="shared" si="112"/>
        <v>23663038.561506577</v>
      </c>
      <c r="M271" s="2">
        <f t="shared" si="112"/>
        <v>27943176.243399549</v>
      </c>
      <c r="N271" s="2">
        <f t="shared" si="112"/>
        <v>32029734.113938045</v>
      </c>
      <c r="O271" s="2">
        <f t="shared" si="112"/>
        <v>35932886.863266647</v>
      </c>
      <c r="P271" s="2">
        <f t="shared" si="112"/>
        <v>39919305.550821155</v>
      </c>
      <c r="Q271" s="2">
        <f t="shared" si="112"/>
        <v>43993123.832995534</v>
      </c>
      <c r="R271" s="2">
        <f t="shared" si="112"/>
        <v>48399425.263650596</v>
      </c>
      <c r="S271" s="2">
        <f t="shared" si="112"/>
        <v>53188806.677275643</v>
      </c>
      <c r="T271" s="2">
        <f t="shared" si="112"/>
        <v>58369074.894961029</v>
      </c>
      <c r="U271" s="2">
        <f t="shared" si="112"/>
        <v>63719703.640522972</v>
      </c>
      <c r="V271" s="2">
        <f t="shared" si="112"/>
        <v>69253069.845674753</v>
      </c>
      <c r="W271" s="2">
        <f t="shared" si="112"/>
        <v>70707384.312433928</v>
      </c>
      <c r="X271" s="2">
        <f t="shared" si="112"/>
        <v>72192239.382995024</v>
      </c>
      <c r="Y271" s="2">
        <f t="shared" si="112"/>
        <v>73708276.41003792</v>
      </c>
      <c r="Z271" s="2">
        <f t="shared" si="112"/>
        <v>75256150.214648709</v>
      </c>
      <c r="AA271" s="2">
        <f t="shared" si="112"/>
        <v>76836529.369156331</v>
      </c>
      <c r="AB271" s="2">
        <f t="shared" ref="AB271:AB275" si="113">IF(V271=0,0,IF($G$15&gt;(AA271/V271)^(1/5)-1+2%,AA271*(AA271/V271)^(1/5)/($G$15-((AA271/V271)^(1/5)-1)),AA271*(1+$G$14)/$G$16))</f>
        <v>2561217645.6385498</v>
      </c>
    </row>
    <row r="272" spans="4:28" customFormat="1" x14ac:dyDescent="0.25">
      <c r="E272" t="s">
        <v>57</v>
      </c>
      <c r="F272" t="s">
        <v>7</v>
      </c>
      <c r="G272" s="2">
        <f t="shared" si="112"/>
        <v>0</v>
      </c>
      <c r="H272" s="2">
        <f t="shared" si="112"/>
        <v>-2107062.1721910173</v>
      </c>
      <c r="I272" s="2">
        <f t="shared" si="112"/>
        <v>-4321552.9290536884</v>
      </c>
      <c r="J272" s="2">
        <f t="shared" si="112"/>
        <v>-6682699.3755984567</v>
      </c>
      <c r="K272" s="2">
        <f t="shared" si="112"/>
        <v>-8815053.2633375488</v>
      </c>
      <c r="L272" s="2">
        <f t="shared" si="112"/>
        <v>-10850533.782903222</v>
      </c>
      <c r="M272" s="2">
        <f t="shared" si="112"/>
        <v>-12787621.237359185</v>
      </c>
      <c r="N272" s="2">
        <f t="shared" si="112"/>
        <v>-14627433.277786093</v>
      </c>
      <c r="O272" s="2">
        <f t="shared" si="112"/>
        <v>-16372724.08233293</v>
      </c>
      <c r="P272" s="2">
        <f t="shared" si="112"/>
        <v>-18143790.859677456</v>
      </c>
      <c r="Q272" s="2">
        <f t="shared" si="112"/>
        <v>-19936635.213957675</v>
      </c>
      <c r="R272" s="2">
        <f t="shared" si="112"/>
        <v>-21875346.738966595</v>
      </c>
      <c r="S272" s="2">
        <f t="shared" si="112"/>
        <v>-23978685.34380573</v>
      </c>
      <c r="T272" s="2">
        <f t="shared" si="112"/>
        <v>-26254860.597206138</v>
      </c>
      <c r="U272" s="2">
        <f t="shared" si="112"/>
        <v>-28607083.480506632</v>
      </c>
      <c r="V272" s="2">
        <f t="shared" si="112"/>
        <v>-31038401.807321686</v>
      </c>
      <c r="W272" s="2">
        <f t="shared" si="112"/>
        <v>-31690208.245275438</v>
      </c>
      <c r="X272" s="2">
        <f t="shared" si="112"/>
        <v>-32355702.618426219</v>
      </c>
      <c r="Y272" s="2">
        <f t="shared" si="112"/>
        <v>-33035172.373413168</v>
      </c>
      <c r="Z272" s="2">
        <f t="shared" si="112"/>
        <v>-33728910.99325484</v>
      </c>
      <c r="AA272" s="2">
        <f t="shared" si="112"/>
        <v>-34437218.124113187</v>
      </c>
      <c r="AB272" s="2">
        <f t="shared" si="113"/>
        <v>-1147907270.8037751</v>
      </c>
    </row>
    <row r="273" spans="1:28" x14ac:dyDescent="0.25">
      <c r="E273" t="s">
        <v>10</v>
      </c>
      <c r="F273" t="s">
        <v>7</v>
      </c>
      <c r="G273" s="2">
        <f t="shared" si="112"/>
        <v>0</v>
      </c>
      <c r="H273" s="2">
        <f t="shared" si="112"/>
        <v>-737986.96799999999</v>
      </c>
      <c r="I273" s="2">
        <f t="shared" si="112"/>
        <v>-1468015.453368</v>
      </c>
      <c r="J273" s="2">
        <f t="shared" si="112"/>
        <v>-2201612.1522373222</v>
      </c>
      <c r="K273" s="2">
        <f t="shared" si="112"/>
        <v>-2903867.1156927864</v>
      </c>
      <c r="L273" s="2">
        <f t="shared" si="112"/>
        <v>-3574045.6783630783</v>
      </c>
      <c r="M273" s="2">
        <f t="shared" si="112"/>
        <v>-4211714.1247383114</v>
      </c>
      <c r="N273" s="2">
        <f t="shared" si="112"/>
        <v>-4817212.2743820371</v>
      </c>
      <c r="O273" s="2">
        <f t="shared" si="112"/>
        <v>-5391418.3847644916</v>
      </c>
      <c r="P273" s="2">
        <f t="shared" si="112"/>
        <v>-5973927.0000947639</v>
      </c>
      <c r="Q273" s="2">
        <f t="shared" si="112"/>
        <v>-6563331.8590706065</v>
      </c>
      <c r="R273" s="2">
        <f t="shared" si="112"/>
        <v>-7200683.9625575179</v>
      </c>
      <c r="S273" s="2">
        <f t="shared" si="112"/>
        <v>-7892095.3802641174</v>
      </c>
      <c r="T273" s="2">
        <f t="shared" si="112"/>
        <v>-8640340.3491851445</v>
      </c>
      <c r="U273" s="2">
        <f t="shared" si="112"/>
        <v>-9413603.2237721495</v>
      </c>
      <c r="V273" s="2">
        <f t="shared" si="112"/>
        <v>-10212848.138557682</v>
      </c>
      <c r="W273" s="2">
        <f t="shared" si="112"/>
        <v>-10427317.949467393</v>
      </c>
      <c r="X273" s="2">
        <f t="shared" si="112"/>
        <v>-10646291.626406206</v>
      </c>
      <c r="Y273" s="2">
        <f t="shared" si="112"/>
        <v>-10869863.750560736</v>
      </c>
      <c r="Z273" s="2">
        <f t="shared" si="112"/>
        <v>-11098130.88932251</v>
      </c>
      <c r="AA273" s="2">
        <f t="shared" si="112"/>
        <v>-11331191.637998283</v>
      </c>
      <c r="AB273" s="2">
        <f t="shared" si="113"/>
        <v>-377706387.93327689</v>
      </c>
    </row>
    <row r="274" spans="1:28" x14ac:dyDescent="0.25">
      <c r="E274" t="s">
        <v>48</v>
      </c>
      <c r="F274" t="s">
        <v>7</v>
      </c>
      <c r="G274" s="2">
        <f t="shared" si="112"/>
        <v>0</v>
      </c>
      <c r="H274" s="2">
        <f t="shared" si="112"/>
        <v>0</v>
      </c>
      <c r="I274" s="2">
        <f t="shared" si="112"/>
        <v>0</v>
      </c>
      <c r="J274" s="2">
        <f t="shared" si="112"/>
        <v>0</v>
      </c>
      <c r="K274" s="2">
        <f t="shared" si="112"/>
        <v>0</v>
      </c>
      <c r="L274" s="2">
        <f t="shared" si="112"/>
        <v>0</v>
      </c>
      <c r="M274" s="2">
        <f t="shared" si="112"/>
        <v>0</v>
      </c>
      <c r="N274" s="2">
        <f t="shared" si="112"/>
        <v>0</v>
      </c>
      <c r="O274" s="2">
        <f t="shared" si="112"/>
        <v>0</v>
      </c>
      <c r="P274" s="2">
        <f t="shared" si="112"/>
        <v>0</v>
      </c>
      <c r="Q274" s="2">
        <f t="shared" si="112"/>
        <v>0</v>
      </c>
      <c r="R274" s="2">
        <f t="shared" si="112"/>
        <v>0</v>
      </c>
      <c r="S274" s="2">
        <f t="shared" si="112"/>
        <v>0</v>
      </c>
      <c r="T274" s="2">
        <f t="shared" si="112"/>
        <v>0</v>
      </c>
      <c r="U274" s="2">
        <f t="shared" si="112"/>
        <v>0</v>
      </c>
      <c r="V274" s="2">
        <f t="shared" si="112"/>
        <v>0</v>
      </c>
      <c r="W274" s="2">
        <f t="shared" si="112"/>
        <v>0</v>
      </c>
      <c r="X274" s="2">
        <f t="shared" si="112"/>
        <v>0</v>
      </c>
      <c r="Y274" s="2">
        <f t="shared" si="112"/>
        <v>0</v>
      </c>
      <c r="Z274" s="2">
        <f t="shared" si="112"/>
        <v>0</v>
      </c>
      <c r="AA274" s="2">
        <f t="shared" si="112"/>
        <v>0</v>
      </c>
      <c r="AB274" s="2">
        <f t="shared" si="113"/>
        <v>0</v>
      </c>
    </row>
    <row r="275" spans="1:28" x14ac:dyDescent="0.25">
      <c r="E275" t="s">
        <v>49</v>
      </c>
      <c r="F275" t="s">
        <v>7</v>
      </c>
      <c r="G275" s="2">
        <f t="shared" si="112"/>
        <v>0</v>
      </c>
      <c r="H275" s="2">
        <f t="shared" si="112"/>
        <v>0</v>
      </c>
      <c r="I275" s="2">
        <f t="shared" si="112"/>
        <v>0</v>
      </c>
      <c r="J275" s="2">
        <f t="shared" si="112"/>
        <v>0</v>
      </c>
      <c r="K275" s="2">
        <f t="shared" si="112"/>
        <v>0</v>
      </c>
      <c r="L275" s="2">
        <f t="shared" si="112"/>
        <v>0</v>
      </c>
      <c r="M275" s="2">
        <f t="shared" si="112"/>
        <v>0</v>
      </c>
      <c r="N275" s="2">
        <f t="shared" si="112"/>
        <v>0</v>
      </c>
      <c r="O275" s="2">
        <f t="shared" si="112"/>
        <v>0</v>
      </c>
      <c r="P275" s="2">
        <f t="shared" si="112"/>
        <v>0</v>
      </c>
      <c r="Q275" s="2">
        <f t="shared" si="112"/>
        <v>0</v>
      </c>
      <c r="R275" s="2">
        <f t="shared" si="112"/>
        <v>0</v>
      </c>
      <c r="S275" s="2">
        <f t="shared" si="112"/>
        <v>0</v>
      </c>
      <c r="T275" s="2">
        <f t="shared" si="112"/>
        <v>0</v>
      </c>
      <c r="U275" s="2">
        <f t="shared" si="112"/>
        <v>0</v>
      </c>
      <c r="V275" s="2">
        <f t="shared" si="112"/>
        <v>0</v>
      </c>
      <c r="W275" s="2">
        <f t="shared" si="112"/>
        <v>0</v>
      </c>
      <c r="X275" s="2">
        <f t="shared" si="112"/>
        <v>0</v>
      </c>
      <c r="Y275" s="2">
        <f t="shared" si="112"/>
        <v>0</v>
      </c>
      <c r="Z275" s="2">
        <f t="shared" si="112"/>
        <v>0</v>
      </c>
      <c r="AA275" s="2">
        <f t="shared" si="112"/>
        <v>0</v>
      </c>
      <c r="AB275" s="2">
        <f t="shared" si="113"/>
        <v>0</v>
      </c>
    </row>
    <row r="276" spans="1:28" x14ac:dyDescent="0.25">
      <c r="E276" t="s">
        <v>20</v>
      </c>
      <c r="F276" t="s">
        <v>7</v>
      </c>
      <c r="G276" s="2">
        <f t="shared" ref="G276:AA276" ca="1" si="114">G265</f>
        <v>545720.36722812464</v>
      </c>
      <c r="H276" s="2">
        <f t="shared" si="114"/>
        <v>-21357441.132500142</v>
      </c>
      <c r="I276" s="2">
        <f t="shared" si="114"/>
        <v>-20936682.076280367</v>
      </c>
      <c r="J276" s="2">
        <f t="shared" si="114"/>
        <v>-20895262.675108407</v>
      </c>
      <c r="K276" s="2">
        <f t="shared" si="114"/>
        <v>-19865603.045153171</v>
      </c>
      <c r="L276" s="2">
        <f t="shared" si="114"/>
        <v>-18834128.303714354</v>
      </c>
      <c r="M276" s="2">
        <f t="shared" si="114"/>
        <v>-17804718.298221678</v>
      </c>
      <c r="N276" s="2">
        <f t="shared" si="114"/>
        <v>-16800657.159882255</v>
      </c>
      <c r="O276" s="2">
        <f t="shared" si="114"/>
        <v>-15838900.307297846</v>
      </c>
      <c r="P276" s="2">
        <f t="shared" si="114"/>
        <v>-16067124.104651302</v>
      </c>
      <c r="Q276" s="2">
        <f t="shared" si="114"/>
        <v>-16268593.796256101</v>
      </c>
      <c r="R276" s="2">
        <f t="shared" si="114"/>
        <v>-17693233.785820439</v>
      </c>
      <c r="S276" s="2">
        <f t="shared" si="114"/>
        <v>-19302911.177580401</v>
      </c>
      <c r="T276" s="2">
        <f t="shared" si="114"/>
        <v>-20995044.624674883</v>
      </c>
      <c r="U276" s="2">
        <f t="shared" si="114"/>
        <v>-21742184.25893848</v>
      </c>
      <c r="V276" s="2">
        <f t="shared" si="114"/>
        <v>-22522261.387109425</v>
      </c>
      <c r="W276" s="2">
        <f t="shared" si="114"/>
        <v>-5153194.8124605687</v>
      </c>
      <c r="X276" s="2">
        <f t="shared" si="114"/>
        <v>-5333310.9186020177</v>
      </c>
      <c r="Y276" s="2">
        <f t="shared" si="114"/>
        <v>-5517209.4629724426</v>
      </c>
      <c r="Z276" s="2">
        <f t="shared" si="114"/>
        <v>-5704969.8767746454</v>
      </c>
      <c r="AA276" s="2">
        <f t="shared" si="114"/>
        <v>-5896673.2592666969</v>
      </c>
      <c r="AB276" s="2">
        <f>IF(V276=0,0,IF($G$15&gt;(AA276/V276)^(1/5)-1+2%,AA276*(AA276/V276)^(1/5)/($G$15-((AA276/V276)^(1/5)-1)),AA276*(1+$G$14)/$G$16))</f>
        <v>-15729607.243611578</v>
      </c>
    </row>
    <row r="277" spans="1:28" x14ac:dyDescent="0.25">
      <c r="E277" t="s">
        <v>173</v>
      </c>
      <c r="F277" t="s">
        <v>7</v>
      </c>
      <c r="G277" s="2">
        <f ca="1">-$G$17*G276</f>
        <v>-272860.18361406232</v>
      </c>
      <c r="H277" s="2">
        <f t="shared" ref="H277:AA277" si="115">-$G$17*H276</f>
        <v>10678720.566250071</v>
      </c>
      <c r="I277" s="2">
        <f t="shared" si="115"/>
        <v>10468341.038140183</v>
      </c>
      <c r="J277" s="2">
        <f t="shared" si="115"/>
        <v>10447631.337554203</v>
      </c>
      <c r="K277" s="2">
        <f t="shared" si="115"/>
        <v>9932801.5225765854</v>
      </c>
      <c r="L277" s="2">
        <f t="shared" si="115"/>
        <v>9417064.1518571768</v>
      </c>
      <c r="M277" s="2">
        <f t="shared" si="115"/>
        <v>8902359.1491108388</v>
      </c>
      <c r="N277" s="2">
        <f t="shared" si="115"/>
        <v>8400328.5799411274</v>
      </c>
      <c r="O277" s="2">
        <f t="shared" si="115"/>
        <v>7919450.1536489232</v>
      </c>
      <c r="P277" s="2">
        <f t="shared" si="115"/>
        <v>8033562.052325651</v>
      </c>
      <c r="Q277" s="2">
        <f t="shared" si="115"/>
        <v>8134296.8981280504</v>
      </c>
      <c r="R277" s="2">
        <f t="shared" si="115"/>
        <v>8846616.8929102197</v>
      </c>
      <c r="S277" s="2">
        <f t="shared" si="115"/>
        <v>9651455.5887902007</v>
      </c>
      <c r="T277" s="2">
        <f t="shared" si="115"/>
        <v>10497522.312337441</v>
      </c>
      <c r="U277" s="2">
        <f t="shared" si="115"/>
        <v>10871092.12946924</v>
      </c>
      <c r="V277" s="2">
        <f t="shared" si="115"/>
        <v>11261130.693554712</v>
      </c>
      <c r="W277" s="2">
        <f t="shared" si="115"/>
        <v>2576597.4062302844</v>
      </c>
      <c r="X277" s="2">
        <f t="shared" si="115"/>
        <v>2666655.4593010088</v>
      </c>
      <c r="Y277" s="2">
        <f t="shared" si="115"/>
        <v>2758604.7314862213</v>
      </c>
      <c r="Z277" s="2">
        <f t="shared" si="115"/>
        <v>2852484.9383873227</v>
      </c>
      <c r="AA277" s="2">
        <f t="shared" si="115"/>
        <v>2948336.6296333484</v>
      </c>
      <c r="AB277" s="2">
        <f t="shared" ref="AB277" si="116">IF(V277=0,0,IF($G$15&gt;(AA277/V277)^(1/5)-1+2%,AA277*(AA277/V277)^(1/5)/($G$15-((AA277/V277)^(1/5)-1)),AA277*(1+$G$14)/$G$16))</f>
        <v>7864803.6218057889</v>
      </c>
    </row>
    <row r="278" spans="1:28" x14ac:dyDescent="0.25">
      <c r="E278" t="s">
        <v>23</v>
      </c>
      <c r="F278" t="s">
        <v>7</v>
      </c>
      <c r="G278" s="2">
        <f t="shared" ref="G278:AB278" ca="1" si="117">SUM(G268:G277)</f>
        <v>-163443249.98482335</v>
      </c>
      <c r="H278" s="2">
        <f t="shared" si="117"/>
        <v>-15434041.418151896</v>
      </c>
      <c r="I278" s="2">
        <f t="shared" si="117"/>
        <v>-13897150.776310625</v>
      </c>
      <c r="J278" s="2">
        <f t="shared" si="117"/>
        <v>-4816525.8634135239</v>
      </c>
      <c r="K278" s="2">
        <f t="shared" si="117"/>
        <v>-3498438.4091921262</v>
      </c>
      <c r="L278" s="2">
        <f t="shared" si="117"/>
        <v>-397437.12022093125</v>
      </c>
      <c r="M278" s="2">
        <f t="shared" si="117"/>
        <v>2041481.7321912143</v>
      </c>
      <c r="N278" s="2">
        <f t="shared" si="117"/>
        <v>4184759.9818287864</v>
      </c>
      <c r="O278" s="2">
        <f t="shared" si="117"/>
        <v>6249294.2425202997</v>
      </c>
      <c r="P278" s="2">
        <f t="shared" si="117"/>
        <v>7768025.638723284</v>
      </c>
      <c r="Q278" s="2">
        <f t="shared" si="117"/>
        <v>9358859.8618392013</v>
      </c>
      <c r="R278" s="2">
        <f t="shared" si="117"/>
        <v>10476777.669216264</v>
      </c>
      <c r="S278" s="2">
        <f t="shared" si="117"/>
        <v>11666570.364415593</v>
      </c>
      <c r="T278" s="2">
        <f t="shared" si="117"/>
        <v>12976351.636232303</v>
      </c>
      <c r="U278" s="2">
        <f t="shared" si="117"/>
        <v>14827924.806774953</v>
      </c>
      <c r="V278" s="2">
        <f t="shared" si="117"/>
        <v>16740689.206240678</v>
      </c>
      <c r="W278" s="2">
        <f t="shared" si="117"/>
        <v>26013260.711460818</v>
      </c>
      <c r="X278" s="2">
        <f t="shared" si="117"/>
        <v>26523589.678861588</v>
      </c>
      <c r="Y278" s="2">
        <f t="shared" si="117"/>
        <v>27044635.55457779</v>
      </c>
      <c r="Z278" s="2">
        <f t="shared" si="117"/>
        <v>27576623.393684033</v>
      </c>
      <c r="AA278" s="2">
        <f t="shared" si="117"/>
        <v>28119782.977411512</v>
      </c>
      <c r="AB278" s="2">
        <f t="shared" si="117"/>
        <v>1027739183.2796921</v>
      </c>
    </row>
    <row r="279" spans="1:28" x14ac:dyDescent="0.25">
      <c r="E279" t="s">
        <v>31</v>
      </c>
      <c r="F279" t="s">
        <v>7</v>
      </c>
      <c r="G279" s="2">
        <f ca="1">NPV($G$15,H278:AB278)+G278</f>
        <v>267336103.53130794</v>
      </c>
    </row>
    <row r="280" spans="1:28" x14ac:dyDescent="0.25">
      <c r="E280" s="3" t="s">
        <v>34</v>
      </c>
      <c r="F280" s="3"/>
      <c r="G280" s="4" t="str">
        <f ca="1">IF(G279&gt;0,"N/A",IF(ABS(G279+G253)&gt;1,"Error","OK"))</f>
        <v>N/A</v>
      </c>
    </row>
    <row r="282" spans="1:28" x14ac:dyDescent="0.25">
      <c r="C282" s="1" t="s">
        <v>36</v>
      </c>
      <c r="D282" s="1"/>
      <c r="G282" s="44"/>
    </row>
    <row r="283" spans="1:28" x14ac:dyDescent="0.25">
      <c r="A283" s="14">
        <f>'Notes &amp; Assumptions'!A67</f>
        <v>54</v>
      </c>
      <c r="C283" s="1"/>
      <c r="D283" s="1"/>
      <c r="E283" t="s">
        <v>42</v>
      </c>
      <c r="F283" t="s">
        <v>3</v>
      </c>
      <c r="G283" s="10"/>
      <c r="H283" s="10">
        <v>1</v>
      </c>
      <c r="I283" s="10">
        <v>1</v>
      </c>
      <c r="J283" s="10">
        <v>1</v>
      </c>
      <c r="K283" s="10">
        <v>1</v>
      </c>
      <c r="L283" s="10">
        <v>1</v>
      </c>
      <c r="M283" s="10">
        <v>1</v>
      </c>
      <c r="N283" s="10">
        <v>1</v>
      </c>
      <c r="O283" s="10">
        <v>1</v>
      </c>
      <c r="P283" s="10">
        <v>1</v>
      </c>
      <c r="Q283" s="10">
        <v>1</v>
      </c>
      <c r="R283" s="10">
        <v>1</v>
      </c>
      <c r="S283" s="10">
        <v>1</v>
      </c>
      <c r="T283" s="10">
        <v>1</v>
      </c>
      <c r="U283" s="10">
        <v>1</v>
      </c>
      <c r="V283" s="10">
        <v>1</v>
      </c>
      <c r="W283" s="10">
        <v>0</v>
      </c>
      <c r="X283" s="10">
        <v>0</v>
      </c>
      <c r="Y283" s="10">
        <v>0</v>
      </c>
      <c r="Z283" s="10">
        <v>0</v>
      </c>
      <c r="AA283" s="10">
        <v>0</v>
      </c>
    </row>
    <row r="284" spans="1:28" x14ac:dyDescent="0.25">
      <c r="E284" t="s">
        <v>37</v>
      </c>
      <c r="F284" t="s">
        <v>38</v>
      </c>
      <c r="G284" s="8">
        <f ca="1">MAX(0,-G311/(NPV($G$16,H283:AA283)+G283))</f>
        <v>0</v>
      </c>
      <c r="H284" s="2">
        <f t="shared" ref="H284:AA284" ca="1" si="118">G284*(1+$G$14)</f>
        <v>0</v>
      </c>
      <c r="I284" s="2">
        <f t="shared" ca="1" si="118"/>
        <v>0</v>
      </c>
      <c r="J284" s="2">
        <f t="shared" ca="1" si="118"/>
        <v>0</v>
      </c>
      <c r="K284" s="2">
        <f t="shared" ca="1" si="118"/>
        <v>0</v>
      </c>
      <c r="L284" s="2">
        <f t="shared" ca="1" si="118"/>
        <v>0</v>
      </c>
      <c r="M284" s="2">
        <f t="shared" ca="1" si="118"/>
        <v>0</v>
      </c>
      <c r="N284" s="2">
        <f t="shared" ca="1" si="118"/>
        <v>0</v>
      </c>
      <c r="O284" s="2">
        <f t="shared" ca="1" si="118"/>
        <v>0</v>
      </c>
      <c r="P284" s="2">
        <f t="shared" ca="1" si="118"/>
        <v>0</v>
      </c>
      <c r="Q284" s="2">
        <f t="shared" ca="1" si="118"/>
        <v>0</v>
      </c>
      <c r="R284" s="2">
        <f t="shared" ca="1" si="118"/>
        <v>0</v>
      </c>
      <c r="S284" s="2">
        <f t="shared" ca="1" si="118"/>
        <v>0</v>
      </c>
      <c r="T284" s="2">
        <f t="shared" ca="1" si="118"/>
        <v>0</v>
      </c>
      <c r="U284" s="2">
        <f t="shared" ca="1" si="118"/>
        <v>0</v>
      </c>
      <c r="V284" s="2">
        <f t="shared" ca="1" si="118"/>
        <v>0</v>
      </c>
      <c r="W284" s="2">
        <f t="shared" ca="1" si="118"/>
        <v>0</v>
      </c>
      <c r="X284" s="2">
        <f t="shared" ca="1" si="118"/>
        <v>0</v>
      </c>
      <c r="Y284" s="2">
        <f t="shared" ca="1" si="118"/>
        <v>0</v>
      </c>
      <c r="Z284" s="2">
        <f t="shared" ca="1" si="118"/>
        <v>0</v>
      </c>
      <c r="AA284" s="2">
        <f t="shared" ca="1" si="118"/>
        <v>0</v>
      </c>
    </row>
    <row r="285" spans="1:28" x14ac:dyDescent="0.25">
      <c r="E285" t="s">
        <v>21</v>
      </c>
      <c r="F285" t="s">
        <v>7</v>
      </c>
      <c r="G285" s="2">
        <f ca="1">G283*G284</f>
        <v>0</v>
      </c>
      <c r="H285" s="2">
        <f t="shared" ref="H285:AA285" ca="1" si="119">H283*H284</f>
        <v>0</v>
      </c>
      <c r="I285" s="2">
        <f t="shared" ca="1" si="119"/>
        <v>0</v>
      </c>
      <c r="J285" s="2">
        <f t="shared" ca="1" si="119"/>
        <v>0</v>
      </c>
      <c r="K285" s="2">
        <f t="shared" ca="1" si="119"/>
        <v>0</v>
      </c>
      <c r="L285" s="2">
        <f t="shared" ca="1" si="119"/>
        <v>0</v>
      </c>
      <c r="M285" s="2">
        <f t="shared" ca="1" si="119"/>
        <v>0</v>
      </c>
      <c r="N285" s="2">
        <f t="shared" ca="1" si="119"/>
        <v>0</v>
      </c>
      <c r="O285" s="2">
        <f t="shared" ca="1" si="119"/>
        <v>0</v>
      </c>
      <c r="P285" s="2">
        <f t="shared" ca="1" si="119"/>
        <v>0</v>
      </c>
      <c r="Q285" s="2">
        <f t="shared" ca="1" si="119"/>
        <v>0</v>
      </c>
      <c r="R285" s="2">
        <f t="shared" ca="1" si="119"/>
        <v>0</v>
      </c>
      <c r="S285" s="2">
        <f t="shared" ca="1" si="119"/>
        <v>0</v>
      </c>
      <c r="T285" s="2">
        <f t="shared" ca="1" si="119"/>
        <v>0</v>
      </c>
      <c r="U285" s="2">
        <f t="shared" ca="1" si="119"/>
        <v>0</v>
      </c>
      <c r="V285" s="2">
        <f t="shared" ca="1" si="119"/>
        <v>0</v>
      </c>
      <c r="W285" s="2">
        <f t="shared" ca="1" si="119"/>
        <v>0</v>
      </c>
      <c r="X285" s="2">
        <f t="shared" ca="1" si="119"/>
        <v>0</v>
      </c>
      <c r="Y285" s="2">
        <f t="shared" ca="1" si="119"/>
        <v>0</v>
      </c>
      <c r="Z285" s="2">
        <f t="shared" ca="1" si="119"/>
        <v>0</v>
      </c>
      <c r="AA285" s="2">
        <f t="shared" ca="1" si="119"/>
        <v>0</v>
      </c>
    </row>
    <row r="286" spans="1:28" x14ac:dyDescent="0.25">
      <c r="G286" s="8">
        <f ca="1">-G311/(NPV($G$16,H283:AA283)+G283)</f>
        <v>-22393831.226929877</v>
      </c>
    </row>
    <row r="287" spans="1:28" x14ac:dyDescent="0.25">
      <c r="D287" t="s">
        <v>9</v>
      </c>
    </row>
    <row r="288" spans="1:28" x14ac:dyDescent="0.25">
      <c r="E288" t="s">
        <v>107</v>
      </c>
      <c r="F288" t="s">
        <v>7</v>
      </c>
      <c r="G288" s="2">
        <f t="shared" ref="G288:AA293" si="120">G222</f>
        <v>0</v>
      </c>
      <c r="H288" s="2">
        <f t="shared" si="120"/>
        <v>71748732.999999985</v>
      </c>
      <c r="I288" s="2">
        <f t="shared" si="120"/>
        <v>69468268.23999998</v>
      </c>
      <c r="J288" s="2">
        <f t="shared" si="120"/>
        <v>68324703.061668873</v>
      </c>
      <c r="K288" s="2">
        <f t="shared" si="120"/>
        <v>63779829.969574504</v>
      </c>
      <c r="L288" s="2">
        <f t="shared" si="120"/>
        <v>59227520.453961141</v>
      </c>
      <c r="M288" s="2">
        <f t="shared" si="120"/>
        <v>54698533.470934145</v>
      </c>
      <c r="N288" s="2">
        <f t="shared" si="120"/>
        <v>50268959.321799316</v>
      </c>
      <c r="O288" s="2">
        <f t="shared" si="120"/>
        <v>45990452.338097498</v>
      </c>
      <c r="P288" s="2">
        <f t="shared" si="120"/>
        <v>45625302.843771212</v>
      </c>
      <c r="Q288" s="2">
        <f t="shared" si="120"/>
        <v>45106482.553013481</v>
      </c>
      <c r="R288" s="2">
        <f t="shared" si="120"/>
        <v>48564651.960069492</v>
      </c>
      <c r="S288" s="2">
        <f t="shared" si="120"/>
        <v>52519158.075697809</v>
      </c>
      <c r="T288" s="2">
        <f t="shared" si="120"/>
        <v>56633010.577060565</v>
      </c>
      <c r="U288" s="2">
        <f t="shared" si="120"/>
        <v>57537640.149705954</v>
      </c>
      <c r="V288" s="2">
        <f t="shared" si="120"/>
        <v>58484926.800058573</v>
      </c>
      <c r="W288" s="2">
        <f t="shared" si="120"/>
        <v>0</v>
      </c>
      <c r="X288" s="2">
        <f t="shared" si="120"/>
        <v>0</v>
      </c>
      <c r="Y288" s="2">
        <f t="shared" si="120"/>
        <v>0</v>
      </c>
      <c r="Z288" s="2">
        <f t="shared" si="120"/>
        <v>0</v>
      </c>
      <c r="AA288" s="2">
        <f t="shared" si="120"/>
        <v>0</v>
      </c>
    </row>
    <row r="289" spans="4:28" customFormat="1" x14ac:dyDescent="0.25">
      <c r="E289" t="s">
        <v>11</v>
      </c>
      <c r="F289" t="s">
        <v>7</v>
      </c>
      <c r="G289" s="2">
        <f t="shared" si="120"/>
        <v>0</v>
      </c>
      <c r="H289" s="2">
        <f t="shared" si="120"/>
        <v>4980628.1713189147</v>
      </c>
      <c r="I289" s="2">
        <f t="shared" si="120"/>
        <v>9656009.9814525731</v>
      </c>
      <c r="J289" s="2">
        <f t="shared" si="120"/>
        <v>14515417.001976458</v>
      </c>
      <c r="K289" s="2">
        <f t="shared" si="120"/>
        <v>19182804.073758118</v>
      </c>
      <c r="L289" s="2">
        <f t="shared" si="120"/>
        <v>23663038.561506577</v>
      </c>
      <c r="M289" s="2">
        <f t="shared" si="120"/>
        <v>27943176.243399549</v>
      </c>
      <c r="N289" s="2">
        <f t="shared" si="120"/>
        <v>32029734.113938045</v>
      </c>
      <c r="O289" s="2">
        <f t="shared" si="120"/>
        <v>35932886.863266647</v>
      </c>
      <c r="P289" s="2">
        <f t="shared" si="120"/>
        <v>39919305.550821155</v>
      </c>
      <c r="Q289" s="2">
        <f t="shared" si="120"/>
        <v>43993123.832995534</v>
      </c>
      <c r="R289" s="2">
        <f t="shared" si="120"/>
        <v>48399425.263650596</v>
      </c>
      <c r="S289" s="2">
        <f t="shared" si="120"/>
        <v>53188806.677275643</v>
      </c>
      <c r="T289" s="2">
        <f t="shared" si="120"/>
        <v>58369074.894961029</v>
      </c>
      <c r="U289" s="2">
        <f t="shared" si="120"/>
        <v>63719703.640522972</v>
      </c>
      <c r="V289" s="2">
        <f t="shared" si="120"/>
        <v>69253069.845674753</v>
      </c>
      <c r="W289" s="2">
        <f t="shared" si="120"/>
        <v>70707384.312433928</v>
      </c>
      <c r="X289" s="2">
        <f t="shared" si="120"/>
        <v>72192239.382995024</v>
      </c>
      <c r="Y289" s="2">
        <f t="shared" si="120"/>
        <v>73708276.41003792</v>
      </c>
      <c r="Z289" s="2">
        <f t="shared" si="120"/>
        <v>75256150.214648709</v>
      </c>
      <c r="AA289" s="2">
        <f t="shared" si="120"/>
        <v>76836529.369156331</v>
      </c>
    </row>
    <row r="290" spans="4:28" customFormat="1" x14ac:dyDescent="0.25">
      <c r="E290" t="s">
        <v>57</v>
      </c>
      <c r="F290" t="s">
        <v>7</v>
      </c>
      <c r="G290" s="2">
        <f t="shared" si="120"/>
        <v>0</v>
      </c>
      <c r="H290" s="2">
        <f t="shared" si="120"/>
        <v>-2107062.1721910173</v>
      </c>
      <c r="I290" s="2">
        <f t="shared" si="120"/>
        <v>-4321552.9290536884</v>
      </c>
      <c r="J290" s="2">
        <f t="shared" si="120"/>
        <v>-6682699.3755984567</v>
      </c>
      <c r="K290" s="2">
        <f t="shared" si="120"/>
        <v>-8815053.2633375488</v>
      </c>
      <c r="L290" s="2">
        <f t="shared" si="120"/>
        <v>-10850533.782903222</v>
      </c>
      <c r="M290" s="2">
        <f t="shared" si="120"/>
        <v>-12787621.237359185</v>
      </c>
      <c r="N290" s="2">
        <f t="shared" si="120"/>
        <v>-14627433.277786093</v>
      </c>
      <c r="O290" s="2">
        <f t="shared" si="120"/>
        <v>-16372724.08233293</v>
      </c>
      <c r="P290" s="2">
        <f t="shared" si="120"/>
        <v>-18143790.859677456</v>
      </c>
      <c r="Q290" s="2">
        <f t="shared" si="120"/>
        <v>-19936635.213957675</v>
      </c>
      <c r="R290" s="2">
        <f t="shared" si="120"/>
        <v>-21875346.738966595</v>
      </c>
      <c r="S290" s="2">
        <f t="shared" si="120"/>
        <v>-23978685.34380573</v>
      </c>
      <c r="T290" s="2">
        <f t="shared" si="120"/>
        <v>-26254860.597206138</v>
      </c>
      <c r="U290" s="2">
        <f t="shared" si="120"/>
        <v>-28607083.480506632</v>
      </c>
      <c r="V290" s="2">
        <f t="shared" si="120"/>
        <v>-31038401.807321686</v>
      </c>
      <c r="W290" s="2">
        <f t="shared" si="120"/>
        <v>-31690208.245275438</v>
      </c>
      <c r="X290" s="2">
        <f t="shared" si="120"/>
        <v>-32355702.618426219</v>
      </c>
      <c r="Y290" s="2">
        <f t="shared" si="120"/>
        <v>-33035172.373413168</v>
      </c>
      <c r="Z290" s="2">
        <f t="shared" si="120"/>
        <v>-33728910.99325484</v>
      </c>
      <c r="AA290" s="2">
        <f t="shared" si="120"/>
        <v>-34437218.124113187</v>
      </c>
    </row>
    <row r="291" spans="4:28" customFormat="1" x14ac:dyDescent="0.25">
      <c r="E291" t="s">
        <v>10</v>
      </c>
      <c r="F291" t="s">
        <v>7</v>
      </c>
      <c r="G291" s="2">
        <f t="shared" si="120"/>
        <v>0</v>
      </c>
      <c r="H291" s="2">
        <f t="shared" si="120"/>
        <v>-737986.96799999999</v>
      </c>
      <c r="I291" s="2">
        <f t="shared" si="120"/>
        <v>-1468015.453368</v>
      </c>
      <c r="J291" s="2">
        <f t="shared" si="120"/>
        <v>-2201612.1522373222</v>
      </c>
      <c r="K291" s="2">
        <f t="shared" si="120"/>
        <v>-2903867.1156927864</v>
      </c>
      <c r="L291" s="2">
        <f t="shared" si="120"/>
        <v>-3574045.6783630783</v>
      </c>
      <c r="M291" s="2">
        <f t="shared" si="120"/>
        <v>-4211714.1247383114</v>
      </c>
      <c r="N291" s="2">
        <f t="shared" si="120"/>
        <v>-4817212.2743820371</v>
      </c>
      <c r="O291" s="2">
        <f t="shared" si="120"/>
        <v>-5391418.3847644916</v>
      </c>
      <c r="P291" s="2">
        <f t="shared" si="120"/>
        <v>-5973927.0000947639</v>
      </c>
      <c r="Q291" s="2">
        <f t="shared" si="120"/>
        <v>-6563331.8590706065</v>
      </c>
      <c r="R291" s="2">
        <f t="shared" si="120"/>
        <v>-7200683.9625575179</v>
      </c>
      <c r="S291" s="2">
        <f t="shared" si="120"/>
        <v>-7892095.3802641174</v>
      </c>
      <c r="T291" s="2">
        <f t="shared" si="120"/>
        <v>-8640340.3491851445</v>
      </c>
      <c r="U291" s="2">
        <f t="shared" si="120"/>
        <v>-9413603.2237721495</v>
      </c>
      <c r="V291" s="2">
        <f t="shared" si="120"/>
        <v>-10212848.138557682</v>
      </c>
      <c r="W291" s="2">
        <f t="shared" si="120"/>
        <v>-10427317.949467393</v>
      </c>
      <c r="X291" s="2">
        <f t="shared" si="120"/>
        <v>-10646291.626406206</v>
      </c>
      <c r="Y291" s="2">
        <f t="shared" si="120"/>
        <v>-10869863.750560736</v>
      </c>
      <c r="Z291" s="2">
        <f t="shared" si="120"/>
        <v>-11098130.88932251</v>
      </c>
      <c r="AA291" s="2">
        <f t="shared" si="120"/>
        <v>-11331191.637998283</v>
      </c>
    </row>
    <row r="292" spans="4:28" customFormat="1" x14ac:dyDescent="0.25">
      <c r="E292" t="s">
        <v>12</v>
      </c>
      <c r="F292" t="s">
        <v>7</v>
      </c>
      <c r="G292" s="2">
        <f t="shared" si="120"/>
        <v>-1819067.8907604155</v>
      </c>
      <c r="H292" s="2">
        <f t="shared" si="120"/>
        <v>-2692841.5894607455</v>
      </c>
      <c r="I292" s="2">
        <f t="shared" si="120"/>
        <v>-3545769.5847629821</v>
      </c>
      <c r="J292" s="2">
        <f t="shared" si="120"/>
        <v>-4304932.9521148577</v>
      </c>
      <c r="K292" s="2">
        <f t="shared" si="120"/>
        <v>-5025036.8471250562</v>
      </c>
      <c r="L292" s="2">
        <f t="shared" si="120"/>
        <v>-5685551.8751535583</v>
      </c>
      <c r="M292" s="2">
        <f t="shared" si="120"/>
        <v>-6293313.358163937</v>
      </c>
      <c r="N292" s="2">
        <f t="shared" si="120"/>
        <v>-6851857.3506283741</v>
      </c>
      <c r="O292" s="2">
        <f t="shared" si="120"/>
        <v>-7362862.3766072355</v>
      </c>
      <c r="P292" s="2">
        <f t="shared" si="120"/>
        <v>-7869810.1859824713</v>
      </c>
      <c r="Q292" s="2">
        <f t="shared" si="120"/>
        <v>-8370993.3254603986</v>
      </c>
      <c r="R292" s="2">
        <f t="shared" si="120"/>
        <v>-8910600.5694611706</v>
      </c>
      <c r="S292" s="2">
        <f t="shared" si="120"/>
        <v>-9494146.7703022584</v>
      </c>
      <c r="T292" s="2">
        <f t="shared" si="120"/>
        <v>-10123402.443380708</v>
      </c>
      <c r="U292" s="2">
        <f t="shared" si="120"/>
        <v>-10762709.556155218</v>
      </c>
      <c r="V292" s="2">
        <f t="shared" si="120"/>
        <v>-11412542.076155869</v>
      </c>
      <c r="W292" s="2">
        <f t="shared" si="120"/>
        <v>-11412542.076155869</v>
      </c>
      <c r="X292" s="2">
        <f t="shared" si="120"/>
        <v>-11412542.076155869</v>
      </c>
      <c r="Y292" s="2">
        <f t="shared" si="120"/>
        <v>-11412542.076155869</v>
      </c>
      <c r="Z292" s="2">
        <f t="shared" si="120"/>
        <v>-11412542.076155869</v>
      </c>
      <c r="AA292" s="2">
        <f t="shared" si="120"/>
        <v>-11412542.076155869</v>
      </c>
    </row>
    <row r="293" spans="4:28" customFormat="1" x14ac:dyDescent="0.25">
      <c r="E293" t="s">
        <v>48</v>
      </c>
      <c r="F293" t="s">
        <v>7</v>
      </c>
      <c r="G293" s="2">
        <f t="shared" si="120"/>
        <v>0</v>
      </c>
      <c r="H293" s="2">
        <f t="shared" si="120"/>
        <v>0</v>
      </c>
      <c r="I293" s="2">
        <f t="shared" si="120"/>
        <v>0</v>
      </c>
      <c r="J293" s="2">
        <f t="shared" si="120"/>
        <v>0</v>
      </c>
      <c r="K293" s="2">
        <f t="shared" si="120"/>
        <v>0</v>
      </c>
      <c r="L293" s="2">
        <f t="shared" si="120"/>
        <v>0</v>
      </c>
      <c r="M293" s="2">
        <f t="shared" si="120"/>
        <v>0</v>
      </c>
      <c r="N293" s="2">
        <f t="shared" si="120"/>
        <v>0</v>
      </c>
      <c r="O293" s="2">
        <f t="shared" si="120"/>
        <v>0</v>
      </c>
      <c r="P293" s="2">
        <f t="shared" si="120"/>
        <v>0</v>
      </c>
      <c r="Q293" s="2">
        <f t="shared" si="120"/>
        <v>0</v>
      </c>
      <c r="R293" s="2">
        <f t="shared" si="120"/>
        <v>0</v>
      </c>
      <c r="S293" s="2">
        <f t="shared" si="120"/>
        <v>0</v>
      </c>
      <c r="T293" s="2">
        <f t="shared" si="120"/>
        <v>0</v>
      </c>
      <c r="U293" s="2">
        <f t="shared" si="120"/>
        <v>0</v>
      </c>
      <c r="V293" s="2">
        <f t="shared" si="120"/>
        <v>0</v>
      </c>
      <c r="W293" s="2">
        <f t="shared" si="120"/>
        <v>0</v>
      </c>
      <c r="X293" s="2">
        <f t="shared" si="120"/>
        <v>0</v>
      </c>
      <c r="Y293" s="2">
        <f t="shared" si="120"/>
        <v>0</v>
      </c>
      <c r="Z293" s="2">
        <f t="shared" si="120"/>
        <v>0</v>
      </c>
      <c r="AA293" s="2">
        <f t="shared" si="120"/>
        <v>0</v>
      </c>
    </row>
    <row r="294" spans="4:28" customFormat="1" x14ac:dyDescent="0.25">
      <c r="E294" t="s">
        <v>13</v>
      </c>
      <c r="F294" t="s">
        <v>7</v>
      </c>
      <c r="G294" s="2">
        <f t="shared" ref="G294:AA294" ca="1" si="121">G285</f>
        <v>0</v>
      </c>
      <c r="H294" s="2">
        <f t="shared" ca="1" si="121"/>
        <v>0</v>
      </c>
      <c r="I294" s="2">
        <f t="shared" ca="1" si="121"/>
        <v>0</v>
      </c>
      <c r="J294" s="2">
        <f t="shared" ca="1" si="121"/>
        <v>0</v>
      </c>
      <c r="K294" s="2">
        <f t="shared" ca="1" si="121"/>
        <v>0</v>
      </c>
      <c r="L294" s="2">
        <f t="shared" ca="1" si="121"/>
        <v>0</v>
      </c>
      <c r="M294" s="2">
        <f t="shared" ca="1" si="121"/>
        <v>0</v>
      </c>
      <c r="N294" s="2">
        <f t="shared" ca="1" si="121"/>
        <v>0</v>
      </c>
      <c r="O294" s="2">
        <f t="shared" ca="1" si="121"/>
        <v>0</v>
      </c>
      <c r="P294" s="2">
        <f t="shared" ca="1" si="121"/>
        <v>0</v>
      </c>
      <c r="Q294" s="2">
        <f t="shared" ca="1" si="121"/>
        <v>0</v>
      </c>
      <c r="R294" s="2">
        <f t="shared" ca="1" si="121"/>
        <v>0</v>
      </c>
      <c r="S294" s="2">
        <f t="shared" ca="1" si="121"/>
        <v>0</v>
      </c>
      <c r="T294" s="2">
        <f t="shared" ca="1" si="121"/>
        <v>0</v>
      </c>
      <c r="U294" s="2">
        <f t="shared" ca="1" si="121"/>
        <v>0</v>
      </c>
      <c r="V294" s="2">
        <f t="shared" ca="1" si="121"/>
        <v>0</v>
      </c>
      <c r="W294" s="2">
        <f t="shared" ca="1" si="121"/>
        <v>0</v>
      </c>
      <c r="X294" s="2">
        <f t="shared" ca="1" si="121"/>
        <v>0</v>
      </c>
      <c r="Y294" s="2">
        <f t="shared" ca="1" si="121"/>
        <v>0</v>
      </c>
      <c r="Z294" s="2">
        <f t="shared" ca="1" si="121"/>
        <v>0</v>
      </c>
      <c r="AA294" s="2">
        <f t="shared" ca="1" si="121"/>
        <v>0</v>
      </c>
    </row>
    <row r="295" spans="4:28" customFormat="1" x14ac:dyDescent="0.25"/>
    <row r="296" spans="4:28" customFormat="1" x14ac:dyDescent="0.25">
      <c r="E296" t="s">
        <v>14</v>
      </c>
      <c r="F296" t="s">
        <v>7</v>
      </c>
      <c r="G296" s="2">
        <f t="shared" ref="G296:AA296" ca="1" si="122">SUM(G288:G294)</f>
        <v>-1819067.8907604155</v>
      </c>
      <c r="H296" s="2">
        <f t="shared" ca="1" si="122"/>
        <v>71191470.44166714</v>
      </c>
      <c r="I296" s="2">
        <f t="shared" ca="1" si="122"/>
        <v>69788940.254267886</v>
      </c>
      <c r="J296" s="2">
        <f t="shared" ca="1" si="122"/>
        <v>69650875.583694696</v>
      </c>
      <c r="K296" s="2">
        <f t="shared" ca="1" si="122"/>
        <v>66218676.817177236</v>
      </c>
      <c r="L296" s="2">
        <f t="shared" ca="1" si="122"/>
        <v>62780427.679047853</v>
      </c>
      <c r="M296" s="2">
        <f t="shared" ca="1" si="122"/>
        <v>59349060.994072266</v>
      </c>
      <c r="N296" s="2">
        <f t="shared" ca="1" si="122"/>
        <v>56002190.53294085</v>
      </c>
      <c r="O296" s="2">
        <f t="shared" ca="1" si="122"/>
        <v>52796334.357659489</v>
      </c>
      <c r="P296" s="2">
        <f t="shared" ca="1" si="122"/>
        <v>53557080.348837674</v>
      </c>
      <c r="Q296" s="2">
        <f t="shared" ca="1" si="122"/>
        <v>54228645.987520337</v>
      </c>
      <c r="R296" s="2">
        <f t="shared" ca="1" si="122"/>
        <v>58977445.952734798</v>
      </c>
      <c r="S296" s="2">
        <f t="shared" ca="1" si="122"/>
        <v>64343037.258601345</v>
      </c>
      <c r="T296" s="2">
        <f t="shared" ca="1" si="122"/>
        <v>69983482.082249612</v>
      </c>
      <c r="U296" s="2">
        <f t="shared" ca="1" si="122"/>
        <v>72473947.529794931</v>
      </c>
      <c r="V296" s="2">
        <f t="shared" ca="1" si="122"/>
        <v>75074204.623698086</v>
      </c>
      <c r="W296" s="2">
        <f t="shared" ca="1" si="122"/>
        <v>17177316.041535228</v>
      </c>
      <c r="X296" s="2">
        <f t="shared" ca="1" si="122"/>
        <v>17777703.062006727</v>
      </c>
      <c r="Y296" s="2">
        <f t="shared" ca="1" si="122"/>
        <v>18390698.209908143</v>
      </c>
      <c r="Z296" s="2">
        <f t="shared" ca="1" si="122"/>
        <v>19016566.255915485</v>
      </c>
      <c r="AA296" s="2">
        <f t="shared" ca="1" si="122"/>
        <v>19655577.53088899</v>
      </c>
    </row>
    <row r="297" spans="4:28" customFormat="1" x14ac:dyDescent="0.25">
      <c r="E297" t="s">
        <v>15</v>
      </c>
      <c r="F297" t="s">
        <v>7</v>
      </c>
      <c r="G297" s="2">
        <f t="shared" ref="G297:AA297" ca="1" si="123">-G296*G$18</f>
        <v>545720.36722812464</v>
      </c>
      <c r="H297" s="2">
        <f t="shared" ca="1" si="123"/>
        <v>-21357441.132500142</v>
      </c>
      <c r="I297" s="2">
        <f t="shared" ca="1" si="123"/>
        <v>-20936682.076280367</v>
      </c>
      <c r="J297" s="2">
        <f t="shared" ca="1" si="123"/>
        <v>-20895262.675108407</v>
      </c>
      <c r="K297" s="2">
        <f t="shared" ca="1" si="123"/>
        <v>-19865603.045153171</v>
      </c>
      <c r="L297" s="2">
        <f t="shared" ca="1" si="123"/>
        <v>-18834128.303714354</v>
      </c>
      <c r="M297" s="2">
        <f t="shared" ca="1" si="123"/>
        <v>-17804718.298221678</v>
      </c>
      <c r="N297" s="2">
        <f t="shared" ca="1" si="123"/>
        <v>-16800657.159882255</v>
      </c>
      <c r="O297" s="2">
        <f t="shared" ca="1" si="123"/>
        <v>-15838900.307297846</v>
      </c>
      <c r="P297" s="2">
        <f t="shared" ca="1" si="123"/>
        <v>-16067124.104651302</v>
      </c>
      <c r="Q297" s="2">
        <f t="shared" ca="1" si="123"/>
        <v>-16268593.796256101</v>
      </c>
      <c r="R297" s="2">
        <f t="shared" ca="1" si="123"/>
        <v>-17693233.785820439</v>
      </c>
      <c r="S297" s="2">
        <f t="shared" ca="1" si="123"/>
        <v>-19302911.177580401</v>
      </c>
      <c r="T297" s="2">
        <f t="shared" ca="1" si="123"/>
        <v>-20995044.624674883</v>
      </c>
      <c r="U297" s="2">
        <f t="shared" ca="1" si="123"/>
        <v>-21742184.25893848</v>
      </c>
      <c r="V297" s="2">
        <f t="shared" ca="1" si="123"/>
        <v>-22522261.387109425</v>
      </c>
      <c r="W297" s="2">
        <f t="shared" ca="1" si="123"/>
        <v>-5153194.8124605687</v>
      </c>
      <c r="X297" s="2">
        <f t="shared" ca="1" si="123"/>
        <v>-5333310.9186020177</v>
      </c>
      <c r="Y297" s="2">
        <f t="shared" ca="1" si="123"/>
        <v>-5517209.4629724426</v>
      </c>
      <c r="Z297" s="2">
        <f t="shared" ca="1" si="123"/>
        <v>-5704969.8767746454</v>
      </c>
      <c r="AA297" s="2">
        <f t="shared" ca="1" si="123"/>
        <v>-5896673.2592666969</v>
      </c>
    </row>
    <row r="298" spans="4:28" customFormat="1" x14ac:dyDescent="0.25"/>
    <row r="299" spans="4:28" customFormat="1" x14ac:dyDescent="0.25">
      <c r="D299" t="s">
        <v>28</v>
      </c>
    </row>
    <row r="300" spans="4:28" customFormat="1" x14ac:dyDescent="0.25">
      <c r="E300" t="s">
        <v>1</v>
      </c>
      <c r="F300" t="s">
        <v>7</v>
      </c>
      <c r="G300" s="2">
        <f t="shared" ref="G300:AA307" si="124">G234</f>
        <v>-163716110.16843739</v>
      </c>
      <c r="H300" s="2">
        <f t="shared" si="124"/>
        <v>-6890899.8830297235</v>
      </c>
      <c r="I300" s="2">
        <f t="shared" si="124"/>
        <v>-7295251.3372013271</v>
      </c>
      <c r="J300" s="2">
        <f t="shared" si="124"/>
        <v>0</v>
      </c>
      <c r="K300" s="2">
        <f t="shared" si="124"/>
        <v>-1029520.5813433226</v>
      </c>
      <c r="L300" s="2">
        <f t="shared" si="124"/>
        <v>-218832.06860403085</v>
      </c>
      <c r="M300" s="2">
        <f t="shared" si="124"/>
        <v>0</v>
      </c>
      <c r="N300" s="2">
        <f t="shared" si="124"/>
        <v>0</v>
      </c>
      <c r="O300" s="2">
        <f t="shared" si="124"/>
        <v>0</v>
      </c>
      <c r="P300" s="2">
        <f t="shared" si="124"/>
        <v>0</v>
      </c>
      <c r="Q300" s="2">
        <f t="shared" si="124"/>
        <v>0</v>
      </c>
      <c r="R300" s="2">
        <f t="shared" si="124"/>
        <v>0</v>
      </c>
      <c r="S300" s="2">
        <f t="shared" si="124"/>
        <v>0</v>
      </c>
      <c r="T300" s="2">
        <f t="shared" si="124"/>
        <v>0</v>
      </c>
      <c r="U300" s="2">
        <f t="shared" si="124"/>
        <v>0</v>
      </c>
      <c r="V300" s="2">
        <f t="shared" si="124"/>
        <v>0</v>
      </c>
      <c r="W300" s="2">
        <f t="shared" si="124"/>
        <v>0</v>
      </c>
      <c r="X300" s="2">
        <f t="shared" si="124"/>
        <v>0</v>
      </c>
      <c r="Y300" s="2">
        <f t="shared" si="124"/>
        <v>0</v>
      </c>
      <c r="Z300" s="2">
        <f t="shared" si="124"/>
        <v>0</v>
      </c>
      <c r="AA300" s="2">
        <f t="shared" si="124"/>
        <v>0</v>
      </c>
    </row>
    <row r="301" spans="4:28" customFormat="1" x14ac:dyDescent="0.25">
      <c r="E301" t="s">
        <v>19</v>
      </c>
      <c r="F301" t="s">
        <v>7</v>
      </c>
      <c r="G301" s="2">
        <f t="shared" si="124"/>
        <v>0</v>
      </c>
      <c r="H301" s="2">
        <f t="shared" si="124"/>
        <v>0</v>
      </c>
      <c r="I301" s="2">
        <f t="shared" si="124"/>
        <v>0</v>
      </c>
      <c r="J301" s="2">
        <f t="shared" si="124"/>
        <v>0</v>
      </c>
      <c r="K301" s="2">
        <f t="shared" si="124"/>
        <v>0</v>
      </c>
      <c r="L301" s="2">
        <f t="shared" si="124"/>
        <v>0</v>
      </c>
      <c r="M301" s="2">
        <f t="shared" si="124"/>
        <v>0</v>
      </c>
      <c r="N301" s="2">
        <f t="shared" si="124"/>
        <v>0</v>
      </c>
      <c r="O301" s="2">
        <f t="shared" si="124"/>
        <v>0</v>
      </c>
      <c r="P301" s="2">
        <f t="shared" si="124"/>
        <v>0</v>
      </c>
      <c r="Q301" s="2">
        <f t="shared" si="124"/>
        <v>0</v>
      </c>
      <c r="R301" s="2">
        <f t="shared" si="124"/>
        <v>0</v>
      </c>
      <c r="S301" s="2">
        <f t="shared" si="124"/>
        <v>0</v>
      </c>
      <c r="T301" s="2">
        <f t="shared" si="124"/>
        <v>0</v>
      </c>
      <c r="U301" s="2">
        <f t="shared" si="124"/>
        <v>0</v>
      </c>
      <c r="V301" s="2">
        <f t="shared" si="124"/>
        <v>0</v>
      </c>
      <c r="W301" s="2">
        <f t="shared" si="124"/>
        <v>0</v>
      </c>
      <c r="X301" s="2">
        <f t="shared" si="124"/>
        <v>0</v>
      </c>
      <c r="Y301" s="2">
        <f t="shared" si="124"/>
        <v>0</v>
      </c>
      <c r="Z301" s="2">
        <f t="shared" si="124"/>
        <v>0</v>
      </c>
      <c r="AA301" s="2">
        <f t="shared" si="124"/>
        <v>0</v>
      </c>
    </row>
    <row r="302" spans="4:28" customFormat="1" x14ac:dyDescent="0.25">
      <c r="E302" t="s">
        <v>109</v>
      </c>
      <c r="F302" t="s">
        <v>7</v>
      </c>
      <c r="G302" s="2">
        <f t="shared" si="124"/>
        <v>0</v>
      </c>
      <c r="H302" s="2">
        <f t="shared" si="124"/>
        <v>0</v>
      </c>
      <c r="I302" s="2">
        <f t="shared" si="124"/>
        <v>0</v>
      </c>
      <c r="J302" s="2">
        <f t="shared" si="124"/>
        <v>0</v>
      </c>
      <c r="K302" s="2">
        <f t="shared" si="124"/>
        <v>0</v>
      </c>
      <c r="L302" s="2">
        <f t="shared" si="124"/>
        <v>0</v>
      </c>
      <c r="M302" s="2">
        <f t="shared" si="124"/>
        <v>0</v>
      </c>
      <c r="N302" s="2">
        <f t="shared" si="124"/>
        <v>0</v>
      </c>
      <c r="O302" s="2">
        <f t="shared" si="124"/>
        <v>0</v>
      </c>
      <c r="P302" s="2">
        <f t="shared" si="124"/>
        <v>0</v>
      </c>
      <c r="Q302" s="2">
        <f t="shared" si="124"/>
        <v>0</v>
      </c>
      <c r="R302" s="2">
        <f t="shared" si="124"/>
        <v>0</v>
      </c>
      <c r="S302" s="2">
        <f t="shared" si="124"/>
        <v>0</v>
      </c>
      <c r="T302" s="2">
        <f t="shared" si="124"/>
        <v>0</v>
      </c>
      <c r="U302" s="2">
        <f t="shared" si="124"/>
        <v>0</v>
      </c>
      <c r="V302" s="2">
        <f t="shared" si="124"/>
        <v>0</v>
      </c>
      <c r="W302" s="2">
        <f t="shared" si="124"/>
        <v>0</v>
      </c>
      <c r="X302" s="2">
        <f t="shared" si="124"/>
        <v>0</v>
      </c>
      <c r="Y302" s="2">
        <f t="shared" si="124"/>
        <v>0</v>
      </c>
      <c r="Z302" s="2">
        <f t="shared" si="124"/>
        <v>0</v>
      </c>
      <c r="AA302" s="2">
        <f t="shared" si="124"/>
        <v>0</v>
      </c>
    </row>
    <row r="303" spans="4:28" customFormat="1" x14ac:dyDescent="0.25">
      <c r="E303" t="s">
        <v>11</v>
      </c>
      <c r="F303" t="s">
        <v>7</v>
      </c>
      <c r="G303" s="2">
        <f t="shared" si="124"/>
        <v>0</v>
      </c>
      <c r="H303" s="2">
        <f t="shared" si="124"/>
        <v>4980628.1713189147</v>
      </c>
      <c r="I303" s="2">
        <f t="shared" si="124"/>
        <v>9656009.9814525731</v>
      </c>
      <c r="J303" s="2">
        <f t="shared" si="124"/>
        <v>14515417.001976458</v>
      </c>
      <c r="K303" s="2">
        <f t="shared" si="124"/>
        <v>19182804.073758118</v>
      </c>
      <c r="L303" s="2">
        <f t="shared" si="124"/>
        <v>23663038.561506577</v>
      </c>
      <c r="M303" s="2">
        <f t="shared" si="124"/>
        <v>27943176.243399549</v>
      </c>
      <c r="N303" s="2">
        <f t="shared" si="124"/>
        <v>32029734.113938045</v>
      </c>
      <c r="O303" s="2">
        <f t="shared" si="124"/>
        <v>35932886.863266647</v>
      </c>
      <c r="P303" s="2">
        <f t="shared" si="124"/>
        <v>39919305.550821155</v>
      </c>
      <c r="Q303" s="2">
        <f t="shared" si="124"/>
        <v>43993123.832995534</v>
      </c>
      <c r="R303" s="2">
        <f t="shared" si="124"/>
        <v>48399425.263650596</v>
      </c>
      <c r="S303" s="2">
        <f t="shared" si="124"/>
        <v>53188806.677275643</v>
      </c>
      <c r="T303" s="2">
        <f t="shared" si="124"/>
        <v>58369074.894961029</v>
      </c>
      <c r="U303" s="2">
        <f t="shared" si="124"/>
        <v>63719703.640522972</v>
      </c>
      <c r="V303" s="2">
        <f t="shared" si="124"/>
        <v>69253069.845674753</v>
      </c>
      <c r="W303" s="2">
        <f t="shared" si="124"/>
        <v>70707384.312433928</v>
      </c>
      <c r="X303" s="2">
        <f t="shared" si="124"/>
        <v>72192239.382995024</v>
      </c>
      <c r="Y303" s="2">
        <f t="shared" si="124"/>
        <v>73708276.41003792</v>
      </c>
      <c r="Z303" s="2">
        <f t="shared" si="124"/>
        <v>75256150.214648709</v>
      </c>
      <c r="AA303" s="2">
        <f t="shared" si="124"/>
        <v>76836529.369156331</v>
      </c>
      <c r="AB303" s="2">
        <f t="shared" ref="AB303:AB307" si="125">IF(V303=0,0,IF($G$15&gt;(AA303/V303)^(1/5)-1+2%,AA303*(AA303/V303)^(1/5)/($G$15-((AA303/V303)^(1/5)-1)),AA303*(1+$G$14)/$G$16))</f>
        <v>2561217645.6385498</v>
      </c>
    </row>
    <row r="304" spans="4:28" customFormat="1" x14ac:dyDescent="0.25">
      <c r="E304" t="s">
        <v>57</v>
      </c>
      <c r="F304" t="s">
        <v>7</v>
      </c>
      <c r="G304" s="2">
        <f t="shared" si="124"/>
        <v>0</v>
      </c>
      <c r="H304" s="2">
        <f t="shared" si="124"/>
        <v>-2107062.1721910173</v>
      </c>
      <c r="I304" s="2">
        <f t="shared" si="124"/>
        <v>-4321552.9290536884</v>
      </c>
      <c r="J304" s="2">
        <f t="shared" si="124"/>
        <v>-6682699.3755984567</v>
      </c>
      <c r="K304" s="2">
        <f t="shared" si="124"/>
        <v>-8815053.2633375488</v>
      </c>
      <c r="L304" s="2">
        <f t="shared" si="124"/>
        <v>-10850533.782903222</v>
      </c>
      <c r="M304" s="2">
        <f t="shared" si="124"/>
        <v>-12787621.237359185</v>
      </c>
      <c r="N304" s="2">
        <f t="shared" si="124"/>
        <v>-14627433.277786093</v>
      </c>
      <c r="O304" s="2">
        <f t="shared" si="124"/>
        <v>-16372724.08233293</v>
      </c>
      <c r="P304" s="2">
        <f t="shared" si="124"/>
        <v>-18143790.859677456</v>
      </c>
      <c r="Q304" s="2">
        <f t="shared" si="124"/>
        <v>-19936635.213957675</v>
      </c>
      <c r="R304" s="2">
        <f t="shared" si="124"/>
        <v>-21875346.738966595</v>
      </c>
      <c r="S304" s="2">
        <f t="shared" si="124"/>
        <v>-23978685.34380573</v>
      </c>
      <c r="T304" s="2">
        <f t="shared" si="124"/>
        <v>-26254860.597206138</v>
      </c>
      <c r="U304" s="2">
        <f t="shared" si="124"/>
        <v>-28607083.480506632</v>
      </c>
      <c r="V304" s="2">
        <f t="shared" si="124"/>
        <v>-31038401.807321686</v>
      </c>
      <c r="W304" s="2">
        <f t="shared" si="124"/>
        <v>-31690208.245275438</v>
      </c>
      <c r="X304" s="2">
        <f t="shared" si="124"/>
        <v>-32355702.618426219</v>
      </c>
      <c r="Y304" s="2">
        <f t="shared" si="124"/>
        <v>-33035172.373413168</v>
      </c>
      <c r="Z304" s="2">
        <f t="shared" si="124"/>
        <v>-33728910.99325484</v>
      </c>
      <c r="AA304" s="2">
        <f t="shared" si="124"/>
        <v>-34437218.124113187</v>
      </c>
      <c r="AB304" s="2">
        <f t="shared" si="125"/>
        <v>-1147907270.8037751</v>
      </c>
    </row>
    <row r="305" spans="1:28" x14ac:dyDescent="0.25">
      <c r="E305" t="s">
        <v>10</v>
      </c>
      <c r="F305" t="s">
        <v>7</v>
      </c>
      <c r="G305" s="2">
        <f t="shared" si="124"/>
        <v>0</v>
      </c>
      <c r="H305" s="2">
        <f t="shared" si="124"/>
        <v>-737986.96799999999</v>
      </c>
      <c r="I305" s="2">
        <f t="shared" si="124"/>
        <v>-1468015.453368</v>
      </c>
      <c r="J305" s="2">
        <f t="shared" si="124"/>
        <v>-2201612.1522373222</v>
      </c>
      <c r="K305" s="2">
        <f t="shared" si="124"/>
        <v>-2903867.1156927864</v>
      </c>
      <c r="L305" s="2">
        <f t="shared" si="124"/>
        <v>-3574045.6783630783</v>
      </c>
      <c r="M305" s="2">
        <f t="shared" si="124"/>
        <v>-4211714.1247383114</v>
      </c>
      <c r="N305" s="2">
        <f t="shared" si="124"/>
        <v>-4817212.2743820371</v>
      </c>
      <c r="O305" s="2">
        <f t="shared" si="124"/>
        <v>-5391418.3847644916</v>
      </c>
      <c r="P305" s="2">
        <f t="shared" si="124"/>
        <v>-5973927.0000947639</v>
      </c>
      <c r="Q305" s="2">
        <f t="shared" si="124"/>
        <v>-6563331.8590706065</v>
      </c>
      <c r="R305" s="2">
        <f t="shared" si="124"/>
        <v>-7200683.9625575179</v>
      </c>
      <c r="S305" s="2">
        <f t="shared" si="124"/>
        <v>-7892095.3802641174</v>
      </c>
      <c r="T305" s="2">
        <f t="shared" si="124"/>
        <v>-8640340.3491851445</v>
      </c>
      <c r="U305" s="2">
        <f t="shared" si="124"/>
        <v>-9413603.2237721495</v>
      </c>
      <c r="V305" s="2">
        <f t="shared" si="124"/>
        <v>-10212848.138557682</v>
      </c>
      <c r="W305" s="2">
        <f t="shared" si="124"/>
        <v>-10427317.949467393</v>
      </c>
      <c r="X305" s="2">
        <f t="shared" si="124"/>
        <v>-10646291.626406206</v>
      </c>
      <c r="Y305" s="2">
        <f t="shared" si="124"/>
        <v>-10869863.750560736</v>
      </c>
      <c r="Z305" s="2">
        <f t="shared" si="124"/>
        <v>-11098130.88932251</v>
      </c>
      <c r="AA305" s="2">
        <f t="shared" si="124"/>
        <v>-11331191.637998283</v>
      </c>
      <c r="AB305" s="2">
        <f t="shared" si="125"/>
        <v>-377706387.93327689</v>
      </c>
    </row>
    <row r="306" spans="1:28" x14ac:dyDescent="0.25">
      <c r="E306" t="s">
        <v>48</v>
      </c>
      <c r="F306" t="s">
        <v>7</v>
      </c>
      <c r="G306" s="2">
        <f t="shared" si="124"/>
        <v>0</v>
      </c>
      <c r="H306" s="2">
        <f t="shared" si="124"/>
        <v>0</v>
      </c>
      <c r="I306" s="2">
        <f t="shared" si="124"/>
        <v>0</v>
      </c>
      <c r="J306" s="2">
        <f t="shared" si="124"/>
        <v>0</v>
      </c>
      <c r="K306" s="2">
        <f t="shared" si="124"/>
        <v>0</v>
      </c>
      <c r="L306" s="2">
        <f t="shared" si="124"/>
        <v>0</v>
      </c>
      <c r="M306" s="2">
        <f t="shared" si="124"/>
        <v>0</v>
      </c>
      <c r="N306" s="2">
        <f t="shared" si="124"/>
        <v>0</v>
      </c>
      <c r="O306" s="2">
        <f t="shared" si="124"/>
        <v>0</v>
      </c>
      <c r="P306" s="2">
        <f t="shared" si="124"/>
        <v>0</v>
      </c>
      <c r="Q306" s="2">
        <f t="shared" si="124"/>
        <v>0</v>
      </c>
      <c r="R306" s="2">
        <f t="shared" si="124"/>
        <v>0</v>
      </c>
      <c r="S306" s="2">
        <f t="shared" si="124"/>
        <v>0</v>
      </c>
      <c r="T306" s="2">
        <f t="shared" si="124"/>
        <v>0</v>
      </c>
      <c r="U306" s="2">
        <f t="shared" si="124"/>
        <v>0</v>
      </c>
      <c r="V306" s="2">
        <f t="shared" si="124"/>
        <v>0</v>
      </c>
      <c r="W306" s="2">
        <f t="shared" si="124"/>
        <v>0</v>
      </c>
      <c r="X306" s="2">
        <f t="shared" si="124"/>
        <v>0</v>
      </c>
      <c r="Y306" s="2">
        <f t="shared" si="124"/>
        <v>0</v>
      </c>
      <c r="Z306" s="2">
        <f t="shared" si="124"/>
        <v>0</v>
      </c>
      <c r="AA306" s="2">
        <f t="shared" si="124"/>
        <v>0</v>
      </c>
      <c r="AB306" s="2">
        <f t="shared" si="125"/>
        <v>0</v>
      </c>
    </row>
    <row r="307" spans="1:28" x14ac:dyDescent="0.25">
      <c r="E307" t="s">
        <v>49</v>
      </c>
      <c r="F307" t="s">
        <v>7</v>
      </c>
      <c r="G307" s="2">
        <f t="shared" si="124"/>
        <v>0</v>
      </c>
      <c r="H307" s="2">
        <f t="shared" si="124"/>
        <v>0</v>
      </c>
      <c r="I307" s="2">
        <f t="shared" si="124"/>
        <v>0</v>
      </c>
      <c r="J307" s="2">
        <f t="shared" si="124"/>
        <v>0</v>
      </c>
      <c r="K307" s="2">
        <f t="shared" si="124"/>
        <v>0</v>
      </c>
      <c r="L307" s="2">
        <f t="shared" si="124"/>
        <v>0</v>
      </c>
      <c r="M307" s="2">
        <f t="shared" si="124"/>
        <v>0</v>
      </c>
      <c r="N307" s="2">
        <f t="shared" si="124"/>
        <v>0</v>
      </c>
      <c r="O307" s="2">
        <f t="shared" si="124"/>
        <v>0</v>
      </c>
      <c r="P307" s="2">
        <f t="shared" si="124"/>
        <v>0</v>
      </c>
      <c r="Q307" s="2">
        <f t="shared" si="124"/>
        <v>0</v>
      </c>
      <c r="R307" s="2">
        <f t="shared" si="124"/>
        <v>0</v>
      </c>
      <c r="S307" s="2">
        <f t="shared" si="124"/>
        <v>0</v>
      </c>
      <c r="T307" s="2">
        <f t="shared" si="124"/>
        <v>0</v>
      </c>
      <c r="U307" s="2">
        <f t="shared" si="124"/>
        <v>0</v>
      </c>
      <c r="V307" s="2">
        <f t="shared" si="124"/>
        <v>0</v>
      </c>
      <c r="W307" s="2">
        <f t="shared" si="124"/>
        <v>0</v>
      </c>
      <c r="X307" s="2">
        <f t="shared" si="124"/>
        <v>0</v>
      </c>
      <c r="Y307" s="2">
        <f t="shared" si="124"/>
        <v>0</v>
      </c>
      <c r="Z307" s="2">
        <f t="shared" si="124"/>
        <v>0</v>
      </c>
      <c r="AA307" s="2">
        <f t="shared" si="124"/>
        <v>0</v>
      </c>
      <c r="AB307" s="2">
        <f t="shared" si="125"/>
        <v>0</v>
      </c>
    </row>
    <row r="308" spans="1:28" x14ac:dyDescent="0.25">
      <c r="E308" t="s">
        <v>20</v>
      </c>
      <c r="F308" t="s">
        <v>7</v>
      </c>
      <c r="G308" s="2">
        <f t="shared" ref="G308:AA308" ca="1" si="126">G297</f>
        <v>545720.36722812464</v>
      </c>
      <c r="H308" s="2">
        <f t="shared" ca="1" si="126"/>
        <v>-21357441.132500142</v>
      </c>
      <c r="I308" s="2">
        <f t="shared" ca="1" si="126"/>
        <v>-20936682.076280367</v>
      </c>
      <c r="J308" s="2">
        <f t="shared" ca="1" si="126"/>
        <v>-20895262.675108407</v>
      </c>
      <c r="K308" s="2">
        <f t="shared" ca="1" si="126"/>
        <v>-19865603.045153171</v>
      </c>
      <c r="L308" s="2">
        <f t="shared" ca="1" si="126"/>
        <v>-18834128.303714354</v>
      </c>
      <c r="M308" s="2">
        <f t="shared" ca="1" si="126"/>
        <v>-17804718.298221678</v>
      </c>
      <c r="N308" s="2">
        <f t="shared" ca="1" si="126"/>
        <v>-16800657.159882255</v>
      </c>
      <c r="O308" s="2">
        <f t="shared" ca="1" si="126"/>
        <v>-15838900.307297846</v>
      </c>
      <c r="P308" s="2">
        <f t="shared" ca="1" si="126"/>
        <v>-16067124.104651302</v>
      </c>
      <c r="Q308" s="2">
        <f t="shared" ca="1" si="126"/>
        <v>-16268593.796256101</v>
      </c>
      <c r="R308" s="2">
        <f t="shared" ca="1" si="126"/>
        <v>-17693233.785820439</v>
      </c>
      <c r="S308" s="2">
        <f t="shared" ca="1" si="126"/>
        <v>-19302911.177580401</v>
      </c>
      <c r="T308" s="2">
        <f t="shared" ca="1" si="126"/>
        <v>-20995044.624674883</v>
      </c>
      <c r="U308" s="2">
        <f t="shared" ca="1" si="126"/>
        <v>-21742184.25893848</v>
      </c>
      <c r="V308" s="2">
        <f t="shared" ca="1" si="126"/>
        <v>-22522261.387109425</v>
      </c>
      <c r="W308" s="2">
        <f t="shared" ca="1" si="126"/>
        <v>-5153194.8124605687</v>
      </c>
      <c r="X308" s="2">
        <f t="shared" ca="1" si="126"/>
        <v>-5333310.9186020177</v>
      </c>
      <c r="Y308" s="2">
        <f t="shared" ca="1" si="126"/>
        <v>-5517209.4629724426</v>
      </c>
      <c r="Z308" s="2">
        <f t="shared" ca="1" si="126"/>
        <v>-5704969.8767746454</v>
      </c>
      <c r="AA308" s="2">
        <f t="shared" ca="1" si="126"/>
        <v>-5896673.2592666969</v>
      </c>
      <c r="AB308" s="2">
        <f ca="1">IF(V308=0,0,IF($G$15&gt;(AA308/V308)^(1/5)-1+2%,AA308*(AA308/V308)^(1/5)/($G$15-((AA308/V308)^(1/5)-1)),AA308*(1+$G$14)/$G$16))</f>
        <v>-15729607.243611578</v>
      </c>
    </row>
    <row r="309" spans="1:28" x14ac:dyDescent="0.25">
      <c r="E309" t="s">
        <v>173</v>
      </c>
      <c r="F309" t="s">
        <v>7</v>
      </c>
      <c r="G309" s="2">
        <f ca="1">-$G$17*G308</f>
        <v>-272860.18361406232</v>
      </c>
      <c r="H309" s="2">
        <f t="shared" ref="H309:AA309" ca="1" si="127">-$G$17*H308</f>
        <v>10678720.566250071</v>
      </c>
      <c r="I309" s="2">
        <f t="shared" ca="1" si="127"/>
        <v>10468341.038140183</v>
      </c>
      <c r="J309" s="2">
        <f t="shared" ca="1" si="127"/>
        <v>10447631.337554203</v>
      </c>
      <c r="K309" s="2">
        <f t="shared" ca="1" si="127"/>
        <v>9932801.5225765854</v>
      </c>
      <c r="L309" s="2">
        <f t="shared" ca="1" si="127"/>
        <v>9417064.1518571768</v>
      </c>
      <c r="M309" s="2">
        <f t="shared" ca="1" si="127"/>
        <v>8902359.1491108388</v>
      </c>
      <c r="N309" s="2">
        <f t="shared" ca="1" si="127"/>
        <v>8400328.5799411274</v>
      </c>
      <c r="O309" s="2">
        <f t="shared" ca="1" si="127"/>
        <v>7919450.1536489232</v>
      </c>
      <c r="P309" s="2">
        <f t="shared" ca="1" si="127"/>
        <v>8033562.052325651</v>
      </c>
      <c r="Q309" s="2">
        <f t="shared" ca="1" si="127"/>
        <v>8134296.8981280504</v>
      </c>
      <c r="R309" s="2">
        <f t="shared" ca="1" si="127"/>
        <v>8846616.8929102197</v>
      </c>
      <c r="S309" s="2">
        <f t="shared" ca="1" si="127"/>
        <v>9651455.5887902007</v>
      </c>
      <c r="T309" s="2">
        <f t="shared" ca="1" si="127"/>
        <v>10497522.312337441</v>
      </c>
      <c r="U309" s="2">
        <f t="shared" ca="1" si="127"/>
        <v>10871092.12946924</v>
      </c>
      <c r="V309" s="2">
        <f t="shared" ca="1" si="127"/>
        <v>11261130.693554712</v>
      </c>
      <c r="W309" s="2">
        <f t="shared" ca="1" si="127"/>
        <v>2576597.4062302844</v>
      </c>
      <c r="X309" s="2">
        <f t="shared" ca="1" si="127"/>
        <v>2666655.4593010088</v>
      </c>
      <c r="Y309" s="2">
        <f t="shared" ca="1" si="127"/>
        <v>2758604.7314862213</v>
      </c>
      <c r="Z309" s="2">
        <f t="shared" ca="1" si="127"/>
        <v>2852484.9383873227</v>
      </c>
      <c r="AA309" s="2">
        <f t="shared" ca="1" si="127"/>
        <v>2948336.6296333484</v>
      </c>
      <c r="AB309" s="2">
        <f t="shared" ref="AB309" ca="1" si="128">IF(V309=0,0,IF($G$15&gt;(AA309/V309)^(1/5)-1+2%,AA309*(AA309/V309)^(1/5)/($G$15-((AA309/V309)^(1/5)-1)),AA309*(1+$G$14)/$G$16))</f>
        <v>7864803.6218057889</v>
      </c>
    </row>
    <row r="310" spans="1:28" x14ac:dyDescent="0.25">
      <c r="E310" t="s">
        <v>23</v>
      </c>
      <c r="F310" t="s">
        <v>7</v>
      </c>
      <c r="G310" s="2">
        <f t="shared" ref="G310:AB310" ca="1" si="129">SUM(G300:G309)</f>
        <v>-163443249.98482335</v>
      </c>
      <c r="H310" s="2">
        <f t="shared" ca="1" si="129"/>
        <v>-15434041.418151896</v>
      </c>
      <c r="I310" s="2">
        <f t="shared" ca="1" si="129"/>
        <v>-13897150.776310625</v>
      </c>
      <c r="J310" s="2">
        <f t="shared" ca="1" si="129"/>
        <v>-4816525.8634135239</v>
      </c>
      <c r="K310" s="2">
        <f t="shared" ca="1" si="129"/>
        <v>-3498438.4091921262</v>
      </c>
      <c r="L310" s="2">
        <f t="shared" ca="1" si="129"/>
        <v>-397437.12022093125</v>
      </c>
      <c r="M310" s="2">
        <f t="shared" ca="1" si="129"/>
        <v>2041481.7321912143</v>
      </c>
      <c r="N310" s="2">
        <f t="shared" ca="1" si="129"/>
        <v>4184759.9818287864</v>
      </c>
      <c r="O310" s="2">
        <f t="shared" ca="1" si="129"/>
        <v>6249294.2425202997</v>
      </c>
      <c r="P310" s="2">
        <f t="shared" ca="1" si="129"/>
        <v>7768025.638723284</v>
      </c>
      <c r="Q310" s="2">
        <f t="shared" ca="1" si="129"/>
        <v>9358859.8618392013</v>
      </c>
      <c r="R310" s="2">
        <f t="shared" ca="1" si="129"/>
        <v>10476777.669216264</v>
      </c>
      <c r="S310" s="2">
        <f t="shared" ca="1" si="129"/>
        <v>11666570.364415593</v>
      </c>
      <c r="T310" s="2">
        <f t="shared" ca="1" si="129"/>
        <v>12976351.636232303</v>
      </c>
      <c r="U310" s="2">
        <f t="shared" ca="1" si="129"/>
        <v>14827924.806774953</v>
      </c>
      <c r="V310" s="2">
        <f t="shared" ca="1" si="129"/>
        <v>16740689.206240678</v>
      </c>
      <c r="W310" s="2">
        <f t="shared" ca="1" si="129"/>
        <v>26013260.711460818</v>
      </c>
      <c r="X310" s="2">
        <f t="shared" ca="1" si="129"/>
        <v>26523589.678861588</v>
      </c>
      <c r="Y310" s="2">
        <f t="shared" ca="1" si="129"/>
        <v>27044635.55457779</v>
      </c>
      <c r="Z310" s="2">
        <f t="shared" ca="1" si="129"/>
        <v>27576623.393684033</v>
      </c>
      <c r="AA310" s="2">
        <f t="shared" ca="1" si="129"/>
        <v>28119782.977411512</v>
      </c>
      <c r="AB310" s="2">
        <f t="shared" ca="1" si="129"/>
        <v>1027739183.2796921</v>
      </c>
    </row>
    <row r="311" spans="1:28" x14ac:dyDescent="0.25">
      <c r="E311" t="s">
        <v>31</v>
      </c>
      <c r="F311" t="s">
        <v>7</v>
      </c>
      <c r="G311" s="2">
        <f ca="1">NPV($G$15,H310:AB310)+G310</f>
        <v>267336103.53130794</v>
      </c>
    </row>
    <row r="313" spans="1:28" x14ac:dyDescent="0.25">
      <c r="E313" t="s">
        <v>13</v>
      </c>
      <c r="F313" t="s">
        <v>7</v>
      </c>
      <c r="G313" s="2">
        <f t="shared" ref="G313:AA313" ca="1" si="130">G285</f>
        <v>0</v>
      </c>
      <c r="H313" s="2">
        <f t="shared" ca="1" si="130"/>
        <v>0</v>
      </c>
      <c r="I313" s="2">
        <f t="shared" ca="1" si="130"/>
        <v>0</v>
      </c>
      <c r="J313" s="2">
        <f t="shared" ca="1" si="130"/>
        <v>0</v>
      </c>
      <c r="K313" s="2">
        <f t="shared" ca="1" si="130"/>
        <v>0</v>
      </c>
      <c r="L313" s="2">
        <f t="shared" ca="1" si="130"/>
        <v>0</v>
      </c>
      <c r="M313" s="2">
        <f t="shared" ca="1" si="130"/>
        <v>0</v>
      </c>
      <c r="N313" s="2">
        <f t="shared" ca="1" si="130"/>
        <v>0</v>
      </c>
      <c r="O313" s="2">
        <f t="shared" ca="1" si="130"/>
        <v>0</v>
      </c>
      <c r="P313" s="2">
        <f t="shared" ca="1" si="130"/>
        <v>0</v>
      </c>
      <c r="Q313" s="2">
        <f t="shared" ca="1" si="130"/>
        <v>0</v>
      </c>
      <c r="R313" s="2">
        <f t="shared" ca="1" si="130"/>
        <v>0</v>
      </c>
      <c r="S313" s="2">
        <f t="shared" ca="1" si="130"/>
        <v>0</v>
      </c>
      <c r="T313" s="2">
        <f t="shared" ca="1" si="130"/>
        <v>0</v>
      </c>
      <c r="U313" s="2">
        <f t="shared" ca="1" si="130"/>
        <v>0</v>
      </c>
      <c r="V313" s="2">
        <f t="shared" ca="1" si="130"/>
        <v>0</v>
      </c>
      <c r="W313" s="2">
        <f t="shared" ca="1" si="130"/>
        <v>0</v>
      </c>
      <c r="X313" s="2">
        <f t="shared" ca="1" si="130"/>
        <v>0</v>
      </c>
      <c r="Y313" s="2">
        <f t="shared" ca="1" si="130"/>
        <v>0</v>
      </c>
      <c r="Z313" s="2">
        <f t="shared" ca="1" si="130"/>
        <v>0</v>
      </c>
      <c r="AA313" s="2">
        <f t="shared" ca="1" si="130"/>
        <v>0</v>
      </c>
    </row>
    <row r="314" spans="1:28" x14ac:dyDescent="0.25">
      <c r="E314" t="s">
        <v>24</v>
      </c>
      <c r="F314" t="s">
        <v>7</v>
      </c>
      <c r="G314" s="2">
        <f ca="1">NPV($G$15,H313:AA313)+G313</f>
        <v>0</v>
      </c>
    </row>
    <row r="315" spans="1:28" x14ac:dyDescent="0.25">
      <c r="E315" s="3" t="s">
        <v>34</v>
      </c>
      <c r="F315" s="3"/>
      <c r="G315" s="4" t="str">
        <f ca="1">IF(G311&gt;0,"N/A",IF(ABS(G311+G314)&gt;1,"Error","OK"))</f>
        <v>N/A</v>
      </c>
    </row>
    <row r="318" spans="1:28" x14ac:dyDescent="0.25">
      <c r="C318" s="1" t="s">
        <v>110</v>
      </c>
    </row>
    <row r="319" spans="1:28" x14ac:dyDescent="0.25">
      <c r="E319" t="s">
        <v>116</v>
      </c>
      <c r="F319" t="s">
        <v>117</v>
      </c>
    </row>
    <row r="320" spans="1:28" x14ac:dyDescent="0.25">
      <c r="A320" s="14">
        <f>'Notes &amp; Assumptions'!A68</f>
        <v>55</v>
      </c>
      <c r="E320" s="19" t="s">
        <v>111</v>
      </c>
      <c r="F320" s="19" t="s">
        <v>119</v>
      </c>
    </row>
    <row r="321" spans="5:6" customFormat="1" x14ac:dyDescent="0.25">
      <c r="E321" s="19" t="s">
        <v>112</v>
      </c>
      <c r="F321" s="19" t="s">
        <v>120</v>
      </c>
    </row>
    <row r="322" spans="5:6" customFormat="1" x14ac:dyDescent="0.25">
      <c r="E322" s="19" t="s">
        <v>113</v>
      </c>
      <c r="F322" s="19" t="s">
        <v>121</v>
      </c>
    </row>
  </sheetData>
  <mergeCells count="1">
    <mergeCell ref="G4:H4"/>
  </mergeCells>
  <dataValidations count="1">
    <dataValidation type="list" showInputMessage="1" showErrorMessage="1" sqref="G4" xr:uid="{FFF82A85-EF5B-4673-A2C2-76637E1612C7}">
      <formula1>$E$320:$E$322</formula1>
    </dataValidation>
  </dataValidation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D60E43-756C-4A1F-816D-97A93423993C}">
  <dimension ref="A2:AC322"/>
  <sheetViews>
    <sheetView topLeftCell="A286" workbookViewId="0">
      <selection activeCell="G312" sqref="G312"/>
    </sheetView>
  </sheetViews>
  <sheetFormatPr defaultColWidth="11" defaultRowHeight="15.75" x14ac:dyDescent="0.25"/>
  <cols>
    <col min="1" max="1" width="7.625" style="14" customWidth="1"/>
    <col min="2" max="2" width="3.125" customWidth="1"/>
    <col min="3" max="3" width="3.375" customWidth="1"/>
    <col min="4" max="4" width="2.875" customWidth="1"/>
    <col min="5" max="5" width="36.5" bestFit="1" customWidth="1"/>
    <col min="6" max="6" width="17.5" customWidth="1"/>
    <col min="7" max="27" width="15.625" customWidth="1"/>
    <col min="28" max="28" width="11.125" customWidth="1"/>
  </cols>
  <sheetData>
    <row r="2" spans="1:27" x14ac:dyDescent="0.25">
      <c r="C2" s="1" t="s">
        <v>0</v>
      </c>
      <c r="D2" s="1"/>
      <c r="G2">
        <v>0</v>
      </c>
      <c r="H2">
        <v>1</v>
      </c>
      <c r="I2">
        <v>2</v>
      </c>
      <c r="J2">
        <v>3</v>
      </c>
      <c r="K2">
        <v>4</v>
      </c>
      <c r="L2">
        <v>5</v>
      </c>
      <c r="M2">
        <v>6</v>
      </c>
      <c r="N2">
        <v>7</v>
      </c>
      <c r="O2">
        <v>8</v>
      </c>
      <c r="P2">
        <v>9</v>
      </c>
      <c r="Q2">
        <v>10</v>
      </c>
      <c r="R2">
        <v>11</v>
      </c>
      <c r="S2">
        <v>12</v>
      </c>
      <c r="T2">
        <v>13</v>
      </c>
      <c r="U2">
        <v>14</v>
      </c>
      <c r="V2">
        <v>15</v>
      </c>
      <c r="W2">
        <v>16</v>
      </c>
      <c r="X2">
        <v>17</v>
      </c>
      <c r="Y2">
        <v>18</v>
      </c>
      <c r="Z2">
        <v>19</v>
      </c>
      <c r="AA2">
        <v>20</v>
      </c>
    </row>
    <row r="4" spans="1:27" x14ac:dyDescent="0.25">
      <c r="A4" s="14">
        <f>'Notes &amp; Assumptions'!A14</f>
        <v>1</v>
      </c>
      <c r="C4" s="1" t="s">
        <v>114</v>
      </c>
      <c r="F4" t="s">
        <v>115</v>
      </c>
      <c r="G4" s="368" t="s">
        <v>112</v>
      </c>
      <c r="H4" s="368"/>
    </row>
    <row r="6" spans="1:27" x14ac:dyDescent="0.25">
      <c r="C6" s="1" t="s">
        <v>126</v>
      </c>
    </row>
    <row r="7" spans="1:27" x14ac:dyDescent="0.25">
      <c r="A7" s="14">
        <f>'Notes &amp; Assumptions'!A15</f>
        <v>2</v>
      </c>
      <c r="E7" s="10" t="s">
        <v>128</v>
      </c>
      <c r="F7" t="s">
        <v>145</v>
      </c>
      <c r="G7" s="10">
        <v>90</v>
      </c>
    </row>
    <row r="8" spans="1:27" x14ac:dyDescent="0.25">
      <c r="A8" s="14">
        <f>'Notes &amp; Assumptions'!A16</f>
        <v>3</v>
      </c>
      <c r="E8" s="10" t="s">
        <v>129</v>
      </c>
      <c r="F8" t="s">
        <v>145</v>
      </c>
      <c r="G8" s="10">
        <v>25</v>
      </c>
    </row>
    <row r="9" spans="1:27" x14ac:dyDescent="0.25">
      <c r="A9" s="14">
        <f>'Notes &amp; Assumptions'!A17</f>
        <v>4</v>
      </c>
      <c r="E9" s="10" t="s">
        <v>130</v>
      </c>
      <c r="F9" t="s">
        <v>145</v>
      </c>
      <c r="G9" s="10">
        <v>30</v>
      </c>
    </row>
    <row r="10" spans="1:27" x14ac:dyDescent="0.25">
      <c r="A10" s="14">
        <f>'Notes &amp; Assumptions'!A18</f>
        <v>5</v>
      </c>
      <c r="E10" t="s">
        <v>127</v>
      </c>
      <c r="F10" t="s">
        <v>145</v>
      </c>
      <c r="G10" s="10">
        <v>5</v>
      </c>
    </row>
    <row r="13" spans="1:27" x14ac:dyDescent="0.25">
      <c r="C13" s="1" t="s">
        <v>92</v>
      </c>
    </row>
    <row r="14" spans="1:27" x14ac:dyDescent="0.25">
      <c r="A14" s="14">
        <f>'Notes &amp; Assumptions'!A19</f>
        <v>6</v>
      </c>
      <c r="E14" t="s">
        <v>5</v>
      </c>
      <c r="F14" t="s">
        <v>8</v>
      </c>
      <c r="G14" s="17">
        <f>'20 New UGB Water'!G14</f>
        <v>2.1000000000000001E-2</v>
      </c>
    </row>
    <row r="15" spans="1:27" x14ac:dyDescent="0.25">
      <c r="A15" s="14">
        <f>'Notes &amp; Assumptions'!A20</f>
        <v>7</v>
      </c>
      <c r="E15" t="s">
        <v>32</v>
      </c>
      <c r="F15" t="s">
        <v>8</v>
      </c>
      <c r="G15" s="17">
        <f>'20 New UGB Water'!G15</f>
        <v>5.1629999999999843E-2</v>
      </c>
    </row>
    <row r="16" spans="1:27" x14ac:dyDescent="0.25">
      <c r="E16" t="s">
        <v>30</v>
      </c>
      <c r="F16" t="s">
        <v>8</v>
      </c>
      <c r="G16" s="18">
        <f>(1+G15)/(1+G14)-1</f>
        <v>3.0000000000000027E-2</v>
      </c>
    </row>
    <row r="17" spans="1:27" x14ac:dyDescent="0.25">
      <c r="E17" t="s">
        <v>171</v>
      </c>
      <c r="F17" t="s">
        <v>8</v>
      </c>
      <c r="G17" s="11">
        <v>0.5</v>
      </c>
    </row>
    <row r="18" spans="1:27" x14ac:dyDescent="0.25">
      <c r="A18" s="14">
        <f>'Notes &amp; Assumptions'!A22</f>
        <v>9</v>
      </c>
      <c r="E18" t="s">
        <v>16</v>
      </c>
      <c r="F18" t="s">
        <v>8</v>
      </c>
      <c r="G18" s="11">
        <v>0.3</v>
      </c>
      <c r="H18" s="11">
        <v>0.3</v>
      </c>
      <c r="I18" s="11">
        <v>0.3</v>
      </c>
      <c r="J18" s="11">
        <v>0.3</v>
      </c>
      <c r="K18" s="11">
        <v>0.3</v>
      </c>
      <c r="L18" s="11">
        <v>0.3</v>
      </c>
      <c r="M18" s="11">
        <v>0.3</v>
      </c>
      <c r="N18" s="11">
        <v>0.3</v>
      </c>
      <c r="O18" s="11">
        <v>0.3</v>
      </c>
      <c r="P18" s="11">
        <v>0.3</v>
      </c>
      <c r="Q18" s="11">
        <v>0.3</v>
      </c>
      <c r="R18" s="11">
        <v>0.3</v>
      </c>
      <c r="S18" s="11">
        <v>0.3</v>
      </c>
      <c r="T18" s="11">
        <v>0.3</v>
      </c>
      <c r="U18" s="11">
        <v>0.3</v>
      </c>
      <c r="V18" s="11">
        <v>0.3</v>
      </c>
      <c r="W18" s="11">
        <v>0.3</v>
      </c>
      <c r="X18" s="11">
        <v>0.3</v>
      </c>
      <c r="Y18" s="11">
        <v>0.3</v>
      </c>
      <c r="Z18" s="11">
        <v>0.3</v>
      </c>
      <c r="AA18" s="11">
        <v>0.3</v>
      </c>
    </row>
    <row r="20" spans="1:27" x14ac:dyDescent="0.25">
      <c r="A20" s="14">
        <f>'Notes &amp; Assumptions'!A23</f>
        <v>10</v>
      </c>
      <c r="C20" s="1" t="s">
        <v>1</v>
      </c>
      <c r="D20" s="1"/>
      <c r="G20" s="51"/>
    </row>
    <row r="21" spans="1:27" x14ac:dyDescent="0.25">
      <c r="E21" s="2" t="str">
        <f>E7</f>
        <v>Pipes</v>
      </c>
      <c r="F21" t="s">
        <v>7</v>
      </c>
      <c r="G21" s="43">
        <f>'Net infill sewerage capex 05-06'!W33*10^6</f>
        <v>204366031.82191446</v>
      </c>
      <c r="H21" s="10">
        <f>'Forecast capex'!J89*1000*(1+$G$14)^H2+SUM('Community Sewerage'!I3)*1000000*(1+$G$14)^H2+'Renewal capex'!H58</f>
        <v>46982410.148161471</v>
      </c>
      <c r="I21" s="10">
        <f>'Forecast capex'!K89*1000*(1+$G$14)^I2+SUM('Community Sewerage'!J3)*1000000*(1+$G$14)^I2+'Renewal capex'!I58</f>
        <v>43690377.862168886</v>
      </c>
      <c r="J21" s="10">
        <f>'Forecast capex'!L89*1000*(1+$G$14)^J2+SUM('Community Sewerage'!K3)*1000000*(1+$G$14)^J2+'Renewal capex'!J58</f>
        <v>36906159.169113621</v>
      </c>
      <c r="K21" s="10">
        <f>'Forecast capex'!M89*1000*(1+$G$14)^K2+SUM('Community Sewerage'!L3)*1000000*(1+$G$14)^K2+'Renewal capex'!K58</f>
        <v>38556350.372129947</v>
      </c>
      <c r="L21" s="10">
        <f>'Forecast capex'!N89*1000*(1+$G$14)^L2+SUM('Community Sewerage'!M3)*1000000*(1+$G$14)^L2+'Renewal capex'!L58</f>
        <v>37537865.127539843</v>
      </c>
      <c r="M21" s="10">
        <f>'Forecast capex'!O89*1000*(1+$G$14)^M2+SUM('Community Sewerage'!N3)*1000000*(1+$G$14)^M2+'Renewal capex'!M58</f>
        <v>37244943.86862956</v>
      </c>
      <c r="N21" s="10">
        <f>'Forecast capex'!P89*1000*(1+$G$14)^N2+SUM('Community Sewerage'!O3)*1000000*(1+$G$14)^N2+'Renewal capex'!N58</f>
        <v>38565891.893987045</v>
      </c>
      <c r="O21" s="10">
        <f>'Forecast capex'!Q89*1000*(1+$G$14)^O2+SUM('Community Sewerage'!P3)*1000000*(1+$G$14)^O2+'Renewal capex'!O58</f>
        <v>39175015.157698087</v>
      </c>
      <c r="P21" s="10">
        <f>'Forecast capex'!R89*1000*(1+$G$14)^P2+SUM('Community Sewerage'!Q3)*1000000*(1+$G$14)^P2+'Renewal capex'!P58</f>
        <v>39500772.279603362</v>
      </c>
      <c r="Q21" s="10">
        <f>'Forecast capex'!S89*1000*(1+$G$14)^Q2+SUM('Community Sewerage'!R3)*1000000*(1+$G$14)^Q2+'Renewal capex'!Q58</f>
        <v>40468873.832513496</v>
      </c>
      <c r="R21" s="10">
        <f>('[11]Capex Profile'!X$146)*(1+$G$14)^R2+SUM('Community Sewerage'!S3)*1000000*(1+$G$14)^R2+'Renewal capex'!R58</f>
        <v>41484696.859103203</v>
      </c>
      <c r="S21" s="10">
        <f>('[11]Capex Profile'!Y$146)*(1+$G$14)^S2+SUM('Community Sewerage'!T3)*1000000*(1+$G$14)^S2+'Renewal capex'!S58</f>
        <v>42371020.957361422</v>
      </c>
      <c r="T21" s="10">
        <f>('[11]Capex Profile'!Z$146)*(1+$G$14)^T2+SUM('Community Sewerage'!U3)*1000000*(1+$G$14)^T2+'Renewal capex'!T58</f>
        <v>43179185.047618181</v>
      </c>
      <c r="U21" s="10">
        <f>('[11]Capex Profile'!AA$146)*(1+$G$14)^U2+SUM('Community Sewerage'!V3)*1000000*(1+$G$14)^U2+'Renewal capex'!U58</f>
        <v>44025285.369058631</v>
      </c>
      <c r="V21" s="10">
        <f>('[11]Capex Profile'!AB$146)*(1+$G$14)^V2+SUM('Community Sewerage'!W3)*1000000*(1+$G$14)^V2+'Renewal capex'!V58</f>
        <v>45004305.786332041</v>
      </c>
      <c r="W21" s="10">
        <f>('[11]Capex Profile'!AC$146)*(1+$G$14)^W2+SUM('Community Sewerage'!X3)*1000000*(1+$G$14)^W2+'Renewal capex'!W58</f>
        <v>12269067.711646918</v>
      </c>
      <c r="X21" s="10">
        <f>('[11]Capex Profile'!AD$146)*(1+$G$14)^X2+SUM('Community Sewerage'!Y3)*1000000*(1+$G$14)^X2+'Renewal capex'!X58</f>
        <v>12515869.266792528</v>
      </c>
      <c r="Y21" s="10">
        <f>('[11]Capex Profile'!AE$146)*(1+$G$14)^Y2+SUM('Community Sewerage'!Z3)*1000000*(1+$G$14)^Y2+'Renewal capex'!Y58</f>
        <v>12761979.123842647</v>
      </c>
      <c r="Z21" s="10">
        <f>('[11]Capex Profile'!AF$146)*(1+$G$14)^Z2+SUM('Community Sewerage'!AA3)*1000000*(1+$G$14)^Z2+'Renewal capex'!Z58</f>
        <v>13027984.722761476</v>
      </c>
      <c r="AA21" s="10">
        <f>('[11]Capex Profile'!AG$146)*(1+$G$14)^AA2+SUM('Community Sewerage'!AB3)*1000000*(1+$G$14)^AA2+'Renewal capex'!AA58</f>
        <v>13312870.697448894</v>
      </c>
    </row>
    <row r="22" spans="1:27" x14ac:dyDescent="0.25">
      <c r="E22" s="2" t="str">
        <f>E8</f>
        <v>Pumps</v>
      </c>
      <c r="F22" t="s">
        <v>7</v>
      </c>
      <c r="G22" s="10"/>
      <c r="H22" s="10"/>
      <c r="I22" s="10"/>
      <c r="J22" s="10"/>
      <c r="K22" s="10"/>
      <c r="L22" s="10"/>
      <c r="M22" s="10"/>
      <c r="N22" s="10"/>
      <c r="O22" s="10"/>
      <c r="P22" s="10"/>
      <c r="Q22" s="10"/>
      <c r="R22" s="10"/>
      <c r="S22" s="10"/>
      <c r="T22" s="10"/>
      <c r="U22" s="10"/>
      <c r="V22" s="10"/>
      <c r="W22" s="10"/>
      <c r="X22" s="10"/>
      <c r="Y22" s="10"/>
      <c r="Z22" s="10"/>
      <c r="AA22" s="10"/>
    </row>
    <row r="23" spans="1:27" x14ac:dyDescent="0.25">
      <c r="E23" s="2" t="str">
        <f>E9</f>
        <v>Valves and Meters</v>
      </c>
      <c r="F23" t="s">
        <v>7</v>
      </c>
      <c r="G23" s="10"/>
      <c r="H23" s="10"/>
      <c r="I23" s="10"/>
      <c r="J23" s="10"/>
      <c r="K23" s="10"/>
      <c r="L23" s="10"/>
      <c r="M23" s="10"/>
      <c r="N23" s="10"/>
      <c r="O23" s="10"/>
      <c r="P23" s="10"/>
      <c r="Q23" s="10"/>
      <c r="R23" s="10"/>
      <c r="S23" s="10"/>
      <c r="T23" s="10"/>
      <c r="U23" s="10"/>
      <c r="V23" s="10"/>
      <c r="W23" s="10"/>
      <c r="X23" s="10"/>
      <c r="Y23" s="10"/>
      <c r="Z23" s="10"/>
      <c r="AA23" s="10"/>
    </row>
    <row r="24" spans="1:27" x14ac:dyDescent="0.25">
      <c r="E24" t="s">
        <v>127</v>
      </c>
      <c r="F24" t="s">
        <v>7</v>
      </c>
      <c r="G24" s="10"/>
      <c r="H24" s="10"/>
      <c r="I24" s="10"/>
      <c r="J24" s="10"/>
      <c r="K24" s="10"/>
      <c r="L24" s="10"/>
      <c r="M24" s="10"/>
      <c r="N24" s="10"/>
      <c r="O24" s="10"/>
      <c r="P24" s="10"/>
      <c r="Q24" s="10"/>
      <c r="R24" s="10"/>
      <c r="S24" s="10"/>
      <c r="T24" s="10"/>
      <c r="U24" s="10"/>
      <c r="V24" s="10"/>
      <c r="W24" s="10"/>
      <c r="X24" s="10"/>
      <c r="Y24" s="10"/>
      <c r="Z24" s="10"/>
      <c r="AA24" s="10"/>
    </row>
    <row r="25" spans="1:27" x14ac:dyDescent="0.25">
      <c r="E25" t="s">
        <v>131</v>
      </c>
      <c r="F25" t="s">
        <v>7</v>
      </c>
      <c r="G25" s="10"/>
      <c r="H25" s="10"/>
      <c r="I25" s="10"/>
      <c r="J25" s="10"/>
      <c r="K25" s="10"/>
      <c r="L25" s="10"/>
      <c r="M25" s="10"/>
      <c r="N25" s="10"/>
      <c r="O25" s="10"/>
      <c r="P25" s="10"/>
      <c r="Q25" s="10"/>
      <c r="R25" s="10"/>
      <c r="S25" s="10"/>
      <c r="T25" s="10"/>
      <c r="U25" s="10"/>
      <c r="V25" s="10"/>
      <c r="W25" s="10"/>
      <c r="X25" s="10"/>
      <c r="Y25" s="10"/>
      <c r="Z25" s="10"/>
      <c r="AA25" s="10"/>
    </row>
    <row r="26" spans="1:27" x14ac:dyDescent="0.25">
      <c r="G26" s="2">
        <f>SUM(G21:G25)</f>
        <v>204366031.82191446</v>
      </c>
      <c r="H26" s="2">
        <f t="shared" ref="H26:AA26" si="0">SUM(H21:H25)</f>
        <v>46982410.148161471</v>
      </c>
      <c r="I26" s="2">
        <f t="shared" si="0"/>
        <v>43690377.862168886</v>
      </c>
      <c r="J26" s="2">
        <f t="shared" si="0"/>
        <v>36906159.169113621</v>
      </c>
      <c r="K26" s="2">
        <f t="shared" si="0"/>
        <v>38556350.372129947</v>
      </c>
      <c r="L26" s="2">
        <f t="shared" si="0"/>
        <v>37537865.127539843</v>
      </c>
      <c r="M26" s="2">
        <f t="shared" si="0"/>
        <v>37244943.86862956</v>
      </c>
      <c r="N26" s="2">
        <f t="shared" si="0"/>
        <v>38565891.893987045</v>
      </c>
      <c r="O26" s="2">
        <f t="shared" si="0"/>
        <v>39175015.157698087</v>
      </c>
      <c r="P26" s="2">
        <f t="shared" si="0"/>
        <v>39500772.279603362</v>
      </c>
      <c r="Q26" s="2">
        <f t="shared" si="0"/>
        <v>40468873.832513496</v>
      </c>
      <c r="R26" s="2">
        <f t="shared" si="0"/>
        <v>41484696.859103203</v>
      </c>
      <c r="S26" s="2">
        <f t="shared" si="0"/>
        <v>42371020.957361422</v>
      </c>
      <c r="T26" s="2">
        <f t="shared" si="0"/>
        <v>43179185.047618181</v>
      </c>
      <c r="U26" s="2">
        <f t="shared" si="0"/>
        <v>44025285.369058631</v>
      </c>
      <c r="V26" s="2">
        <f t="shared" si="0"/>
        <v>45004305.786332041</v>
      </c>
      <c r="W26" s="2">
        <f t="shared" si="0"/>
        <v>12269067.711646918</v>
      </c>
      <c r="X26" s="2">
        <f t="shared" si="0"/>
        <v>12515869.266792528</v>
      </c>
      <c r="Y26" s="2">
        <f t="shared" si="0"/>
        <v>12761979.123842647</v>
      </c>
      <c r="Z26" s="2">
        <f t="shared" si="0"/>
        <v>13027984.722761476</v>
      </c>
      <c r="AA26" s="2">
        <f t="shared" si="0"/>
        <v>13312870.697448894</v>
      </c>
    </row>
    <row r="27" spans="1:27" x14ac:dyDescent="0.25">
      <c r="G27" s="2"/>
      <c r="H27" s="2"/>
      <c r="I27" s="2"/>
      <c r="J27" s="2"/>
      <c r="K27" s="2"/>
      <c r="L27" s="2"/>
      <c r="M27" s="2"/>
      <c r="N27" s="2"/>
      <c r="O27" s="2"/>
      <c r="P27" s="2"/>
      <c r="Q27" s="2"/>
    </row>
    <row r="28" spans="1:27" x14ac:dyDescent="0.25">
      <c r="D28" t="s">
        <v>132</v>
      </c>
      <c r="G28" s="2"/>
      <c r="H28" s="2"/>
      <c r="I28" s="2"/>
      <c r="J28" s="2"/>
      <c r="K28" s="2"/>
      <c r="L28" s="2"/>
      <c r="M28" s="2"/>
      <c r="N28" s="2"/>
      <c r="O28" s="2"/>
      <c r="P28" s="2"/>
      <c r="Q28" s="2"/>
    </row>
    <row r="29" spans="1:27" x14ac:dyDescent="0.25">
      <c r="E29" s="2" t="str">
        <f>E21</f>
        <v>Pipes</v>
      </c>
      <c r="F29" t="s">
        <v>7</v>
      </c>
      <c r="G29" s="2">
        <f t="shared" ref="G29:AA32" si="1">G21/$G7+IF((G$2-$G7+1)&gt;0,-INDEX($G21:$AA21,1,(G$2-$G7+1))/$G7,0)</f>
        <v>2270733.6869101608</v>
      </c>
      <c r="H29" s="2">
        <f t="shared" si="1"/>
        <v>522026.77942401636</v>
      </c>
      <c r="I29" s="2">
        <f t="shared" si="1"/>
        <v>485448.64291298762</v>
      </c>
      <c r="J29" s="2">
        <f t="shared" si="1"/>
        <v>410068.43521237356</v>
      </c>
      <c r="K29" s="2">
        <f t="shared" si="1"/>
        <v>428403.89302366605</v>
      </c>
      <c r="L29" s="2">
        <f t="shared" si="1"/>
        <v>417087.39030599827</v>
      </c>
      <c r="M29" s="2">
        <f t="shared" si="1"/>
        <v>413832.70965143957</v>
      </c>
      <c r="N29" s="2">
        <f t="shared" si="1"/>
        <v>428509.9099331894</v>
      </c>
      <c r="O29" s="2">
        <f t="shared" si="1"/>
        <v>435277.94619664544</v>
      </c>
      <c r="P29" s="2">
        <f t="shared" si="1"/>
        <v>438897.46977337071</v>
      </c>
      <c r="Q29" s="2">
        <f t="shared" si="1"/>
        <v>449654.1536945944</v>
      </c>
      <c r="R29" s="2">
        <f t="shared" si="1"/>
        <v>460941.07621225779</v>
      </c>
      <c r="S29" s="2">
        <f t="shared" si="1"/>
        <v>470789.12174846022</v>
      </c>
      <c r="T29" s="2">
        <f t="shared" si="1"/>
        <v>479768.72275131312</v>
      </c>
      <c r="U29" s="2">
        <f t="shared" si="1"/>
        <v>489169.83743398479</v>
      </c>
      <c r="V29" s="2">
        <f t="shared" si="1"/>
        <v>500047.84207035601</v>
      </c>
      <c r="W29" s="2">
        <f t="shared" si="1"/>
        <v>136322.97457385465</v>
      </c>
      <c r="X29" s="2">
        <f t="shared" si="1"/>
        <v>139065.21407547253</v>
      </c>
      <c r="Y29" s="2">
        <f t="shared" si="1"/>
        <v>141799.76804269609</v>
      </c>
      <c r="Z29" s="2">
        <f t="shared" si="1"/>
        <v>144755.38580846085</v>
      </c>
      <c r="AA29" s="2">
        <f t="shared" si="1"/>
        <v>147920.78552720993</v>
      </c>
    </row>
    <row r="30" spans="1:27" x14ac:dyDescent="0.25">
      <c r="E30" s="2" t="str">
        <f t="shared" ref="E30:E32" si="2">E22</f>
        <v>Pumps</v>
      </c>
      <c r="F30" t="s">
        <v>7</v>
      </c>
      <c r="G30" s="2">
        <f t="shared" si="1"/>
        <v>0</v>
      </c>
      <c r="H30" s="2">
        <f t="shared" si="1"/>
        <v>0</v>
      </c>
      <c r="I30" s="2">
        <f t="shared" si="1"/>
        <v>0</v>
      </c>
      <c r="J30" s="2">
        <f t="shared" si="1"/>
        <v>0</v>
      </c>
      <c r="K30" s="2">
        <f t="shared" si="1"/>
        <v>0</v>
      </c>
      <c r="L30" s="2">
        <f t="shared" si="1"/>
        <v>0</v>
      </c>
      <c r="M30" s="2">
        <f t="shared" si="1"/>
        <v>0</v>
      </c>
      <c r="N30" s="2">
        <f t="shared" si="1"/>
        <v>0</v>
      </c>
      <c r="O30" s="2">
        <f t="shared" si="1"/>
        <v>0</v>
      </c>
      <c r="P30" s="2">
        <f t="shared" si="1"/>
        <v>0</v>
      </c>
      <c r="Q30" s="2">
        <f t="shared" si="1"/>
        <v>0</v>
      </c>
      <c r="R30" s="2">
        <f t="shared" si="1"/>
        <v>0</v>
      </c>
      <c r="S30" s="2">
        <f t="shared" si="1"/>
        <v>0</v>
      </c>
      <c r="T30" s="2">
        <f t="shared" si="1"/>
        <v>0</v>
      </c>
      <c r="U30" s="2">
        <f t="shared" si="1"/>
        <v>0</v>
      </c>
      <c r="V30" s="2">
        <f t="shared" si="1"/>
        <v>0</v>
      </c>
      <c r="W30" s="2">
        <f t="shared" si="1"/>
        <v>0</v>
      </c>
      <c r="X30" s="2">
        <f t="shared" si="1"/>
        <v>0</v>
      </c>
      <c r="Y30" s="2">
        <f t="shared" si="1"/>
        <v>0</v>
      </c>
      <c r="Z30" s="2">
        <f t="shared" si="1"/>
        <v>0</v>
      </c>
      <c r="AA30" s="2">
        <f t="shared" si="1"/>
        <v>0</v>
      </c>
    </row>
    <row r="31" spans="1:27" x14ac:dyDescent="0.25">
      <c r="E31" s="2" t="str">
        <f t="shared" si="2"/>
        <v>Valves and Meters</v>
      </c>
      <c r="F31" t="s">
        <v>7</v>
      </c>
      <c r="G31" s="2">
        <f t="shared" si="1"/>
        <v>0</v>
      </c>
      <c r="H31" s="2">
        <f t="shared" si="1"/>
        <v>0</v>
      </c>
      <c r="I31" s="2">
        <f t="shared" si="1"/>
        <v>0</v>
      </c>
      <c r="J31" s="2">
        <f t="shared" si="1"/>
        <v>0</v>
      </c>
      <c r="K31" s="2">
        <f t="shared" si="1"/>
        <v>0</v>
      </c>
      <c r="L31" s="2">
        <f t="shared" si="1"/>
        <v>0</v>
      </c>
      <c r="M31" s="2">
        <f t="shared" si="1"/>
        <v>0</v>
      </c>
      <c r="N31" s="2">
        <f t="shared" si="1"/>
        <v>0</v>
      </c>
      <c r="O31" s="2">
        <f t="shared" si="1"/>
        <v>0</v>
      </c>
      <c r="P31" s="2">
        <f t="shared" si="1"/>
        <v>0</v>
      </c>
      <c r="Q31" s="2">
        <f t="shared" si="1"/>
        <v>0</v>
      </c>
      <c r="R31" s="2">
        <f t="shared" si="1"/>
        <v>0</v>
      </c>
      <c r="S31" s="2">
        <f t="shared" si="1"/>
        <v>0</v>
      </c>
      <c r="T31" s="2">
        <f t="shared" si="1"/>
        <v>0</v>
      </c>
      <c r="U31" s="2">
        <f t="shared" si="1"/>
        <v>0</v>
      </c>
      <c r="V31" s="2">
        <f t="shared" si="1"/>
        <v>0</v>
      </c>
      <c r="W31" s="2">
        <f t="shared" si="1"/>
        <v>0</v>
      </c>
      <c r="X31" s="2">
        <f t="shared" si="1"/>
        <v>0</v>
      </c>
      <c r="Y31" s="2">
        <f t="shared" si="1"/>
        <v>0</v>
      </c>
      <c r="Z31" s="2">
        <f t="shared" si="1"/>
        <v>0</v>
      </c>
      <c r="AA31" s="2">
        <f t="shared" si="1"/>
        <v>0</v>
      </c>
    </row>
    <row r="32" spans="1:27" x14ac:dyDescent="0.25">
      <c r="E32" s="2" t="str">
        <f t="shared" si="2"/>
        <v>Temporary Assets</v>
      </c>
      <c r="F32" t="s">
        <v>7</v>
      </c>
      <c r="G32" s="2">
        <f t="shared" si="1"/>
        <v>0</v>
      </c>
      <c r="H32" s="2">
        <f t="shared" si="1"/>
        <v>0</v>
      </c>
      <c r="I32" s="2">
        <f t="shared" si="1"/>
        <v>0</v>
      </c>
      <c r="J32" s="2">
        <f t="shared" si="1"/>
        <v>0</v>
      </c>
      <c r="K32" s="2">
        <f t="shared" si="1"/>
        <v>0</v>
      </c>
      <c r="L32" s="2">
        <f t="shared" si="1"/>
        <v>0</v>
      </c>
      <c r="M32" s="2">
        <f t="shared" si="1"/>
        <v>0</v>
      </c>
      <c r="N32" s="2">
        <f t="shared" si="1"/>
        <v>0</v>
      </c>
      <c r="O32" s="2">
        <f t="shared" si="1"/>
        <v>0</v>
      </c>
      <c r="P32" s="2">
        <f t="shared" si="1"/>
        <v>0</v>
      </c>
      <c r="Q32" s="2">
        <f t="shared" si="1"/>
        <v>0</v>
      </c>
      <c r="R32" s="2">
        <f t="shared" si="1"/>
        <v>0</v>
      </c>
      <c r="S32" s="2">
        <f t="shared" si="1"/>
        <v>0</v>
      </c>
      <c r="T32" s="2">
        <f t="shared" si="1"/>
        <v>0</v>
      </c>
      <c r="U32" s="2">
        <f t="shared" si="1"/>
        <v>0</v>
      </c>
      <c r="V32" s="2">
        <f t="shared" si="1"/>
        <v>0</v>
      </c>
      <c r="W32" s="2">
        <f t="shared" si="1"/>
        <v>0</v>
      </c>
      <c r="X32" s="2">
        <f t="shared" si="1"/>
        <v>0</v>
      </c>
      <c r="Y32" s="2">
        <f t="shared" si="1"/>
        <v>0</v>
      </c>
      <c r="Z32" s="2">
        <f t="shared" si="1"/>
        <v>0</v>
      </c>
      <c r="AA32" s="2">
        <f t="shared" si="1"/>
        <v>0</v>
      </c>
    </row>
    <row r="33" spans="1:27" x14ac:dyDescent="0.25">
      <c r="G33" s="2"/>
      <c r="H33" s="2"/>
      <c r="I33" s="2"/>
      <c r="J33" s="2"/>
      <c r="K33" s="2"/>
      <c r="L33" s="2"/>
      <c r="M33" s="2"/>
      <c r="N33" s="2"/>
      <c r="O33" s="2"/>
      <c r="P33" s="2"/>
      <c r="Q33" s="2"/>
    </row>
    <row r="34" spans="1:27" x14ac:dyDescent="0.25">
      <c r="D34" t="s">
        <v>133</v>
      </c>
      <c r="F34" t="s">
        <v>7</v>
      </c>
      <c r="G34" s="2">
        <f>SUM($G$29:G32)</f>
        <v>2270733.6869101608</v>
      </c>
      <c r="H34" s="2">
        <f>SUM($G$29:H32)</f>
        <v>2792760.4663341772</v>
      </c>
      <c r="I34" s="2">
        <f>SUM($G$29:I32)</f>
        <v>3278209.1092471648</v>
      </c>
      <c r="J34" s="2">
        <f>SUM($G$29:J32)</f>
        <v>3688277.5444595385</v>
      </c>
      <c r="K34" s="2">
        <f>SUM($G$29:K32)</f>
        <v>4116681.4374832045</v>
      </c>
      <c r="L34" s="2">
        <f>SUM($G$29:L32)</f>
        <v>4533768.8277892023</v>
      </c>
      <c r="M34" s="2">
        <f>SUM($G$29:M32)</f>
        <v>4947601.5374406418</v>
      </c>
      <c r="N34" s="2">
        <f>SUM($G$29:N32)</f>
        <v>5376111.4473738316</v>
      </c>
      <c r="O34" s="2">
        <f>SUM($G$29:O32)</f>
        <v>5811389.3935704771</v>
      </c>
      <c r="P34" s="2">
        <f>SUM($G$29:P32)</f>
        <v>6250286.8633438479</v>
      </c>
      <c r="Q34" s="2">
        <f>SUM($G$29:Q32)</f>
        <v>6699941.0170384422</v>
      </c>
      <c r="R34" s="2">
        <f>SUM($G$29:R32)</f>
        <v>7160882.0932507003</v>
      </c>
      <c r="S34" s="2">
        <f>SUM($G$29:S32)</f>
        <v>7631671.2149991607</v>
      </c>
      <c r="T34" s="2">
        <f>SUM($G$29:T32)</f>
        <v>8111439.9377504736</v>
      </c>
      <c r="U34" s="2">
        <f>SUM($G$29:U32)</f>
        <v>8600609.7751844581</v>
      </c>
      <c r="V34" s="2">
        <f>SUM($G$29:V32)</f>
        <v>9100657.6172548141</v>
      </c>
      <c r="W34" s="2">
        <f>SUM($G$29:W32)</f>
        <v>9236980.5918286685</v>
      </c>
      <c r="X34" s="2">
        <f>SUM($G$29:X32)</f>
        <v>9376045.8059041407</v>
      </c>
      <c r="Y34" s="2">
        <f>SUM($G$29:Y32)</f>
        <v>9517845.5739468373</v>
      </c>
      <c r="Z34" s="2">
        <f>SUM($G$29:Z32)</f>
        <v>9662600.9597552978</v>
      </c>
      <c r="AA34" s="2">
        <f>SUM($G$29:AA32)</f>
        <v>9810521.7452825084</v>
      </c>
    </row>
    <row r="35" spans="1:27" x14ac:dyDescent="0.25">
      <c r="G35" s="2"/>
      <c r="H35" s="2"/>
      <c r="I35" s="2"/>
      <c r="J35" s="2"/>
      <c r="K35" s="2"/>
      <c r="L35" s="2"/>
      <c r="M35" s="2"/>
      <c r="N35" s="2"/>
      <c r="O35" s="2"/>
      <c r="P35" s="2"/>
      <c r="Q35" s="2"/>
      <c r="R35" s="2"/>
      <c r="S35" s="2"/>
      <c r="T35" s="2"/>
      <c r="U35" s="2"/>
      <c r="V35" s="2"/>
      <c r="W35" s="2"/>
      <c r="X35" s="2"/>
      <c r="Y35" s="2"/>
      <c r="Z35" s="2"/>
      <c r="AA35" s="2"/>
    </row>
    <row r="36" spans="1:27" x14ac:dyDescent="0.25">
      <c r="A36" s="14">
        <f>'Notes &amp; Assumptions'!A24</f>
        <v>11</v>
      </c>
      <c r="C36" s="1" t="s">
        <v>107</v>
      </c>
      <c r="D36" s="1"/>
    </row>
    <row r="37" spans="1:27" x14ac:dyDescent="0.25">
      <c r="E37" s="2" t="str">
        <f>E7</f>
        <v>Pipes</v>
      </c>
      <c r="F37" t="s">
        <v>7</v>
      </c>
      <c r="G37" s="10"/>
      <c r="H37" s="10">
        <f>'Key assumptions'!$B32*(1+$G$14)^H2*(H90+H111+H132+H153)</f>
        <v>72249022.999999985</v>
      </c>
      <c r="I37" s="10">
        <f>'Key assumptions'!$B32*(1+$G$14)^I2*(I90+I111+I132+I153)</f>
        <v>69979064.329999983</v>
      </c>
      <c r="J37" s="10">
        <f>'Key assumptions'!$B32*(1+$G$14)^J2*(J90+J111+J132+J153)</f>
        <v>68846225.869558871</v>
      </c>
      <c r="K37" s="10">
        <f>'Key assumptions'!$B32*(1+$G$14)^K2*(K90+K111+K132+K153)</f>
        <v>64312304.756430194</v>
      </c>
      <c r="L37" s="10">
        <f>'Key assumptions'!$B32*(1+$G$14)^L2*(L90+L111+L132+L153)</f>
        <v>59716811.53560283</v>
      </c>
      <c r="M37" s="10">
        <f>'Key assumptions'!$B32*(1+$G$14)^M2*(M90+M111+M132+M153)</f>
        <v>55198099.665290311</v>
      </c>
      <c r="N37" s="10">
        <f>'Key assumptions'!$B32*(1+$G$14)^N2*(N90+N111+N132+N153)</f>
        <v>50779016.406236961</v>
      </c>
      <c r="O37" s="10">
        <f>'Key assumptions'!$B32*(1+$G$14)^O2*(O90+O111+O132+O153)</f>
        <v>46453357.47872936</v>
      </c>
      <c r="P37" s="10">
        <f>'Key assumptions'!$B32*(1+$G$14)^P2*(P90+P111+P132+P153)</f>
        <v>46157007.26092948</v>
      </c>
      <c r="Q37" s="10">
        <f>'Key assumptions'!$B32*(1+$G$14)^Q2*(Q90+Q111+Q132+Q153)</f>
        <v>45649352.76293207</v>
      </c>
      <c r="R37" s="10">
        <f>'Key assumptions'!$B32*(1+$G$14)^R2*(R90+R111+R132+R153)</f>
        <v>49180508.053766027</v>
      </c>
      <c r="S37" s="10">
        <f>'Key assumptions'!$B32*(1+$G$14)^S2*(S90+S111+S132+S153)</f>
        <v>53147947.147361971</v>
      </c>
      <c r="T37" s="10">
        <f>'Key assumptions'!$B32*(1+$G$14)^T2*(T90+T111+T132+T153)</f>
        <v>57339203.583446585</v>
      </c>
      <c r="U37" s="10">
        <f>'Key assumptions'!$B32*(1+$G$14)^U2*(U90+U111+U132+U153)</f>
        <v>58258663.209226079</v>
      </c>
      <c r="V37" s="10">
        <f>'Key assumptions'!$B32*(1+$G$14)^V2*(V90+V111+V132+V153)</f>
        <v>59221091.343828619</v>
      </c>
      <c r="W37" s="10">
        <f t="shared" ref="W37:X37" si="3">7000*(1+$G$14)^W2*(W90+W111+W132+W153)</f>
        <v>0</v>
      </c>
      <c r="X37" s="10">
        <f t="shared" si="3"/>
        <v>0</v>
      </c>
      <c r="Y37" s="10">
        <f t="shared" ref="Y37:AA37" si="4">2000*(1+$G$14)^Y2*(Y90+Y111+Y132+Y153)</f>
        <v>0</v>
      </c>
      <c r="Z37" s="10">
        <f t="shared" si="4"/>
        <v>0</v>
      </c>
      <c r="AA37" s="10">
        <f t="shared" si="4"/>
        <v>0</v>
      </c>
    </row>
    <row r="38" spans="1:27" x14ac:dyDescent="0.25">
      <c r="E38" s="2" t="str">
        <f>E8</f>
        <v>Pumps</v>
      </c>
      <c r="F38" t="s">
        <v>7</v>
      </c>
      <c r="G38" s="10"/>
      <c r="H38" s="10"/>
      <c r="I38" s="10"/>
      <c r="J38" s="10"/>
      <c r="K38" s="10"/>
      <c r="L38" s="10"/>
      <c r="M38" s="10"/>
      <c r="N38" s="10"/>
      <c r="O38" s="10"/>
      <c r="P38" s="10"/>
      <c r="Q38" s="10"/>
      <c r="R38" s="10"/>
      <c r="S38" s="10"/>
      <c r="T38" s="10"/>
      <c r="U38" s="10"/>
      <c r="V38" s="10"/>
      <c r="W38" s="10"/>
      <c r="X38" s="10"/>
      <c r="Y38" s="10"/>
      <c r="Z38" s="10"/>
      <c r="AA38" s="10"/>
    </row>
    <row r="39" spans="1:27" x14ac:dyDescent="0.25">
      <c r="E39" s="2" t="str">
        <f>E9</f>
        <v>Valves and Meters</v>
      </c>
      <c r="F39" t="s">
        <v>7</v>
      </c>
      <c r="G39" s="10"/>
      <c r="H39" s="10"/>
      <c r="I39" s="10"/>
      <c r="J39" s="10"/>
      <c r="K39" s="10"/>
      <c r="L39" s="10"/>
      <c r="M39" s="10"/>
      <c r="N39" s="10"/>
      <c r="O39" s="10"/>
      <c r="P39" s="10"/>
      <c r="Q39" s="10"/>
      <c r="R39" s="10"/>
      <c r="S39" s="10"/>
      <c r="T39" s="10"/>
      <c r="U39" s="10"/>
      <c r="V39" s="10"/>
      <c r="W39" s="10"/>
      <c r="X39" s="10"/>
      <c r="Y39" s="10"/>
      <c r="Z39" s="10"/>
      <c r="AA39" s="10"/>
    </row>
    <row r="40" spans="1:27" x14ac:dyDescent="0.25">
      <c r="E40" s="2" t="str">
        <f>E10</f>
        <v>Temporary Assets</v>
      </c>
      <c r="F40" t="s">
        <v>7</v>
      </c>
      <c r="G40" s="10"/>
      <c r="H40" s="10"/>
      <c r="I40" s="10"/>
      <c r="J40" s="10"/>
      <c r="K40" s="10"/>
      <c r="L40" s="10"/>
      <c r="M40" s="10"/>
      <c r="N40" s="10"/>
      <c r="O40" s="10"/>
      <c r="P40" s="10"/>
      <c r="Q40" s="10"/>
      <c r="R40" s="10"/>
      <c r="S40" s="10"/>
      <c r="T40" s="10"/>
      <c r="U40" s="10"/>
      <c r="V40" s="10"/>
      <c r="W40" s="10"/>
      <c r="X40" s="10"/>
      <c r="Y40" s="10"/>
      <c r="Z40" s="10"/>
      <c r="AA40" s="10"/>
    </row>
    <row r="41" spans="1:27" x14ac:dyDescent="0.25">
      <c r="E41" t="s">
        <v>131</v>
      </c>
      <c r="F41" t="s">
        <v>7</v>
      </c>
      <c r="G41" s="10"/>
      <c r="H41" s="10"/>
      <c r="I41" s="10"/>
      <c r="J41" s="10"/>
      <c r="K41" s="10"/>
      <c r="L41" s="10"/>
      <c r="M41" s="10"/>
      <c r="N41" s="10"/>
      <c r="O41" s="10"/>
      <c r="P41" s="10"/>
      <c r="Q41" s="10"/>
      <c r="R41" s="10"/>
      <c r="S41" s="10"/>
      <c r="T41" s="10"/>
      <c r="U41" s="10"/>
      <c r="V41" s="10"/>
      <c r="W41" s="10"/>
      <c r="X41" s="10"/>
      <c r="Y41" s="10"/>
      <c r="Z41" s="10"/>
      <c r="AA41" s="10"/>
    </row>
    <row r="42" spans="1:27" x14ac:dyDescent="0.25">
      <c r="G42" s="2">
        <f>SUM(G37:G41)</f>
        <v>0</v>
      </c>
      <c r="H42" s="2">
        <f t="shared" ref="H42:AA42" si="5">SUM(H37:H41)</f>
        <v>72249022.999999985</v>
      </c>
      <c r="I42" s="2">
        <f t="shared" si="5"/>
        <v>69979064.329999983</v>
      </c>
      <c r="J42" s="2">
        <f t="shared" si="5"/>
        <v>68846225.869558871</v>
      </c>
      <c r="K42" s="2">
        <f t="shared" si="5"/>
        <v>64312304.756430194</v>
      </c>
      <c r="L42" s="2">
        <f t="shared" si="5"/>
        <v>59716811.53560283</v>
      </c>
      <c r="M42" s="2">
        <f t="shared" si="5"/>
        <v>55198099.665290311</v>
      </c>
      <c r="N42" s="2">
        <f t="shared" si="5"/>
        <v>50779016.406236961</v>
      </c>
      <c r="O42" s="2">
        <f t="shared" si="5"/>
        <v>46453357.47872936</v>
      </c>
      <c r="P42" s="2">
        <f t="shared" si="5"/>
        <v>46157007.26092948</v>
      </c>
      <c r="Q42" s="2">
        <f t="shared" si="5"/>
        <v>45649352.76293207</v>
      </c>
      <c r="R42" s="2">
        <f t="shared" si="5"/>
        <v>49180508.053766027</v>
      </c>
      <c r="S42" s="2">
        <f t="shared" si="5"/>
        <v>53147947.147361971</v>
      </c>
      <c r="T42" s="2">
        <f t="shared" si="5"/>
        <v>57339203.583446585</v>
      </c>
      <c r="U42" s="2">
        <f t="shared" si="5"/>
        <v>58258663.209226079</v>
      </c>
      <c r="V42" s="2">
        <f t="shared" si="5"/>
        <v>59221091.343828619</v>
      </c>
      <c r="W42" s="2">
        <f t="shared" si="5"/>
        <v>0</v>
      </c>
      <c r="X42" s="2">
        <f t="shared" si="5"/>
        <v>0</v>
      </c>
      <c r="Y42" s="2">
        <f t="shared" si="5"/>
        <v>0</v>
      </c>
      <c r="Z42" s="2">
        <f t="shared" si="5"/>
        <v>0</v>
      </c>
      <c r="AA42" s="2">
        <f t="shared" si="5"/>
        <v>0</v>
      </c>
    </row>
    <row r="43" spans="1:27" x14ac:dyDescent="0.25">
      <c r="G43" s="2"/>
      <c r="H43" s="2"/>
      <c r="I43" s="2"/>
      <c r="J43" s="2"/>
      <c r="K43" s="2"/>
      <c r="L43" s="2"/>
      <c r="M43" s="2"/>
      <c r="N43" s="2"/>
      <c r="O43" s="2"/>
      <c r="P43" s="2"/>
      <c r="Q43" s="2"/>
    </row>
    <row r="44" spans="1:27" x14ac:dyDescent="0.25">
      <c r="D44" t="s">
        <v>134</v>
      </c>
      <c r="G44" s="2"/>
      <c r="H44" s="2"/>
      <c r="I44" s="2"/>
      <c r="J44" s="2"/>
      <c r="K44" s="2"/>
      <c r="L44" s="2"/>
      <c r="M44" s="2"/>
      <c r="N44" s="2"/>
      <c r="O44" s="2"/>
      <c r="P44" s="2"/>
      <c r="Q44" s="2"/>
    </row>
    <row r="45" spans="1:27" x14ac:dyDescent="0.25">
      <c r="E45" s="2" t="str">
        <f>E37</f>
        <v>Pipes</v>
      </c>
      <c r="F45" t="s">
        <v>7</v>
      </c>
      <c r="G45" s="2">
        <f t="shared" ref="G45:AA48" si="6">G37/$G7+IF((G$2-$G7+1)&gt;0,-INDEX($G37:$AA37,1,(G$2-$G7+1))/$G7,0)</f>
        <v>0</v>
      </c>
      <c r="H45" s="2">
        <f t="shared" si="6"/>
        <v>802766.92222222209</v>
      </c>
      <c r="I45" s="2">
        <f t="shared" si="6"/>
        <v>777545.15922222205</v>
      </c>
      <c r="J45" s="2">
        <f t="shared" si="6"/>
        <v>764958.06521732081</v>
      </c>
      <c r="K45" s="2">
        <f t="shared" si="6"/>
        <v>714581.16396033554</v>
      </c>
      <c r="L45" s="2">
        <f t="shared" si="6"/>
        <v>663520.12817336479</v>
      </c>
      <c r="M45" s="2">
        <f t="shared" si="6"/>
        <v>613312.21850322571</v>
      </c>
      <c r="N45" s="2">
        <f t="shared" si="6"/>
        <v>564211.29340263293</v>
      </c>
      <c r="O45" s="2">
        <f t="shared" si="6"/>
        <v>516148.41643032624</v>
      </c>
      <c r="P45" s="2">
        <f t="shared" si="6"/>
        <v>512855.63623254979</v>
      </c>
      <c r="Q45" s="2">
        <f t="shared" si="6"/>
        <v>507215.03069924522</v>
      </c>
      <c r="R45" s="2">
        <f t="shared" si="6"/>
        <v>546450.08948628919</v>
      </c>
      <c r="S45" s="2">
        <f t="shared" si="6"/>
        <v>590532.74608179973</v>
      </c>
      <c r="T45" s="2">
        <f t="shared" si="6"/>
        <v>637102.26203829539</v>
      </c>
      <c r="U45" s="2">
        <f t="shared" si="6"/>
        <v>647318.48010251194</v>
      </c>
      <c r="V45" s="2">
        <f t="shared" si="6"/>
        <v>658012.12604254019</v>
      </c>
      <c r="W45" s="2">
        <f t="shared" si="6"/>
        <v>0</v>
      </c>
      <c r="X45" s="2">
        <f t="shared" si="6"/>
        <v>0</v>
      </c>
      <c r="Y45" s="2">
        <f t="shared" si="6"/>
        <v>0</v>
      </c>
      <c r="Z45" s="2">
        <f t="shared" si="6"/>
        <v>0</v>
      </c>
      <c r="AA45" s="2">
        <f t="shared" si="6"/>
        <v>0</v>
      </c>
    </row>
    <row r="46" spans="1:27" x14ac:dyDescent="0.25">
      <c r="E46" s="2" t="str">
        <f t="shared" ref="E46:E48" si="7">E38</f>
        <v>Pumps</v>
      </c>
      <c r="F46" t="s">
        <v>7</v>
      </c>
      <c r="G46" s="2">
        <f t="shared" si="6"/>
        <v>0</v>
      </c>
      <c r="H46" s="2">
        <f t="shared" si="6"/>
        <v>0</v>
      </c>
      <c r="I46" s="2">
        <f t="shared" si="6"/>
        <v>0</v>
      </c>
      <c r="J46" s="2">
        <f t="shared" si="6"/>
        <v>0</v>
      </c>
      <c r="K46" s="2">
        <f t="shared" si="6"/>
        <v>0</v>
      </c>
      <c r="L46" s="2">
        <f t="shared" si="6"/>
        <v>0</v>
      </c>
      <c r="M46" s="2">
        <f t="shared" si="6"/>
        <v>0</v>
      </c>
      <c r="N46" s="2">
        <f t="shared" si="6"/>
        <v>0</v>
      </c>
      <c r="O46" s="2">
        <f t="shared" si="6"/>
        <v>0</v>
      </c>
      <c r="P46" s="2">
        <f t="shared" si="6"/>
        <v>0</v>
      </c>
      <c r="Q46" s="2">
        <f t="shared" si="6"/>
        <v>0</v>
      </c>
      <c r="R46" s="2">
        <f t="shared" si="6"/>
        <v>0</v>
      </c>
      <c r="S46" s="2">
        <f t="shared" si="6"/>
        <v>0</v>
      </c>
      <c r="T46" s="2">
        <f t="shared" si="6"/>
        <v>0</v>
      </c>
      <c r="U46" s="2">
        <f t="shared" si="6"/>
        <v>0</v>
      </c>
      <c r="V46" s="2">
        <f t="shared" si="6"/>
        <v>0</v>
      </c>
      <c r="W46" s="2">
        <f t="shared" si="6"/>
        <v>0</v>
      </c>
      <c r="X46" s="2">
        <f t="shared" si="6"/>
        <v>0</v>
      </c>
      <c r="Y46" s="2">
        <f t="shared" si="6"/>
        <v>0</v>
      </c>
      <c r="Z46" s="2">
        <f t="shared" si="6"/>
        <v>0</v>
      </c>
      <c r="AA46" s="2">
        <f t="shared" si="6"/>
        <v>0</v>
      </c>
    </row>
    <row r="47" spans="1:27" x14ac:dyDescent="0.25">
      <c r="E47" s="2" t="str">
        <f t="shared" si="7"/>
        <v>Valves and Meters</v>
      </c>
      <c r="F47" t="s">
        <v>7</v>
      </c>
      <c r="G47" s="2">
        <f t="shared" si="6"/>
        <v>0</v>
      </c>
      <c r="H47" s="2">
        <f t="shared" si="6"/>
        <v>0</v>
      </c>
      <c r="I47" s="2">
        <f t="shared" si="6"/>
        <v>0</v>
      </c>
      <c r="J47" s="2">
        <f t="shared" si="6"/>
        <v>0</v>
      </c>
      <c r="K47" s="2">
        <f t="shared" si="6"/>
        <v>0</v>
      </c>
      <c r="L47" s="2">
        <f t="shared" si="6"/>
        <v>0</v>
      </c>
      <c r="M47" s="2">
        <f t="shared" si="6"/>
        <v>0</v>
      </c>
      <c r="N47" s="2">
        <f t="shared" si="6"/>
        <v>0</v>
      </c>
      <c r="O47" s="2">
        <f t="shared" si="6"/>
        <v>0</v>
      </c>
      <c r="P47" s="2">
        <f t="shared" si="6"/>
        <v>0</v>
      </c>
      <c r="Q47" s="2">
        <f t="shared" si="6"/>
        <v>0</v>
      </c>
      <c r="R47" s="2">
        <f t="shared" si="6"/>
        <v>0</v>
      </c>
      <c r="S47" s="2">
        <f t="shared" si="6"/>
        <v>0</v>
      </c>
      <c r="T47" s="2">
        <f t="shared" si="6"/>
        <v>0</v>
      </c>
      <c r="U47" s="2">
        <f t="shared" si="6"/>
        <v>0</v>
      </c>
      <c r="V47" s="2">
        <f t="shared" si="6"/>
        <v>0</v>
      </c>
      <c r="W47" s="2">
        <f t="shared" si="6"/>
        <v>0</v>
      </c>
      <c r="X47" s="2">
        <f t="shared" si="6"/>
        <v>0</v>
      </c>
      <c r="Y47" s="2">
        <f t="shared" si="6"/>
        <v>0</v>
      </c>
      <c r="Z47" s="2">
        <f t="shared" si="6"/>
        <v>0</v>
      </c>
      <c r="AA47" s="2">
        <f t="shared" si="6"/>
        <v>0</v>
      </c>
    </row>
    <row r="48" spans="1:27" x14ac:dyDescent="0.25">
      <c r="E48" s="2" t="str">
        <f t="shared" si="7"/>
        <v>Temporary Assets</v>
      </c>
      <c r="F48" t="s">
        <v>7</v>
      </c>
      <c r="G48" s="2">
        <f t="shared" si="6"/>
        <v>0</v>
      </c>
      <c r="H48" s="2">
        <f t="shared" si="6"/>
        <v>0</v>
      </c>
      <c r="I48" s="2">
        <f t="shared" si="6"/>
        <v>0</v>
      </c>
      <c r="J48" s="2">
        <f t="shared" si="6"/>
        <v>0</v>
      </c>
      <c r="K48" s="2">
        <f t="shared" si="6"/>
        <v>0</v>
      </c>
      <c r="L48" s="2">
        <f t="shared" si="6"/>
        <v>0</v>
      </c>
      <c r="M48" s="2">
        <f t="shared" si="6"/>
        <v>0</v>
      </c>
      <c r="N48" s="2">
        <f t="shared" si="6"/>
        <v>0</v>
      </c>
      <c r="O48" s="2">
        <f t="shared" si="6"/>
        <v>0</v>
      </c>
      <c r="P48" s="2">
        <f t="shared" si="6"/>
        <v>0</v>
      </c>
      <c r="Q48" s="2">
        <f t="shared" si="6"/>
        <v>0</v>
      </c>
      <c r="R48" s="2">
        <f t="shared" si="6"/>
        <v>0</v>
      </c>
      <c r="S48" s="2">
        <f t="shared" si="6"/>
        <v>0</v>
      </c>
      <c r="T48" s="2">
        <f t="shared" si="6"/>
        <v>0</v>
      </c>
      <c r="U48" s="2">
        <f t="shared" si="6"/>
        <v>0</v>
      </c>
      <c r="V48" s="2">
        <f t="shared" si="6"/>
        <v>0</v>
      </c>
      <c r="W48" s="2">
        <f t="shared" si="6"/>
        <v>0</v>
      </c>
      <c r="X48" s="2">
        <f t="shared" si="6"/>
        <v>0</v>
      </c>
      <c r="Y48" s="2">
        <f t="shared" si="6"/>
        <v>0</v>
      </c>
      <c r="Z48" s="2">
        <f t="shared" si="6"/>
        <v>0</v>
      </c>
      <c r="AA48" s="2">
        <f t="shared" si="6"/>
        <v>0</v>
      </c>
    </row>
    <row r="49" spans="1:27" x14ac:dyDescent="0.25">
      <c r="G49" s="2"/>
      <c r="H49" s="2"/>
      <c r="I49" s="2"/>
      <c r="J49" s="2"/>
      <c r="K49" s="2"/>
      <c r="L49" s="2"/>
      <c r="M49" s="2"/>
      <c r="N49" s="2"/>
      <c r="O49" s="2"/>
      <c r="P49" s="2"/>
      <c r="Q49" s="2"/>
    </row>
    <row r="50" spans="1:27" x14ac:dyDescent="0.25">
      <c r="D50" t="s">
        <v>135</v>
      </c>
      <c r="F50" t="s">
        <v>7</v>
      </c>
      <c r="G50" s="2">
        <f>SUM($G$45:G48)</f>
        <v>0</v>
      </c>
      <c r="H50" s="2">
        <f>SUM($G$45:H48)</f>
        <v>802766.92222222209</v>
      </c>
      <c r="I50" s="2">
        <f>SUM($G$45:I48)</f>
        <v>1580312.0814444441</v>
      </c>
      <c r="J50" s="2">
        <f>SUM($G$45:J48)</f>
        <v>2345270.1466617649</v>
      </c>
      <c r="K50" s="2">
        <f>SUM($G$45:K48)</f>
        <v>3059851.3106221007</v>
      </c>
      <c r="L50" s="2">
        <f>SUM($G$45:L48)</f>
        <v>3723371.4387954655</v>
      </c>
      <c r="M50" s="2">
        <f>SUM($G$45:M48)</f>
        <v>4336683.6572986916</v>
      </c>
      <c r="N50" s="2">
        <f>SUM($G$45:N48)</f>
        <v>4900894.9507013243</v>
      </c>
      <c r="O50" s="2">
        <f>SUM($G$45:O48)</f>
        <v>5417043.3671316504</v>
      </c>
      <c r="P50" s="2">
        <f>SUM($G$45:P48)</f>
        <v>5929899.0033641998</v>
      </c>
      <c r="Q50" s="2">
        <f>SUM($G$45:Q48)</f>
        <v>6437114.0340634454</v>
      </c>
      <c r="R50" s="2">
        <f>SUM($G$45:R48)</f>
        <v>6983564.1235497342</v>
      </c>
      <c r="S50" s="2">
        <f>SUM($G$45:S48)</f>
        <v>7574096.8696315344</v>
      </c>
      <c r="T50" s="2">
        <f>SUM($G$45:T48)</f>
        <v>8211199.1316698296</v>
      </c>
      <c r="U50" s="2">
        <f>SUM($G$45:U48)</f>
        <v>8858517.6117723417</v>
      </c>
      <c r="V50" s="2">
        <f>SUM($G$45:V48)</f>
        <v>9516529.7378148809</v>
      </c>
      <c r="W50" s="2">
        <f>SUM($G$45:W48)</f>
        <v>9516529.7378148809</v>
      </c>
      <c r="X50" s="2">
        <f>SUM($G$45:X48)</f>
        <v>9516529.7378148809</v>
      </c>
      <c r="Y50" s="2">
        <f>SUM($G$45:Y48)</f>
        <v>9516529.7378148809</v>
      </c>
      <c r="Z50" s="2">
        <f>SUM($G$45:Z48)</f>
        <v>9516529.7378148809</v>
      </c>
      <c r="AA50" s="2">
        <f>SUM($G$45:AA48)</f>
        <v>9516529.7378148809</v>
      </c>
    </row>
    <row r="51" spans="1:27" x14ac:dyDescent="0.25">
      <c r="G51" s="2"/>
      <c r="H51" s="2"/>
      <c r="I51" s="2"/>
      <c r="J51" s="2"/>
      <c r="K51" s="2"/>
      <c r="L51" s="2"/>
      <c r="M51" s="2"/>
      <c r="N51" s="2"/>
      <c r="O51" s="2"/>
      <c r="P51" s="2"/>
      <c r="Q51" s="2"/>
      <c r="R51" s="2"/>
      <c r="S51" s="2"/>
      <c r="T51" s="2"/>
      <c r="U51" s="2"/>
      <c r="V51" s="2"/>
      <c r="W51" s="2"/>
      <c r="X51" s="2"/>
      <c r="Y51" s="2"/>
      <c r="Z51" s="2"/>
      <c r="AA51" s="2"/>
    </row>
    <row r="52" spans="1:27" x14ac:dyDescent="0.25">
      <c r="A52" s="14">
        <f>'Notes &amp; Assumptions'!A25</f>
        <v>12</v>
      </c>
      <c r="C52" s="1" t="s">
        <v>109</v>
      </c>
      <c r="G52" s="2"/>
      <c r="H52" s="2"/>
      <c r="I52" s="2"/>
      <c r="J52" s="2"/>
      <c r="K52" s="2"/>
      <c r="L52" s="2"/>
      <c r="M52" s="2"/>
      <c r="N52" s="2"/>
      <c r="O52" s="2"/>
      <c r="P52" s="2"/>
      <c r="Q52" s="2"/>
      <c r="R52" s="2"/>
      <c r="S52" s="2"/>
      <c r="T52" s="2"/>
      <c r="U52" s="2"/>
      <c r="V52" s="2"/>
      <c r="W52" s="2"/>
      <c r="X52" s="2"/>
      <c r="Y52" s="2"/>
      <c r="Z52" s="2"/>
      <c r="AA52" s="2"/>
    </row>
    <row r="53" spans="1:27" x14ac:dyDescent="0.25">
      <c r="E53" t="s">
        <v>109</v>
      </c>
      <c r="F53" t="s">
        <v>7</v>
      </c>
      <c r="G53" s="10"/>
      <c r="H53" s="10"/>
      <c r="I53" s="10"/>
      <c r="J53" s="10"/>
      <c r="K53" s="10"/>
      <c r="L53" s="10"/>
      <c r="M53" s="10"/>
      <c r="N53" s="10"/>
      <c r="O53" s="10"/>
      <c r="P53" s="10"/>
      <c r="Q53" s="10"/>
      <c r="R53" s="10"/>
      <c r="S53" s="10"/>
      <c r="T53" s="10"/>
      <c r="U53" s="10"/>
      <c r="V53" s="10"/>
      <c r="W53" s="10"/>
      <c r="X53" s="10"/>
      <c r="Y53" s="10"/>
      <c r="Z53" s="10"/>
      <c r="AA53" s="10"/>
    </row>
    <row r="55" spans="1:27" x14ac:dyDescent="0.25">
      <c r="C55" s="1" t="s">
        <v>25</v>
      </c>
      <c r="D55" s="1"/>
    </row>
    <row r="56" spans="1:27" x14ac:dyDescent="0.25">
      <c r="A56" s="14">
        <f>'Notes &amp; Assumptions'!A26</f>
        <v>13</v>
      </c>
      <c r="D56" t="s">
        <v>2</v>
      </c>
    </row>
    <row r="57" spans="1:27" x14ac:dyDescent="0.25">
      <c r="E57" s="2" t="str">
        <f>E7</f>
        <v>Pipes</v>
      </c>
      <c r="F57" t="s">
        <v>7</v>
      </c>
      <c r="G57" s="10"/>
      <c r="H57" s="10"/>
      <c r="I57" s="10"/>
      <c r="J57" s="10"/>
      <c r="K57" s="10"/>
      <c r="L57" s="10"/>
      <c r="M57" s="10"/>
      <c r="N57" s="10"/>
      <c r="O57" s="10"/>
      <c r="P57" s="10"/>
      <c r="Q57" s="10"/>
      <c r="R57" s="10"/>
      <c r="S57" s="10"/>
      <c r="T57" s="10"/>
      <c r="U57" s="10"/>
      <c r="V57" s="10"/>
      <c r="W57" s="10"/>
      <c r="X57" s="10"/>
      <c r="Y57" s="10"/>
      <c r="Z57" s="10"/>
      <c r="AA57" s="10"/>
    </row>
    <row r="58" spans="1:27" x14ac:dyDescent="0.25">
      <c r="E58" s="2" t="str">
        <f>E8</f>
        <v>Pumps</v>
      </c>
      <c r="F58" t="s">
        <v>7</v>
      </c>
      <c r="G58" s="10"/>
      <c r="H58" s="10"/>
      <c r="I58" s="10"/>
      <c r="J58" s="10"/>
      <c r="K58" s="10"/>
      <c r="L58" s="10"/>
      <c r="M58" s="10"/>
      <c r="N58" s="10"/>
      <c r="O58" s="10"/>
      <c r="P58" s="10"/>
      <c r="Q58" s="10"/>
      <c r="R58" s="10"/>
      <c r="S58" s="10"/>
      <c r="T58" s="10"/>
      <c r="U58" s="10"/>
      <c r="V58" s="10"/>
      <c r="W58" s="10"/>
      <c r="X58" s="10"/>
      <c r="Y58" s="10"/>
      <c r="Z58" s="10"/>
      <c r="AA58" s="10"/>
    </row>
    <row r="59" spans="1:27" x14ac:dyDescent="0.25">
      <c r="E59" s="2" t="str">
        <f>E9</f>
        <v>Valves and Meters</v>
      </c>
      <c r="F59" t="s">
        <v>7</v>
      </c>
      <c r="G59" s="10"/>
      <c r="H59" s="10"/>
      <c r="I59" s="10"/>
      <c r="J59" s="10"/>
      <c r="K59" s="10"/>
      <c r="L59" s="10"/>
      <c r="M59" s="10"/>
      <c r="N59" s="10"/>
      <c r="O59" s="10"/>
      <c r="P59" s="10"/>
      <c r="Q59" s="10"/>
      <c r="R59" s="10"/>
      <c r="S59" s="10"/>
      <c r="T59" s="10"/>
      <c r="U59" s="10"/>
      <c r="V59" s="10"/>
      <c r="W59" s="10"/>
      <c r="X59" s="10"/>
      <c r="Y59" s="10"/>
      <c r="Z59" s="10"/>
      <c r="AA59" s="10"/>
    </row>
    <row r="60" spans="1:27" x14ac:dyDescent="0.25">
      <c r="E60" t="s">
        <v>131</v>
      </c>
      <c r="F60" t="s">
        <v>7</v>
      </c>
      <c r="G60" s="10"/>
      <c r="H60" s="10"/>
      <c r="I60" s="10"/>
      <c r="J60" s="10"/>
      <c r="K60" s="10"/>
      <c r="L60" s="10"/>
      <c r="M60" s="10"/>
      <c r="N60" s="10"/>
      <c r="O60" s="10"/>
      <c r="P60" s="10"/>
      <c r="Q60" s="10"/>
      <c r="R60" s="10"/>
      <c r="S60" s="10"/>
      <c r="T60" s="10"/>
      <c r="U60" s="10"/>
      <c r="V60" s="10"/>
      <c r="W60" s="10"/>
      <c r="X60" s="10"/>
      <c r="Y60" s="10"/>
      <c r="Z60" s="10"/>
      <c r="AA60" s="10"/>
    </row>
    <row r="61" spans="1:27" x14ac:dyDescent="0.25">
      <c r="G61" s="2">
        <f>SUM(G57:G60)</f>
        <v>0</v>
      </c>
      <c r="H61" s="2">
        <f t="shared" ref="H61:AA61" si="8">SUM(H57:H60)</f>
        <v>0</v>
      </c>
      <c r="I61" s="2">
        <f t="shared" si="8"/>
        <v>0</v>
      </c>
      <c r="J61" s="2">
        <f t="shared" si="8"/>
        <v>0</v>
      </c>
      <c r="K61" s="2">
        <f t="shared" si="8"/>
        <v>0</v>
      </c>
      <c r="L61" s="2">
        <f t="shared" si="8"/>
        <v>0</v>
      </c>
      <c r="M61" s="2">
        <f t="shared" si="8"/>
        <v>0</v>
      </c>
      <c r="N61" s="2">
        <f t="shared" si="8"/>
        <v>0</v>
      </c>
      <c r="O61" s="2">
        <f t="shared" si="8"/>
        <v>0</v>
      </c>
      <c r="P61" s="2">
        <f t="shared" si="8"/>
        <v>0</v>
      </c>
      <c r="Q61" s="2">
        <f t="shared" si="8"/>
        <v>0</v>
      </c>
      <c r="R61" s="2">
        <f t="shared" si="8"/>
        <v>0</v>
      </c>
      <c r="S61" s="2">
        <f t="shared" si="8"/>
        <v>0</v>
      </c>
      <c r="T61" s="2">
        <f t="shared" si="8"/>
        <v>0</v>
      </c>
      <c r="U61" s="2">
        <f t="shared" si="8"/>
        <v>0</v>
      </c>
      <c r="V61" s="2">
        <f t="shared" si="8"/>
        <v>0</v>
      </c>
      <c r="W61" s="2">
        <f t="shared" si="8"/>
        <v>0</v>
      </c>
      <c r="X61" s="2">
        <f t="shared" si="8"/>
        <v>0</v>
      </c>
      <c r="Y61" s="2">
        <f t="shared" si="8"/>
        <v>0</v>
      </c>
      <c r="Z61" s="2">
        <f t="shared" si="8"/>
        <v>0</v>
      </c>
      <c r="AA61" s="2">
        <f t="shared" si="8"/>
        <v>0</v>
      </c>
    </row>
    <row r="63" spans="1:27" x14ac:dyDescent="0.25">
      <c r="D63" t="s">
        <v>136</v>
      </c>
      <c r="G63" s="2"/>
      <c r="H63" s="2"/>
      <c r="I63" s="2"/>
      <c r="J63" s="2"/>
      <c r="K63" s="2"/>
      <c r="L63" s="2"/>
      <c r="M63" s="2"/>
      <c r="N63" s="2"/>
      <c r="O63" s="2"/>
      <c r="P63" s="2"/>
      <c r="Q63" s="2"/>
    </row>
    <row r="64" spans="1:27" x14ac:dyDescent="0.25">
      <c r="E64" s="2" t="str">
        <f>E57</f>
        <v>Pipes</v>
      </c>
      <c r="F64" t="s">
        <v>7</v>
      </c>
      <c r="G64" s="2">
        <f t="shared" ref="G64:AA66" si="9">G57/$G7+IF((G$2-$G7+1)&gt;0,-INDEX($G57:$AA57,1,(G$2-$G7+1))/$G7,0)</f>
        <v>0</v>
      </c>
      <c r="H64" s="2">
        <f t="shared" si="9"/>
        <v>0</v>
      </c>
      <c r="I64" s="2">
        <f t="shared" si="9"/>
        <v>0</v>
      </c>
      <c r="J64" s="2">
        <f t="shared" si="9"/>
        <v>0</v>
      </c>
      <c r="K64" s="2">
        <f t="shared" si="9"/>
        <v>0</v>
      </c>
      <c r="L64" s="2">
        <f t="shared" si="9"/>
        <v>0</v>
      </c>
      <c r="M64" s="2">
        <f t="shared" si="9"/>
        <v>0</v>
      </c>
      <c r="N64" s="2">
        <f t="shared" si="9"/>
        <v>0</v>
      </c>
      <c r="O64" s="2">
        <f t="shared" si="9"/>
        <v>0</v>
      </c>
      <c r="P64" s="2">
        <f t="shared" si="9"/>
        <v>0</v>
      </c>
      <c r="Q64" s="2">
        <f t="shared" si="9"/>
        <v>0</v>
      </c>
      <c r="R64" s="2">
        <f t="shared" si="9"/>
        <v>0</v>
      </c>
      <c r="S64" s="2">
        <f t="shared" si="9"/>
        <v>0</v>
      </c>
      <c r="T64" s="2">
        <f t="shared" si="9"/>
        <v>0</v>
      </c>
      <c r="U64" s="2">
        <f t="shared" si="9"/>
        <v>0</v>
      </c>
      <c r="V64" s="2">
        <f t="shared" si="9"/>
        <v>0</v>
      </c>
      <c r="W64" s="2">
        <f t="shared" si="9"/>
        <v>0</v>
      </c>
      <c r="X64" s="2">
        <f t="shared" si="9"/>
        <v>0</v>
      </c>
      <c r="Y64" s="2">
        <f t="shared" si="9"/>
        <v>0</v>
      </c>
      <c r="Z64" s="2">
        <f t="shared" si="9"/>
        <v>0</v>
      </c>
      <c r="AA64" s="2">
        <f t="shared" si="9"/>
        <v>0</v>
      </c>
    </row>
    <row r="65" spans="1:27" x14ac:dyDescent="0.25">
      <c r="E65" s="2" t="str">
        <f t="shared" ref="E65:E66" si="10">E58</f>
        <v>Pumps</v>
      </c>
      <c r="F65" t="s">
        <v>7</v>
      </c>
      <c r="G65" s="2">
        <f t="shared" si="9"/>
        <v>0</v>
      </c>
      <c r="H65" s="2">
        <f t="shared" si="9"/>
        <v>0</v>
      </c>
      <c r="I65" s="2">
        <f t="shared" si="9"/>
        <v>0</v>
      </c>
      <c r="J65" s="2">
        <f t="shared" si="9"/>
        <v>0</v>
      </c>
      <c r="K65" s="2">
        <f t="shared" si="9"/>
        <v>0</v>
      </c>
      <c r="L65" s="2">
        <f t="shared" si="9"/>
        <v>0</v>
      </c>
      <c r="M65" s="2">
        <f t="shared" si="9"/>
        <v>0</v>
      </c>
      <c r="N65" s="2">
        <f t="shared" si="9"/>
        <v>0</v>
      </c>
      <c r="O65" s="2">
        <f t="shared" si="9"/>
        <v>0</v>
      </c>
      <c r="P65" s="2">
        <f t="shared" si="9"/>
        <v>0</v>
      </c>
      <c r="Q65" s="2">
        <f t="shared" si="9"/>
        <v>0</v>
      </c>
      <c r="R65" s="2">
        <f t="shared" si="9"/>
        <v>0</v>
      </c>
      <c r="S65" s="2">
        <f t="shared" si="9"/>
        <v>0</v>
      </c>
      <c r="T65" s="2">
        <f t="shared" si="9"/>
        <v>0</v>
      </c>
      <c r="U65" s="2">
        <f t="shared" si="9"/>
        <v>0</v>
      </c>
      <c r="V65" s="2">
        <f t="shared" si="9"/>
        <v>0</v>
      </c>
      <c r="W65" s="2">
        <f t="shared" si="9"/>
        <v>0</v>
      </c>
      <c r="X65" s="2">
        <f t="shared" si="9"/>
        <v>0</v>
      </c>
      <c r="Y65" s="2">
        <f t="shared" si="9"/>
        <v>0</v>
      </c>
      <c r="Z65" s="2">
        <f t="shared" si="9"/>
        <v>0</v>
      </c>
      <c r="AA65" s="2">
        <f t="shared" si="9"/>
        <v>0</v>
      </c>
    </row>
    <row r="66" spans="1:27" x14ac:dyDescent="0.25">
      <c r="E66" s="2" t="str">
        <f t="shared" si="10"/>
        <v>Valves and Meters</v>
      </c>
      <c r="F66" t="s">
        <v>7</v>
      </c>
      <c r="G66" s="2">
        <f t="shared" si="9"/>
        <v>0</v>
      </c>
      <c r="H66" s="2">
        <f t="shared" si="9"/>
        <v>0</v>
      </c>
      <c r="I66" s="2">
        <f t="shared" si="9"/>
        <v>0</v>
      </c>
      <c r="J66" s="2">
        <f t="shared" si="9"/>
        <v>0</v>
      </c>
      <c r="K66" s="2">
        <f t="shared" si="9"/>
        <v>0</v>
      </c>
      <c r="L66" s="2">
        <f t="shared" si="9"/>
        <v>0</v>
      </c>
      <c r="M66" s="2">
        <f t="shared" si="9"/>
        <v>0</v>
      </c>
      <c r="N66" s="2">
        <f t="shared" si="9"/>
        <v>0</v>
      </c>
      <c r="O66" s="2">
        <f t="shared" si="9"/>
        <v>0</v>
      </c>
      <c r="P66" s="2">
        <f t="shared" si="9"/>
        <v>0</v>
      </c>
      <c r="Q66" s="2">
        <f t="shared" si="9"/>
        <v>0</v>
      </c>
      <c r="R66" s="2">
        <f t="shared" si="9"/>
        <v>0</v>
      </c>
      <c r="S66" s="2">
        <f t="shared" si="9"/>
        <v>0</v>
      </c>
      <c r="T66" s="2">
        <f t="shared" si="9"/>
        <v>0</v>
      </c>
      <c r="U66" s="2">
        <f t="shared" si="9"/>
        <v>0</v>
      </c>
      <c r="V66" s="2">
        <f t="shared" si="9"/>
        <v>0</v>
      </c>
      <c r="W66" s="2">
        <f t="shared" si="9"/>
        <v>0</v>
      </c>
      <c r="X66" s="2">
        <f t="shared" si="9"/>
        <v>0</v>
      </c>
      <c r="Y66" s="2">
        <f t="shared" si="9"/>
        <v>0</v>
      </c>
      <c r="Z66" s="2">
        <f t="shared" si="9"/>
        <v>0</v>
      </c>
      <c r="AA66" s="2">
        <f t="shared" si="9"/>
        <v>0</v>
      </c>
    </row>
    <row r="68" spans="1:27" x14ac:dyDescent="0.25">
      <c r="D68" t="s">
        <v>137</v>
      </c>
      <c r="F68" t="s">
        <v>7</v>
      </c>
      <c r="G68" s="2">
        <f>SUM($G$64:G66)</f>
        <v>0</v>
      </c>
      <c r="H68" s="2">
        <f>SUM($G$64:H66)</f>
        <v>0</v>
      </c>
      <c r="I68" s="2">
        <f>SUM($G$64:I66)</f>
        <v>0</v>
      </c>
      <c r="J68" s="2">
        <f>SUM($G$64:J66)</f>
        <v>0</v>
      </c>
      <c r="K68" s="2">
        <f>SUM($G$64:K66)</f>
        <v>0</v>
      </c>
      <c r="L68" s="2">
        <f>SUM($G$64:L66)</f>
        <v>0</v>
      </c>
      <c r="M68" s="2">
        <f>SUM($G$64:M66)</f>
        <v>0</v>
      </c>
      <c r="N68" s="2">
        <f>SUM($G$64:N66)</f>
        <v>0</v>
      </c>
      <c r="O68" s="2">
        <f>SUM($G$64:O66)</f>
        <v>0</v>
      </c>
      <c r="P68" s="2">
        <f>SUM($G$64:P66)</f>
        <v>0</v>
      </c>
      <c r="Q68" s="2">
        <f>SUM($G$64:Q66)</f>
        <v>0</v>
      </c>
      <c r="R68" s="2">
        <f>SUM($G$64:R66)</f>
        <v>0</v>
      </c>
      <c r="S68" s="2">
        <f>SUM($G$64:S66)</f>
        <v>0</v>
      </c>
      <c r="T68" s="2">
        <f>SUM($G$64:T66)</f>
        <v>0</v>
      </c>
      <c r="U68" s="2">
        <f>SUM($G$64:U66)</f>
        <v>0</v>
      </c>
      <c r="V68" s="2">
        <f>SUM($G$64:V66)</f>
        <v>0</v>
      </c>
      <c r="W68" s="2">
        <f>SUM($G$64:W66)</f>
        <v>0</v>
      </c>
      <c r="X68" s="2">
        <f>SUM($G$64:X66)</f>
        <v>0</v>
      </c>
      <c r="Y68" s="2">
        <f>SUM($G$64:Y66)</f>
        <v>0</v>
      </c>
      <c r="Z68" s="2">
        <f>SUM($G$64:Z66)</f>
        <v>0</v>
      </c>
      <c r="AA68" s="2">
        <f>SUM($G$64:AA66)</f>
        <v>0</v>
      </c>
    </row>
    <row r="70" spans="1:27" x14ac:dyDescent="0.25">
      <c r="A70" s="14">
        <f>'Notes &amp; Assumptions'!A27</f>
        <v>14</v>
      </c>
      <c r="D70" t="s">
        <v>6</v>
      </c>
    </row>
    <row r="71" spans="1:27" x14ac:dyDescent="0.25">
      <c r="E71" s="2" t="str">
        <f>E7</f>
        <v>Pipes</v>
      </c>
      <c r="F71" t="s">
        <v>7</v>
      </c>
      <c r="G71" s="10"/>
      <c r="H71" s="10"/>
      <c r="I71" s="10"/>
      <c r="J71" s="10"/>
      <c r="K71" s="10"/>
      <c r="L71" s="10"/>
      <c r="M71" s="10"/>
      <c r="N71" s="10"/>
      <c r="O71" s="10"/>
      <c r="P71" s="10"/>
      <c r="Q71" s="10"/>
      <c r="R71" s="10"/>
      <c r="S71" s="10"/>
      <c r="T71" s="10"/>
      <c r="U71" s="10"/>
      <c r="V71" s="10"/>
      <c r="W71" s="10"/>
      <c r="X71" s="10"/>
      <c r="Y71" s="10"/>
      <c r="Z71" s="10"/>
      <c r="AA71" s="10"/>
    </row>
    <row r="72" spans="1:27" x14ac:dyDescent="0.25">
      <c r="E72" s="2" t="str">
        <f>E8</f>
        <v>Pumps</v>
      </c>
      <c r="F72" t="s">
        <v>7</v>
      </c>
      <c r="G72" s="10"/>
      <c r="H72" s="10"/>
      <c r="I72" s="10"/>
      <c r="J72" s="10"/>
      <c r="K72" s="10"/>
      <c r="L72" s="10"/>
      <c r="M72" s="10"/>
      <c r="N72" s="10"/>
      <c r="O72" s="10"/>
      <c r="P72" s="10"/>
      <c r="Q72" s="10"/>
      <c r="R72" s="10"/>
      <c r="S72" s="10"/>
      <c r="T72" s="10"/>
      <c r="U72" s="10"/>
      <c r="V72" s="10"/>
      <c r="W72" s="10"/>
      <c r="X72" s="10"/>
      <c r="Y72" s="10"/>
      <c r="Z72" s="10"/>
      <c r="AA72" s="10"/>
    </row>
    <row r="73" spans="1:27" x14ac:dyDescent="0.25">
      <c r="E73" s="2" t="str">
        <f>E9</f>
        <v>Valves and Meters</v>
      </c>
      <c r="F73" t="s">
        <v>7</v>
      </c>
      <c r="G73" s="10"/>
      <c r="H73" s="10"/>
      <c r="I73" s="10"/>
      <c r="J73" s="10"/>
      <c r="K73" s="10"/>
      <c r="L73" s="10"/>
      <c r="M73" s="10"/>
      <c r="N73" s="10"/>
      <c r="O73" s="10"/>
      <c r="P73" s="10"/>
      <c r="Q73" s="10"/>
      <c r="R73" s="10"/>
      <c r="S73" s="10"/>
      <c r="T73" s="10"/>
      <c r="U73" s="10"/>
      <c r="V73" s="10"/>
      <c r="W73" s="10"/>
      <c r="X73" s="10"/>
      <c r="Y73" s="10"/>
      <c r="Z73" s="10"/>
      <c r="AA73" s="10"/>
    </row>
    <row r="74" spans="1:27" x14ac:dyDescent="0.25">
      <c r="E74" t="s">
        <v>131</v>
      </c>
      <c r="F74" t="s">
        <v>7</v>
      </c>
      <c r="G74" s="10"/>
      <c r="H74" s="10"/>
      <c r="I74" s="10"/>
      <c r="J74" s="10"/>
      <c r="K74" s="10"/>
      <c r="L74" s="10"/>
      <c r="M74" s="10"/>
      <c r="N74" s="10"/>
      <c r="O74" s="10"/>
      <c r="P74" s="10"/>
      <c r="Q74" s="10"/>
      <c r="R74" s="10"/>
      <c r="S74" s="10"/>
      <c r="T74" s="10"/>
      <c r="U74" s="10"/>
      <c r="V74" s="10"/>
      <c r="W74" s="10"/>
      <c r="X74" s="10"/>
      <c r="Y74" s="10"/>
      <c r="Z74" s="10"/>
      <c r="AA74" s="10"/>
    </row>
    <row r="75" spans="1:27" x14ac:dyDescent="0.25">
      <c r="G75" s="2">
        <f>SUM(G71:G74)</f>
        <v>0</v>
      </c>
      <c r="H75" s="2">
        <f t="shared" ref="H75:AA75" si="11">SUM(H71:H74)</f>
        <v>0</v>
      </c>
      <c r="I75" s="2">
        <f t="shared" si="11"/>
        <v>0</v>
      </c>
      <c r="J75" s="2">
        <f t="shared" si="11"/>
        <v>0</v>
      </c>
      <c r="K75" s="2">
        <f t="shared" si="11"/>
        <v>0</v>
      </c>
      <c r="L75" s="2">
        <f t="shared" si="11"/>
        <v>0</v>
      </c>
      <c r="M75" s="2">
        <f t="shared" si="11"/>
        <v>0</v>
      </c>
      <c r="N75" s="2">
        <f t="shared" si="11"/>
        <v>0</v>
      </c>
      <c r="O75" s="2">
        <f t="shared" si="11"/>
        <v>0</v>
      </c>
      <c r="P75" s="2">
        <f t="shared" si="11"/>
        <v>0</v>
      </c>
      <c r="Q75" s="2">
        <f t="shared" si="11"/>
        <v>0</v>
      </c>
      <c r="R75" s="2">
        <f t="shared" si="11"/>
        <v>0</v>
      </c>
      <c r="S75" s="2">
        <f t="shared" si="11"/>
        <v>0</v>
      </c>
      <c r="T75" s="2">
        <f t="shared" si="11"/>
        <v>0</v>
      </c>
      <c r="U75" s="2">
        <f t="shared" si="11"/>
        <v>0</v>
      </c>
      <c r="V75" s="2">
        <f t="shared" si="11"/>
        <v>0</v>
      </c>
      <c r="W75" s="2">
        <f t="shared" si="11"/>
        <v>0</v>
      </c>
      <c r="X75" s="2">
        <f t="shared" si="11"/>
        <v>0</v>
      </c>
      <c r="Y75" s="2">
        <f t="shared" si="11"/>
        <v>0</v>
      </c>
      <c r="Z75" s="2">
        <f t="shared" si="11"/>
        <v>0</v>
      </c>
      <c r="AA75" s="2">
        <f t="shared" si="11"/>
        <v>0</v>
      </c>
    </row>
    <row r="76" spans="1:27" x14ac:dyDescent="0.25">
      <c r="G76" s="2"/>
      <c r="H76" s="2"/>
      <c r="I76" s="2"/>
      <c r="J76" s="2"/>
      <c r="K76" s="2"/>
      <c r="L76" s="2"/>
      <c r="M76" s="2"/>
      <c r="N76" s="2"/>
      <c r="O76" s="2"/>
      <c r="P76" s="2"/>
      <c r="Q76" s="2"/>
      <c r="R76" s="2"/>
      <c r="S76" s="2"/>
      <c r="T76" s="2"/>
      <c r="U76" s="2"/>
      <c r="V76" s="2"/>
      <c r="W76" s="2"/>
      <c r="X76" s="2"/>
      <c r="Y76" s="2"/>
      <c r="Z76" s="2"/>
      <c r="AA76" s="2"/>
    </row>
    <row r="77" spans="1:27" x14ac:dyDescent="0.25">
      <c r="D77" t="s">
        <v>136</v>
      </c>
      <c r="G77" s="2"/>
      <c r="H77" s="2"/>
      <c r="I77" s="2"/>
      <c r="J77" s="2"/>
      <c r="K77" s="2"/>
      <c r="L77" s="2"/>
      <c r="M77" s="2"/>
      <c r="N77" s="2"/>
      <c r="O77" s="2"/>
      <c r="P77" s="2"/>
      <c r="Q77" s="2"/>
    </row>
    <row r="78" spans="1:27" x14ac:dyDescent="0.25">
      <c r="E78" s="2" t="str">
        <f>E71</f>
        <v>Pipes</v>
      </c>
      <c r="F78" t="s">
        <v>7</v>
      </c>
      <c r="G78" s="2">
        <f t="shared" ref="G78:AA80" si="12">G71/$G7+IF((G$2-$G7+1)&gt;0,-INDEX($G71:$AA71,1,(G$2-$G7+1))/$G7,0)</f>
        <v>0</v>
      </c>
      <c r="H78" s="2">
        <f t="shared" si="12"/>
        <v>0</v>
      </c>
      <c r="I78" s="2">
        <f t="shared" si="12"/>
        <v>0</v>
      </c>
      <c r="J78" s="2">
        <f t="shared" si="12"/>
        <v>0</v>
      </c>
      <c r="K78" s="2">
        <f t="shared" si="12"/>
        <v>0</v>
      </c>
      <c r="L78" s="2">
        <f t="shared" si="12"/>
        <v>0</v>
      </c>
      <c r="M78" s="2">
        <f t="shared" si="12"/>
        <v>0</v>
      </c>
      <c r="N78" s="2">
        <f t="shared" si="12"/>
        <v>0</v>
      </c>
      <c r="O78" s="2">
        <f t="shared" si="12"/>
        <v>0</v>
      </c>
      <c r="P78" s="2">
        <f t="shared" si="12"/>
        <v>0</v>
      </c>
      <c r="Q78" s="2">
        <f t="shared" si="12"/>
        <v>0</v>
      </c>
      <c r="R78" s="2">
        <f t="shared" si="12"/>
        <v>0</v>
      </c>
      <c r="S78" s="2">
        <f t="shared" si="12"/>
        <v>0</v>
      </c>
      <c r="T78" s="2">
        <f t="shared" si="12"/>
        <v>0</v>
      </c>
      <c r="U78" s="2">
        <f t="shared" si="12"/>
        <v>0</v>
      </c>
      <c r="V78" s="2">
        <f t="shared" si="12"/>
        <v>0</v>
      </c>
      <c r="W78" s="2">
        <f t="shared" si="12"/>
        <v>0</v>
      </c>
      <c r="X78" s="2">
        <f t="shared" si="12"/>
        <v>0</v>
      </c>
      <c r="Y78" s="2">
        <f t="shared" si="12"/>
        <v>0</v>
      </c>
      <c r="Z78" s="2">
        <f t="shared" si="12"/>
        <v>0</v>
      </c>
      <c r="AA78" s="2">
        <f t="shared" si="12"/>
        <v>0</v>
      </c>
    </row>
    <row r="79" spans="1:27" x14ac:dyDescent="0.25">
      <c r="E79" s="2" t="str">
        <f t="shared" ref="E79:E80" si="13">E72</f>
        <v>Pumps</v>
      </c>
      <c r="F79" t="s">
        <v>7</v>
      </c>
      <c r="G79" s="2">
        <f t="shared" si="12"/>
        <v>0</v>
      </c>
      <c r="H79" s="2">
        <f t="shared" si="12"/>
        <v>0</v>
      </c>
      <c r="I79" s="2">
        <f t="shared" si="12"/>
        <v>0</v>
      </c>
      <c r="J79" s="2">
        <f t="shared" si="12"/>
        <v>0</v>
      </c>
      <c r="K79" s="2">
        <f t="shared" si="12"/>
        <v>0</v>
      </c>
      <c r="L79" s="2">
        <f t="shared" si="12"/>
        <v>0</v>
      </c>
      <c r="M79" s="2">
        <f t="shared" si="12"/>
        <v>0</v>
      </c>
      <c r="N79" s="2">
        <f t="shared" si="12"/>
        <v>0</v>
      </c>
      <c r="O79" s="2">
        <f t="shared" si="12"/>
        <v>0</v>
      </c>
      <c r="P79" s="2">
        <f t="shared" si="12"/>
        <v>0</v>
      </c>
      <c r="Q79" s="2">
        <f t="shared" si="12"/>
        <v>0</v>
      </c>
      <c r="R79" s="2">
        <f t="shared" si="12"/>
        <v>0</v>
      </c>
      <c r="S79" s="2">
        <f t="shared" si="12"/>
        <v>0</v>
      </c>
      <c r="T79" s="2">
        <f t="shared" si="12"/>
        <v>0</v>
      </c>
      <c r="U79" s="2">
        <f t="shared" si="12"/>
        <v>0</v>
      </c>
      <c r="V79" s="2">
        <f t="shared" si="12"/>
        <v>0</v>
      </c>
      <c r="W79" s="2">
        <f t="shared" si="12"/>
        <v>0</v>
      </c>
      <c r="X79" s="2">
        <f t="shared" si="12"/>
        <v>0</v>
      </c>
      <c r="Y79" s="2">
        <f t="shared" si="12"/>
        <v>0</v>
      </c>
      <c r="Z79" s="2">
        <f t="shared" si="12"/>
        <v>0</v>
      </c>
      <c r="AA79" s="2">
        <f t="shared" si="12"/>
        <v>0</v>
      </c>
    </row>
    <row r="80" spans="1:27" x14ac:dyDescent="0.25">
      <c r="E80" s="2" t="str">
        <f t="shared" si="13"/>
        <v>Valves and Meters</v>
      </c>
      <c r="F80" t="s">
        <v>7</v>
      </c>
      <c r="G80" s="2">
        <f t="shared" si="12"/>
        <v>0</v>
      </c>
      <c r="H80" s="2">
        <f t="shared" si="12"/>
        <v>0</v>
      </c>
      <c r="I80" s="2">
        <f t="shared" si="12"/>
        <v>0</v>
      </c>
      <c r="J80" s="2">
        <f t="shared" si="12"/>
        <v>0</v>
      </c>
      <c r="K80" s="2">
        <f t="shared" si="12"/>
        <v>0</v>
      </c>
      <c r="L80" s="2">
        <f t="shared" si="12"/>
        <v>0</v>
      </c>
      <c r="M80" s="2">
        <f t="shared" si="12"/>
        <v>0</v>
      </c>
      <c r="N80" s="2">
        <f t="shared" si="12"/>
        <v>0</v>
      </c>
      <c r="O80" s="2">
        <f t="shared" si="12"/>
        <v>0</v>
      </c>
      <c r="P80" s="2">
        <f t="shared" si="12"/>
        <v>0</v>
      </c>
      <c r="Q80" s="2">
        <f t="shared" si="12"/>
        <v>0</v>
      </c>
      <c r="R80" s="2">
        <f t="shared" si="12"/>
        <v>0</v>
      </c>
      <c r="S80" s="2">
        <f t="shared" si="12"/>
        <v>0</v>
      </c>
      <c r="T80" s="2">
        <f t="shared" si="12"/>
        <v>0</v>
      </c>
      <c r="U80" s="2">
        <f t="shared" si="12"/>
        <v>0</v>
      </c>
      <c r="V80" s="2">
        <f t="shared" si="12"/>
        <v>0</v>
      </c>
      <c r="W80" s="2">
        <f t="shared" si="12"/>
        <v>0</v>
      </c>
      <c r="X80" s="2">
        <f t="shared" si="12"/>
        <v>0</v>
      </c>
      <c r="Y80" s="2">
        <f t="shared" si="12"/>
        <v>0</v>
      </c>
      <c r="Z80" s="2">
        <f t="shared" si="12"/>
        <v>0</v>
      </c>
      <c r="AA80" s="2">
        <f t="shared" si="12"/>
        <v>0</v>
      </c>
    </row>
    <row r="82" spans="1:27" x14ac:dyDescent="0.25">
      <c r="D82" t="s">
        <v>137</v>
      </c>
      <c r="F82" t="s">
        <v>7</v>
      </c>
      <c r="G82" s="2">
        <f>SUM($G$77:G80)</f>
        <v>0</v>
      </c>
      <c r="H82" s="2">
        <f>SUM($G$77:H80)</f>
        <v>0</v>
      </c>
      <c r="I82" s="2">
        <f>SUM($G$77:I80)</f>
        <v>0</v>
      </c>
      <c r="J82" s="2">
        <f>SUM($G$77:J80)</f>
        <v>0</v>
      </c>
      <c r="K82" s="2">
        <f>SUM($G$77:K80)</f>
        <v>0</v>
      </c>
      <c r="L82" s="2">
        <f>SUM($G$77:L80)</f>
        <v>0</v>
      </c>
      <c r="M82" s="2">
        <f>SUM($G$77:M80)</f>
        <v>0</v>
      </c>
      <c r="N82" s="2">
        <f>SUM($G$77:N80)</f>
        <v>0</v>
      </c>
      <c r="O82" s="2">
        <f>SUM($G$77:O80)</f>
        <v>0</v>
      </c>
      <c r="P82" s="2">
        <f>SUM($G$77:P80)</f>
        <v>0</v>
      </c>
      <c r="Q82" s="2">
        <f>SUM($G$77:Q80)</f>
        <v>0</v>
      </c>
      <c r="R82" s="2">
        <f>SUM($G$77:R80)</f>
        <v>0</v>
      </c>
      <c r="S82" s="2">
        <f>SUM($G$77:S80)</f>
        <v>0</v>
      </c>
      <c r="T82" s="2">
        <f>SUM($G$77:T80)</f>
        <v>0</v>
      </c>
      <c r="U82" s="2">
        <f>SUM($G$77:U80)</f>
        <v>0</v>
      </c>
      <c r="V82" s="2">
        <f>SUM($G$77:V80)</f>
        <v>0</v>
      </c>
      <c r="W82" s="2">
        <f>SUM($G$77:W80)</f>
        <v>0</v>
      </c>
      <c r="X82" s="2">
        <f>SUM($G$77:X80)</f>
        <v>0</v>
      </c>
      <c r="Y82" s="2">
        <f>SUM($G$77:Y80)</f>
        <v>0</v>
      </c>
      <c r="Z82" s="2">
        <f>SUM($G$77:Z80)</f>
        <v>0</v>
      </c>
      <c r="AA82" s="2">
        <f>SUM($G$77:AA80)</f>
        <v>0</v>
      </c>
    </row>
    <row r="83" spans="1:27" x14ac:dyDescent="0.25">
      <c r="G83" s="2"/>
      <c r="H83" s="2"/>
      <c r="I83" s="2"/>
      <c r="J83" s="2"/>
      <c r="K83" s="2"/>
      <c r="L83" s="2"/>
      <c r="M83" s="2"/>
      <c r="N83" s="2"/>
      <c r="O83" s="2"/>
      <c r="P83" s="2"/>
      <c r="Q83" s="2"/>
      <c r="R83" s="2"/>
      <c r="S83" s="2"/>
      <c r="T83" s="2"/>
      <c r="U83" s="2"/>
      <c r="V83" s="2"/>
      <c r="W83" s="2"/>
      <c r="X83" s="2"/>
      <c r="Y83" s="2"/>
      <c r="Z83" s="2"/>
      <c r="AA83" s="2"/>
    </row>
    <row r="84" spans="1:27" x14ac:dyDescent="0.25">
      <c r="D84" t="s">
        <v>138</v>
      </c>
      <c r="F84" t="s">
        <v>7</v>
      </c>
      <c r="G84" s="2">
        <f t="shared" ref="G84:AA84" si="14">G61-G75</f>
        <v>0</v>
      </c>
      <c r="H84" s="2">
        <f t="shared" si="14"/>
        <v>0</v>
      </c>
      <c r="I84" s="2">
        <f t="shared" si="14"/>
        <v>0</v>
      </c>
      <c r="J84" s="2">
        <f t="shared" si="14"/>
        <v>0</v>
      </c>
      <c r="K84" s="2">
        <f t="shared" si="14"/>
        <v>0</v>
      </c>
      <c r="L84" s="2">
        <f t="shared" si="14"/>
        <v>0</v>
      </c>
      <c r="M84" s="2">
        <f t="shared" si="14"/>
        <v>0</v>
      </c>
      <c r="N84" s="2">
        <f t="shared" si="14"/>
        <v>0</v>
      </c>
      <c r="O84" s="2">
        <f t="shared" si="14"/>
        <v>0</v>
      </c>
      <c r="P84" s="2">
        <f t="shared" si="14"/>
        <v>0</v>
      </c>
      <c r="Q84" s="2">
        <f t="shared" si="14"/>
        <v>0</v>
      </c>
      <c r="R84" s="2">
        <f t="shared" si="14"/>
        <v>0</v>
      </c>
      <c r="S84" s="2">
        <f t="shared" si="14"/>
        <v>0</v>
      </c>
      <c r="T84" s="2">
        <f t="shared" si="14"/>
        <v>0</v>
      </c>
      <c r="U84" s="2">
        <f t="shared" si="14"/>
        <v>0</v>
      </c>
      <c r="V84" s="2">
        <f t="shared" si="14"/>
        <v>0</v>
      </c>
      <c r="W84" s="2">
        <f t="shared" si="14"/>
        <v>0</v>
      </c>
      <c r="X84" s="2">
        <f t="shared" si="14"/>
        <v>0</v>
      </c>
      <c r="Y84" s="2">
        <f t="shared" si="14"/>
        <v>0</v>
      </c>
      <c r="Z84" s="2">
        <f t="shared" si="14"/>
        <v>0</v>
      </c>
      <c r="AA84" s="2">
        <f t="shared" si="14"/>
        <v>0</v>
      </c>
    </row>
    <row r="85" spans="1:27" x14ac:dyDescent="0.25">
      <c r="D85" t="s">
        <v>139</v>
      </c>
      <c r="F85" t="s">
        <v>7</v>
      </c>
      <c r="G85" s="2">
        <f t="shared" ref="G85:AA85" si="15">-G68+G82</f>
        <v>0</v>
      </c>
      <c r="H85" s="2">
        <f t="shared" si="15"/>
        <v>0</v>
      </c>
      <c r="I85" s="2">
        <f t="shared" si="15"/>
        <v>0</v>
      </c>
      <c r="J85" s="2">
        <f t="shared" si="15"/>
        <v>0</v>
      </c>
      <c r="K85" s="2">
        <f t="shared" si="15"/>
        <v>0</v>
      </c>
      <c r="L85" s="2">
        <f t="shared" si="15"/>
        <v>0</v>
      </c>
      <c r="M85" s="2">
        <f t="shared" si="15"/>
        <v>0</v>
      </c>
      <c r="N85" s="2">
        <f t="shared" si="15"/>
        <v>0</v>
      </c>
      <c r="O85" s="2">
        <f t="shared" si="15"/>
        <v>0</v>
      </c>
      <c r="P85" s="2">
        <f t="shared" si="15"/>
        <v>0</v>
      </c>
      <c r="Q85" s="2">
        <f t="shared" si="15"/>
        <v>0</v>
      </c>
      <c r="R85" s="2">
        <f t="shared" si="15"/>
        <v>0</v>
      </c>
      <c r="S85" s="2">
        <f t="shared" si="15"/>
        <v>0</v>
      </c>
      <c r="T85" s="2">
        <f t="shared" si="15"/>
        <v>0</v>
      </c>
      <c r="U85" s="2">
        <f t="shared" si="15"/>
        <v>0</v>
      </c>
      <c r="V85" s="2">
        <f t="shared" si="15"/>
        <v>0</v>
      </c>
      <c r="W85" s="2">
        <f t="shared" si="15"/>
        <v>0</v>
      </c>
      <c r="X85" s="2">
        <f t="shared" si="15"/>
        <v>0</v>
      </c>
      <c r="Y85" s="2">
        <f t="shared" si="15"/>
        <v>0</v>
      </c>
      <c r="Z85" s="2">
        <f t="shared" si="15"/>
        <v>0</v>
      </c>
      <c r="AA85" s="2">
        <f t="shared" si="15"/>
        <v>0</v>
      </c>
    </row>
    <row r="87" spans="1:27" x14ac:dyDescent="0.25">
      <c r="C87" s="1" t="str">
        <f>"Incremental "&amp;G4&amp;" Service Revenue"</f>
        <v>Incremental Wastewater Service Revenue</v>
      </c>
      <c r="D87" s="1"/>
    </row>
    <row r="88" spans="1:27" x14ac:dyDescent="0.25">
      <c r="C88" s="1"/>
      <c r="D88" s="1"/>
    </row>
    <row r="89" spans="1:27" x14ac:dyDescent="0.25">
      <c r="C89" s="1"/>
      <c r="D89" t="s">
        <v>59</v>
      </c>
      <c r="F89" t="s">
        <v>327</v>
      </c>
    </row>
    <row r="90" spans="1:27" x14ac:dyDescent="0.25">
      <c r="A90" s="14">
        <f>'Notes &amp; Assumptions'!A28</f>
        <v>15</v>
      </c>
      <c r="C90" s="1"/>
      <c r="D90" s="1"/>
      <c r="E90" t="s">
        <v>87</v>
      </c>
      <c r="F90" t="s">
        <v>3</v>
      </c>
      <c r="H90" s="10">
        <f>'Customer numbers'!P12</f>
        <v>9465</v>
      </c>
      <c r="I90" s="10">
        <f>'Customer numbers'!Q12</f>
        <v>8946</v>
      </c>
      <c r="J90" s="10">
        <f>'Customer numbers'!R12</f>
        <v>8582.6999999999989</v>
      </c>
      <c r="K90" s="10">
        <f>'Customer numbers'!S12</f>
        <v>7824.5999999999985</v>
      </c>
      <c r="L90" s="10">
        <f>'Customer numbers'!T12</f>
        <v>7079.9999999999982</v>
      </c>
      <c r="M90" s="10">
        <f>'Customer numbers'!U12</f>
        <v>6379.9999999999982</v>
      </c>
      <c r="N90" s="10">
        <f>'Customer numbers'!V12</f>
        <v>5711.9999999999973</v>
      </c>
      <c r="O90" s="10">
        <f>'Customer numbers'!W12</f>
        <v>5080.699999999998</v>
      </c>
      <c r="P90" s="10">
        <f>'Customer numbers'!X12</f>
        <v>4901.9999999999982</v>
      </c>
      <c r="Q90" s="10">
        <f>'Customer numbers'!Y12</f>
        <v>4695.5999999999985</v>
      </c>
      <c r="R90" s="10">
        <f>'Customer numbers'!Z12</f>
        <v>4952.9999999999982</v>
      </c>
      <c r="S90" s="10">
        <f>'Customer numbers'!AA12</f>
        <v>5237.699999999998</v>
      </c>
      <c r="T90" s="10">
        <f>'Customer numbers'!AB12</f>
        <v>5537.9999999999982</v>
      </c>
      <c r="U90" s="10">
        <f>'Customer numbers'!AC12</f>
        <v>5514.5999999999976</v>
      </c>
      <c r="V90" s="10">
        <f>'Customer numbers'!AD12</f>
        <v>5487.2999999999975</v>
      </c>
    </row>
    <row r="91" spans="1:27" x14ac:dyDescent="0.25">
      <c r="C91" s="1"/>
      <c r="D91" s="1"/>
      <c r="E91" t="s">
        <v>60</v>
      </c>
      <c r="F91" t="s">
        <v>3</v>
      </c>
      <c r="G91">
        <f>IF('Key assumptions'!B4="yes",SUM('Customer numbers'!F13:O13),0)</f>
        <v>0</v>
      </c>
      <c r="H91" s="2">
        <f>G91+H90</f>
        <v>9465</v>
      </c>
      <c r="I91" s="2">
        <f t="shared" ref="I91:AA91" si="16">H91+I90</f>
        <v>18411</v>
      </c>
      <c r="J91" s="2">
        <f t="shared" si="16"/>
        <v>26993.699999999997</v>
      </c>
      <c r="K91" s="2">
        <f t="shared" si="16"/>
        <v>34818.299999999996</v>
      </c>
      <c r="L91" s="2">
        <f t="shared" si="16"/>
        <v>41898.299999999996</v>
      </c>
      <c r="M91" s="2">
        <f t="shared" si="16"/>
        <v>48278.299999999996</v>
      </c>
      <c r="N91" s="2">
        <f t="shared" si="16"/>
        <v>53990.299999999996</v>
      </c>
      <c r="O91" s="2">
        <f t="shared" si="16"/>
        <v>59070.999999999993</v>
      </c>
      <c r="P91" s="2">
        <f t="shared" si="16"/>
        <v>63972.999999999993</v>
      </c>
      <c r="Q91" s="2">
        <f t="shared" si="16"/>
        <v>68668.599999999991</v>
      </c>
      <c r="R91" s="2">
        <f t="shared" si="16"/>
        <v>73621.599999999991</v>
      </c>
      <c r="S91" s="2">
        <f t="shared" si="16"/>
        <v>78859.299999999988</v>
      </c>
      <c r="T91" s="2">
        <f t="shared" si="16"/>
        <v>84397.299999999988</v>
      </c>
      <c r="U91" s="2">
        <f t="shared" si="16"/>
        <v>89911.89999999998</v>
      </c>
      <c r="V91" s="2">
        <f t="shared" si="16"/>
        <v>95399.199999999983</v>
      </c>
      <c r="W91" s="2">
        <f t="shared" si="16"/>
        <v>95399.199999999983</v>
      </c>
      <c r="X91" s="2">
        <f t="shared" si="16"/>
        <v>95399.199999999983</v>
      </c>
      <c r="Y91" s="2">
        <f t="shared" si="16"/>
        <v>95399.199999999983</v>
      </c>
      <c r="Z91" s="2">
        <f t="shared" si="16"/>
        <v>95399.199999999983</v>
      </c>
      <c r="AA91" s="2">
        <f t="shared" si="16"/>
        <v>95399.199999999983</v>
      </c>
    </row>
    <row r="92" spans="1:27" x14ac:dyDescent="0.25">
      <c r="A92" s="14">
        <f>'Notes &amp; Assumptions'!A29</f>
        <v>16</v>
      </c>
      <c r="C92" s="1"/>
      <c r="D92" s="1"/>
      <c r="E92" t="s">
        <v>61</v>
      </c>
      <c r="F92" t="s">
        <v>3</v>
      </c>
      <c r="G92" s="10">
        <v>1</v>
      </c>
    </row>
    <row r="93" spans="1:27" x14ac:dyDescent="0.25">
      <c r="C93" s="1"/>
      <c r="D93" s="1"/>
      <c r="E93" t="s">
        <v>88</v>
      </c>
      <c r="F93" t="s">
        <v>3</v>
      </c>
      <c r="H93">
        <f>H90*$G92</f>
        <v>9465</v>
      </c>
      <c r="I93">
        <f t="shared" ref="I93:AA93" si="17">I90*$G92</f>
        <v>8946</v>
      </c>
      <c r="J93">
        <f t="shared" si="17"/>
        <v>8582.6999999999989</v>
      </c>
      <c r="K93">
        <f t="shared" si="17"/>
        <v>7824.5999999999985</v>
      </c>
      <c r="L93">
        <f t="shared" si="17"/>
        <v>7079.9999999999982</v>
      </c>
      <c r="M93">
        <f t="shared" si="17"/>
        <v>6379.9999999999982</v>
      </c>
      <c r="N93">
        <f t="shared" si="17"/>
        <v>5711.9999999999973</v>
      </c>
      <c r="O93">
        <f t="shared" si="17"/>
        <v>5080.699999999998</v>
      </c>
      <c r="P93">
        <f t="shared" si="17"/>
        <v>4901.9999999999982</v>
      </c>
      <c r="Q93">
        <f t="shared" si="17"/>
        <v>4695.5999999999985</v>
      </c>
      <c r="R93">
        <f t="shared" si="17"/>
        <v>4952.9999999999982</v>
      </c>
      <c r="S93">
        <f t="shared" si="17"/>
        <v>5237.699999999998</v>
      </c>
      <c r="T93">
        <f t="shared" si="17"/>
        <v>5537.9999999999982</v>
      </c>
      <c r="U93">
        <f t="shared" si="17"/>
        <v>5514.5999999999976</v>
      </c>
      <c r="V93">
        <f t="shared" si="17"/>
        <v>5487.2999999999975</v>
      </c>
      <c r="W93">
        <f t="shared" si="17"/>
        <v>0</v>
      </c>
      <c r="X93">
        <f t="shared" si="17"/>
        <v>0</v>
      </c>
      <c r="Y93">
        <f t="shared" si="17"/>
        <v>0</v>
      </c>
      <c r="Z93">
        <f t="shared" si="17"/>
        <v>0</v>
      </c>
      <c r="AA93">
        <f t="shared" si="17"/>
        <v>0</v>
      </c>
    </row>
    <row r="94" spans="1:27" x14ac:dyDescent="0.25">
      <c r="C94" s="1"/>
      <c r="D94" s="1"/>
      <c r="E94" t="s">
        <v>89</v>
      </c>
      <c r="F94" t="s">
        <v>3</v>
      </c>
      <c r="H94">
        <f>H91*$G92</f>
        <v>9465</v>
      </c>
      <c r="I94">
        <f t="shared" ref="I94:AA94" si="18">I91*$G92</f>
        <v>18411</v>
      </c>
      <c r="J94">
        <f t="shared" si="18"/>
        <v>26993.699999999997</v>
      </c>
      <c r="K94">
        <f t="shared" si="18"/>
        <v>34818.299999999996</v>
      </c>
      <c r="L94">
        <f t="shared" si="18"/>
        <v>41898.299999999996</v>
      </c>
      <c r="M94">
        <f t="shared" si="18"/>
        <v>48278.299999999996</v>
      </c>
      <c r="N94">
        <f t="shared" si="18"/>
        <v>53990.299999999996</v>
      </c>
      <c r="O94">
        <f t="shared" si="18"/>
        <v>59070.999999999993</v>
      </c>
      <c r="P94">
        <f t="shared" si="18"/>
        <v>63972.999999999993</v>
      </c>
      <c r="Q94">
        <f t="shared" si="18"/>
        <v>68668.599999999991</v>
      </c>
      <c r="R94">
        <f t="shared" si="18"/>
        <v>73621.599999999991</v>
      </c>
      <c r="S94">
        <f t="shared" si="18"/>
        <v>78859.299999999988</v>
      </c>
      <c r="T94">
        <f t="shared" si="18"/>
        <v>84397.299999999988</v>
      </c>
      <c r="U94">
        <f t="shared" si="18"/>
        <v>89911.89999999998</v>
      </c>
      <c r="V94">
        <f t="shared" si="18"/>
        <v>95399.199999999983</v>
      </c>
      <c r="W94">
        <f t="shared" si="18"/>
        <v>95399.199999999983</v>
      </c>
      <c r="X94">
        <f t="shared" si="18"/>
        <v>95399.199999999983</v>
      </c>
      <c r="Y94">
        <f t="shared" si="18"/>
        <v>95399.199999999983</v>
      </c>
      <c r="Z94">
        <f t="shared" si="18"/>
        <v>95399.199999999983</v>
      </c>
      <c r="AA94">
        <f t="shared" si="18"/>
        <v>95399.199999999983</v>
      </c>
    </row>
    <row r="95" spans="1:27" x14ac:dyDescent="0.25">
      <c r="A95" s="14">
        <f>'Notes &amp; Assumptions'!A30</f>
        <v>17</v>
      </c>
      <c r="C95" s="1"/>
      <c r="D95" s="1"/>
      <c r="E95" t="s">
        <v>62</v>
      </c>
      <c r="F95" t="s">
        <v>43</v>
      </c>
      <c r="H95" s="10">
        <f>'Key assumptions'!B23</f>
        <v>112.5</v>
      </c>
      <c r="I95" s="10">
        <f>H95</f>
        <v>112.5</v>
      </c>
      <c r="J95" s="10">
        <f t="shared" ref="J95:AA95" si="19">I95</f>
        <v>112.5</v>
      </c>
      <c r="K95" s="10">
        <f t="shared" si="19"/>
        <v>112.5</v>
      </c>
      <c r="L95" s="10">
        <f t="shared" si="19"/>
        <v>112.5</v>
      </c>
      <c r="M95" s="10">
        <f t="shared" si="19"/>
        <v>112.5</v>
      </c>
      <c r="N95" s="10">
        <f t="shared" si="19"/>
        <v>112.5</v>
      </c>
      <c r="O95" s="10">
        <f t="shared" si="19"/>
        <v>112.5</v>
      </c>
      <c r="P95" s="10">
        <f t="shared" si="19"/>
        <v>112.5</v>
      </c>
      <c r="Q95" s="10">
        <f t="shared" si="19"/>
        <v>112.5</v>
      </c>
      <c r="R95" s="10">
        <f t="shared" si="19"/>
        <v>112.5</v>
      </c>
      <c r="S95" s="10">
        <f t="shared" si="19"/>
        <v>112.5</v>
      </c>
      <c r="T95" s="10">
        <f t="shared" si="19"/>
        <v>112.5</v>
      </c>
      <c r="U95" s="10">
        <f t="shared" si="19"/>
        <v>112.5</v>
      </c>
      <c r="V95" s="10">
        <f t="shared" si="19"/>
        <v>112.5</v>
      </c>
      <c r="W95" s="10">
        <f t="shared" si="19"/>
        <v>112.5</v>
      </c>
      <c r="X95" s="10">
        <f t="shared" si="19"/>
        <v>112.5</v>
      </c>
      <c r="Y95" s="10">
        <f t="shared" si="19"/>
        <v>112.5</v>
      </c>
      <c r="Z95" s="10">
        <f t="shared" si="19"/>
        <v>112.5</v>
      </c>
      <c r="AA95" s="10">
        <f t="shared" si="19"/>
        <v>112.5</v>
      </c>
    </row>
    <row r="96" spans="1:27" x14ac:dyDescent="0.25">
      <c r="C96" s="1"/>
      <c r="D96" s="1"/>
      <c r="E96" t="s">
        <v>63</v>
      </c>
      <c r="F96" t="s">
        <v>43</v>
      </c>
      <c r="H96" s="10"/>
      <c r="I96" s="10"/>
      <c r="J96" s="10"/>
      <c r="K96" s="10"/>
      <c r="L96" s="10"/>
      <c r="M96" s="10"/>
      <c r="N96" s="10"/>
      <c r="O96" s="10"/>
      <c r="P96" s="10"/>
      <c r="Q96" s="10"/>
      <c r="R96" s="10"/>
      <c r="S96" s="10"/>
      <c r="T96" s="10"/>
      <c r="U96" s="10"/>
      <c r="V96" s="10"/>
      <c r="W96" s="10"/>
      <c r="X96" s="10"/>
      <c r="Y96" s="10"/>
      <c r="Z96" s="10"/>
      <c r="AA96" s="10"/>
    </row>
    <row r="97" spans="1:27" x14ac:dyDescent="0.25">
      <c r="C97" s="1"/>
      <c r="D97" s="1"/>
      <c r="E97" t="s">
        <v>140</v>
      </c>
      <c r="F97" t="s">
        <v>43</v>
      </c>
      <c r="H97" s="10"/>
      <c r="I97" s="10"/>
      <c r="J97" s="10"/>
      <c r="K97" s="10"/>
      <c r="L97" s="10"/>
      <c r="M97" s="10"/>
      <c r="N97" s="10"/>
      <c r="O97" s="10"/>
      <c r="P97" s="10"/>
      <c r="Q97" s="10"/>
      <c r="R97" s="10"/>
      <c r="S97" s="10"/>
      <c r="T97" s="10"/>
      <c r="U97" s="10"/>
      <c r="V97" s="10"/>
      <c r="W97" s="10"/>
      <c r="X97" s="10"/>
      <c r="Y97" s="10"/>
      <c r="Z97" s="10"/>
      <c r="AA97" s="10"/>
    </row>
    <row r="98" spans="1:27" x14ac:dyDescent="0.25">
      <c r="C98" s="1"/>
      <c r="D98" s="1"/>
      <c r="E98" t="s">
        <v>64</v>
      </c>
      <c r="F98" t="s">
        <v>144</v>
      </c>
      <c r="H98" s="2">
        <f>H91*H95</f>
        <v>1064812.5</v>
      </c>
      <c r="I98" s="2">
        <f t="shared" ref="I98:AA98" si="20">I91*I95</f>
        <v>2071237.5</v>
      </c>
      <c r="J98" s="2">
        <f t="shared" si="20"/>
        <v>3036791.2499999995</v>
      </c>
      <c r="K98" s="2">
        <f t="shared" si="20"/>
        <v>3917058.7499999995</v>
      </c>
      <c r="L98" s="2">
        <f t="shared" si="20"/>
        <v>4713558.7499999991</v>
      </c>
      <c r="M98" s="2">
        <f t="shared" si="20"/>
        <v>5431308.7499999991</v>
      </c>
      <c r="N98" s="2">
        <f t="shared" si="20"/>
        <v>6073908.7499999991</v>
      </c>
      <c r="O98" s="2">
        <f t="shared" si="20"/>
        <v>6645487.4999999991</v>
      </c>
      <c r="P98" s="2">
        <f t="shared" si="20"/>
        <v>7196962.4999999991</v>
      </c>
      <c r="Q98" s="2">
        <f t="shared" si="20"/>
        <v>7725217.4999999991</v>
      </c>
      <c r="R98" s="2">
        <f t="shared" si="20"/>
        <v>8282429.9999999991</v>
      </c>
      <c r="S98" s="2">
        <f t="shared" si="20"/>
        <v>8871671.2499999981</v>
      </c>
      <c r="T98" s="2">
        <f t="shared" si="20"/>
        <v>9494696.2499999981</v>
      </c>
      <c r="U98" s="2">
        <f t="shared" si="20"/>
        <v>10115088.749999998</v>
      </c>
      <c r="V98" s="2">
        <f t="shared" si="20"/>
        <v>10732409.999999998</v>
      </c>
      <c r="W98" s="2">
        <f t="shared" si="20"/>
        <v>10732409.999999998</v>
      </c>
      <c r="X98" s="2">
        <f t="shared" si="20"/>
        <v>10732409.999999998</v>
      </c>
      <c r="Y98" s="2">
        <f t="shared" si="20"/>
        <v>10732409.999999998</v>
      </c>
      <c r="Z98" s="2">
        <f t="shared" si="20"/>
        <v>10732409.999999998</v>
      </c>
      <c r="AA98" s="2">
        <f t="shared" si="20"/>
        <v>10732409.999999998</v>
      </c>
    </row>
    <row r="99" spans="1:27" x14ac:dyDescent="0.25">
      <c r="C99" s="1"/>
      <c r="D99" s="1"/>
      <c r="E99" t="s">
        <v>65</v>
      </c>
      <c r="F99" t="s">
        <v>144</v>
      </c>
      <c r="H99" s="2">
        <f>H91*H96</f>
        <v>0</v>
      </c>
      <c r="I99" s="2">
        <f t="shared" ref="I99:AA99" si="21">I91*I96</f>
        <v>0</v>
      </c>
      <c r="J99" s="2">
        <f t="shared" si="21"/>
        <v>0</v>
      </c>
      <c r="K99" s="2">
        <f t="shared" si="21"/>
        <v>0</v>
      </c>
      <c r="L99" s="2">
        <f t="shared" si="21"/>
        <v>0</v>
      </c>
      <c r="M99" s="2">
        <f t="shared" si="21"/>
        <v>0</v>
      </c>
      <c r="N99" s="2">
        <f t="shared" si="21"/>
        <v>0</v>
      </c>
      <c r="O99" s="2">
        <f t="shared" si="21"/>
        <v>0</v>
      </c>
      <c r="P99" s="2">
        <f t="shared" si="21"/>
        <v>0</v>
      </c>
      <c r="Q99" s="2">
        <f t="shared" si="21"/>
        <v>0</v>
      </c>
      <c r="R99" s="2">
        <f t="shared" si="21"/>
        <v>0</v>
      </c>
      <c r="S99" s="2">
        <f t="shared" si="21"/>
        <v>0</v>
      </c>
      <c r="T99" s="2">
        <f t="shared" si="21"/>
        <v>0</v>
      </c>
      <c r="U99" s="2">
        <f t="shared" si="21"/>
        <v>0</v>
      </c>
      <c r="V99" s="2">
        <f t="shared" si="21"/>
        <v>0</v>
      </c>
      <c r="W99" s="2">
        <f t="shared" si="21"/>
        <v>0</v>
      </c>
      <c r="X99" s="2">
        <f t="shared" si="21"/>
        <v>0</v>
      </c>
      <c r="Y99" s="2">
        <f t="shared" si="21"/>
        <v>0</v>
      </c>
      <c r="Z99" s="2">
        <f t="shared" si="21"/>
        <v>0</v>
      </c>
      <c r="AA99" s="2">
        <f t="shared" si="21"/>
        <v>0</v>
      </c>
    </row>
    <row r="100" spans="1:27" x14ac:dyDescent="0.25">
      <c r="C100" s="1"/>
      <c r="D100" s="1"/>
      <c r="E100" t="s">
        <v>141</v>
      </c>
      <c r="F100" t="s">
        <v>144</v>
      </c>
      <c r="H100" s="2">
        <f>H91*H97</f>
        <v>0</v>
      </c>
      <c r="I100" s="2">
        <f t="shared" ref="I100:AA100" si="22">I91*I97</f>
        <v>0</v>
      </c>
      <c r="J100" s="2">
        <f t="shared" si="22"/>
        <v>0</v>
      </c>
      <c r="K100" s="2">
        <f t="shared" si="22"/>
        <v>0</v>
      </c>
      <c r="L100" s="2">
        <f t="shared" si="22"/>
        <v>0</v>
      </c>
      <c r="M100" s="2">
        <f t="shared" si="22"/>
        <v>0</v>
      </c>
      <c r="N100" s="2">
        <f t="shared" si="22"/>
        <v>0</v>
      </c>
      <c r="O100" s="2">
        <f t="shared" si="22"/>
        <v>0</v>
      </c>
      <c r="P100" s="2">
        <f t="shared" si="22"/>
        <v>0</v>
      </c>
      <c r="Q100" s="2">
        <f t="shared" si="22"/>
        <v>0</v>
      </c>
      <c r="R100" s="2">
        <f t="shared" si="22"/>
        <v>0</v>
      </c>
      <c r="S100" s="2">
        <f t="shared" si="22"/>
        <v>0</v>
      </c>
      <c r="T100" s="2">
        <f t="shared" si="22"/>
        <v>0</v>
      </c>
      <c r="U100" s="2">
        <f t="shared" si="22"/>
        <v>0</v>
      </c>
      <c r="V100" s="2">
        <f t="shared" si="22"/>
        <v>0</v>
      </c>
      <c r="W100" s="2">
        <f t="shared" si="22"/>
        <v>0</v>
      </c>
      <c r="X100" s="2">
        <f t="shared" si="22"/>
        <v>0</v>
      </c>
      <c r="Y100" s="2">
        <f t="shared" si="22"/>
        <v>0</v>
      </c>
      <c r="Z100" s="2">
        <f t="shared" si="22"/>
        <v>0</v>
      </c>
      <c r="AA100" s="2">
        <f t="shared" si="22"/>
        <v>0</v>
      </c>
    </row>
    <row r="101" spans="1:27" x14ac:dyDescent="0.25">
      <c r="A101" s="14">
        <f>'Notes &amp; Assumptions'!A31</f>
        <v>18</v>
      </c>
      <c r="C101" s="1"/>
      <c r="D101" s="1"/>
      <c r="E101" t="s">
        <v>66</v>
      </c>
      <c r="F101" t="s">
        <v>8</v>
      </c>
      <c r="H101" s="11">
        <f>'YVW tariffs'!D29</f>
        <v>-4.24E-2</v>
      </c>
      <c r="I101" s="11">
        <f>'YVW tariffs'!E29</f>
        <v>-2.7400000000000001E-2</v>
      </c>
      <c r="J101" s="11">
        <v>0</v>
      </c>
      <c r="K101" s="11">
        <v>0</v>
      </c>
      <c r="L101" s="11">
        <v>0</v>
      </c>
      <c r="M101" s="11">
        <v>0</v>
      </c>
      <c r="N101" s="11">
        <v>0</v>
      </c>
      <c r="O101" s="11">
        <v>0</v>
      </c>
      <c r="P101" s="11">
        <v>0</v>
      </c>
      <c r="Q101" s="11">
        <v>0</v>
      </c>
      <c r="R101" s="11">
        <v>0</v>
      </c>
      <c r="S101" s="11">
        <v>0</v>
      </c>
      <c r="T101" s="11">
        <v>0</v>
      </c>
      <c r="U101" s="11">
        <v>0</v>
      </c>
      <c r="V101" s="11">
        <v>0</v>
      </c>
      <c r="W101" s="11">
        <v>0</v>
      </c>
      <c r="X101" s="11">
        <v>0</v>
      </c>
      <c r="Y101" s="11">
        <v>0</v>
      </c>
      <c r="Z101" s="11">
        <v>0</v>
      </c>
      <c r="AA101" s="11">
        <v>0</v>
      </c>
    </row>
    <row r="102" spans="1:27" x14ac:dyDescent="0.25">
      <c r="A102" s="14">
        <f>'Notes &amp; Assumptions'!A32</f>
        <v>19</v>
      </c>
      <c r="C102" s="1"/>
      <c r="D102" s="1"/>
      <c r="E102" t="s">
        <v>40</v>
      </c>
      <c r="F102" t="s">
        <v>41</v>
      </c>
      <c r="G102" s="20">
        <f>'YVW tariffs'!E14</f>
        <v>467.88345999999996</v>
      </c>
      <c r="H102" s="2">
        <f>G102*(1+$G$14)*(1+H101)</f>
        <v>457.45415052321596</v>
      </c>
      <c r="I102" s="2">
        <f t="shared" ref="I102:AA102" si="23">H102*(1+$G$14)*(1+I101)</f>
        <v>454.26322484165627</v>
      </c>
      <c r="J102" s="2">
        <f t="shared" si="23"/>
        <v>463.80275256333101</v>
      </c>
      <c r="K102" s="2">
        <f t="shared" si="23"/>
        <v>473.54261036716093</v>
      </c>
      <c r="L102" s="2">
        <f t="shared" si="23"/>
        <v>483.48700518487129</v>
      </c>
      <c r="M102" s="2">
        <f t="shared" si="23"/>
        <v>493.64023229375357</v>
      </c>
      <c r="N102" s="2">
        <f t="shared" si="23"/>
        <v>504.00667717192238</v>
      </c>
      <c r="O102" s="2">
        <f t="shared" si="23"/>
        <v>514.5908173925327</v>
      </c>
      <c r="P102" s="2">
        <f t="shared" si="23"/>
        <v>525.39722455777587</v>
      </c>
      <c r="Q102" s="2">
        <f t="shared" si="23"/>
        <v>536.43056627348915</v>
      </c>
      <c r="R102" s="2">
        <f t="shared" si="23"/>
        <v>547.69560816523233</v>
      </c>
      <c r="S102" s="2">
        <f t="shared" si="23"/>
        <v>559.19721593670215</v>
      </c>
      <c r="T102" s="2">
        <f t="shared" si="23"/>
        <v>570.94035747137286</v>
      </c>
      <c r="U102" s="2">
        <f t="shared" si="23"/>
        <v>582.93010497827163</v>
      </c>
      <c r="V102" s="2">
        <f t="shared" si="23"/>
        <v>595.17163718281529</v>
      </c>
      <c r="W102" s="2">
        <f t="shared" si="23"/>
        <v>607.67024156365437</v>
      </c>
      <c r="X102" s="2">
        <f t="shared" si="23"/>
        <v>620.43131663649103</v>
      </c>
      <c r="Y102" s="2">
        <f t="shared" si="23"/>
        <v>633.46037428585726</v>
      </c>
      <c r="Z102" s="2">
        <f t="shared" si="23"/>
        <v>646.76304214586025</v>
      </c>
      <c r="AA102" s="2">
        <f t="shared" si="23"/>
        <v>660.34506603092325</v>
      </c>
    </row>
    <row r="103" spans="1:27" x14ac:dyDescent="0.25">
      <c r="C103" s="1"/>
      <c r="D103" s="1"/>
      <c r="E103" t="s">
        <v>67</v>
      </c>
      <c r="F103" t="s">
        <v>143</v>
      </c>
      <c r="G103" s="20">
        <f>'YVW tariffs'!E15</f>
        <v>1.1665946</v>
      </c>
      <c r="H103" s="21">
        <f>G103*(1+'YVW tariffs'!D30)*(1+H101)</f>
        <v>0</v>
      </c>
      <c r="I103" s="21">
        <f t="shared" ref="I103:AA103" si="24">H103*(1+$G$14)*(1+I101)</f>
        <v>0</v>
      </c>
      <c r="J103" s="21">
        <f t="shared" si="24"/>
        <v>0</v>
      </c>
      <c r="K103" s="21">
        <f t="shared" si="24"/>
        <v>0</v>
      </c>
      <c r="L103" s="21">
        <f t="shared" si="24"/>
        <v>0</v>
      </c>
      <c r="M103" s="21">
        <f t="shared" si="24"/>
        <v>0</v>
      </c>
      <c r="N103" s="21">
        <f t="shared" si="24"/>
        <v>0</v>
      </c>
      <c r="O103" s="21">
        <f t="shared" si="24"/>
        <v>0</v>
      </c>
      <c r="P103" s="21">
        <f t="shared" si="24"/>
        <v>0</v>
      </c>
      <c r="Q103" s="21">
        <f t="shared" si="24"/>
        <v>0</v>
      </c>
      <c r="R103" s="21">
        <f t="shared" si="24"/>
        <v>0</v>
      </c>
      <c r="S103" s="21">
        <f t="shared" si="24"/>
        <v>0</v>
      </c>
      <c r="T103" s="21">
        <f t="shared" si="24"/>
        <v>0</v>
      </c>
      <c r="U103" s="21">
        <f t="shared" si="24"/>
        <v>0</v>
      </c>
      <c r="V103" s="21">
        <f t="shared" si="24"/>
        <v>0</v>
      </c>
      <c r="W103" s="21">
        <f t="shared" si="24"/>
        <v>0</v>
      </c>
      <c r="X103" s="21">
        <f t="shared" si="24"/>
        <v>0</v>
      </c>
      <c r="Y103" s="21">
        <f t="shared" si="24"/>
        <v>0</v>
      </c>
      <c r="Z103" s="21">
        <f t="shared" si="24"/>
        <v>0</v>
      </c>
      <c r="AA103" s="21">
        <f t="shared" si="24"/>
        <v>0</v>
      </c>
    </row>
    <row r="104" spans="1:27" x14ac:dyDescent="0.25">
      <c r="C104" s="1"/>
      <c r="D104" s="1"/>
      <c r="E104" t="s">
        <v>68</v>
      </c>
      <c r="F104" t="s">
        <v>143</v>
      </c>
      <c r="G104" s="20"/>
      <c r="H104" s="21">
        <f>G104*(1+$G$14)*(1+H101)</f>
        <v>0</v>
      </c>
      <c r="I104" s="21">
        <f t="shared" ref="I104:AA104" si="25">H104*(1+$G$14)*(1+I101)</f>
        <v>0</v>
      </c>
      <c r="J104" s="21">
        <f t="shared" si="25"/>
        <v>0</v>
      </c>
      <c r="K104" s="21">
        <f t="shared" si="25"/>
        <v>0</v>
      </c>
      <c r="L104" s="21">
        <f t="shared" si="25"/>
        <v>0</v>
      </c>
      <c r="M104" s="21">
        <f t="shared" si="25"/>
        <v>0</v>
      </c>
      <c r="N104" s="21">
        <f t="shared" si="25"/>
        <v>0</v>
      </c>
      <c r="O104" s="21">
        <f t="shared" si="25"/>
        <v>0</v>
      </c>
      <c r="P104" s="21">
        <f t="shared" si="25"/>
        <v>0</v>
      </c>
      <c r="Q104" s="21">
        <f t="shared" si="25"/>
        <v>0</v>
      </c>
      <c r="R104" s="21">
        <f t="shared" si="25"/>
        <v>0</v>
      </c>
      <c r="S104" s="21">
        <f t="shared" si="25"/>
        <v>0</v>
      </c>
      <c r="T104" s="21">
        <f t="shared" si="25"/>
        <v>0</v>
      </c>
      <c r="U104" s="21">
        <f t="shared" si="25"/>
        <v>0</v>
      </c>
      <c r="V104" s="21">
        <f t="shared" si="25"/>
        <v>0</v>
      </c>
      <c r="W104" s="21">
        <f t="shared" si="25"/>
        <v>0</v>
      </c>
      <c r="X104" s="21">
        <f t="shared" si="25"/>
        <v>0</v>
      </c>
      <c r="Y104" s="21">
        <f t="shared" si="25"/>
        <v>0</v>
      </c>
      <c r="Z104" s="21">
        <f t="shared" si="25"/>
        <v>0</v>
      </c>
      <c r="AA104" s="21">
        <f t="shared" si="25"/>
        <v>0</v>
      </c>
    </row>
    <row r="105" spans="1:27" x14ac:dyDescent="0.25">
      <c r="C105" s="1"/>
      <c r="D105" s="1"/>
      <c r="E105" t="s">
        <v>142</v>
      </c>
      <c r="F105" t="s">
        <v>143</v>
      </c>
      <c r="G105" s="20"/>
      <c r="H105" s="21">
        <f>G105*(1+$G$14)*(1+H101)</f>
        <v>0</v>
      </c>
      <c r="I105" s="21">
        <f t="shared" ref="I105:AA105" si="26">H105*(1+$G$14)*(1+I101)</f>
        <v>0</v>
      </c>
      <c r="J105" s="21">
        <f t="shared" si="26"/>
        <v>0</v>
      </c>
      <c r="K105" s="21">
        <f t="shared" si="26"/>
        <v>0</v>
      </c>
      <c r="L105" s="21">
        <f t="shared" si="26"/>
        <v>0</v>
      </c>
      <c r="M105" s="21">
        <f t="shared" si="26"/>
        <v>0</v>
      </c>
      <c r="N105" s="21">
        <f t="shared" si="26"/>
        <v>0</v>
      </c>
      <c r="O105" s="21">
        <f t="shared" si="26"/>
        <v>0</v>
      </c>
      <c r="P105" s="21">
        <f t="shared" si="26"/>
        <v>0</v>
      </c>
      <c r="Q105" s="21">
        <f t="shared" si="26"/>
        <v>0</v>
      </c>
      <c r="R105" s="21">
        <f t="shared" si="26"/>
        <v>0</v>
      </c>
      <c r="S105" s="21">
        <f t="shared" si="26"/>
        <v>0</v>
      </c>
      <c r="T105" s="21">
        <f t="shared" si="26"/>
        <v>0</v>
      </c>
      <c r="U105" s="21">
        <f t="shared" si="26"/>
        <v>0</v>
      </c>
      <c r="V105" s="21">
        <f t="shared" si="26"/>
        <v>0</v>
      </c>
      <c r="W105" s="21">
        <f t="shared" si="26"/>
        <v>0</v>
      </c>
      <c r="X105" s="21">
        <f t="shared" si="26"/>
        <v>0</v>
      </c>
      <c r="Y105" s="21">
        <f t="shared" si="26"/>
        <v>0</v>
      </c>
      <c r="Z105" s="21">
        <f t="shared" si="26"/>
        <v>0</v>
      </c>
      <c r="AA105" s="21">
        <f t="shared" si="26"/>
        <v>0</v>
      </c>
    </row>
    <row r="106" spans="1:27" x14ac:dyDescent="0.25">
      <c r="C106" s="1"/>
      <c r="D106" s="1"/>
    </row>
    <row r="107" spans="1:27" x14ac:dyDescent="0.25">
      <c r="C107" s="1"/>
      <c r="D107" s="1"/>
      <c r="E107" t="s">
        <v>69</v>
      </c>
      <c r="F107" t="s">
        <v>58</v>
      </c>
      <c r="H107" s="2">
        <f>SUM(H98:H100)/1000</f>
        <v>1064.8125</v>
      </c>
      <c r="I107" s="2">
        <f t="shared" ref="I107:AA107" si="27">SUM(I98:I100)/1000</f>
        <v>2071.2375000000002</v>
      </c>
      <c r="J107" s="2">
        <f t="shared" si="27"/>
        <v>3036.7912499999993</v>
      </c>
      <c r="K107" s="2">
        <f t="shared" si="27"/>
        <v>3917.0587499999997</v>
      </c>
      <c r="L107" s="2">
        <f t="shared" si="27"/>
        <v>4713.5587499999992</v>
      </c>
      <c r="M107" s="2">
        <f t="shared" si="27"/>
        <v>5431.3087499999992</v>
      </c>
      <c r="N107" s="2">
        <f t="shared" si="27"/>
        <v>6073.9087499999987</v>
      </c>
      <c r="O107" s="2">
        <f t="shared" si="27"/>
        <v>6645.4874999999993</v>
      </c>
      <c r="P107" s="2">
        <f t="shared" si="27"/>
        <v>7196.9624999999987</v>
      </c>
      <c r="Q107" s="2">
        <f t="shared" si="27"/>
        <v>7725.2174999999988</v>
      </c>
      <c r="R107" s="2">
        <f t="shared" si="27"/>
        <v>8282.4299999999985</v>
      </c>
      <c r="S107" s="2">
        <f t="shared" si="27"/>
        <v>8871.6712499999976</v>
      </c>
      <c r="T107" s="2">
        <f t="shared" si="27"/>
        <v>9494.6962499999972</v>
      </c>
      <c r="U107" s="2">
        <f t="shared" si="27"/>
        <v>10115.088749999999</v>
      </c>
      <c r="V107" s="2">
        <f t="shared" si="27"/>
        <v>10732.409999999998</v>
      </c>
      <c r="W107" s="2">
        <f t="shared" si="27"/>
        <v>10732.409999999998</v>
      </c>
      <c r="X107" s="2">
        <f t="shared" si="27"/>
        <v>10732.409999999998</v>
      </c>
      <c r="Y107" s="2">
        <f t="shared" si="27"/>
        <v>10732.409999999998</v>
      </c>
      <c r="Z107" s="2">
        <f t="shared" si="27"/>
        <v>10732.409999999998</v>
      </c>
      <c r="AA107" s="2">
        <f t="shared" si="27"/>
        <v>10732.409999999998</v>
      </c>
    </row>
    <row r="108" spans="1:27" x14ac:dyDescent="0.25">
      <c r="C108" s="1"/>
      <c r="D108" s="1"/>
      <c r="E108" t="s">
        <v>70</v>
      </c>
      <c r="F108" t="s">
        <v>7</v>
      </c>
      <c r="H108" s="2">
        <f>H91*H102+H98*H103+H99*H104+H100*H105</f>
        <v>4329803.5347022386</v>
      </c>
      <c r="I108" s="2">
        <f t="shared" ref="I108:AA108" si="28">I91*I102+I98*I103+I99*I104+I100*I105</f>
        <v>8363440.2325597331</v>
      </c>
      <c r="J108" s="2">
        <f t="shared" si="28"/>
        <v>12519752.361868788</v>
      </c>
      <c r="K108" s="2">
        <f t="shared" si="28"/>
        <v>16487948.670546917</v>
      </c>
      <c r="L108" s="2">
        <f t="shared" si="28"/>
        <v>20257283.589337289</v>
      </c>
      <c r="M108" s="2">
        <f t="shared" si="28"/>
        <v>23832111.22674752</v>
      </c>
      <c r="N108" s="2">
        <f t="shared" si="28"/>
        <v>27211471.702515237</v>
      </c>
      <c r="O108" s="2">
        <f t="shared" si="28"/>
        <v>30397394.174194295</v>
      </c>
      <c r="P108" s="2">
        <f t="shared" si="28"/>
        <v>33611236.646634594</v>
      </c>
      <c r="Q108" s="2">
        <f t="shared" si="28"/>
        <v>36835935.98320771</v>
      </c>
      <c r="R108" s="2">
        <f t="shared" si="28"/>
        <v>40322226.986097462</v>
      </c>
      <c r="S108" s="2">
        <f t="shared" si="28"/>
        <v>44097901.010717168</v>
      </c>
      <c r="T108" s="2">
        <f t="shared" si="28"/>
        <v>48185824.631618693</v>
      </c>
      <c r="U108" s="2">
        <f t="shared" si="28"/>
        <v>52412353.305795848</v>
      </c>
      <c r="V108" s="2">
        <f t="shared" si="28"/>
        <v>56778898.049930818</v>
      </c>
      <c r="W108" s="2">
        <f t="shared" si="28"/>
        <v>57971254.908979364</v>
      </c>
      <c r="X108" s="2">
        <f t="shared" si="28"/>
        <v>59188651.262067921</v>
      </c>
      <c r="Y108" s="2">
        <f t="shared" si="28"/>
        <v>60431612.938571341</v>
      </c>
      <c r="Z108" s="2">
        <f t="shared" si="28"/>
        <v>61700676.810281344</v>
      </c>
      <c r="AA108" s="2">
        <f t="shared" si="28"/>
        <v>62996391.023297243</v>
      </c>
    </row>
    <row r="109" spans="1:27" x14ac:dyDescent="0.25">
      <c r="C109" s="1"/>
      <c r="D109" s="1"/>
    </row>
    <row r="110" spans="1:27" x14ac:dyDescent="0.25">
      <c r="C110" s="1"/>
      <c r="D110" t="s">
        <v>71</v>
      </c>
    </row>
    <row r="111" spans="1:27" x14ac:dyDescent="0.25">
      <c r="A111" s="14">
        <f>'Notes &amp; Assumptions'!A33</f>
        <v>20</v>
      </c>
      <c r="C111" s="1"/>
      <c r="D111" s="1"/>
      <c r="E111" t="s">
        <v>87</v>
      </c>
      <c r="F111" t="s">
        <v>3</v>
      </c>
      <c r="H111" s="10">
        <f>'Customer numbers'!P30</f>
        <v>644</v>
      </c>
      <c r="I111" s="10">
        <f>'Customer numbers'!Q30</f>
        <v>644</v>
      </c>
      <c r="J111" s="10">
        <f>'Customer numbers'!R30</f>
        <v>658</v>
      </c>
      <c r="K111" s="10">
        <f>'Customer numbers'!S30</f>
        <v>630</v>
      </c>
      <c r="L111" s="10">
        <f>'Customer numbers'!T30</f>
        <v>609</v>
      </c>
      <c r="M111" s="10">
        <f>'Customer numbers'!U30</f>
        <v>581</v>
      </c>
      <c r="N111" s="10">
        <f>'Customer numbers'!V30</f>
        <v>560</v>
      </c>
      <c r="O111" s="10">
        <f>'Customer numbers'!W30</f>
        <v>539</v>
      </c>
      <c r="P111" s="10">
        <f>'Customer numbers'!X30</f>
        <v>567</v>
      </c>
      <c r="Q111" s="10">
        <f>'Customer numbers'!Y30</f>
        <v>602</v>
      </c>
      <c r="R111" s="10">
        <f>'Customer numbers'!Z30</f>
        <v>637</v>
      </c>
      <c r="S111" s="10">
        <f>'Customer numbers'!AA30</f>
        <v>679</v>
      </c>
      <c r="T111" s="10">
        <f>'Customer numbers'!AB30</f>
        <v>714</v>
      </c>
      <c r="U111" s="10">
        <f>'Customer numbers'!AC30</f>
        <v>707</v>
      </c>
      <c r="V111" s="10">
        <f>'Customer numbers'!AD30</f>
        <v>707</v>
      </c>
    </row>
    <row r="112" spans="1:27" x14ac:dyDescent="0.25">
      <c r="C112" s="1"/>
      <c r="D112" s="1"/>
      <c r="E112" t="s">
        <v>60</v>
      </c>
      <c r="F112" t="s">
        <v>3</v>
      </c>
      <c r="G112">
        <f>IF('Key assumptions'!B4="yes",SUM('Customer numbers'!F38:O38),0)</f>
        <v>0</v>
      </c>
      <c r="H112" s="2">
        <f>G112+H111</f>
        <v>644</v>
      </c>
      <c r="I112" s="2">
        <f t="shared" ref="I112:AA112" si="29">H112+I111</f>
        <v>1288</v>
      </c>
      <c r="J112" s="2">
        <f t="shared" si="29"/>
        <v>1946</v>
      </c>
      <c r="K112" s="2">
        <f t="shared" si="29"/>
        <v>2576</v>
      </c>
      <c r="L112" s="2">
        <f t="shared" si="29"/>
        <v>3185</v>
      </c>
      <c r="M112" s="2">
        <f t="shared" si="29"/>
        <v>3766</v>
      </c>
      <c r="N112" s="2">
        <f t="shared" si="29"/>
        <v>4326</v>
      </c>
      <c r="O112" s="2">
        <f t="shared" si="29"/>
        <v>4865</v>
      </c>
      <c r="P112" s="2">
        <f t="shared" si="29"/>
        <v>5432</v>
      </c>
      <c r="Q112" s="2">
        <f t="shared" si="29"/>
        <v>6034</v>
      </c>
      <c r="R112" s="2">
        <f t="shared" si="29"/>
        <v>6671</v>
      </c>
      <c r="S112" s="2">
        <f t="shared" si="29"/>
        <v>7350</v>
      </c>
      <c r="T112" s="2">
        <f t="shared" si="29"/>
        <v>8064</v>
      </c>
      <c r="U112" s="2">
        <f t="shared" si="29"/>
        <v>8771</v>
      </c>
      <c r="V112" s="2">
        <f t="shared" si="29"/>
        <v>9478</v>
      </c>
      <c r="W112" s="2">
        <f t="shared" si="29"/>
        <v>9478</v>
      </c>
      <c r="X112" s="2">
        <f t="shared" si="29"/>
        <v>9478</v>
      </c>
      <c r="Y112" s="2">
        <f t="shared" si="29"/>
        <v>9478</v>
      </c>
      <c r="Z112" s="2">
        <f t="shared" si="29"/>
        <v>9478</v>
      </c>
      <c r="AA112" s="2">
        <f t="shared" si="29"/>
        <v>9478</v>
      </c>
    </row>
    <row r="113" spans="1:27" x14ac:dyDescent="0.25">
      <c r="A113" s="14">
        <f>'Notes &amp; Assumptions'!A34</f>
        <v>21</v>
      </c>
      <c r="C113" s="1"/>
      <c r="D113" s="1"/>
      <c r="E113" t="s">
        <v>61</v>
      </c>
      <c r="F113" t="s">
        <v>3</v>
      </c>
      <c r="G113" s="10">
        <v>1</v>
      </c>
    </row>
    <row r="114" spans="1:27" x14ac:dyDescent="0.25">
      <c r="C114" s="1"/>
      <c r="D114" s="1"/>
      <c r="E114" t="s">
        <v>88</v>
      </c>
      <c r="F114" t="s">
        <v>3</v>
      </c>
      <c r="H114">
        <f>H111*$G113</f>
        <v>644</v>
      </c>
      <c r="I114">
        <f t="shared" ref="I114:AA114" si="30">I111*$G113</f>
        <v>644</v>
      </c>
      <c r="J114">
        <f t="shared" si="30"/>
        <v>658</v>
      </c>
      <c r="K114">
        <f t="shared" si="30"/>
        <v>630</v>
      </c>
      <c r="L114">
        <f t="shared" si="30"/>
        <v>609</v>
      </c>
      <c r="M114">
        <f t="shared" si="30"/>
        <v>581</v>
      </c>
      <c r="N114">
        <f t="shared" si="30"/>
        <v>560</v>
      </c>
      <c r="O114">
        <f t="shared" si="30"/>
        <v>539</v>
      </c>
      <c r="P114">
        <f t="shared" si="30"/>
        <v>567</v>
      </c>
      <c r="Q114">
        <f t="shared" si="30"/>
        <v>602</v>
      </c>
      <c r="R114">
        <f t="shared" si="30"/>
        <v>637</v>
      </c>
      <c r="S114">
        <f t="shared" si="30"/>
        <v>679</v>
      </c>
      <c r="T114">
        <f t="shared" si="30"/>
        <v>714</v>
      </c>
      <c r="U114">
        <f t="shared" si="30"/>
        <v>707</v>
      </c>
      <c r="V114">
        <f t="shared" si="30"/>
        <v>707</v>
      </c>
      <c r="W114">
        <f t="shared" si="30"/>
        <v>0</v>
      </c>
      <c r="X114">
        <f t="shared" si="30"/>
        <v>0</v>
      </c>
      <c r="Y114">
        <f t="shared" si="30"/>
        <v>0</v>
      </c>
      <c r="Z114">
        <f t="shared" si="30"/>
        <v>0</v>
      </c>
      <c r="AA114">
        <f t="shared" si="30"/>
        <v>0</v>
      </c>
    </row>
    <row r="115" spans="1:27" x14ac:dyDescent="0.25">
      <c r="C115" s="1"/>
      <c r="D115" s="1"/>
      <c r="E115" t="s">
        <v>89</v>
      </c>
      <c r="F115" t="s">
        <v>3</v>
      </c>
      <c r="H115">
        <f>H112*$G113</f>
        <v>644</v>
      </c>
      <c r="I115">
        <f>I112*$G113</f>
        <v>1288</v>
      </c>
      <c r="J115">
        <f t="shared" ref="J115:AA115" si="31">J112*$G113</f>
        <v>1946</v>
      </c>
      <c r="K115">
        <f t="shared" si="31"/>
        <v>2576</v>
      </c>
      <c r="L115">
        <f t="shared" si="31"/>
        <v>3185</v>
      </c>
      <c r="M115">
        <f t="shared" si="31"/>
        <v>3766</v>
      </c>
      <c r="N115">
        <f t="shared" si="31"/>
        <v>4326</v>
      </c>
      <c r="O115">
        <f t="shared" si="31"/>
        <v>4865</v>
      </c>
      <c r="P115">
        <f t="shared" si="31"/>
        <v>5432</v>
      </c>
      <c r="Q115">
        <f t="shared" si="31"/>
        <v>6034</v>
      </c>
      <c r="R115">
        <f t="shared" si="31"/>
        <v>6671</v>
      </c>
      <c r="S115">
        <f t="shared" si="31"/>
        <v>7350</v>
      </c>
      <c r="T115">
        <f t="shared" si="31"/>
        <v>8064</v>
      </c>
      <c r="U115">
        <f t="shared" si="31"/>
        <v>8771</v>
      </c>
      <c r="V115">
        <f t="shared" si="31"/>
        <v>9478</v>
      </c>
      <c r="W115">
        <f t="shared" si="31"/>
        <v>9478</v>
      </c>
      <c r="X115">
        <f t="shared" si="31"/>
        <v>9478</v>
      </c>
      <c r="Y115">
        <f t="shared" si="31"/>
        <v>9478</v>
      </c>
      <c r="Z115">
        <f t="shared" si="31"/>
        <v>9478</v>
      </c>
      <c r="AA115">
        <f t="shared" si="31"/>
        <v>9478</v>
      </c>
    </row>
    <row r="116" spans="1:27" x14ac:dyDescent="0.25">
      <c r="A116" s="14">
        <f>'Notes &amp; Assumptions'!A35</f>
        <v>22</v>
      </c>
      <c r="C116" s="1"/>
      <c r="D116" s="1"/>
      <c r="E116" t="s">
        <v>62</v>
      </c>
      <c r="F116" t="s">
        <v>43</v>
      </c>
      <c r="H116" s="10">
        <f>0.55*'20 New UGB Water'!H116</f>
        <v>286</v>
      </c>
      <c r="I116" s="10">
        <f>H116</f>
        <v>286</v>
      </c>
      <c r="J116" s="10">
        <f t="shared" ref="J116:AA116" si="32">I116</f>
        <v>286</v>
      </c>
      <c r="K116" s="10">
        <f t="shared" si="32"/>
        <v>286</v>
      </c>
      <c r="L116" s="10">
        <f t="shared" si="32"/>
        <v>286</v>
      </c>
      <c r="M116" s="10">
        <f t="shared" si="32"/>
        <v>286</v>
      </c>
      <c r="N116" s="10">
        <f t="shared" si="32"/>
        <v>286</v>
      </c>
      <c r="O116" s="10">
        <f t="shared" si="32"/>
        <v>286</v>
      </c>
      <c r="P116" s="10">
        <f t="shared" si="32"/>
        <v>286</v>
      </c>
      <c r="Q116" s="10">
        <f t="shared" si="32"/>
        <v>286</v>
      </c>
      <c r="R116" s="10">
        <f t="shared" si="32"/>
        <v>286</v>
      </c>
      <c r="S116" s="10">
        <f t="shared" si="32"/>
        <v>286</v>
      </c>
      <c r="T116" s="10">
        <f t="shared" si="32"/>
        <v>286</v>
      </c>
      <c r="U116" s="10">
        <f t="shared" si="32"/>
        <v>286</v>
      </c>
      <c r="V116" s="10">
        <f t="shared" si="32"/>
        <v>286</v>
      </c>
      <c r="W116" s="10">
        <f t="shared" si="32"/>
        <v>286</v>
      </c>
      <c r="X116" s="10">
        <f t="shared" si="32"/>
        <v>286</v>
      </c>
      <c r="Y116" s="10">
        <f t="shared" si="32"/>
        <v>286</v>
      </c>
      <c r="Z116" s="10">
        <f t="shared" si="32"/>
        <v>286</v>
      </c>
      <c r="AA116" s="10">
        <f t="shared" si="32"/>
        <v>286</v>
      </c>
    </row>
    <row r="117" spans="1:27" x14ac:dyDescent="0.25">
      <c r="C117" s="1"/>
      <c r="D117" s="1"/>
      <c r="E117" t="s">
        <v>63</v>
      </c>
      <c r="F117" t="s">
        <v>43</v>
      </c>
      <c r="H117" s="10"/>
      <c r="I117" s="10"/>
      <c r="J117" s="10"/>
      <c r="K117" s="10"/>
      <c r="L117" s="10"/>
      <c r="M117" s="10"/>
      <c r="N117" s="10"/>
      <c r="O117" s="10"/>
      <c r="P117" s="10"/>
      <c r="Q117" s="10"/>
      <c r="R117" s="10"/>
      <c r="S117" s="10"/>
      <c r="T117" s="10"/>
      <c r="U117" s="10"/>
      <c r="V117" s="10"/>
      <c r="W117" s="10"/>
      <c r="X117" s="10"/>
      <c r="Y117" s="10"/>
      <c r="Z117" s="10"/>
      <c r="AA117" s="10"/>
    </row>
    <row r="118" spans="1:27" x14ac:dyDescent="0.25">
      <c r="C118" s="1"/>
      <c r="D118" s="1"/>
      <c r="E118" t="s">
        <v>140</v>
      </c>
      <c r="F118" t="s">
        <v>43</v>
      </c>
      <c r="H118" s="10"/>
      <c r="I118" s="10"/>
      <c r="J118" s="10"/>
      <c r="K118" s="10"/>
      <c r="L118" s="10"/>
      <c r="M118" s="10"/>
      <c r="N118" s="10"/>
      <c r="O118" s="10"/>
      <c r="P118" s="10"/>
      <c r="Q118" s="10"/>
      <c r="R118" s="10"/>
      <c r="S118" s="10"/>
      <c r="T118" s="10"/>
      <c r="U118" s="10"/>
      <c r="V118" s="10"/>
      <c r="W118" s="10"/>
      <c r="X118" s="10"/>
      <c r="Y118" s="10"/>
      <c r="Z118" s="10"/>
      <c r="AA118" s="10"/>
    </row>
    <row r="119" spans="1:27" x14ac:dyDescent="0.25">
      <c r="C119" s="1"/>
      <c r="D119" s="1"/>
      <c r="E119" t="s">
        <v>64</v>
      </c>
      <c r="F119" t="s">
        <v>144</v>
      </c>
      <c r="H119" s="2">
        <f>H112*H116</f>
        <v>184184</v>
      </c>
      <c r="I119" s="2">
        <f t="shared" ref="I119:AA119" si="33">I112*I116</f>
        <v>368368</v>
      </c>
      <c r="J119" s="2">
        <f t="shared" si="33"/>
        <v>556556</v>
      </c>
      <c r="K119" s="2">
        <f t="shared" si="33"/>
        <v>736736</v>
      </c>
      <c r="L119" s="2">
        <f t="shared" si="33"/>
        <v>910910</v>
      </c>
      <c r="M119" s="2">
        <f t="shared" si="33"/>
        <v>1077076</v>
      </c>
      <c r="N119" s="2">
        <f t="shared" si="33"/>
        <v>1237236</v>
      </c>
      <c r="O119" s="2">
        <f t="shared" si="33"/>
        <v>1391390</v>
      </c>
      <c r="P119" s="2">
        <f t="shared" si="33"/>
        <v>1553552</v>
      </c>
      <c r="Q119" s="2">
        <f t="shared" si="33"/>
        <v>1725724</v>
      </c>
      <c r="R119" s="2">
        <f t="shared" si="33"/>
        <v>1907906</v>
      </c>
      <c r="S119" s="2">
        <f t="shared" si="33"/>
        <v>2102100</v>
      </c>
      <c r="T119" s="2">
        <f t="shared" si="33"/>
        <v>2306304</v>
      </c>
      <c r="U119" s="2">
        <f t="shared" si="33"/>
        <v>2508506</v>
      </c>
      <c r="V119" s="2">
        <f t="shared" si="33"/>
        <v>2710708</v>
      </c>
      <c r="W119" s="2">
        <f t="shared" si="33"/>
        <v>2710708</v>
      </c>
      <c r="X119" s="2">
        <f t="shared" si="33"/>
        <v>2710708</v>
      </c>
      <c r="Y119" s="2">
        <f t="shared" si="33"/>
        <v>2710708</v>
      </c>
      <c r="Z119" s="2">
        <f t="shared" si="33"/>
        <v>2710708</v>
      </c>
      <c r="AA119" s="2">
        <f t="shared" si="33"/>
        <v>2710708</v>
      </c>
    </row>
    <row r="120" spans="1:27" x14ac:dyDescent="0.25">
      <c r="C120" s="1"/>
      <c r="D120" s="1"/>
      <c r="E120" t="s">
        <v>65</v>
      </c>
      <c r="F120" t="s">
        <v>144</v>
      </c>
      <c r="H120" s="2">
        <f>H112*H117</f>
        <v>0</v>
      </c>
      <c r="I120" s="2">
        <f t="shared" ref="I120:AA120" si="34">I112*I117</f>
        <v>0</v>
      </c>
      <c r="J120" s="2">
        <f t="shared" si="34"/>
        <v>0</v>
      </c>
      <c r="K120" s="2">
        <f t="shared" si="34"/>
        <v>0</v>
      </c>
      <c r="L120" s="2">
        <f t="shared" si="34"/>
        <v>0</v>
      </c>
      <c r="M120" s="2">
        <f t="shared" si="34"/>
        <v>0</v>
      </c>
      <c r="N120" s="2">
        <f t="shared" si="34"/>
        <v>0</v>
      </c>
      <c r="O120" s="2">
        <f t="shared" si="34"/>
        <v>0</v>
      </c>
      <c r="P120" s="2">
        <f t="shared" si="34"/>
        <v>0</v>
      </c>
      <c r="Q120" s="2">
        <f t="shared" si="34"/>
        <v>0</v>
      </c>
      <c r="R120" s="2">
        <f t="shared" si="34"/>
        <v>0</v>
      </c>
      <c r="S120" s="2">
        <f t="shared" si="34"/>
        <v>0</v>
      </c>
      <c r="T120" s="2">
        <f t="shared" si="34"/>
        <v>0</v>
      </c>
      <c r="U120" s="2">
        <f t="shared" si="34"/>
        <v>0</v>
      </c>
      <c r="V120" s="2">
        <f t="shared" si="34"/>
        <v>0</v>
      </c>
      <c r="W120" s="2">
        <f t="shared" si="34"/>
        <v>0</v>
      </c>
      <c r="X120" s="2">
        <f t="shared" si="34"/>
        <v>0</v>
      </c>
      <c r="Y120" s="2">
        <f t="shared" si="34"/>
        <v>0</v>
      </c>
      <c r="Z120" s="2">
        <f t="shared" si="34"/>
        <v>0</v>
      </c>
      <c r="AA120" s="2">
        <f t="shared" si="34"/>
        <v>0</v>
      </c>
    </row>
    <row r="121" spans="1:27" x14ac:dyDescent="0.25">
      <c r="C121" s="1"/>
      <c r="D121" s="1"/>
      <c r="E121" t="s">
        <v>141</v>
      </c>
      <c r="F121" t="s">
        <v>144</v>
      </c>
      <c r="H121" s="2">
        <f>H112*H118</f>
        <v>0</v>
      </c>
      <c r="I121" s="2">
        <f t="shared" ref="I121:AA121" si="35">I112*I118</f>
        <v>0</v>
      </c>
      <c r="J121" s="2">
        <f t="shared" si="35"/>
        <v>0</v>
      </c>
      <c r="K121" s="2">
        <f t="shared" si="35"/>
        <v>0</v>
      </c>
      <c r="L121" s="2">
        <f t="shared" si="35"/>
        <v>0</v>
      </c>
      <c r="M121" s="2">
        <f t="shared" si="35"/>
        <v>0</v>
      </c>
      <c r="N121" s="2">
        <f t="shared" si="35"/>
        <v>0</v>
      </c>
      <c r="O121" s="2">
        <f t="shared" si="35"/>
        <v>0</v>
      </c>
      <c r="P121" s="2">
        <f t="shared" si="35"/>
        <v>0</v>
      </c>
      <c r="Q121" s="2">
        <f t="shared" si="35"/>
        <v>0</v>
      </c>
      <c r="R121" s="2">
        <f t="shared" si="35"/>
        <v>0</v>
      </c>
      <c r="S121" s="2">
        <f t="shared" si="35"/>
        <v>0</v>
      </c>
      <c r="T121" s="2">
        <f t="shared" si="35"/>
        <v>0</v>
      </c>
      <c r="U121" s="2">
        <f t="shared" si="35"/>
        <v>0</v>
      </c>
      <c r="V121" s="2">
        <f t="shared" si="35"/>
        <v>0</v>
      </c>
      <c r="W121" s="2">
        <f t="shared" si="35"/>
        <v>0</v>
      </c>
      <c r="X121" s="2">
        <f t="shared" si="35"/>
        <v>0</v>
      </c>
      <c r="Y121" s="2">
        <f t="shared" si="35"/>
        <v>0</v>
      </c>
      <c r="Z121" s="2">
        <f t="shared" si="35"/>
        <v>0</v>
      </c>
      <c r="AA121" s="2">
        <f t="shared" si="35"/>
        <v>0</v>
      </c>
    </row>
    <row r="122" spans="1:27" x14ac:dyDescent="0.25">
      <c r="A122" s="14">
        <f>'Notes &amp; Assumptions'!A36</f>
        <v>23</v>
      </c>
      <c r="C122" s="1"/>
      <c r="D122" s="1"/>
      <c r="E122" t="s">
        <v>66</v>
      </c>
      <c r="F122" t="s">
        <v>8</v>
      </c>
      <c r="H122" s="11">
        <f>H101</f>
        <v>-4.24E-2</v>
      </c>
      <c r="I122" s="11">
        <f>I101</f>
        <v>-2.7400000000000001E-2</v>
      </c>
      <c r="J122" s="11">
        <v>0</v>
      </c>
      <c r="K122" s="11">
        <v>0</v>
      </c>
      <c r="L122" s="11">
        <v>0</v>
      </c>
      <c r="M122" s="11">
        <v>0</v>
      </c>
      <c r="N122" s="11">
        <v>0</v>
      </c>
      <c r="O122" s="11">
        <v>0</v>
      </c>
      <c r="P122" s="11">
        <v>0</v>
      </c>
      <c r="Q122" s="11">
        <v>0</v>
      </c>
      <c r="R122" s="11">
        <v>0</v>
      </c>
      <c r="S122" s="11">
        <v>0</v>
      </c>
      <c r="T122" s="11">
        <v>0</v>
      </c>
      <c r="U122" s="11">
        <v>0</v>
      </c>
      <c r="V122" s="11">
        <v>0</v>
      </c>
      <c r="W122" s="11">
        <v>0</v>
      </c>
      <c r="X122" s="11">
        <v>0</v>
      </c>
      <c r="Y122" s="11">
        <v>0</v>
      </c>
      <c r="Z122" s="11">
        <v>0</v>
      </c>
      <c r="AA122" s="11">
        <v>0</v>
      </c>
    </row>
    <row r="123" spans="1:27" x14ac:dyDescent="0.25">
      <c r="A123" s="14">
        <f>'Notes &amp; Assumptions'!A37</f>
        <v>24</v>
      </c>
      <c r="C123" s="1"/>
      <c r="D123" s="1"/>
      <c r="E123" t="s">
        <v>40</v>
      </c>
      <c r="F123" t="s">
        <v>41</v>
      </c>
      <c r="G123" s="20">
        <f>'YVW tariffs'!E18</f>
        <v>568.75825999999984</v>
      </c>
      <c r="H123" s="2">
        <f>G123*(1+$G$14)*(1+H122)</f>
        <v>556.08041088129585</v>
      </c>
      <c r="I123" s="2">
        <f t="shared" ref="I123:AA123" si="36">H123*(1+$G$14)*(1+I122)</f>
        <v>552.20152758323445</v>
      </c>
      <c r="J123" s="2">
        <f t="shared" si="36"/>
        <v>563.79775966248235</v>
      </c>
      <c r="K123" s="2">
        <f t="shared" si="36"/>
        <v>575.63751261539437</v>
      </c>
      <c r="L123" s="2">
        <f t="shared" si="36"/>
        <v>587.72590038031763</v>
      </c>
      <c r="M123" s="2">
        <f t="shared" si="36"/>
        <v>600.06814428830421</v>
      </c>
      <c r="N123" s="2">
        <f t="shared" si="36"/>
        <v>612.66957531835851</v>
      </c>
      <c r="O123" s="2">
        <f t="shared" si="36"/>
        <v>625.53563640004393</v>
      </c>
      <c r="P123" s="2">
        <f t="shared" si="36"/>
        <v>638.67188476444483</v>
      </c>
      <c r="Q123" s="2">
        <f t="shared" si="36"/>
        <v>652.08399434449814</v>
      </c>
      <c r="R123" s="2">
        <f t="shared" si="36"/>
        <v>665.77775822573255</v>
      </c>
      <c r="S123" s="2">
        <f t="shared" si="36"/>
        <v>679.75909114847286</v>
      </c>
      <c r="T123" s="2">
        <f t="shared" si="36"/>
        <v>694.03403206259077</v>
      </c>
      <c r="U123" s="2">
        <f t="shared" si="36"/>
        <v>708.60874673590513</v>
      </c>
      <c r="V123" s="2">
        <f t="shared" si="36"/>
        <v>723.48953041735911</v>
      </c>
      <c r="W123" s="2">
        <f t="shared" si="36"/>
        <v>738.68281055612363</v>
      </c>
      <c r="X123" s="2">
        <f t="shared" si="36"/>
        <v>754.19514957780211</v>
      </c>
      <c r="Y123" s="2">
        <f t="shared" si="36"/>
        <v>770.03324771893585</v>
      </c>
      <c r="Z123" s="2">
        <f t="shared" si="36"/>
        <v>786.20394592103344</v>
      </c>
      <c r="AA123" s="2">
        <f t="shared" si="36"/>
        <v>802.7142287853751</v>
      </c>
    </row>
    <row r="124" spans="1:27" x14ac:dyDescent="0.25">
      <c r="C124" s="1"/>
      <c r="D124" s="1"/>
      <c r="E124" t="s">
        <v>67</v>
      </c>
      <c r="F124" t="s">
        <v>143</v>
      </c>
      <c r="G124" s="20">
        <f>'YVW tariffs'!E19</f>
        <v>2.0661976999999996</v>
      </c>
      <c r="H124" s="21">
        <f>G124*(1+$G$14)*(1+H122)</f>
        <v>2.0201413267879191</v>
      </c>
      <c r="I124" s="21">
        <f t="shared" ref="I124:AA124" si="37">H124*(1+$G$14)*(1+I122)</f>
        <v>2.0060500329770425</v>
      </c>
      <c r="J124" s="21">
        <f t="shared" si="37"/>
        <v>2.0481770836695601</v>
      </c>
      <c r="K124" s="21">
        <f t="shared" si="37"/>
        <v>2.0911888024266205</v>
      </c>
      <c r="L124" s="21">
        <f t="shared" si="37"/>
        <v>2.1351037672775792</v>
      </c>
      <c r="M124" s="21">
        <f t="shared" si="37"/>
        <v>2.179940946390408</v>
      </c>
      <c r="N124" s="21">
        <f t="shared" si="37"/>
        <v>2.2257197062646066</v>
      </c>
      <c r="O124" s="21">
        <f t="shared" si="37"/>
        <v>2.272459820096163</v>
      </c>
      <c r="P124" s="21">
        <f t="shared" si="37"/>
        <v>2.3201814763181821</v>
      </c>
      <c r="Q124" s="21">
        <f t="shared" si="37"/>
        <v>2.3689052873208638</v>
      </c>
      <c r="R124" s="21">
        <f t="shared" si="37"/>
        <v>2.4186522983546017</v>
      </c>
      <c r="S124" s="21">
        <f t="shared" si="37"/>
        <v>2.4694439966200483</v>
      </c>
      <c r="T124" s="21">
        <f t="shared" si="37"/>
        <v>2.521302320549069</v>
      </c>
      <c r="U124" s="21">
        <f t="shared" si="37"/>
        <v>2.5742496692805994</v>
      </c>
      <c r="V124" s="21">
        <f t="shared" si="37"/>
        <v>2.6283089123354917</v>
      </c>
      <c r="W124" s="21">
        <f t="shared" si="37"/>
        <v>2.683503399494537</v>
      </c>
      <c r="X124" s="21">
        <f t="shared" si="37"/>
        <v>2.7398569708839222</v>
      </c>
      <c r="Y124" s="21">
        <f t="shared" si="37"/>
        <v>2.7973939672724843</v>
      </c>
      <c r="Z124" s="21">
        <f t="shared" si="37"/>
        <v>2.8561392405852062</v>
      </c>
      <c r="AA124" s="21">
        <f t="shared" si="37"/>
        <v>2.9161181646374952</v>
      </c>
    </row>
    <row r="125" spans="1:27" x14ac:dyDescent="0.25">
      <c r="C125" s="1"/>
      <c r="D125" s="1"/>
      <c r="E125" t="s">
        <v>68</v>
      </c>
      <c r="F125" t="s">
        <v>143</v>
      </c>
      <c r="G125" s="20"/>
      <c r="H125" s="21">
        <f>G125*(1+$G$14)*(1+H122)</f>
        <v>0</v>
      </c>
      <c r="I125" s="21">
        <f t="shared" ref="I125:AA125" si="38">H125*(1+$G$14)*(1+I122)</f>
        <v>0</v>
      </c>
      <c r="J125" s="21">
        <f t="shared" si="38"/>
        <v>0</v>
      </c>
      <c r="K125" s="21">
        <f t="shared" si="38"/>
        <v>0</v>
      </c>
      <c r="L125" s="21">
        <f t="shared" si="38"/>
        <v>0</v>
      </c>
      <c r="M125" s="21">
        <f t="shared" si="38"/>
        <v>0</v>
      </c>
      <c r="N125" s="21">
        <f t="shared" si="38"/>
        <v>0</v>
      </c>
      <c r="O125" s="21">
        <f t="shared" si="38"/>
        <v>0</v>
      </c>
      <c r="P125" s="21">
        <f t="shared" si="38"/>
        <v>0</v>
      </c>
      <c r="Q125" s="21">
        <f t="shared" si="38"/>
        <v>0</v>
      </c>
      <c r="R125" s="21">
        <f t="shared" si="38"/>
        <v>0</v>
      </c>
      <c r="S125" s="21">
        <f t="shared" si="38"/>
        <v>0</v>
      </c>
      <c r="T125" s="21">
        <f t="shared" si="38"/>
        <v>0</v>
      </c>
      <c r="U125" s="21">
        <f t="shared" si="38"/>
        <v>0</v>
      </c>
      <c r="V125" s="21">
        <f t="shared" si="38"/>
        <v>0</v>
      </c>
      <c r="W125" s="21">
        <f t="shared" si="38"/>
        <v>0</v>
      </c>
      <c r="X125" s="21">
        <f t="shared" si="38"/>
        <v>0</v>
      </c>
      <c r="Y125" s="21">
        <f t="shared" si="38"/>
        <v>0</v>
      </c>
      <c r="Z125" s="21">
        <f t="shared" si="38"/>
        <v>0</v>
      </c>
      <c r="AA125" s="21">
        <f t="shared" si="38"/>
        <v>0</v>
      </c>
    </row>
    <row r="126" spans="1:27" x14ac:dyDescent="0.25">
      <c r="C126" s="1"/>
      <c r="D126" s="1"/>
      <c r="E126" t="s">
        <v>142</v>
      </c>
      <c r="F126" t="s">
        <v>143</v>
      </c>
      <c r="G126" s="20"/>
      <c r="H126" s="21">
        <f>G126*(1+$G$14)*(1+H122)</f>
        <v>0</v>
      </c>
      <c r="I126" s="21">
        <f t="shared" ref="I126:AA126" si="39">H126*(1+$G$14)*(1+I122)</f>
        <v>0</v>
      </c>
      <c r="J126" s="21">
        <f t="shared" si="39"/>
        <v>0</v>
      </c>
      <c r="K126" s="21">
        <f t="shared" si="39"/>
        <v>0</v>
      </c>
      <c r="L126" s="21">
        <f t="shared" si="39"/>
        <v>0</v>
      </c>
      <c r="M126" s="21">
        <f t="shared" si="39"/>
        <v>0</v>
      </c>
      <c r="N126" s="21">
        <f t="shared" si="39"/>
        <v>0</v>
      </c>
      <c r="O126" s="21">
        <f t="shared" si="39"/>
        <v>0</v>
      </c>
      <c r="P126" s="21">
        <f t="shared" si="39"/>
        <v>0</v>
      </c>
      <c r="Q126" s="21">
        <f t="shared" si="39"/>
        <v>0</v>
      </c>
      <c r="R126" s="21">
        <f t="shared" si="39"/>
        <v>0</v>
      </c>
      <c r="S126" s="21">
        <f t="shared" si="39"/>
        <v>0</v>
      </c>
      <c r="T126" s="21">
        <f t="shared" si="39"/>
        <v>0</v>
      </c>
      <c r="U126" s="21">
        <f t="shared" si="39"/>
        <v>0</v>
      </c>
      <c r="V126" s="21">
        <f t="shared" si="39"/>
        <v>0</v>
      </c>
      <c r="W126" s="21">
        <f t="shared" si="39"/>
        <v>0</v>
      </c>
      <c r="X126" s="21">
        <f t="shared" si="39"/>
        <v>0</v>
      </c>
      <c r="Y126" s="21">
        <f t="shared" si="39"/>
        <v>0</v>
      </c>
      <c r="Z126" s="21">
        <f t="shared" si="39"/>
        <v>0</v>
      </c>
      <c r="AA126" s="21">
        <f t="shared" si="39"/>
        <v>0</v>
      </c>
    </row>
    <row r="127" spans="1:27" x14ac:dyDescent="0.25">
      <c r="C127" s="1"/>
      <c r="D127" s="1"/>
    </row>
    <row r="128" spans="1:27" x14ac:dyDescent="0.25">
      <c r="C128" s="1"/>
      <c r="D128" s="1"/>
      <c r="E128" t="s">
        <v>72</v>
      </c>
      <c r="F128" t="s">
        <v>58</v>
      </c>
      <c r="H128" s="2">
        <f>SUM(H119:H121)/1000</f>
        <v>184.184</v>
      </c>
      <c r="I128" s="2">
        <f t="shared" ref="I128:AA128" si="40">SUM(I119:I121)/1000</f>
        <v>368.36799999999999</v>
      </c>
      <c r="J128" s="2">
        <f t="shared" si="40"/>
        <v>556.55600000000004</v>
      </c>
      <c r="K128" s="2">
        <f t="shared" si="40"/>
        <v>736.73599999999999</v>
      </c>
      <c r="L128" s="2">
        <f t="shared" si="40"/>
        <v>910.91</v>
      </c>
      <c r="M128" s="2">
        <f t="shared" si="40"/>
        <v>1077.076</v>
      </c>
      <c r="N128" s="2">
        <f t="shared" si="40"/>
        <v>1237.2360000000001</v>
      </c>
      <c r="O128" s="2">
        <f t="shared" si="40"/>
        <v>1391.39</v>
      </c>
      <c r="P128" s="2">
        <f t="shared" si="40"/>
        <v>1553.5519999999999</v>
      </c>
      <c r="Q128" s="2">
        <f t="shared" si="40"/>
        <v>1725.7239999999999</v>
      </c>
      <c r="R128" s="2">
        <f t="shared" si="40"/>
        <v>1907.9059999999999</v>
      </c>
      <c r="S128" s="2">
        <f t="shared" si="40"/>
        <v>2102.1</v>
      </c>
      <c r="T128" s="2">
        <f t="shared" si="40"/>
        <v>2306.3040000000001</v>
      </c>
      <c r="U128" s="2">
        <f t="shared" si="40"/>
        <v>2508.5059999999999</v>
      </c>
      <c r="V128" s="2">
        <f t="shared" si="40"/>
        <v>2710.7080000000001</v>
      </c>
      <c r="W128" s="2">
        <f t="shared" si="40"/>
        <v>2710.7080000000001</v>
      </c>
      <c r="X128" s="2">
        <f t="shared" si="40"/>
        <v>2710.7080000000001</v>
      </c>
      <c r="Y128" s="2">
        <f t="shared" si="40"/>
        <v>2710.7080000000001</v>
      </c>
      <c r="Z128" s="2">
        <f t="shared" si="40"/>
        <v>2710.7080000000001</v>
      </c>
      <c r="AA128" s="2">
        <f t="shared" si="40"/>
        <v>2710.7080000000001</v>
      </c>
    </row>
    <row r="129" spans="1:27" x14ac:dyDescent="0.25">
      <c r="C129" s="1"/>
      <c r="D129" s="1"/>
      <c r="E129" t="s">
        <v>73</v>
      </c>
      <c r="F129" t="s">
        <v>7</v>
      </c>
      <c r="H129" s="2">
        <f>H112*H123+H119*H124+H120*H125+H121*H126</f>
        <v>730193.49474066065</v>
      </c>
      <c r="I129" s="2">
        <f t="shared" ref="I129:AA129" si="41">I112*I123+I119*I124+I120*I125+I121*I126</f>
        <v>1450200.206074893</v>
      </c>
      <c r="J129" s="2">
        <f t="shared" si="41"/>
        <v>2237075.6852819864</v>
      </c>
      <c r="K129" s="2">
        <f t="shared" si="41"/>
        <v>3023496.3060418344</v>
      </c>
      <c r="L129" s="2">
        <f t="shared" si="41"/>
        <v>3816794.365362131</v>
      </c>
      <c r="M129" s="2">
        <f t="shared" si="41"/>
        <v>4607818.7061641486</v>
      </c>
      <c r="N129" s="2">
        <f t="shared" si="41"/>
        <v>5404149.1293272153</v>
      </c>
      <c r="O129" s="2">
        <f t="shared" si="41"/>
        <v>6205108.7401698139</v>
      </c>
      <c r="P129" s="2">
        <f t="shared" si="41"/>
        <v>7073788.2509375289</v>
      </c>
      <c r="Q129" s="2">
        <f t="shared" si="41"/>
        <v>8022751.5299312118</v>
      </c>
      <c r="R129" s="2">
        <f t="shared" si="41"/>
        <v>9055964.6570683978</v>
      </c>
      <c r="S129" s="2">
        <f t="shared" si="41"/>
        <v>10187247.545236278</v>
      </c>
      <c r="T129" s="2">
        <f t="shared" si="41"/>
        <v>11411580.061644331</v>
      </c>
      <c r="U129" s="2">
        <f t="shared" si="41"/>
        <v>12672728.058509022</v>
      </c>
      <c r="V129" s="2">
        <f t="shared" si="41"/>
        <v>13981811.764434846</v>
      </c>
      <c r="W129" s="2">
        <f t="shared" si="41"/>
        <v>14275429.811487976</v>
      </c>
      <c r="X129" s="2">
        <f t="shared" si="41"/>
        <v>14575213.837529223</v>
      </c>
      <c r="Y129" s="2">
        <f t="shared" si="41"/>
        <v>14881293.328117335</v>
      </c>
      <c r="Z129" s="2">
        <f t="shared" si="41"/>
        <v>15193800.488007799</v>
      </c>
      <c r="AA129" s="2">
        <f t="shared" si="41"/>
        <v>15512870.298255961</v>
      </c>
    </row>
    <row r="130" spans="1:27" x14ac:dyDescent="0.25">
      <c r="C130" s="1"/>
      <c r="D130" s="1"/>
    </row>
    <row r="131" spans="1:27" x14ac:dyDescent="0.25">
      <c r="C131" s="1"/>
      <c r="D131" t="s">
        <v>74</v>
      </c>
    </row>
    <row r="132" spans="1:27" x14ac:dyDescent="0.25">
      <c r="A132" s="14">
        <f>'Notes &amp; Assumptions'!A38</f>
        <v>25</v>
      </c>
      <c r="C132" s="1"/>
      <c r="D132" s="1"/>
      <c r="E132" t="s">
        <v>87</v>
      </c>
      <c r="F132" t="s">
        <v>3</v>
      </c>
      <c r="H132" s="10">
        <v>0</v>
      </c>
      <c r="I132" s="10">
        <v>0</v>
      </c>
      <c r="J132" s="10">
        <v>0</v>
      </c>
      <c r="K132" s="10">
        <v>0</v>
      </c>
      <c r="L132" s="10">
        <v>0</v>
      </c>
      <c r="M132" s="10">
        <v>0</v>
      </c>
      <c r="N132" s="10">
        <v>0</v>
      </c>
      <c r="O132" s="10">
        <v>0</v>
      </c>
      <c r="P132" s="10">
        <v>0</v>
      </c>
      <c r="Q132" s="10">
        <v>0</v>
      </c>
      <c r="R132" s="10">
        <f>AVERAGE($O132:$Q132)</f>
        <v>0</v>
      </c>
      <c r="S132" s="10">
        <f t="shared" ref="S132:V132" si="42">AVERAGE($O132:$Q132)</f>
        <v>0</v>
      </c>
      <c r="T132" s="10">
        <f t="shared" si="42"/>
        <v>0</v>
      </c>
      <c r="U132" s="10">
        <f t="shared" si="42"/>
        <v>0</v>
      </c>
      <c r="V132" s="10">
        <f t="shared" si="42"/>
        <v>0</v>
      </c>
    </row>
    <row r="133" spans="1:27" x14ac:dyDescent="0.25">
      <c r="C133" s="1"/>
      <c r="D133" s="1"/>
      <c r="E133" t="s">
        <v>60</v>
      </c>
      <c r="F133" t="s">
        <v>3</v>
      </c>
      <c r="H133" s="2">
        <f>G133+H132</f>
        <v>0</v>
      </c>
      <c r="I133" s="2">
        <f t="shared" ref="I133:AA133" si="43">H133+I132</f>
        <v>0</v>
      </c>
      <c r="J133" s="2">
        <f t="shared" si="43"/>
        <v>0</v>
      </c>
      <c r="K133" s="2">
        <f t="shared" si="43"/>
        <v>0</v>
      </c>
      <c r="L133" s="2">
        <f t="shared" si="43"/>
        <v>0</v>
      </c>
      <c r="M133" s="2">
        <f t="shared" si="43"/>
        <v>0</v>
      </c>
      <c r="N133" s="2">
        <f t="shared" si="43"/>
        <v>0</v>
      </c>
      <c r="O133" s="2">
        <f t="shared" si="43"/>
        <v>0</v>
      </c>
      <c r="P133" s="2">
        <f t="shared" si="43"/>
        <v>0</v>
      </c>
      <c r="Q133" s="2">
        <f t="shared" si="43"/>
        <v>0</v>
      </c>
      <c r="R133" s="2">
        <f t="shared" si="43"/>
        <v>0</v>
      </c>
      <c r="S133" s="2">
        <f t="shared" si="43"/>
        <v>0</v>
      </c>
      <c r="T133" s="2">
        <f t="shared" si="43"/>
        <v>0</v>
      </c>
      <c r="U133" s="2">
        <f t="shared" si="43"/>
        <v>0</v>
      </c>
      <c r="V133" s="2">
        <f t="shared" si="43"/>
        <v>0</v>
      </c>
      <c r="W133" s="2">
        <f t="shared" si="43"/>
        <v>0</v>
      </c>
      <c r="X133" s="2">
        <f t="shared" si="43"/>
        <v>0</v>
      </c>
      <c r="Y133" s="2">
        <f t="shared" si="43"/>
        <v>0</v>
      </c>
      <c r="Z133" s="2">
        <f t="shared" si="43"/>
        <v>0</v>
      </c>
      <c r="AA133" s="2">
        <f t="shared" si="43"/>
        <v>0</v>
      </c>
    </row>
    <row r="134" spans="1:27" x14ac:dyDescent="0.25">
      <c r="A134" s="14">
        <f>'Notes &amp; Assumptions'!A39</f>
        <v>26</v>
      </c>
      <c r="C134" s="1"/>
      <c r="D134" s="1"/>
      <c r="E134" t="s">
        <v>61</v>
      </c>
      <c r="F134" t="s">
        <v>3</v>
      </c>
      <c r="G134" s="10">
        <v>1</v>
      </c>
    </row>
    <row r="135" spans="1:27" x14ac:dyDescent="0.25">
      <c r="C135" s="1"/>
      <c r="D135" s="1"/>
      <c r="E135" t="s">
        <v>88</v>
      </c>
      <c r="F135" t="s">
        <v>3</v>
      </c>
      <c r="H135">
        <f>H132*$G134</f>
        <v>0</v>
      </c>
      <c r="I135">
        <f t="shared" ref="I135:AA135" si="44">I132*$G134</f>
        <v>0</v>
      </c>
      <c r="J135">
        <f t="shared" si="44"/>
        <v>0</v>
      </c>
      <c r="K135">
        <f t="shared" si="44"/>
        <v>0</v>
      </c>
      <c r="L135">
        <f t="shared" si="44"/>
        <v>0</v>
      </c>
      <c r="M135">
        <f t="shared" si="44"/>
        <v>0</v>
      </c>
      <c r="N135">
        <f t="shared" si="44"/>
        <v>0</v>
      </c>
      <c r="O135">
        <f t="shared" si="44"/>
        <v>0</v>
      </c>
      <c r="P135">
        <f t="shared" si="44"/>
        <v>0</v>
      </c>
      <c r="Q135">
        <f t="shared" si="44"/>
        <v>0</v>
      </c>
      <c r="R135">
        <f t="shared" si="44"/>
        <v>0</v>
      </c>
      <c r="S135">
        <f t="shared" si="44"/>
        <v>0</v>
      </c>
      <c r="T135">
        <f t="shared" si="44"/>
        <v>0</v>
      </c>
      <c r="U135">
        <f t="shared" si="44"/>
        <v>0</v>
      </c>
      <c r="V135">
        <f t="shared" si="44"/>
        <v>0</v>
      </c>
      <c r="W135">
        <f t="shared" si="44"/>
        <v>0</v>
      </c>
      <c r="X135">
        <f t="shared" si="44"/>
        <v>0</v>
      </c>
      <c r="Y135">
        <f t="shared" si="44"/>
        <v>0</v>
      </c>
      <c r="Z135">
        <f t="shared" si="44"/>
        <v>0</v>
      </c>
      <c r="AA135">
        <f t="shared" si="44"/>
        <v>0</v>
      </c>
    </row>
    <row r="136" spans="1:27" x14ac:dyDescent="0.25">
      <c r="C136" s="1"/>
      <c r="D136" s="1"/>
      <c r="E136" t="s">
        <v>89</v>
      </c>
      <c r="F136" t="s">
        <v>3</v>
      </c>
      <c r="H136">
        <f>H133*$G134</f>
        <v>0</v>
      </c>
      <c r="I136">
        <f t="shared" ref="I136:AA136" si="45">I133*$G134</f>
        <v>0</v>
      </c>
      <c r="J136">
        <f t="shared" si="45"/>
        <v>0</v>
      </c>
      <c r="K136">
        <f t="shared" si="45"/>
        <v>0</v>
      </c>
      <c r="L136">
        <f t="shared" si="45"/>
        <v>0</v>
      </c>
      <c r="M136">
        <f t="shared" si="45"/>
        <v>0</v>
      </c>
      <c r="N136">
        <f t="shared" si="45"/>
        <v>0</v>
      </c>
      <c r="O136">
        <f t="shared" si="45"/>
        <v>0</v>
      </c>
      <c r="P136">
        <f t="shared" si="45"/>
        <v>0</v>
      </c>
      <c r="Q136">
        <f t="shared" si="45"/>
        <v>0</v>
      </c>
      <c r="R136">
        <f t="shared" si="45"/>
        <v>0</v>
      </c>
      <c r="S136">
        <f t="shared" si="45"/>
        <v>0</v>
      </c>
      <c r="T136">
        <f t="shared" si="45"/>
        <v>0</v>
      </c>
      <c r="U136">
        <f t="shared" si="45"/>
        <v>0</v>
      </c>
      <c r="V136">
        <f t="shared" si="45"/>
        <v>0</v>
      </c>
      <c r="W136">
        <f t="shared" si="45"/>
        <v>0</v>
      </c>
      <c r="X136">
        <f t="shared" si="45"/>
        <v>0</v>
      </c>
      <c r="Y136">
        <f t="shared" si="45"/>
        <v>0</v>
      </c>
      <c r="Z136">
        <f t="shared" si="45"/>
        <v>0</v>
      </c>
      <c r="AA136">
        <f t="shared" si="45"/>
        <v>0</v>
      </c>
    </row>
    <row r="137" spans="1:27" x14ac:dyDescent="0.25">
      <c r="A137" s="14">
        <f>'Notes &amp; Assumptions'!A40</f>
        <v>27</v>
      </c>
      <c r="C137" s="1"/>
      <c r="D137" s="1"/>
      <c r="E137" t="s">
        <v>62</v>
      </c>
      <c r="F137" t="s">
        <v>43</v>
      </c>
      <c r="H137" s="10"/>
      <c r="I137" s="10"/>
      <c r="J137" s="10"/>
      <c r="K137" s="10"/>
      <c r="L137" s="10"/>
      <c r="M137" s="10"/>
      <c r="N137" s="10"/>
      <c r="O137" s="10"/>
      <c r="P137" s="10"/>
      <c r="Q137" s="10"/>
      <c r="R137" s="10"/>
      <c r="S137" s="10"/>
      <c r="T137" s="10"/>
      <c r="U137" s="10"/>
      <c r="V137" s="10"/>
      <c r="W137" s="10"/>
      <c r="X137" s="10"/>
      <c r="Y137" s="10"/>
      <c r="Z137" s="10"/>
      <c r="AA137" s="10"/>
    </row>
    <row r="138" spans="1:27" x14ac:dyDescent="0.25">
      <c r="C138" s="1"/>
      <c r="D138" s="1"/>
      <c r="E138" t="s">
        <v>63</v>
      </c>
      <c r="F138" t="s">
        <v>43</v>
      </c>
      <c r="H138" s="10"/>
      <c r="I138" s="10"/>
      <c r="J138" s="10"/>
      <c r="K138" s="10"/>
      <c r="L138" s="10"/>
      <c r="M138" s="10"/>
      <c r="N138" s="10"/>
      <c r="O138" s="10"/>
      <c r="P138" s="10"/>
      <c r="Q138" s="10"/>
      <c r="R138" s="10"/>
      <c r="S138" s="10"/>
      <c r="T138" s="10"/>
      <c r="U138" s="10"/>
      <c r="V138" s="10"/>
      <c r="W138" s="10"/>
      <c r="X138" s="10"/>
      <c r="Y138" s="10"/>
      <c r="Z138" s="10"/>
      <c r="AA138" s="10"/>
    </row>
    <row r="139" spans="1:27" x14ac:dyDescent="0.25">
      <c r="A139" s="14">
        <f>'Notes &amp; Assumptions'!A41</f>
        <v>28</v>
      </c>
      <c r="C139" s="1"/>
      <c r="D139" s="1"/>
      <c r="E139" t="s">
        <v>140</v>
      </c>
      <c r="F139" t="s">
        <v>43</v>
      </c>
      <c r="H139" s="10"/>
      <c r="I139" s="10"/>
      <c r="J139" s="10"/>
      <c r="K139" s="10"/>
      <c r="L139" s="10"/>
      <c r="M139" s="10"/>
      <c r="N139" s="10"/>
      <c r="O139" s="10"/>
      <c r="P139" s="10"/>
      <c r="Q139" s="10"/>
      <c r="R139" s="10"/>
      <c r="S139" s="10"/>
      <c r="T139" s="10"/>
      <c r="U139" s="10"/>
      <c r="V139" s="10"/>
      <c r="W139" s="10"/>
      <c r="X139" s="10"/>
      <c r="Y139" s="10"/>
      <c r="Z139" s="10"/>
      <c r="AA139" s="10"/>
    </row>
    <row r="140" spans="1:27" x14ac:dyDescent="0.25">
      <c r="C140" s="1"/>
      <c r="D140" s="1"/>
      <c r="E140" t="s">
        <v>64</v>
      </c>
      <c r="F140" t="s">
        <v>144</v>
      </c>
      <c r="H140" s="2">
        <f>H133*H137</f>
        <v>0</v>
      </c>
      <c r="I140" s="2">
        <f t="shared" ref="I140:AA140" si="46">I133*I137</f>
        <v>0</v>
      </c>
      <c r="J140" s="2">
        <f t="shared" si="46"/>
        <v>0</v>
      </c>
      <c r="K140" s="2">
        <f t="shared" si="46"/>
        <v>0</v>
      </c>
      <c r="L140" s="2">
        <f t="shared" si="46"/>
        <v>0</v>
      </c>
      <c r="M140" s="2">
        <f t="shared" si="46"/>
        <v>0</v>
      </c>
      <c r="N140" s="2">
        <f t="shared" si="46"/>
        <v>0</v>
      </c>
      <c r="O140" s="2">
        <f t="shared" si="46"/>
        <v>0</v>
      </c>
      <c r="P140" s="2">
        <f t="shared" si="46"/>
        <v>0</v>
      </c>
      <c r="Q140" s="2">
        <f t="shared" si="46"/>
        <v>0</v>
      </c>
      <c r="R140" s="2">
        <f t="shared" si="46"/>
        <v>0</v>
      </c>
      <c r="S140" s="2">
        <f t="shared" si="46"/>
        <v>0</v>
      </c>
      <c r="T140" s="2">
        <f t="shared" si="46"/>
        <v>0</v>
      </c>
      <c r="U140" s="2">
        <f t="shared" si="46"/>
        <v>0</v>
      </c>
      <c r="V140" s="2">
        <f t="shared" si="46"/>
        <v>0</v>
      </c>
      <c r="W140" s="2">
        <f t="shared" si="46"/>
        <v>0</v>
      </c>
      <c r="X140" s="2">
        <f t="shared" si="46"/>
        <v>0</v>
      </c>
      <c r="Y140" s="2">
        <f t="shared" si="46"/>
        <v>0</v>
      </c>
      <c r="Z140" s="2">
        <f t="shared" si="46"/>
        <v>0</v>
      </c>
      <c r="AA140" s="2">
        <f t="shared" si="46"/>
        <v>0</v>
      </c>
    </row>
    <row r="141" spans="1:27" x14ac:dyDescent="0.25">
      <c r="C141" s="1"/>
      <c r="D141" s="1"/>
      <c r="E141" t="s">
        <v>65</v>
      </c>
      <c r="F141" t="s">
        <v>144</v>
      </c>
      <c r="H141" s="2">
        <f>H133*H138</f>
        <v>0</v>
      </c>
      <c r="I141" s="2">
        <f t="shared" ref="I141:AA141" si="47">I133*I138</f>
        <v>0</v>
      </c>
      <c r="J141" s="2">
        <f t="shared" si="47"/>
        <v>0</v>
      </c>
      <c r="K141" s="2">
        <f t="shared" si="47"/>
        <v>0</v>
      </c>
      <c r="L141" s="2">
        <f t="shared" si="47"/>
        <v>0</v>
      </c>
      <c r="M141" s="2">
        <f t="shared" si="47"/>
        <v>0</v>
      </c>
      <c r="N141" s="2">
        <f t="shared" si="47"/>
        <v>0</v>
      </c>
      <c r="O141" s="2">
        <f t="shared" si="47"/>
        <v>0</v>
      </c>
      <c r="P141" s="2">
        <f t="shared" si="47"/>
        <v>0</v>
      </c>
      <c r="Q141" s="2">
        <f t="shared" si="47"/>
        <v>0</v>
      </c>
      <c r="R141" s="2">
        <f t="shared" si="47"/>
        <v>0</v>
      </c>
      <c r="S141" s="2">
        <f t="shared" si="47"/>
        <v>0</v>
      </c>
      <c r="T141" s="2">
        <f t="shared" si="47"/>
        <v>0</v>
      </c>
      <c r="U141" s="2">
        <f t="shared" si="47"/>
        <v>0</v>
      </c>
      <c r="V141" s="2">
        <f t="shared" si="47"/>
        <v>0</v>
      </c>
      <c r="W141" s="2">
        <f t="shared" si="47"/>
        <v>0</v>
      </c>
      <c r="X141" s="2">
        <f t="shared" si="47"/>
        <v>0</v>
      </c>
      <c r="Y141" s="2">
        <f t="shared" si="47"/>
        <v>0</v>
      </c>
      <c r="Z141" s="2">
        <f t="shared" si="47"/>
        <v>0</v>
      </c>
      <c r="AA141" s="2">
        <f t="shared" si="47"/>
        <v>0</v>
      </c>
    </row>
    <row r="142" spans="1:27" x14ac:dyDescent="0.25">
      <c r="C142" s="1"/>
      <c r="D142" s="1"/>
      <c r="E142" t="s">
        <v>141</v>
      </c>
      <c r="F142" t="s">
        <v>144</v>
      </c>
      <c r="H142" s="2">
        <f>H133*H139</f>
        <v>0</v>
      </c>
      <c r="I142" s="2">
        <f t="shared" ref="I142:AA142" si="48">I133*I139</f>
        <v>0</v>
      </c>
      <c r="J142" s="2">
        <f t="shared" si="48"/>
        <v>0</v>
      </c>
      <c r="K142" s="2">
        <f t="shared" si="48"/>
        <v>0</v>
      </c>
      <c r="L142" s="2">
        <f t="shared" si="48"/>
        <v>0</v>
      </c>
      <c r="M142" s="2">
        <f t="shared" si="48"/>
        <v>0</v>
      </c>
      <c r="N142" s="2">
        <f t="shared" si="48"/>
        <v>0</v>
      </c>
      <c r="O142" s="2">
        <f t="shared" si="48"/>
        <v>0</v>
      </c>
      <c r="P142" s="2">
        <f t="shared" si="48"/>
        <v>0</v>
      </c>
      <c r="Q142" s="2">
        <f t="shared" si="48"/>
        <v>0</v>
      </c>
      <c r="R142" s="2">
        <f t="shared" si="48"/>
        <v>0</v>
      </c>
      <c r="S142" s="2">
        <f t="shared" si="48"/>
        <v>0</v>
      </c>
      <c r="T142" s="2">
        <f t="shared" si="48"/>
        <v>0</v>
      </c>
      <c r="U142" s="2">
        <f t="shared" si="48"/>
        <v>0</v>
      </c>
      <c r="V142" s="2">
        <f t="shared" si="48"/>
        <v>0</v>
      </c>
      <c r="W142" s="2">
        <f t="shared" si="48"/>
        <v>0</v>
      </c>
      <c r="X142" s="2">
        <f t="shared" si="48"/>
        <v>0</v>
      </c>
      <c r="Y142" s="2">
        <f t="shared" si="48"/>
        <v>0</v>
      </c>
      <c r="Z142" s="2">
        <f t="shared" si="48"/>
        <v>0</v>
      </c>
      <c r="AA142" s="2">
        <f t="shared" si="48"/>
        <v>0</v>
      </c>
    </row>
    <row r="143" spans="1:27" x14ac:dyDescent="0.25">
      <c r="A143" s="14">
        <f>'Notes &amp; Assumptions'!A42</f>
        <v>29</v>
      </c>
      <c r="C143" s="1"/>
      <c r="D143" s="1"/>
      <c r="E143" t="s">
        <v>66</v>
      </c>
      <c r="F143" t="s">
        <v>8</v>
      </c>
      <c r="H143" s="11"/>
      <c r="I143" s="11"/>
      <c r="J143" s="11"/>
      <c r="K143" s="11"/>
      <c r="L143" s="11"/>
      <c r="M143" s="11"/>
      <c r="N143" s="11"/>
      <c r="O143" s="11"/>
      <c r="P143" s="11"/>
      <c r="Q143" s="11"/>
      <c r="R143" s="11"/>
      <c r="S143" s="11"/>
      <c r="T143" s="11"/>
      <c r="U143" s="11"/>
      <c r="V143" s="11"/>
      <c r="W143" s="11"/>
      <c r="X143" s="11"/>
      <c r="Y143" s="11"/>
      <c r="Z143" s="11"/>
      <c r="AA143" s="11"/>
    </row>
    <row r="144" spans="1:27" x14ac:dyDescent="0.25">
      <c r="A144" s="14">
        <f>'Notes &amp; Assumptions'!A43</f>
        <v>30</v>
      </c>
      <c r="C144" s="1"/>
      <c r="D144" s="1"/>
      <c r="E144" t="s">
        <v>40</v>
      </c>
      <c r="F144" t="s">
        <v>41</v>
      </c>
      <c r="G144" s="10"/>
      <c r="H144" s="2">
        <f>G144*(1+$G$14)*(1+H143)</f>
        <v>0</v>
      </c>
      <c r="I144" s="2">
        <f t="shared" ref="I144:AA144" si="49">H144*(1+$G$14)*(1+I143)</f>
        <v>0</v>
      </c>
      <c r="J144" s="2">
        <f t="shared" si="49"/>
        <v>0</v>
      </c>
      <c r="K144" s="2">
        <f t="shared" si="49"/>
        <v>0</v>
      </c>
      <c r="L144" s="2">
        <f t="shared" si="49"/>
        <v>0</v>
      </c>
      <c r="M144" s="2">
        <f t="shared" si="49"/>
        <v>0</v>
      </c>
      <c r="N144" s="2">
        <f t="shared" si="49"/>
        <v>0</v>
      </c>
      <c r="O144" s="2">
        <f t="shared" si="49"/>
        <v>0</v>
      </c>
      <c r="P144" s="2">
        <f t="shared" si="49"/>
        <v>0</v>
      </c>
      <c r="Q144" s="2">
        <f t="shared" si="49"/>
        <v>0</v>
      </c>
      <c r="R144" s="2">
        <f t="shared" si="49"/>
        <v>0</v>
      </c>
      <c r="S144" s="2">
        <f t="shared" si="49"/>
        <v>0</v>
      </c>
      <c r="T144" s="2">
        <f t="shared" si="49"/>
        <v>0</v>
      </c>
      <c r="U144" s="2">
        <f t="shared" si="49"/>
        <v>0</v>
      </c>
      <c r="V144" s="2">
        <f t="shared" si="49"/>
        <v>0</v>
      </c>
      <c r="W144" s="2">
        <f t="shared" si="49"/>
        <v>0</v>
      </c>
      <c r="X144" s="2">
        <f t="shared" si="49"/>
        <v>0</v>
      </c>
      <c r="Y144" s="2">
        <f t="shared" si="49"/>
        <v>0</v>
      </c>
      <c r="Z144" s="2">
        <f t="shared" si="49"/>
        <v>0</v>
      </c>
      <c r="AA144" s="2">
        <f t="shared" si="49"/>
        <v>0</v>
      </c>
    </row>
    <row r="145" spans="1:27" x14ac:dyDescent="0.25">
      <c r="C145" s="1"/>
      <c r="D145" s="1"/>
      <c r="E145" t="s">
        <v>67</v>
      </c>
      <c r="F145" t="s">
        <v>143</v>
      </c>
      <c r="G145" s="20"/>
      <c r="H145" s="21">
        <f>G145*(1+$G$14)*(1+H143)</f>
        <v>0</v>
      </c>
      <c r="I145" s="21">
        <f t="shared" ref="I145:AA145" si="50">H145*(1+$G$14)*(1+I143)</f>
        <v>0</v>
      </c>
      <c r="J145" s="21">
        <f t="shared" si="50"/>
        <v>0</v>
      </c>
      <c r="K145" s="21">
        <f t="shared" si="50"/>
        <v>0</v>
      </c>
      <c r="L145" s="21">
        <f t="shared" si="50"/>
        <v>0</v>
      </c>
      <c r="M145" s="21">
        <f t="shared" si="50"/>
        <v>0</v>
      </c>
      <c r="N145" s="21">
        <f t="shared" si="50"/>
        <v>0</v>
      </c>
      <c r="O145" s="21">
        <f t="shared" si="50"/>
        <v>0</v>
      </c>
      <c r="P145" s="21">
        <f t="shared" si="50"/>
        <v>0</v>
      </c>
      <c r="Q145" s="21">
        <f t="shared" si="50"/>
        <v>0</v>
      </c>
      <c r="R145" s="21">
        <f t="shared" si="50"/>
        <v>0</v>
      </c>
      <c r="S145" s="21">
        <f t="shared" si="50"/>
        <v>0</v>
      </c>
      <c r="T145" s="21">
        <f t="shared" si="50"/>
        <v>0</v>
      </c>
      <c r="U145" s="21">
        <f t="shared" si="50"/>
        <v>0</v>
      </c>
      <c r="V145" s="21">
        <f t="shared" si="50"/>
        <v>0</v>
      </c>
      <c r="W145" s="21">
        <f t="shared" si="50"/>
        <v>0</v>
      </c>
      <c r="X145" s="21">
        <f t="shared" si="50"/>
        <v>0</v>
      </c>
      <c r="Y145" s="21">
        <f t="shared" si="50"/>
        <v>0</v>
      </c>
      <c r="Z145" s="21">
        <f t="shared" si="50"/>
        <v>0</v>
      </c>
      <c r="AA145" s="21">
        <f t="shared" si="50"/>
        <v>0</v>
      </c>
    </row>
    <row r="146" spans="1:27" x14ac:dyDescent="0.25">
      <c r="C146" s="1"/>
      <c r="D146" s="1"/>
      <c r="E146" t="s">
        <v>68</v>
      </c>
      <c r="F146" t="s">
        <v>143</v>
      </c>
      <c r="G146" s="20"/>
      <c r="H146" s="21">
        <f>G146*(1+$G$14)*(1+H143)</f>
        <v>0</v>
      </c>
      <c r="I146" s="21">
        <f t="shared" ref="I146:AA146" si="51">H146*(1+$G$14)*(1+I143)</f>
        <v>0</v>
      </c>
      <c r="J146" s="21">
        <f t="shared" si="51"/>
        <v>0</v>
      </c>
      <c r="K146" s="21">
        <f t="shared" si="51"/>
        <v>0</v>
      </c>
      <c r="L146" s="21">
        <f t="shared" si="51"/>
        <v>0</v>
      </c>
      <c r="M146" s="21">
        <f t="shared" si="51"/>
        <v>0</v>
      </c>
      <c r="N146" s="21">
        <f t="shared" si="51"/>
        <v>0</v>
      </c>
      <c r="O146" s="21">
        <f t="shared" si="51"/>
        <v>0</v>
      </c>
      <c r="P146" s="21">
        <f t="shared" si="51"/>
        <v>0</v>
      </c>
      <c r="Q146" s="21">
        <f t="shared" si="51"/>
        <v>0</v>
      </c>
      <c r="R146" s="21">
        <f t="shared" si="51"/>
        <v>0</v>
      </c>
      <c r="S146" s="21">
        <f t="shared" si="51"/>
        <v>0</v>
      </c>
      <c r="T146" s="21">
        <f t="shared" si="51"/>
        <v>0</v>
      </c>
      <c r="U146" s="21">
        <f t="shared" si="51"/>
        <v>0</v>
      </c>
      <c r="V146" s="21">
        <f t="shared" si="51"/>
        <v>0</v>
      </c>
      <c r="W146" s="21">
        <f t="shared" si="51"/>
        <v>0</v>
      </c>
      <c r="X146" s="21">
        <f t="shared" si="51"/>
        <v>0</v>
      </c>
      <c r="Y146" s="21">
        <f t="shared" si="51"/>
        <v>0</v>
      </c>
      <c r="Z146" s="21">
        <f t="shared" si="51"/>
        <v>0</v>
      </c>
      <c r="AA146" s="21">
        <f t="shared" si="51"/>
        <v>0</v>
      </c>
    </row>
    <row r="147" spans="1:27" x14ac:dyDescent="0.25">
      <c r="C147" s="1"/>
      <c r="D147" s="1"/>
      <c r="E147" t="s">
        <v>142</v>
      </c>
      <c r="F147" t="s">
        <v>143</v>
      </c>
      <c r="G147" s="20"/>
      <c r="H147" s="21">
        <f>G147*(1+$G$14)*(1+H143)</f>
        <v>0</v>
      </c>
      <c r="I147" s="21">
        <f t="shared" ref="I147:AA147" si="52">H147*(1+$G$14)*(1+I143)</f>
        <v>0</v>
      </c>
      <c r="J147" s="21">
        <f t="shared" si="52"/>
        <v>0</v>
      </c>
      <c r="K147" s="21">
        <f t="shared" si="52"/>
        <v>0</v>
      </c>
      <c r="L147" s="21">
        <f t="shared" si="52"/>
        <v>0</v>
      </c>
      <c r="M147" s="21">
        <f t="shared" si="52"/>
        <v>0</v>
      </c>
      <c r="N147" s="21">
        <f t="shared" si="52"/>
        <v>0</v>
      </c>
      <c r="O147" s="21">
        <f t="shared" si="52"/>
        <v>0</v>
      </c>
      <c r="P147" s="21">
        <f t="shared" si="52"/>
        <v>0</v>
      </c>
      <c r="Q147" s="21">
        <f t="shared" si="52"/>
        <v>0</v>
      </c>
      <c r="R147" s="21">
        <f t="shared" si="52"/>
        <v>0</v>
      </c>
      <c r="S147" s="21">
        <f t="shared" si="52"/>
        <v>0</v>
      </c>
      <c r="T147" s="21">
        <f t="shared" si="52"/>
        <v>0</v>
      </c>
      <c r="U147" s="21">
        <f t="shared" si="52"/>
        <v>0</v>
      </c>
      <c r="V147" s="21">
        <f t="shared" si="52"/>
        <v>0</v>
      </c>
      <c r="W147" s="21">
        <f t="shared" si="52"/>
        <v>0</v>
      </c>
      <c r="X147" s="21">
        <f t="shared" si="52"/>
        <v>0</v>
      </c>
      <c r="Y147" s="21">
        <f t="shared" si="52"/>
        <v>0</v>
      </c>
      <c r="Z147" s="21">
        <f t="shared" si="52"/>
        <v>0</v>
      </c>
      <c r="AA147" s="21">
        <f t="shared" si="52"/>
        <v>0</v>
      </c>
    </row>
    <row r="148" spans="1:27" x14ac:dyDescent="0.25">
      <c r="C148" s="1"/>
      <c r="D148" s="1"/>
    </row>
    <row r="149" spans="1:27" x14ac:dyDescent="0.25">
      <c r="C149" s="1"/>
      <c r="D149" s="1"/>
      <c r="E149" t="s">
        <v>75</v>
      </c>
      <c r="F149" t="s">
        <v>58</v>
      </c>
      <c r="H149" s="2">
        <f>SUM(H140:H142)/1000</f>
        <v>0</v>
      </c>
      <c r="I149" s="2">
        <f t="shared" ref="I149:AA149" si="53">SUM(I140:I142)/1000</f>
        <v>0</v>
      </c>
      <c r="J149" s="2">
        <f t="shared" si="53"/>
        <v>0</v>
      </c>
      <c r="K149" s="2">
        <f t="shared" si="53"/>
        <v>0</v>
      </c>
      <c r="L149" s="2">
        <f t="shared" si="53"/>
        <v>0</v>
      </c>
      <c r="M149" s="2">
        <f t="shared" si="53"/>
        <v>0</v>
      </c>
      <c r="N149" s="2">
        <f t="shared" si="53"/>
        <v>0</v>
      </c>
      <c r="O149" s="2">
        <f t="shared" si="53"/>
        <v>0</v>
      </c>
      <c r="P149" s="2">
        <f t="shared" si="53"/>
        <v>0</v>
      </c>
      <c r="Q149" s="2">
        <f t="shared" si="53"/>
        <v>0</v>
      </c>
      <c r="R149" s="2">
        <f t="shared" si="53"/>
        <v>0</v>
      </c>
      <c r="S149" s="2">
        <f t="shared" si="53"/>
        <v>0</v>
      </c>
      <c r="T149" s="2">
        <f t="shared" si="53"/>
        <v>0</v>
      </c>
      <c r="U149" s="2">
        <f t="shared" si="53"/>
        <v>0</v>
      </c>
      <c r="V149" s="2">
        <f t="shared" si="53"/>
        <v>0</v>
      </c>
      <c r="W149" s="2">
        <f t="shared" si="53"/>
        <v>0</v>
      </c>
      <c r="X149" s="2">
        <f t="shared" si="53"/>
        <v>0</v>
      </c>
      <c r="Y149" s="2">
        <f t="shared" si="53"/>
        <v>0</v>
      </c>
      <c r="Z149" s="2">
        <f t="shared" si="53"/>
        <v>0</v>
      </c>
      <c r="AA149" s="2">
        <f t="shared" si="53"/>
        <v>0</v>
      </c>
    </row>
    <row r="150" spans="1:27" x14ac:dyDescent="0.25">
      <c r="C150" s="1"/>
      <c r="D150" s="1"/>
      <c r="E150" t="s">
        <v>76</v>
      </c>
      <c r="F150" t="s">
        <v>7</v>
      </c>
      <c r="H150" s="2">
        <f>H133*H144+H140*H145+H141*H146+H142*H147</f>
        <v>0</v>
      </c>
      <c r="I150" s="2">
        <f t="shared" ref="I150:AA150" si="54">I133*I144+I140*I145+I141*I146+I142*I147</f>
        <v>0</v>
      </c>
      <c r="J150" s="2">
        <f t="shared" si="54"/>
        <v>0</v>
      </c>
      <c r="K150" s="2">
        <f t="shared" si="54"/>
        <v>0</v>
      </c>
      <c r="L150" s="2">
        <f t="shared" si="54"/>
        <v>0</v>
      </c>
      <c r="M150" s="2">
        <f t="shared" si="54"/>
        <v>0</v>
      </c>
      <c r="N150" s="2">
        <f t="shared" si="54"/>
        <v>0</v>
      </c>
      <c r="O150" s="2">
        <f t="shared" si="54"/>
        <v>0</v>
      </c>
      <c r="P150" s="2">
        <f t="shared" si="54"/>
        <v>0</v>
      </c>
      <c r="Q150" s="2">
        <f t="shared" si="54"/>
        <v>0</v>
      </c>
      <c r="R150" s="2">
        <f t="shared" si="54"/>
        <v>0</v>
      </c>
      <c r="S150" s="2">
        <f t="shared" si="54"/>
        <v>0</v>
      </c>
      <c r="T150" s="2">
        <f t="shared" si="54"/>
        <v>0</v>
      </c>
      <c r="U150" s="2">
        <f t="shared" si="54"/>
        <v>0</v>
      </c>
      <c r="V150" s="2">
        <f t="shared" si="54"/>
        <v>0</v>
      </c>
      <c r="W150" s="2">
        <f t="shared" si="54"/>
        <v>0</v>
      </c>
      <c r="X150" s="2">
        <f t="shared" si="54"/>
        <v>0</v>
      </c>
      <c r="Y150" s="2">
        <f t="shared" si="54"/>
        <v>0</v>
      </c>
      <c r="Z150" s="2">
        <f t="shared" si="54"/>
        <v>0</v>
      </c>
      <c r="AA150" s="2">
        <f t="shared" si="54"/>
        <v>0</v>
      </c>
    </row>
    <row r="151" spans="1:27" x14ac:dyDescent="0.25">
      <c r="C151" s="1"/>
      <c r="D151" s="1"/>
    </row>
    <row r="152" spans="1:27" x14ac:dyDescent="0.25">
      <c r="C152" s="1"/>
      <c r="D152" t="s">
        <v>77</v>
      </c>
    </row>
    <row r="153" spans="1:27" x14ac:dyDescent="0.25">
      <c r="A153" s="14">
        <f>'Notes &amp; Assumptions'!A44</f>
        <v>31</v>
      </c>
      <c r="C153" s="1"/>
      <c r="D153" s="1"/>
      <c r="E153" t="s">
        <v>87</v>
      </c>
      <c r="F153" t="s">
        <v>3</v>
      </c>
      <c r="H153" s="10">
        <v>0</v>
      </c>
      <c r="I153" s="10">
        <v>0</v>
      </c>
      <c r="J153" s="10">
        <v>0</v>
      </c>
      <c r="K153" s="10">
        <v>0</v>
      </c>
      <c r="L153" s="10">
        <v>0</v>
      </c>
      <c r="M153" s="10">
        <v>0</v>
      </c>
      <c r="N153" s="10">
        <v>0</v>
      </c>
      <c r="O153" s="10">
        <v>0</v>
      </c>
      <c r="P153" s="10">
        <v>0</v>
      </c>
      <c r="Q153" s="10">
        <v>0</v>
      </c>
      <c r="R153" s="10">
        <f>AVERAGE($O153:$Q153)</f>
        <v>0</v>
      </c>
      <c r="S153" s="10">
        <f t="shared" ref="S153:V153" si="55">AVERAGE($O153:$Q153)</f>
        <v>0</v>
      </c>
      <c r="T153" s="10">
        <f t="shared" si="55"/>
        <v>0</v>
      </c>
      <c r="U153" s="10">
        <f t="shared" si="55"/>
        <v>0</v>
      </c>
      <c r="V153" s="10">
        <f t="shared" si="55"/>
        <v>0</v>
      </c>
    </row>
    <row r="154" spans="1:27" x14ac:dyDescent="0.25">
      <c r="C154" s="1"/>
      <c r="D154" s="1"/>
      <c r="E154" t="s">
        <v>60</v>
      </c>
      <c r="F154" t="s">
        <v>3</v>
      </c>
      <c r="H154" s="2">
        <f>G154+H153</f>
        <v>0</v>
      </c>
      <c r="I154" s="2">
        <f t="shared" ref="I154:AA154" si="56">H154+I153</f>
        <v>0</v>
      </c>
      <c r="J154" s="2">
        <f t="shared" si="56"/>
        <v>0</v>
      </c>
      <c r="K154" s="2">
        <f t="shared" si="56"/>
        <v>0</v>
      </c>
      <c r="L154" s="2">
        <f t="shared" si="56"/>
        <v>0</v>
      </c>
      <c r="M154" s="2">
        <f t="shared" si="56"/>
        <v>0</v>
      </c>
      <c r="N154" s="2">
        <f t="shared" si="56"/>
        <v>0</v>
      </c>
      <c r="O154" s="2">
        <f t="shared" si="56"/>
        <v>0</v>
      </c>
      <c r="P154" s="2">
        <f t="shared" si="56"/>
        <v>0</v>
      </c>
      <c r="Q154" s="2">
        <f t="shared" si="56"/>
        <v>0</v>
      </c>
      <c r="R154" s="2">
        <f t="shared" si="56"/>
        <v>0</v>
      </c>
      <c r="S154" s="2">
        <f t="shared" si="56"/>
        <v>0</v>
      </c>
      <c r="T154" s="2">
        <f t="shared" si="56"/>
        <v>0</v>
      </c>
      <c r="U154" s="2">
        <f t="shared" si="56"/>
        <v>0</v>
      </c>
      <c r="V154" s="2">
        <f t="shared" si="56"/>
        <v>0</v>
      </c>
      <c r="W154" s="2">
        <f t="shared" si="56"/>
        <v>0</v>
      </c>
      <c r="X154" s="2">
        <f t="shared" si="56"/>
        <v>0</v>
      </c>
      <c r="Y154" s="2">
        <f t="shared" si="56"/>
        <v>0</v>
      </c>
      <c r="Z154" s="2">
        <f t="shared" si="56"/>
        <v>0</v>
      </c>
      <c r="AA154" s="2">
        <f t="shared" si="56"/>
        <v>0</v>
      </c>
    </row>
    <row r="155" spans="1:27" x14ac:dyDescent="0.25">
      <c r="A155" s="14">
        <f>'Notes &amp; Assumptions'!A45</f>
        <v>32</v>
      </c>
      <c r="C155" s="1"/>
      <c r="D155" s="1"/>
      <c r="E155" t="s">
        <v>61</v>
      </c>
      <c r="F155" t="s">
        <v>3</v>
      </c>
      <c r="G155" s="10">
        <v>1</v>
      </c>
    </row>
    <row r="156" spans="1:27" x14ac:dyDescent="0.25">
      <c r="C156" s="1"/>
      <c r="D156" s="1"/>
      <c r="E156" t="s">
        <v>88</v>
      </c>
      <c r="F156" t="s">
        <v>3</v>
      </c>
      <c r="H156">
        <f>H153*$G155</f>
        <v>0</v>
      </c>
      <c r="I156">
        <f t="shared" ref="I156:AA156" si="57">I153*$G155</f>
        <v>0</v>
      </c>
      <c r="J156">
        <f t="shared" si="57"/>
        <v>0</v>
      </c>
      <c r="K156">
        <f t="shared" si="57"/>
        <v>0</v>
      </c>
      <c r="L156">
        <f t="shared" si="57"/>
        <v>0</v>
      </c>
      <c r="M156">
        <f t="shared" si="57"/>
        <v>0</v>
      </c>
      <c r="N156">
        <f t="shared" si="57"/>
        <v>0</v>
      </c>
      <c r="O156">
        <f t="shared" si="57"/>
        <v>0</v>
      </c>
      <c r="P156">
        <f t="shared" si="57"/>
        <v>0</v>
      </c>
      <c r="Q156">
        <f t="shared" si="57"/>
        <v>0</v>
      </c>
      <c r="R156">
        <f t="shared" si="57"/>
        <v>0</v>
      </c>
      <c r="S156">
        <f t="shared" si="57"/>
        <v>0</v>
      </c>
      <c r="T156">
        <f t="shared" si="57"/>
        <v>0</v>
      </c>
      <c r="U156">
        <f t="shared" si="57"/>
        <v>0</v>
      </c>
      <c r="V156">
        <f t="shared" si="57"/>
        <v>0</v>
      </c>
      <c r="W156">
        <f t="shared" si="57"/>
        <v>0</v>
      </c>
      <c r="X156">
        <f t="shared" si="57"/>
        <v>0</v>
      </c>
      <c r="Y156">
        <f t="shared" si="57"/>
        <v>0</v>
      </c>
      <c r="Z156">
        <f t="shared" si="57"/>
        <v>0</v>
      </c>
      <c r="AA156">
        <f t="shared" si="57"/>
        <v>0</v>
      </c>
    </row>
    <row r="157" spans="1:27" x14ac:dyDescent="0.25">
      <c r="C157" s="1"/>
      <c r="D157" s="1"/>
      <c r="E157" t="s">
        <v>89</v>
      </c>
      <c r="F157" t="s">
        <v>3</v>
      </c>
      <c r="H157">
        <f>H154*$G155</f>
        <v>0</v>
      </c>
      <c r="I157">
        <f t="shared" ref="I157:AA157" si="58">I154*$G155</f>
        <v>0</v>
      </c>
      <c r="J157">
        <f t="shared" si="58"/>
        <v>0</v>
      </c>
      <c r="K157">
        <f t="shared" si="58"/>
        <v>0</v>
      </c>
      <c r="L157">
        <f t="shared" si="58"/>
        <v>0</v>
      </c>
      <c r="M157">
        <f t="shared" si="58"/>
        <v>0</v>
      </c>
      <c r="N157">
        <f t="shared" si="58"/>
        <v>0</v>
      </c>
      <c r="O157">
        <f t="shared" si="58"/>
        <v>0</v>
      </c>
      <c r="P157">
        <f t="shared" si="58"/>
        <v>0</v>
      </c>
      <c r="Q157">
        <f t="shared" si="58"/>
        <v>0</v>
      </c>
      <c r="R157">
        <f t="shared" si="58"/>
        <v>0</v>
      </c>
      <c r="S157">
        <f t="shared" si="58"/>
        <v>0</v>
      </c>
      <c r="T157">
        <f t="shared" si="58"/>
        <v>0</v>
      </c>
      <c r="U157">
        <f t="shared" si="58"/>
        <v>0</v>
      </c>
      <c r="V157">
        <f t="shared" si="58"/>
        <v>0</v>
      </c>
      <c r="W157">
        <f t="shared" si="58"/>
        <v>0</v>
      </c>
      <c r="X157">
        <f t="shared" si="58"/>
        <v>0</v>
      </c>
      <c r="Y157">
        <f t="shared" si="58"/>
        <v>0</v>
      </c>
      <c r="Z157">
        <f t="shared" si="58"/>
        <v>0</v>
      </c>
      <c r="AA157">
        <f t="shared" si="58"/>
        <v>0</v>
      </c>
    </row>
    <row r="158" spans="1:27" x14ac:dyDescent="0.25">
      <c r="A158" s="14">
        <f>'Notes &amp; Assumptions'!A46</f>
        <v>33</v>
      </c>
      <c r="C158" s="1"/>
      <c r="D158" s="1"/>
      <c r="E158" t="s">
        <v>62</v>
      </c>
      <c r="F158" t="s">
        <v>43</v>
      </c>
      <c r="H158" s="10"/>
      <c r="I158" s="10"/>
      <c r="J158" s="10"/>
      <c r="K158" s="10"/>
      <c r="L158" s="10"/>
      <c r="M158" s="10"/>
      <c r="N158" s="10"/>
      <c r="O158" s="10"/>
      <c r="P158" s="10"/>
      <c r="Q158" s="10"/>
      <c r="R158" s="10"/>
      <c r="S158" s="10"/>
      <c r="T158" s="10"/>
      <c r="U158" s="10"/>
      <c r="V158" s="10"/>
      <c r="W158" s="10"/>
      <c r="X158" s="10"/>
      <c r="Y158" s="10"/>
      <c r="Z158" s="10"/>
      <c r="AA158" s="10"/>
    </row>
    <row r="159" spans="1:27" x14ac:dyDescent="0.25">
      <c r="C159" s="1"/>
      <c r="D159" s="1"/>
      <c r="E159" t="s">
        <v>63</v>
      </c>
      <c r="F159" t="s">
        <v>43</v>
      </c>
      <c r="H159" s="10"/>
      <c r="I159" s="10"/>
      <c r="J159" s="10"/>
      <c r="K159" s="10"/>
      <c r="L159" s="10"/>
      <c r="M159" s="10"/>
      <c r="N159" s="10"/>
      <c r="O159" s="10"/>
      <c r="P159" s="10"/>
      <c r="Q159" s="10"/>
      <c r="R159" s="10"/>
      <c r="S159" s="10"/>
      <c r="T159" s="10"/>
      <c r="U159" s="10"/>
      <c r="V159" s="10"/>
      <c r="W159" s="10"/>
      <c r="X159" s="10"/>
      <c r="Y159" s="10"/>
      <c r="Z159" s="10"/>
      <c r="AA159" s="10"/>
    </row>
    <row r="160" spans="1:27" x14ac:dyDescent="0.25">
      <c r="A160" s="14">
        <f>'Notes &amp; Assumptions'!A47</f>
        <v>34</v>
      </c>
      <c r="C160" s="1"/>
      <c r="D160" s="1"/>
      <c r="E160" t="s">
        <v>140</v>
      </c>
      <c r="F160" t="s">
        <v>43</v>
      </c>
      <c r="H160" s="10"/>
      <c r="I160" s="10"/>
      <c r="J160" s="10"/>
      <c r="K160" s="10"/>
      <c r="L160" s="10"/>
      <c r="M160" s="10"/>
      <c r="N160" s="10"/>
      <c r="O160" s="10"/>
      <c r="P160" s="10"/>
      <c r="Q160" s="10"/>
      <c r="R160" s="10"/>
      <c r="S160" s="10"/>
      <c r="T160" s="10"/>
      <c r="U160" s="10"/>
      <c r="V160" s="10"/>
      <c r="W160" s="10"/>
      <c r="X160" s="10"/>
      <c r="Y160" s="10"/>
      <c r="Z160" s="10"/>
      <c r="AA160" s="10"/>
    </row>
    <row r="161" spans="1:27" x14ac:dyDescent="0.25">
      <c r="C161" s="1"/>
      <c r="D161" s="1"/>
      <c r="E161" t="s">
        <v>64</v>
      </c>
      <c r="F161" t="s">
        <v>144</v>
      </c>
      <c r="H161" s="2">
        <f>H154*H158</f>
        <v>0</v>
      </c>
      <c r="I161" s="2">
        <f t="shared" ref="I161:AA161" si="59">I154*I158</f>
        <v>0</v>
      </c>
      <c r="J161" s="2">
        <f t="shared" si="59"/>
        <v>0</v>
      </c>
      <c r="K161" s="2">
        <f t="shared" si="59"/>
        <v>0</v>
      </c>
      <c r="L161" s="2">
        <f t="shared" si="59"/>
        <v>0</v>
      </c>
      <c r="M161" s="2">
        <f t="shared" si="59"/>
        <v>0</v>
      </c>
      <c r="N161" s="2">
        <f t="shared" si="59"/>
        <v>0</v>
      </c>
      <c r="O161" s="2">
        <f t="shared" si="59"/>
        <v>0</v>
      </c>
      <c r="P161" s="2">
        <f t="shared" si="59"/>
        <v>0</v>
      </c>
      <c r="Q161" s="2">
        <f t="shared" si="59"/>
        <v>0</v>
      </c>
      <c r="R161" s="2">
        <f t="shared" si="59"/>
        <v>0</v>
      </c>
      <c r="S161" s="2">
        <f t="shared" si="59"/>
        <v>0</v>
      </c>
      <c r="T161" s="2">
        <f t="shared" si="59"/>
        <v>0</v>
      </c>
      <c r="U161" s="2">
        <f t="shared" si="59"/>
        <v>0</v>
      </c>
      <c r="V161" s="2">
        <f t="shared" si="59"/>
        <v>0</v>
      </c>
      <c r="W161" s="2">
        <f t="shared" si="59"/>
        <v>0</v>
      </c>
      <c r="X161" s="2">
        <f t="shared" si="59"/>
        <v>0</v>
      </c>
      <c r="Y161" s="2">
        <f t="shared" si="59"/>
        <v>0</v>
      </c>
      <c r="Z161" s="2">
        <f t="shared" si="59"/>
        <v>0</v>
      </c>
      <c r="AA161" s="2">
        <f t="shared" si="59"/>
        <v>0</v>
      </c>
    </row>
    <row r="162" spans="1:27" x14ac:dyDescent="0.25">
      <c r="C162" s="1"/>
      <c r="D162" s="1"/>
      <c r="E162" t="s">
        <v>65</v>
      </c>
      <c r="F162" t="s">
        <v>144</v>
      </c>
      <c r="H162" s="2">
        <f>H154*H159</f>
        <v>0</v>
      </c>
      <c r="I162" s="2">
        <f t="shared" ref="I162:AA162" si="60">I154*I159</f>
        <v>0</v>
      </c>
      <c r="J162" s="2">
        <f t="shared" si="60"/>
        <v>0</v>
      </c>
      <c r="K162" s="2">
        <f t="shared" si="60"/>
        <v>0</v>
      </c>
      <c r="L162" s="2">
        <f t="shared" si="60"/>
        <v>0</v>
      </c>
      <c r="M162" s="2">
        <f t="shared" si="60"/>
        <v>0</v>
      </c>
      <c r="N162" s="2">
        <f t="shared" si="60"/>
        <v>0</v>
      </c>
      <c r="O162" s="2">
        <f t="shared" si="60"/>
        <v>0</v>
      </c>
      <c r="P162" s="2">
        <f t="shared" si="60"/>
        <v>0</v>
      </c>
      <c r="Q162" s="2">
        <f t="shared" si="60"/>
        <v>0</v>
      </c>
      <c r="R162" s="2">
        <f t="shared" si="60"/>
        <v>0</v>
      </c>
      <c r="S162" s="2">
        <f t="shared" si="60"/>
        <v>0</v>
      </c>
      <c r="T162" s="2">
        <f t="shared" si="60"/>
        <v>0</v>
      </c>
      <c r="U162" s="2">
        <f t="shared" si="60"/>
        <v>0</v>
      </c>
      <c r="V162" s="2">
        <f t="shared" si="60"/>
        <v>0</v>
      </c>
      <c r="W162" s="2">
        <f t="shared" si="60"/>
        <v>0</v>
      </c>
      <c r="X162" s="2">
        <f t="shared" si="60"/>
        <v>0</v>
      </c>
      <c r="Y162" s="2">
        <f t="shared" si="60"/>
        <v>0</v>
      </c>
      <c r="Z162" s="2">
        <f t="shared" si="60"/>
        <v>0</v>
      </c>
      <c r="AA162" s="2">
        <f t="shared" si="60"/>
        <v>0</v>
      </c>
    </row>
    <row r="163" spans="1:27" x14ac:dyDescent="0.25">
      <c r="C163" s="1"/>
      <c r="D163" s="1"/>
      <c r="E163" t="s">
        <v>141</v>
      </c>
      <c r="F163" t="s">
        <v>144</v>
      </c>
      <c r="H163" s="2">
        <f>H154*H160</f>
        <v>0</v>
      </c>
      <c r="I163" s="2">
        <f t="shared" ref="I163:AA163" si="61">I154*I160</f>
        <v>0</v>
      </c>
      <c r="J163" s="2">
        <f t="shared" si="61"/>
        <v>0</v>
      </c>
      <c r="K163" s="2">
        <f t="shared" si="61"/>
        <v>0</v>
      </c>
      <c r="L163" s="2">
        <f t="shared" si="61"/>
        <v>0</v>
      </c>
      <c r="M163" s="2">
        <f t="shared" si="61"/>
        <v>0</v>
      </c>
      <c r="N163" s="2">
        <f t="shared" si="61"/>
        <v>0</v>
      </c>
      <c r="O163" s="2">
        <f t="shared" si="61"/>
        <v>0</v>
      </c>
      <c r="P163" s="2">
        <f t="shared" si="61"/>
        <v>0</v>
      </c>
      <c r="Q163" s="2">
        <f t="shared" si="61"/>
        <v>0</v>
      </c>
      <c r="R163" s="2">
        <f t="shared" si="61"/>
        <v>0</v>
      </c>
      <c r="S163" s="2">
        <f t="shared" si="61"/>
        <v>0</v>
      </c>
      <c r="T163" s="2">
        <f t="shared" si="61"/>
        <v>0</v>
      </c>
      <c r="U163" s="2">
        <f t="shared" si="61"/>
        <v>0</v>
      </c>
      <c r="V163" s="2">
        <f t="shared" si="61"/>
        <v>0</v>
      </c>
      <c r="W163" s="2">
        <f t="shared" si="61"/>
        <v>0</v>
      </c>
      <c r="X163" s="2">
        <f t="shared" si="61"/>
        <v>0</v>
      </c>
      <c r="Y163" s="2">
        <f t="shared" si="61"/>
        <v>0</v>
      </c>
      <c r="Z163" s="2">
        <f t="shared" si="61"/>
        <v>0</v>
      </c>
      <c r="AA163" s="2">
        <f t="shared" si="61"/>
        <v>0</v>
      </c>
    </row>
    <row r="164" spans="1:27" x14ac:dyDescent="0.25">
      <c r="A164" s="14">
        <f>'Notes &amp; Assumptions'!A48</f>
        <v>35</v>
      </c>
      <c r="C164" s="1"/>
      <c r="D164" s="1"/>
      <c r="E164" t="s">
        <v>66</v>
      </c>
      <c r="F164" t="s">
        <v>8</v>
      </c>
      <c r="H164" s="11"/>
      <c r="I164" s="11"/>
      <c r="J164" s="11"/>
      <c r="K164" s="11"/>
      <c r="L164" s="11"/>
      <c r="M164" s="11"/>
      <c r="N164" s="11"/>
      <c r="O164" s="11"/>
      <c r="P164" s="11"/>
      <c r="Q164" s="11"/>
      <c r="R164" s="11"/>
      <c r="S164" s="11"/>
      <c r="T164" s="11"/>
      <c r="U164" s="11"/>
      <c r="V164" s="11"/>
      <c r="W164" s="11"/>
      <c r="X164" s="11"/>
      <c r="Y164" s="11"/>
      <c r="Z164" s="11"/>
      <c r="AA164" s="11"/>
    </row>
    <row r="165" spans="1:27" x14ac:dyDescent="0.25">
      <c r="A165" s="14">
        <f>'Notes &amp; Assumptions'!A49</f>
        <v>36</v>
      </c>
      <c r="C165" s="1"/>
      <c r="D165" s="1"/>
      <c r="E165" t="s">
        <v>40</v>
      </c>
      <c r="F165" t="s">
        <v>41</v>
      </c>
      <c r="G165" s="10"/>
      <c r="H165" s="2">
        <f>G165*(1+$G$14)*(1+H164)</f>
        <v>0</v>
      </c>
      <c r="I165" s="2">
        <f t="shared" ref="I165:AA165" si="62">H165*(1+$G$14)*(1+I164)</f>
        <v>0</v>
      </c>
      <c r="J165" s="2">
        <f t="shared" si="62"/>
        <v>0</v>
      </c>
      <c r="K165" s="2">
        <f t="shared" si="62"/>
        <v>0</v>
      </c>
      <c r="L165" s="2">
        <f t="shared" si="62"/>
        <v>0</v>
      </c>
      <c r="M165" s="2">
        <f t="shared" si="62"/>
        <v>0</v>
      </c>
      <c r="N165" s="2">
        <f t="shared" si="62"/>
        <v>0</v>
      </c>
      <c r="O165" s="2">
        <f t="shared" si="62"/>
        <v>0</v>
      </c>
      <c r="P165" s="2">
        <f t="shared" si="62"/>
        <v>0</v>
      </c>
      <c r="Q165" s="2">
        <f t="shared" si="62"/>
        <v>0</v>
      </c>
      <c r="R165" s="2">
        <f t="shared" si="62"/>
        <v>0</v>
      </c>
      <c r="S165" s="2">
        <f t="shared" si="62"/>
        <v>0</v>
      </c>
      <c r="T165" s="2">
        <f t="shared" si="62"/>
        <v>0</v>
      </c>
      <c r="U165" s="2">
        <f t="shared" si="62"/>
        <v>0</v>
      </c>
      <c r="V165" s="2">
        <f t="shared" si="62"/>
        <v>0</v>
      </c>
      <c r="W165" s="2">
        <f t="shared" si="62"/>
        <v>0</v>
      </c>
      <c r="X165" s="2">
        <f t="shared" si="62"/>
        <v>0</v>
      </c>
      <c r="Y165" s="2">
        <f t="shared" si="62"/>
        <v>0</v>
      </c>
      <c r="Z165" s="2">
        <f t="shared" si="62"/>
        <v>0</v>
      </c>
      <c r="AA165" s="2">
        <f t="shared" si="62"/>
        <v>0</v>
      </c>
    </row>
    <row r="166" spans="1:27" x14ac:dyDescent="0.25">
      <c r="C166" s="1"/>
      <c r="D166" s="1"/>
      <c r="E166" t="s">
        <v>67</v>
      </c>
      <c r="F166" t="s">
        <v>143</v>
      </c>
      <c r="G166" s="20"/>
      <c r="H166" s="21">
        <f>G166*(1+$G$14)*(1+H164)</f>
        <v>0</v>
      </c>
      <c r="I166" s="21">
        <f t="shared" ref="I166:AA166" si="63">H166*(1+$G$14)*(1+I164)</f>
        <v>0</v>
      </c>
      <c r="J166" s="21">
        <f t="shared" si="63"/>
        <v>0</v>
      </c>
      <c r="K166" s="21">
        <f t="shared" si="63"/>
        <v>0</v>
      </c>
      <c r="L166" s="21">
        <f t="shared" si="63"/>
        <v>0</v>
      </c>
      <c r="M166" s="21">
        <f t="shared" si="63"/>
        <v>0</v>
      </c>
      <c r="N166" s="21">
        <f t="shared" si="63"/>
        <v>0</v>
      </c>
      <c r="O166" s="21">
        <f t="shared" si="63"/>
        <v>0</v>
      </c>
      <c r="P166" s="21">
        <f t="shared" si="63"/>
        <v>0</v>
      </c>
      <c r="Q166" s="21">
        <f t="shared" si="63"/>
        <v>0</v>
      </c>
      <c r="R166" s="21">
        <f t="shared" si="63"/>
        <v>0</v>
      </c>
      <c r="S166" s="21">
        <f t="shared" si="63"/>
        <v>0</v>
      </c>
      <c r="T166" s="21">
        <f t="shared" si="63"/>
        <v>0</v>
      </c>
      <c r="U166" s="21">
        <f t="shared" si="63"/>
        <v>0</v>
      </c>
      <c r="V166" s="21">
        <f t="shared" si="63"/>
        <v>0</v>
      </c>
      <c r="W166" s="21">
        <f t="shared" si="63"/>
        <v>0</v>
      </c>
      <c r="X166" s="21">
        <f t="shared" si="63"/>
        <v>0</v>
      </c>
      <c r="Y166" s="21">
        <f t="shared" si="63"/>
        <v>0</v>
      </c>
      <c r="Z166" s="21">
        <f t="shared" si="63"/>
        <v>0</v>
      </c>
      <c r="AA166" s="21">
        <f t="shared" si="63"/>
        <v>0</v>
      </c>
    </row>
    <row r="167" spans="1:27" x14ac:dyDescent="0.25">
      <c r="C167" s="1"/>
      <c r="D167" s="1"/>
      <c r="E167" t="s">
        <v>68</v>
      </c>
      <c r="F167" t="s">
        <v>143</v>
      </c>
      <c r="G167" s="20"/>
      <c r="H167" s="21">
        <f>G167*(1+$G$14)*(1+H164)</f>
        <v>0</v>
      </c>
      <c r="I167" s="21">
        <f t="shared" ref="I167:AA167" si="64">H167*(1+$G$14)*(1+I164)</f>
        <v>0</v>
      </c>
      <c r="J167" s="21">
        <f t="shared" si="64"/>
        <v>0</v>
      </c>
      <c r="K167" s="21">
        <f t="shared" si="64"/>
        <v>0</v>
      </c>
      <c r="L167" s="21">
        <f t="shared" si="64"/>
        <v>0</v>
      </c>
      <c r="M167" s="21">
        <f t="shared" si="64"/>
        <v>0</v>
      </c>
      <c r="N167" s="21">
        <f t="shared" si="64"/>
        <v>0</v>
      </c>
      <c r="O167" s="21">
        <f t="shared" si="64"/>
        <v>0</v>
      </c>
      <c r="P167" s="21">
        <f t="shared" si="64"/>
        <v>0</v>
      </c>
      <c r="Q167" s="21">
        <f t="shared" si="64"/>
        <v>0</v>
      </c>
      <c r="R167" s="21">
        <f t="shared" si="64"/>
        <v>0</v>
      </c>
      <c r="S167" s="21">
        <f t="shared" si="64"/>
        <v>0</v>
      </c>
      <c r="T167" s="21">
        <f t="shared" si="64"/>
        <v>0</v>
      </c>
      <c r="U167" s="21">
        <f t="shared" si="64"/>
        <v>0</v>
      </c>
      <c r="V167" s="21">
        <f t="shared" si="64"/>
        <v>0</v>
      </c>
      <c r="W167" s="21">
        <f t="shared" si="64"/>
        <v>0</v>
      </c>
      <c r="X167" s="21">
        <f t="shared" si="64"/>
        <v>0</v>
      </c>
      <c r="Y167" s="21">
        <f t="shared" si="64"/>
        <v>0</v>
      </c>
      <c r="Z167" s="21">
        <f t="shared" si="64"/>
        <v>0</v>
      </c>
      <c r="AA167" s="21">
        <f t="shared" si="64"/>
        <v>0</v>
      </c>
    </row>
    <row r="168" spans="1:27" x14ac:dyDescent="0.25">
      <c r="C168" s="1"/>
      <c r="D168" s="1"/>
      <c r="E168" t="s">
        <v>142</v>
      </c>
      <c r="F168" t="s">
        <v>143</v>
      </c>
      <c r="G168" s="20"/>
      <c r="H168" s="21">
        <f>G168*(1+$G$14)*(1+H164)</f>
        <v>0</v>
      </c>
      <c r="I168" s="21">
        <f t="shared" ref="I168:AA168" si="65">H168*(1+$G$14)*(1+I164)</f>
        <v>0</v>
      </c>
      <c r="J168" s="21">
        <f t="shared" si="65"/>
        <v>0</v>
      </c>
      <c r="K168" s="21">
        <f t="shared" si="65"/>
        <v>0</v>
      </c>
      <c r="L168" s="21">
        <f t="shared" si="65"/>
        <v>0</v>
      </c>
      <c r="M168" s="21">
        <f t="shared" si="65"/>
        <v>0</v>
      </c>
      <c r="N168" s="21">
        <f t="shared" si="65"/>
        <v>0</v>
      </c>
      <c r="O168" s="21">
        <f t="shared" si="65"/>
        <v>0</v>
      </c>
      <c r="P168" s="21">
        <f t="shared" si="65"/>
        <v>0</v>
      </c>
      <c r="Q168" s="21">
        <f t="shared" si="65"/>
        <v>0</v>
      </c>
      <c r="R168" s="21">
        <f t="shared" si="65"/>
        <v>0</v>
      </c>
      <c r="S168" s="21">
        <f t="shared" si="65"/>
        <v>0</v>
      </c>
      <c r="T168" s="21">
        <f t="shared" si="65"/>
        <v>0</v>
      </c>
      <c r="U168" s="21">
        <f t="shared" si="65"/>
        <v>0</v>
      </c>
      <c r="V168" s="21">
        <f t="shared" si="65"/>
        <v>0</v>
      </c>
      <c r="W168" s="21">
        <f t="shared" si="65"/>
        <v>0</v>
      </c>
      <c r="X168" s="21">
        <f t="shared" si="65"/>
        <v>0</v>
      </c>
      <c r="Y168" s="21">
        <f t="shared" si="65"/>
        <v>0</v>
      </c>
      <c r="Z168" s="21">
        <f t="shared" si="65"/>
        <v>0</v>
      </c>
      <c r="AA168" s="21">
        <f t="shared" si="65"/>
        <v>0</v>
      </c>
    </row>
    <row r="169" spans="1:27" x14ac:dyDescent="0.25">
      <c r="C169" s="1"/>
      <c r="D169" s="1"/>
    </row>
    <row r="170" spans="1:27" x14ac:dyDescent="0.25">
      <c r="C170" s="1"/>
      <c r="D170" s="1"/>
      <c r="E170" t="s">
        <v>78</v>
      </c>
      <c r="F170" t="s">
        <v>58</v>
      </c>
      <c r="H170" s="2">
        <f>SUM(H161:H163)/1000</f>
        <v>0</v>
      </c>
      <c r="I170" s="2">
        <f t="shared" ref="I170:AA170" si="66">SUM(I161:I163)/1000</f>
        <v>0</v>
      </c>
      <c r="J170" s="2">
        <f t="shared" si="66"/>
        <v>0</v>
      </c>
      <c r="K170" s="2">
        <f t="shared" si="66"/>
        <v>0</v>
      </c>
      <c r="L170" s="2">
        <f t="shared" si="66"/>
        <v>0</v>
      </c>
      <c r="M170" s="2">
        <f t="shared" si="66"/>
        <v>0</v>
      </c>
      <c r="N170" s="2">
        <f t="shared" si="66"/>
        <v>0</v>
      </c>
      <c r="O170" s="2">
        <f t="shared" si="66"/>
        <v>0</v>
      </c>
      <c r="P170" s="2">
        <f t="shared" si="66"/>
        <v>0</v>
      </c>
      <c r="Q170" s="2">
        <f t="shared" si="66"/>
        <v>0</v>
      </c>
      <c r="R170" s="2">
        <f t="shared" si="66"/>
        <v>0</v>
      </c>
      <c r="S170" s="2">
        <f t="shared" si="66"/>
        <v>0</v>
      </c>
      <c r="T170" s="2">
        <f t="shared" si="66"/>
        <v>0</v>
      </c>
      <c r="U170" s="2">
        <f t="shared" si="66"/>
        <v>0</v>
      </c>
      <c r="V170" s="2">
        <f t="shared" si="66"/>
        <v>0</v>
      </c>
      <c r="W170" s="2">
        <f t="shared" si="66"/>
        <v>0</v>
      </c>
      <c r="X170" s="2">
        <f t="shared" si="66"/>
        <v>0</v>
      </c>
      <c r="Y170" s="2">
        <f t="shared" si="66"/>
        <v>0</v>
      </c>
      <c r="Z170" s="2">
        <f t="shared" si="66"/>
        <v>0</v>
      </c>
      <c r="AA170" s="2">
        <f t="shared" si="66"/>
        <v>0</v>
      </c>
    </row>
    <row r="171" spans="1:27" x14ac:dyDescent="0.25">
      <c r="C171" s="1"/>
      <c r="D171" s="1"/>
      <c r="E171" t="s">
        <v>79</v>
      </c>
      <c r="F171" t="s">
        <v>7</v>
      </c>
      <c r="H171" s="2">
        <f>H154*H165+H161*H166+H162*H167+H163*H168</f>
        <v>0</v>
      </c>
      <c r="I171" s="2">
        <f t="shared" ref="I171:AA171" si="67">I154*I165+I161*I166+I162*I167+I163*I168</f>
        <v>0</v>
      </c>
      <c r="J171" s="2">
        <f t="shared" si="67"/>
        <v>0</v>
      </c>
      <c r="K171" s="2">
        <f t="shared" si="67"/>
        <v>0</v>
      </c>
      <c r="L171" s="2">
        <f t="shared" si="67"/>
        <v>0</v>
      </c>
      <c r="M171" s="2">
        <f t="shared" si="67"/>
        <v>0</v>
      </c>
      <c r="N171" s="2">
        <f t="shared" si="67"/>
        <v>0</v>
      </c>
      <c r="O171" s="2">
        <f t="shared" si="67"/>
        <v>0</v>
      </c>
      <c r="P171" s="2">
        <f t="shared" si="67"/>
        <v>0</v>
      </c>
      <c r="Q171" s="2">
        <f t="shared" si="67"/>
        <v>0</v>
      </c>
      <c r="R171" s="2">
        <f t="shared" si="67"/>
        <v>0</v>
      </c>
      <c r="S171" s="2">
        <f t="shared" si="67"/>
        <v>0</v>
      </c>
      <c r="T171" s="2">
        <f t="shared" si="67"/>
        <v>0</v>
      </c>
      <c r="U171" s="2">
        <f t="shared" si="67"/>
        <v>0</v>
      </c>
      <c r="V171" s="2">
        <f t="shared" si="67"/>
        <v>0</v>
      </c>
      <c r="W171" s="2">
        <f t="shared" si="67"/>
        <v>0</v>
      </c>
      <c r="X171" s="2">
        <f t="shared" si="67"/>
        <v>0</v>
      </c>
      <c r="Y171" s="2">
        <f t="shared" si="67"/>
        <v>0</v>
      </c>
      <c r="Z171" s="2">
        <f t="shared" si="67"/>
        <v>0</v>
      </c>
      <c r="AA171" s="2">
        <f t="shared" si="67"/>
        <v>0</v>
      </c>
    </row>
    <row r="172" spans="1:27" x14ac:dyDescent="0.25">
      <c r="C172" s="1"/>
      <c r="D172" s="1"/>
    </row>
    <row r="173" spans="1:27" x14ac:dyDescent="0.25">
      <c r="C173" s="1"/>
      <c r="D173" t="s">
        <v>80</v>
      </c>
    </row>
    <row r="174" spans="1:27" x14ac:dyDescent="0.25">
      <c r="C174" s="1"/>
      <c r="E174" t="s">
        <v>91</v>
      </c>
      <c r="F174" t="s">
        <v>3</v>
      </c>
      <c r="H174">
        <f t="shared" ref="H174:AA175" si="68">SUM(H93,H114,H135,H156)</f>
        <v>10109</v>
      </c>
      <c r="I174">
        <f t="shared" si="68"/>
        <v>9590</v>
      </c>
      <c r="J174">
        <f t="shared" si="68"/>
        <v>9240.6999999999989</v>
      </c>
      <c r="K174">
        <f t="shared" si="68"/>
        <v>8454.5999999999985</v>
      </c>
      <c r="L174">
        <f t="shared" si="68"/>
        <v>7688.9999999999982</v>
      </c>
      <c r="M174">
        <f t="shared" si="68"/>
        <v>6960.9999999999982</v>
      </c>
      <c r="N174">
        <f t="shared" si="68"/>
        <v>6271.9999999999973</v>
      </c>
      <c r="O174">
        <f t="shared" si="68"/>
        <v>5619.699999999998</v>
      </c>
      <c r="P174">
        <f t="shared" si="68"/>
        <v>5468.9999999999982</v>
      </c>
      <c r="Q174">
        <f t="shared" si="68"/>
        <v>5297.5999999999985</v>
      </c>
      <c r="R174">
        <f t="shared" si="68"/>
        <v>5589.9999999999982</v>
      </c>
      <c r="S174">
        <f t="shared" si="68"/>
        <v>5916.699999999998</v>
      </c>
      <c r="T174">
        <f t="shared" si="68"/>
        <v>6251.9999999999982</v>
      </c>
      <c r="U174">
        <f t="shared" si="68"/>
        <v>6221.5999999999976</v>
      </c>
      <c r="V174">
        <f t="shared" si="68"/>
        <v>6194.2999999999975</v>
      </c>
      <c r="W174">
        <f t="shared" si="68"/>
        <v>0</v>
      </c>
      <c r="X174">
        <f t="shared" si="68"/>
        <v>0</v>
      </c>
      <c r="Y174">
        <f t="shared" si="68"/>
        <v>0</v>
      </c>
      <c r="Z174">
        <f t="shared" si="68"/>
        <v>0</v>
      </c>
      <c r="AA174">
        <f t="shared" si="68"/>
        <v>0</v>
      </c>
    </row>
    <row r="175" spans="1:27" x14ac:dyDescent="0.25">
      <c r="C175" s="1"/>
      <c r="D175" s="1"/>
      <c r="E175" t="s">
        <v>90</v>
      </c>
      <c r="F175" t="s">
        <v>3</v>
      </c>
      <c r="H175">
        <f t="shared" si="68"/>
        <v>10109</v>
      </c>
      <c r="I175">
        <f t="shared" si="68"/>
        <v>19699</v>
      </c>
      <c r="J175">
        <f t="shared" si="68"/>
        <v>28939.699999999997</v>
      </c>
      <c r="K175">
        <f t="shared" si="68"/>
        <v>37394.299999999996</v>
      </c>
      <c r="L175">
        <f t="shared" si="68"/>
        <v>45083.299999999996</v>
      </c>
      <c r="M175">
        <f t="shared" si="68"/>
        <v>52044.299999999996</v>
      </c>
      <c r="N175">
        <f t="shared" si="68"/>
        <v>58316.299999999996</v>
      </c>
      <c r="O175">
        <f t="shared" si="68"/>
        <v>63935.999999999993</v>
      </c>
      <c r="P175">
        <f t="shared" si="68"/>
        <v>69405</v>
      </c>
      <c r="Q175">
        <f t="shared" si="68"/>
        <v>74702.599999999991</v>
      </c>
      <c r="R175">
        <f t="shared" si="68"/>
        <v>80292.599999999991</v>
      </c>
      <c r="S175">
        <f t="shared" si="68"/>
        <v>86209.299999999988</v>
      </c>
      <c r="T175">
        <f t="shared" si="68"/>
        <v>92461.299999999988</v>
      </c>
      <c r="U175">
        <f t="shared" si="68"/>
        <v>98682.89999999998</v>
      </c>
      <c r="V175">
        <f t="shared" si="68"/>
        <v>104877.19999999998</v>
      </c>
      <c r="W175">
        <f t="shared" si="68"/>
        <v>104877.19999999998</v>
      </c>
      <c r="X175">
        <f t="shared" si="68"/>
        <v>104877.19999999998</v>
      </c>
      <c r="Y175">
        <f t="shared" si="68"/>
        <v>104877.19999999998</v>
      </c>
      <c r="Z175">
        <f t="shared" si="68"/>
        <v>104877.19999999998</v>
      </c>
      <c r="AA175">
        <f t="shared" si="68"/>
        <v>104877.19999999998</v>
      </c>
    </row>
    <row r="176" spans="1:27" x14ac:dyDescent="0.25">
      <c r="C176" s="1"/>
      <c r="D176" s="1"/>
      <c r="E176" t="s">
        <v>81</v>
      </c>
      <c r="F176" t="s">
        <v>58</v>
      </c>
      <c r="H176" s="2">
        <f>SUM(H107,H128,H149,H170)</f>
        <v>1248.9965</v>
      </c>
      <c r="I176" s="2">
        <f t="shared" ref="H176:AA177" si="69">SUM(I107,I128,I149,I170)</f>
        <v>2439.6055000000001</v>
      </c>
      <c r="J176" s="2">
        <f t="shared" si="69"/>
        <v>3593.3472499999993</v>
      </c>
      <c r="K176" s="2">
        <f t="shared" si="69"/>
        <v>4653.79475</v>
      </c>
      <c r="L176" s="2">
        <f t="shared" si="69"/>
        <v>5624.4687499999991</v>
      </c>
      <c r="M176" s="2">
        <f t="shared" si="69"/>
        <v>6508.3847499999993</v>
      </c>
      <c r="N176" s="2">
        <f t="shared" si="69"/>
        <v>7311.1447499999986</v>
      </c>
      <c r="O176" s="2">
        <f t="shared" si="69"/>
        <v>8036.8774999999996</v>
      </c>
      <c r="P176" s="2">
        <f t="shared" si="69"/>
        <v>8750.5144999999993</v>
      </c>
      <c r="Q176" s="2">
        <f t="shared" si="69"/>
        <v>9450.941499999999</v>
      </c>
      <c r="R176" s="2">
        <f t="shared" si="69"/>
        <v>10190.335999999999</v>
      </c>
      <c r="S176" s="2">
        <f t="shared" si="69"/>
        <v>10973.771249999998</v>
      </c>
      <c r="T176" s="2">
        <f t="shared" si="69"/>
        <v>11801.000249999997</v>
      </c>
      <c r="U176" s="2">
        <f t="shared" si="69"/>
        <v>12623.594749999998</v>
      </c>
      <c r="V176" s="2">
        <f t="shared" si="69"/>
        <v>13443.117999999999</v>
      </c>
      <c r="W176" s="2">
        <f t="shared" si="69"/>
        <v>13443.117999999999</v>
      </c>
      <c r="X176" s="2">
        <f t="shared" si="69"/>
        <v>13443.117999999999</v>
      </c>
      <c r="Y176" s="2">
        <f t="shared" si="69"/>
        <v>13443.117999999999</v>
      </c>
      <c r="Z176" s="2">
        <f t="shared" si="69"/>
        <v>13443.117999999999</v>
      </c>
      <c r="AA176" s="2">
        <f t="shared" si="69"/>
        <v>13443.117999999999</v>
      </c>
    </row>
    <row r="177" spans="1:27" x14ac:dyDescent="0.25">
      <c r="C177" s="1"/>
      <c r="D177" s="1"/>
      <c r="E177" t="s">
        <v>82</v>
      </c>
      <c r="F177" t="s">
        <v>7</v>
      </c>
      <c r="H177" s="2">
        <f t="shared" si="69"/>
        <v>5059997.0294428989</v>
      </c>
      <c r="I177" s="2">
        <f t="shared" si="69"/>
        <v>9813640.4386346266</v>
      </c>
      <c r="J177" s="2">
        <f t="shared" si="69"/>
        <v>14756828.047150774</v>
      </c>
      <c r="K177" s="2">
        <f t="shared" si="69"/>
        <v>19511444.976588752</v>
      </c>
      <c r="L177" s="2">
        <f t="shared" si="69"/>
        <v>24074077.954699419</v>
      </c>
      <c r="M177" s="2">
        <f t="shared" si="69"/>
        <v>28439929.932911668</v>
      </c>
      <c r="N177" s="2">
        <f t="shared" si="69"/>
        <v>32615620.831842452</v>
      </c>
      <c r="O177" s="2">
        <f t="shared" si="69"/>
        <v>36602502.914364107</v>
      </c>
      <c r="P177" s="2">
        <f t="shared" si="69"/>
        <v>40685024.897572123</v>
      </c>
      <c r="Q177" s="2">
        <f t="shared" si="69"/>
        <v>44858687.51313892</v>
      </c>
      <c r="R177" s="2">
        <f t="shared" si="69"/>
        <v>49378191.643165857</v>
      </c>
      <c r="S177" s="2">
        <f t="shared" si="69"/>
        <v>54285148.555953443</v>
      </c>
      <c r="T177" s="2">
        <f t="shared" si="69"/>
        <v>59597404.693263024</v>
      </c>
      <c r="U177" s="2">
        <f t="shared" si="69"/>
        <v>65085081.36430487</v>
      </c>
      <c r="V177" s="2">
        <f t="shared" si="69"/>
        <v>70760709.81436567</v>
      </c>
      <c r="W177" s="2">
        <f t="shared" si="69"/>
        <v>72246684.720467344</v>
      </c>
      <c r="X177" s="2">
        <f t="shared" si="69"/>
        <v>73763865.099597141</v>
      </c>
      <c r="Y177" s="2">
        <f t="shared" si="69"/>
        <v>75312906.266688675</v>
      </c>
      <c r="Z177" s="2">
        <f t="shared" si="69"/>
        <v>76894477.29828915</v>
      </c>
      <c r="AA177" s="2">
        <f t="shared" si="69"/>
        <v>78509261.3215532</v>
      </c>
    </row>
    <row r="178" spans="1:27" x14ac:dyDescent="0.25">
      <c r="C178" s="1"/>
      <c r="D178" s="1"/>
    </row>
    <row r="179" spans="1:27" x14ac:dyDescent="0.25">
      <c r="C179" s="1"/>
      <c r="D179" s="1"/>
      <c r="E179" s="3" t="s">
        <v>84</v>
      </c>
      <c r="F179" s="3" t="s">
        <v>85</v>
      </c>
      <c r="G179" s="3"/>
      <c r="H179" s="9">
        <f>H176*1000/H175</f>
        <v>123.552923137798</v>
      </c>
      <c r="I179" s="9">
        <f t="shared" ref="I179:AA179" si="70">I176*1000/I175</f>
        <v>123.84412914361135</v>
      </c>
      <c r="J179" s="9">
        <f t="shared" si="70"/>
        <v>124.16670698037643</v>
      </c>
      <c r="K179" s="9">
        <f t="shared" si="70"/>
        <v>124.45198198655946</v>
      </c>
      <c r="L179" s="9">
        <f t="shared" si="70"/>
        <v>124.75725490370047</v>
      </c>
      <c r="M179" s="9">
        <f t="shared" si="70"/>
        <v>125.05470820051379</v>
      </c>
      <c r="N179" s="9">
        <f t="shared" si="70"/>
        <v>125.37051819131185</v>
      </c>
      <c r="O179" s="9">
        <f t="shared" si="70"/>
        <v>125.70191285035037</v>
      </c>
      <c r="P179" s="9">
        <f t="shared" si="70"/>
        <v>126.07902168431669</v>
      </c>
      <c r="Q179" s="9">
        <f t="shared" si="70"/>
        <v>126.51422440450533</v>
      </c>
      <c r="R179" s="9">
        <f t="shared" si="70"/>
        <v>126.91500835693452</v>
      </c>
      <c r="S179" s="9">
        <f t="shared" si="70"/>
        <v>127.29219759353109</v>
      </c>
      <c r="T179" s="9">
        <f t="shared" si="70"/>
        <v>127.63177945800027</v>
      </c>
      <c r="U179" s="9">
        <f t="shared" si="70"/>
        <v>127.92079225478781</v>
      </c>
      <c r="V179" s="9">
        <f t="shared" si="70"/>
        <v>128.17960433726302</v>
      </c>
      <c r="W179" s="9">
        <f t="shared" si="70"/>
        <v>128.17960433726302</v>
      </c>
      <c r="X179" s="9">
        <f t="shared" si="70"/>
        <v>128.17960433726302</v>
      </c>
      <c r="Y179" s="9">
        <f t="shared" si="70"/>
        <v>128.17960433726302</v>
      </c>
      <c r="Z179" s="9">
        <f t="shared" si="70"/>
        <v>128.17960433726302</v>
      </c>
      <c r="AA179" s="9">
        <f t="shared" si="70"/>
        <v>128.17960433726302</v>
      </c>
    </row>
    <row r="180" spans="1:27" x14ac:dyDescent="0.25">
      <c r="C180" s="1"/>
      <c r="D180" s="1"/>
      <c r="E180" s="3" t="s">
        <v>83</v>
      </c>
      <c r="F180" s="3" t="s">
        <v>22</v>
      </c>
      <c r="G180" s="3"/>
      <c r="H180" s="9">
        <f>H177/H175</f>
        <v>500.5437757881985</v>
      </c>
      <c r="I180" s="9">
        <f t="shared" ref="I180:AA180" si="71">I177/I175</f>
        <v>498.17962529238167</v>
      </c>
      <c r="J180" s="9">
        <f t="shared" si="71"/>
        <v>509.91641403161663</v>
      </c>
      <c r="K180" s="9">
        <f t="shared" si="71"/>
        <v>521.77591174560712</v>
      </c>
      <c r="L180" s="9">
        <f t="shared" si="71"/>
        <v>533.99103336932797</v>
      </c>
      <c r="M180" s="9">
        <f t="shared" si="71"/>
        <v>546.45619083956683</v>
      </c>
      <c r="N180" s="9">
        <f t="shared" si="71"/>
        <v>559.28824071215865</v>
      </c>
      <c r="O180" s="9">
        <f t="shared" si="71"/>
        <v>572.48659463157082</v>
      </c>
      <c r="P180" s="9">
        <f t="shared" si="71"/>
        <v>586.19731860200454</v>
      </c>
      <c r="Q180" s="9">
        <f t="shared" si="71"/>
        <v>600.49700429622158</v>
      </c>
      <c r="R180" s="9">
        <f t="shared" si="71"/>
        <v>614.97811309094311</v>
      </c>
      <c r="S180" s="9">
        <f t="shared" si="71"/>
        <v>629.69016748719048</v>
      </c>
      <c r="T180" s="9">
        <f t="shared" si="71"/>
        <v>644.56593940668188</v>
      </c>
      <c r="U180" s="9">
        <f t="shared" si="71"/>
        <v>659.53758315072707</v>
      </c>
      <c r="V180" s="9">
        <f t="shared" si="71"/>
        <v>674.70060045811374</v>
      </c>
      <c r="W180" s="9">
        <f t="shared" si="71"/>
        <v>688.86931306773408</v>
      </c>
      <c r="X180" s="9">
        <f t="shared" si="71"/>
        <v>703.33556864215632</v>
      </c>
      <c r="Y180" s="9">
        <f t="shared" si="71"/>
        <v>718.10561558364145</v>
      </c>
      <c r="Z180" s="9">
        <f t="shared" si="71"/>
        <v>733.18583351089808</v>
      </c>
      <c r="AA180" s="9">
        <f t="shared" si="71"/>
        <v>748.58273601462679</v>
      </c>
    </row>
    <row r="181" spans="1:27" x14ac:dyDescent="0.25">
      <c r="C181" s="1"/>
      <c r="D181" s="1"/>
      <c r="E181" s="3" t="s">
        <v>86</v>
      </c>
      <c r="F181" s="3" t="s">
        <v>4</v>
      </c>
      <c r="G181" s="3"/>
      <c r="H181" s="9">
        <f>H177/H176</f>
        <v>4051.2499670278494</v>
      </c>
      <c r="I181" s="9">
        <f t="shared" ref="I181:AA181" si="72">I177/I176</f>
        <v>4022.6341671367054</v>
      </c>
      <c r="J181" s="9">
        <f t="shared" si="72"/>
        <v>4106.7080414092397</v>
      </c>
      <c r="K181" s="9">
        <f t="shared" si="72"/>
        <v>4192.5882048383746</v>
      </c>
      <c r="L181" s="9">
        <f t="shared" si="72"/>
        <v>4280.2403257551077</v>
      </c>
      <c r="M181" s="9">
        <f t="shared" si="72"/>
        <v>4369.737043113757</v>
      </c>
      <c r="N181" s="9">
        <f t="shared" si="72"/>
        <v>4461.0826275656027</v>
      </c>
      <c r="O181" s="9">
        <f t="shared" si="72"/>
        <v>4554.3188774949112</v>
      </c>
      <c r="P181" s="9">
        <f t="shared" si="72"/>
        <v>4649.4437438589612</v>
      </c>
      <c r="Q181" s="9">
        <f t="shared" si="72"/>
        <v>4746.4781697293256</v>
      </c>
      <c r="R181" s="9">
        <f t="shared" si="72"/>
        <v>4845.5901398310971</v>
      </c>
      <c r="S181" s="9">
        <f t="shared" si="72"/>
        <v>4946.8088334676604</v>
      </c>
      <c r="T181" s="9">
        <f t="shared" si="72"/>
        <v>5050.1994263802371</v>
      </c>
      <c r="U181" s="9">
        <f t="shared" si="72"/>
        <v>5155.8278488229253</v>
      </c>
      <c r="V181" s="9">
        <f t="shared" si="72"/>
        <v>5263.7126159545487</v>
      </c>
      <c r="W181" s="9">
        <f t="shared" si="72"/>
        <v>5374.2505808895939</v>
      </c>
      <c r="X181" s="9">
        <f t="shared" si="72"/>
        <v>5487.1098430882739</v>
      </c>
      <c r="Y181" s="9">
        <f t="shared" si="72"/>
        <v>5602.339149793127</v>
      </c>
      <c r="Z181" s="9">
        <f t="shared" si="72"/>
        <v>5719.9882719387833</v>
      </c>
      <c r="AA181" s="9">
        <f t="shared" si="72"/>
        <v>5840.108025649497</v>
      </c>
    </row>
    <row r="182" spans="1:27" x14ac:dyDescent="0.25">
      <c r="C182" s="1"/>
      <c r="D182" s="1"/>
    </row>
    <row r="183" spans="1:27" x14ac:dyDescent="0.25">
      <c r="C183" s="1" t="str">
        <f>"Incremental "&amp;VLOOKUP(G4,E320:F322,2,FALSE)&amp;" Charges"</f>
        <v>Incremental Bulk Wastewater Charges</v>
      </c>
      <c r="G183" t="s">
        <v>323</v>
      </c>
      <c r="H183" s="53">
        <v>1</v>
      </c>
      <c r="I183" s="2"/>
      <c r="J183" s="2"/>
      <c r="K183" s="2"/>
      <c r="L183" s="2"/>
      <c r="M183" s="2"/>
      <c r="N183" s="2"/>
      <c r="O183" s="2"/>
      <c r="P183" s="2"/>
      <c r="Q183" s="2"/>
      <c r="R183" s="2"/>
      <c r="S183" s="2"/>
      <c r="T183" s="2"/>
      <c r="U183" s="2"/>
      <c r="V183" s="2"/>
      <c r="W183" s="2"/>
      <c r="X183" s="2"/>
      <c r="Y183" s="2"/>
      <c r="Z183" s="2"/>
      <c r="AA183" s="2"/>
    </row>
    <row r="184" spans="1:27" x14ac:dyDescent="0.25">
      <c r="A184" s="14">
        <f>'Notes &amp; Assumptions'!A50</f>
        <v>37</v>
      </c>
      <c r="E184" t="s">
        <v>118</v>
      </c>
      <c r="F184" t="s">
        <v>8</v>
      </c>
      <c r="H184" s="11">
        <f>'Bulk charges'!E29</f>
        <v>3.2399999999999998E-2</v>
      </c>
      <c r="I184" s="11">
        <f>'Bulk charges'!F29</f>
        <v>3.2399999999999998E-2</v>
      </c>
      <c r="J184" s="11">
        <f>'Bulk charges'!G29</f>
        <v>3.2399999999999998E-2</v>
      </c>
      <c r="K184" s="11"/>
      <c r="L184" s="11"/>
      <c r="M184" s="11"/>
      <c r="N184" s="11"/>
      <c r="O184" s="11"/>
      <c r="P184" s="11"/>
      <c r="Q184" s="11"/>
      <c r="R184" s="11"/>
      <c r="S184" s="11"/>
      <c r="T184" s="11"/>
      <c r="U184" s="11"/>
      <c r="V184" s="11"/>
      <c r="W184" s="11"/>
      <c r="X184" s="11"/>
      <c r="Y184" s="11"/>
      <c r="Z184" s="11"/>
      <c r="AA184" s="11"/>
    </row>
    <row r="185" spans="1:27" x14ac:dyDescent="0.25">
      <c r="A185" s="14">
        <f>'Notes &amp; Assumptions'!A51</f>
        <v>38</v>
      </c>
      <c r="E185" t="s">
        <v>122</v>
      </c>
      <c r="F185" t="s">
        <v>4</v>
      </c>
      <c r="G185" s="10">
        <f>AVERAGE('Bulk charges'!D34:D35)</f>
        <v>74.83235719999999</v>
      </c>
      <c r="H185" s="2">
        <f>G185*(1+$G$14)</f>
        <v>76.403836701199978</v>
      </c>
      <c r="I185" s="2">
        <f t="shared" ref="I185:K185" si="73">H185*(1+$G$14)</f>
        <v>78.008317271925165</v>
      </c>
      <c r="J185" s="2">
        <f t="shared" si="73"/>
        <v>79.646491934635591</v>
      </c>
      <c r="K185" s="2">
        <f t="shared" si="73"/>
        <v>81.319068265262928</v>
      </c>
      <c r="L185" s="2">
        <f t="shared" ref="L185:AA185" si="74">K185*(1+$G$14)*(1+L184)</f>
        <v>83.026768698833436</v>
      </c>
      <c r="M185" s="2">
        <f t="shared" si="74"/>
        <v>84.770330841508937</v>
      </c>
      <c r="N185" s="2">
        <f t="shared" si="74"/>
        <v>86.550507789180614</v>
      </c>
      <c r="O185" s="2">
        <f t="shared" si="74"/>
        <v>88.368068452753405</v>
      </c>
      <c r="P185" s="2">
        <f t="shared" si="74"/>
        <v>90.223797890261224</v>
      </c>
      <c r="Q185" s="2">
        <f t="shared" si="74"/>
        <v>92.118497645956708</v>
      </c>
      <c r="R185" s="2">
        <f t="shared" si="74"/>
        <v>94.052986096521792</v>
      </c>
      <c r="S185" s="2">
        <f t="shared" si="74"/>
        <v>96.028098804548748</v>
      </c>
      <c r="T185" s="2">
        <f t="shared" si="74"/>
        <v>98.044688879444266</v>
      </c>
      <c r="U185" s="2">
        <f t="shared" si="74"/>
        <v>100.10362734591259</v>
      </c>
      <c r="V185" s="2">
        <f t="shared" si="74"/>
        <v>102.20580352017674</v>
      </c>
      <c r="W185" s="2">
        <f t="shared" si="74"/>
        <v>104.35212539410044</v>
      </c>
      <c r="X185" s="2">
        <f t="shared" si="74"/>
        <v>106.54352002737654</v>
      </c>
      <c r="Y185" s="2">
        <f t="shared" si="74"/>
        <v>108.78093394795144</v>
      </c>
      <c r="Z185" s="2">
        <f t="shared" si="74"/>
        <v>111.06533356085841</v>
      </c>
      <c r="AA185" s="2">
        <f t="shared" si="74"/>
        <v>113.39770556563643</v>
      </c>
    </row>
    <row r="186" spans="1:27" x14ac:dyDescent="0.25">
      <c r="A186" s="14">
        <f>'Notes &amp; Assumptions'!A52</f>
        <v>39</v>
      </c>
      <c r="E186" t="s">
        <v>123</v>
      </c>
      <c r="F186" t="s">
        <v>7</v>
      </c>
      <c r="G186" s="23">
        <f>'Bulk charges'!D32*H183</f>
        <v>190.24571706250899</v>
      </c>
      <c r="H186" s="10">
        <f>G186*(1+$G$14)*(1+H184)*(H154+H133+H112+H91)</f>
        <v>2027201.0520831724</v>
      </c>
      <c r="I186" s="10">
        <f>H186/(H154+H133+H112+H91)*(1+$G$14)*(1+I184)*(I154+I133+I112+I91)</f>
        <v>4163959.9580127695</v>
      </c>
      <c r="J186" s="10">
        <f>I186/(I154+I133+I112+I91)*(1+$G$14)*(1+J184)*(J154+J133+J112+J91)</f>
        <v>6448075.6945223305</v>
      </c>
      <c r="K186" s="10">
        <f t="shared" ref="K186:AA186" si="75">J186/(J154+J133+J112+J91)*(1+$G$14)*(1+K184)*(K154+K133+K112+K91)</f>
        <v>8506820.1729628704</v>
      </c>
      <c r="L186" s="10">
        <f t="shared" si="75"/>
        <v>10471364.671827402</v>
      </c>
      <c r="M186" s="10">
        <f t="shared" si="75"/>
        <v>12342027.22786878</v>
      </c>
      <c r="N186" s="10">
        <f t="shared" si="75"/>
        <v>14119815.830735816</v>
      </c>
      <c r="O186" s="10">
        <f t="shared" si="75"/>
        <v>15805574.091599731</v>
      </c>
      <c r="P186" s="10">
        <f t="shared" si="75"/>
        <v>17517870.575166672</v>
      </c>
      <c r="Q186" s="10">
        <f t="shared" si="75"/>
        <v>19250943.28183046</v>
      </c>
      <c r="R186" s="10">
        <f t="shared" si="75"/>
        <v>21126013.855076864</v>
      </c>
      <c r="S186" s="10">
        <f t="shared" si="75"/>
        <v>23159111.828829102</v>
      </c>
      <c r="T186" s="10">
        <f t="shared" si="75"/>
        <v>25360249.298581861</v>
      </c>
      <c r="U186" s="10">
        <f t="shared" si="75"/>
        <v>27635108.17350255</v>
      </c>
      <c r="V186" s="10">
        <f t="shared" si="75"/>
        <v>29986521.626742598</v>
      </c>
      <c r="W186" s="10">
        <f t="shared" si="75"/>
        <v>30616238.580904189</v>
      </c>
      <c r="X186" s="10">
        <f t="shared" si="75"/>
        <v>31259179.591103174</v>
      </c>
      <c r="Y186" s="10">
        <f t="shared" si="75"/>
        <v>31915622.362516336</v>
      </c>
      <c r="Z186" s="10">
        <f t="shared" si="75"/>
        <v>32585850.432129178</v>
      </c>
      <c r="AA186" s="10">
        <f t="shared" si="75"/>
        <v>33270153.291203886</v>
      </c>
    </row>
    <row r="187" spans="1:27" x14ac:dyDescent="0.25">
      <c r="E187" t="s">
        <v>57</v>
      </c>
      <c r="F187" t="s">
        <v>7</v>
      </c>
      <c r="H187" s="2">
        <f>H185*H176+H186</f>
        <v>2122629.1767095425</v>
      </c>
      <c r="I187" s="2">
        <f t="shared" ref="I187:AA187" si="76">I185*I176+I186</f>
        <v>4354269.4778751032</v>
      </c>
      <c r="J187" s="2">
        <f t="shared" si="76"/>
        <v>6734273.1972878007</v>
      </c>
      <c r="K187" s="2">
        <f t="shared" si="76"/>
        <v>8885262.4259306435</v>
      </c>
      <c r="L187" s="2">
        <f t="shared" si="76"/>
        <v>10938346.137787469</v>
      </c>
      <c r="M187" s="2">
        <f t="shared" si="76"/>
        <v>12893745.156370113</v>
      </c>
      <c r="N187" s="2">
        <f t="shared" si="76"/>
        <v>14752599.121368518</v>
      </c>
      <c r="O187" s="2">
        <f t="shared" si="76"/>
        <v>16515777.432666125</v>
      </c>
      <c r="P187" s="2">
        <f t="shared" si="76"/>
        <v>18307375.226850472</v>
      </c>
      <c r="Q187" s="2">
        <f t="shared" si="76"/>
        <v>20121549.814150285</v>
      </c>
      <c r="R187" s="2">
        <f t="shared" si="76"/>
        <v>22084445.385203749</v>
      </c>
      <c r="S187" s="2">
        <f t="shared" si="76"/>
        <v>24212902.218682617</v>
      </c>
      <c r="T187" s="2">
        <f t="shared" si="76"/>
        <v>26517274.696559355</v>
      </c>
      <c r="U187" s="2">
        <f t="shared" si="76"/>
        <v>28898775.798122369</v>
      </c>
      <c r="V187" s="2">
        <f t="shared" si="76"/>
        <v>31360486.303749148</v>
      </c>
      <c r="W187" s="2">
        <f t="shared" si="76"/>
        <v>32019056.516127877</v>
      </c>
      <c r="X187" s="2">
        <f t="shared" si="76"/>
        <v>32691456.70296656</v>
      </c>
      <c r="Y187" s="2">
        <f t="shared" si="76"/>
        <v>33377977.293728855</v>
      </c>
      <c r="Z187" s="2">
        <f t="shared" si="76"/>
        <v>34078914.816897161</v>
      </c>
      <c r="AA187" s="2">
        <f t="shared" si="76"/>
        <v>34794572.028051995</v>
      </c>
    </row>
    <row r="188" spans="1:27" x14ac:dyDescent="0.25">
      <c r="H188" s="2"/>
      <c r="I188" s="2"/>
      <c r="J188" s="2"/>
      <c r="K188" s="2"/>
      <c r="L188" s="2"/>
      <c r="M188" s="2"/>
      <c r="N188" s="2"/>
      <c r="O188" s="2"/>
      <c r="P188" s="2"/>
      <c r="Q188" s="2"/>
      <c r="R188" s="2"/>
      <c r="S188" s="2"/>
      <c r="T188" s="2"/>
      <c r="U188" s="2"/>
      <c r="V188" s="2"/>
      <c r="W188" s="2"/>
      <c r="X188" s="2"/>
      <c r="Y188" s="2"/>
      <c r="Z188" s="2"/>
      <c r="AA188" s="2"/>
    </row>
    <row r="189" spans="1:27" x14ac:dyDescent="0.25">
      <c r="C189" s="1" t="s">
        <v>10</v>
      </c>
      <c r="G189" s="2"/>
    </row>
    <row r="190" spans="1:27" x14ac:dyDescent="0.25">
      <c r="C190" s="1"/>
      <c r="D190" t="s">
        <v>149</v>
      </c>
      <c r="G190" s="2"/>
    </row>
    <row r="191" spans="1:27" x14ac:dyDescent="0.25">
      <c r="A191" s="14">
        <f>'Notes &amp; Assumptions'!A53</f>
        <v>40</v>
      </c>
      <c r="C191" s="1"/>
      <c r="E191" t="s">
        <v>125</v>
      </c>
      <c r="G191" s="2"/>
      <c r="H191" s="11"/>
      <c r="I191" s="11"/>
      <c r="J191" s="11"/>
      <c r="K191" s="11"/>
      <c r="L191" s="11"/>
      <c r="M191" s="11"/>
      <c r="N191" s="11"/>
      <c r="O191" s="11"/>
      <c r="P191" s="11"/>
      <c r="Q191" s="11"/>
      <c r="R191" s="11"/>
      <c r="S191" s="11"/>
      <c r="T191" s="11"/>
      <c r="U191" s="11"/>
      <c r="V191" s="11"/>
      <c r="W191" s="11"/>
      <c r="X191" s="11"/>
      <c r="Y191" s="11"/>
      <c r="Z191" s="11"/>
      <c r="AA191" s="11"/>
    </row>
    <row r="192" spans="1:27" x14ac:dyDescent="0.25">
      <c r="A192" s="14">
        <f>'Notes &amp; Assumptions'!A54</f>
        <v>41</v>
      </c>
      <c r="E192" t="s">
        <v>26</v>
      </c>
      <c r="F192" t="s">
        <v>22</v>
      </c>
      <c r="G192" s="10">
        <f>'Key assumptions'!B13</f>
        <v>72</v>
      </c>
      <c r="H192" s="2">
        <f t="shared" ref="H192:W193" si="77">G192*(1+$G$14)*(1+H$191)</f>
        <v>73.512</v>
      </c>
      <c r="I192" s="2">
        <f t="shared" si="77"/>
        <v>75.055751999999998</v>
      </c>
      <c r="J192" s="2">
        <f t="shared" si="77"/>
        <v>76.631922791999997</v>
      </c>
      <c r="K192" s="2">
        <f t="shared" si="77"/>
        <v>78.241193170631988</v>
      </c>
      <c r="L192" s="2">
        <f t="shared" si="77"/>
        <v>79.884258227215255</v>
      </c>
      <c r="M192" s="2">
        <f t="shared" si="77"/>
        <v>81.561827649986768</v>
      </c>
      <c r="N192" s="2">
        <f t="shared" si="77"/>
        <v>83.274626030636483</v>
      </c>
      <c r="O192" s="2">
        <f t="shared" si="77"/>
        <v>85.023393177279843</v>
      </c>
      <c r="P192" s="2">
        <f t="shared" si="77"/>
        <v>86.808884434002707</v>
      </c>
      <c r="Q192" s="2">
        <f t="shared" si="77"/>
        <v>88.631871007116757</v>
      </c>
      <c r="R192" s="2">
        <f t="shared" si="77"/>
        <v>90.493140298266198</v>
      </c>
      <c r="S192" s="2">
        <f t="shared" si="77"/>
        <v>92.393496244529786</v>
      </c>
      <c r="T192" s="2">
        <f t="shared" si="77"/>
        <v>94.3337596656649</v>
      </c>
      <c r="U192" s="2">
        <f t="shared" si="77"/>
        <v>96.314768618643853</v>
      </c>
      <c r="V192" s="2">
        <f t="shared" si="77"/>
        <v>98.337378759635371</v>
      </c>
      <c r="W192" s="2">
        <f t="shared" si="77"/>
        <v>100.40246371358771</v>
      </c>
      <c r="X192" s="2">
        <f t="shared" ref="X192:AA193" si="78">W192*(1+$G$14)*(1+X$191)</f>
        <v>102.51091545157304</v>
      </c>
      <c r="Y192" s="2">
        <f t="shared" si="78"/>
        <v>104.66364467605607</v>
      </c>
      <c r="Z192" s="2">
        <f t="shared" si="78"/>
        <v>106.86158121425323</v>
      </c>
      <c r="AA192" s="2">
        <f t="shared" si="78"/>
        <v>109.10567441975255</v>
      </c>
    </row>
    <row r="193" spans="1:29" x14ac:dyDescent="0.25">
      <c r="A193" s="14">
        <f>'Notes &amp; Assumptions'!A55</f>
        <v>42</v>
      </c>
      <c r="E193" t="s">
        <v>27</v>
      </c>
      <c r="F193" t="s">
        <v>4</v>
      </c>
      <c r="G193" s="10"/>
      <c r="H193" s="2">
        <f t="shared" si="77"/>
        <v>0</v>
      </c>
      <c r="I193" s="2">
        <f t="shared" si="77"/>
        <v>0</v>
      </c>
      <c r="J193" s="2">
        <f t="shared" si="77"/>
        <v>0</v>
      </c>
      <c r="K193" s="2">
        <f t="shared" si="77"/>
        <v>0</v>
      </c>
      <c r="L193" s="2">
        <f t="shared" si="77"/>
        <v>0</v>
      </c>
      <c r="M193" s="2">
        <f t="shared" si="77"/>
        <v>0</v>
      </c>
      <c r="N193" s="2">
        <f t="shared" si="77"/>
        <v>0</v>
      </c>
      <c r="O193" s="2">
        <f t="shared" si="77"/>
        <v>0</v>
      </c>
      <c r="P193" s="2">
        <f t="shared" si="77"/>
        <v>0</v>
      </c>
      <c r="Q193" s="2">
        <f t="shared" si="77"/>
        <v>0</v>
      </c>
      <c r="R193" s="2">
        <f t="shared" si="77"/>
        <v>0</v>
      </c>
      <c r="S193" s="2">
        <f t="shared" si="77"/>
        <v>0</v>
      </c>
      <c r="T193" s="2">
        <f t="shared" si="77"/>
        <v>0</v>
      </c>
      <c r="U193" s="2">
        <f t="shared" si="77"/>
        <v>0</v>
      </c>
      <c r="V193" s="2">
        <f t="shared" si="77"/>
        <v>0</v>
      </c>
      <c r="W193" s="2">
        <f t="shared" si="77"/>
        <v>0</v>
      </c>
      <c r="X193" s="2">
        <f t="shared" si="78"/>
        <v>0</v>
      </c>
      <c r="Y193" s="2">
        <f t="shared" si="78"/>
        <v>0</v>
      </c>
      <c r="Z193" s="2">
        <f t="shared" si="78"/>
        <v>0</v>
      </c>
      <c r="AA193" s="2">
        <f t="shared" si="78"/>
        <v>0</v>
      </c>
    </row>
    <row r="194" spans="1:29" x14ac:dyDescent="0.25">
      <c r="A194" s="14">
        <f>'Notes &amp; Assumptions'!A56</f>
        <v>43</v>
      </c>
      <c r="E194" t="s">
        <v>39</v>
      </c>
      <c r="F194" t="s">
        <v>7</v>
      </c>
      <c r="G194" s="2"/>
      <c r="H194" s="10"/>
      <c r="I194" s="10"/>
      <c r="J194" s="10"/>
      <c r="K194" s="10"/>
      <c r="L194" s="10"/>
      <c r="M194" s="10"/>
      <c r="N194" s="10"/>
      <c r="O194" s="10"/>
      <c r="P194" s="10"/>
      <c r="Q194" s="10"/>
      <c r="R194" s="10"/>
      <c r="S194" s="10"/>
      <c r="T194" s="10"/>
      <c r="U194" s="10"/>
      <c r="V194" s="10"/>
      <c r="W194" s="10"/>
      <c r="X194" s="10"/>
      <c r="Y194" s="10"/>
      <c r="Z194" s="10"/>
      <c r="AA194" s="10"/>
    </row>
    <row r="195" spans="1:29" x14ac:dyDescent="0.25">
      <c r="B195" s="14"/>
      <c r="C195" s="14"/>
      <c r="D195" s="14"/>
      <c r="E195" s="14"/>
      <c r="F195" s="14"/>
      <c r="G195" s="14"/>
      <c r="H195" s="14"/>
      <c r="I195" s="14"/>
      <c r="J195" s="14"/>
      <c r="K195" s="14"/>
      <c r="L195" s="14"/>
      <c r="M195" s="14"/>
      <c r="N195" s="14"/>
      <c r="O195" s="14"/>
      <c r="P195" s="14"/>
      <c r="Q195" s="14"/>
      <c r="R195" s="14"/>
      <c r="S195" s="14"/>
      <c r="T195" s="14"/>
      <c r="U195" s="14"/>
      <c r="V195" s="14"/>
      <c r="W195" s="14"/>
      <c r="X195" s="14"/>
      <c r="Y195" s="14"/>
      <c r="Z195" s="14"/>
      <c r="AA195" s="14"/>
      <c r="AB195" s="14"/>
      <c r="AC195" s="14"/>
    </row>
    <row r="196" spans="1:29" x14ac:dyDescent="0.25">
      <c r="D196" t="s">
        <v>124</v>
      </c>
      <c r="G196" s="14"/>
      <c r="H196" s="14"/>
      <c r="I196" s="14"/>
      <c r="J196" s="14"/>
      <c r="K196" s="14"/>
      <c r="L196" s="14"/>
      <c r="M196" s="14"/>
      <c r="N196" s="14"/>
      <c r="O196" s="14"/>
      <c r="P196" s="14"/>
      <c r="Q196" s="14"/>
      <c r="R196" s="14"/>
      <c r="S196" s="14"/>
      <c r="T196" s="14"/>
      <c r="U196" s="14"/>
      <c r="V196" s="14"/>
      <c r="W196" s="14"/>
      <c r="X196" s="14"/>
      <c r="Y196" s="14"/>
      <c r="Z196" s="14"/>
      <c r="AA196" s="14"/>
    </row>
    <row r="197" spans="1:29" x14ac:dyDescent="0.25">
      <c r="A197" s="14">
        <f>'Notes &amp; Assumptions'!A57</f>
        <v>44</v>
      </c>
      <c r="E197" t="s">
        <v>27</v>
      </c>
      <c r="F197" t="s">
        <v>4</v>
      </c>
      <c r="G197" s="14"/>
      <c r="H197" s="10"/>
      <c r="I197" s="10"/>
      <c r="J197" s="10"/>
      <c r="K197" s="10"/>
      <c r="L197" s="10"/>
      <c r="M197" s="10"/>
      <c r="N197" s="10"/>
      <c r="O197" s="10"/>
      <c r="P197" s="10"/>
      <c r="Q197" s="10"/>
      <c r="R197" s="10"/>
      <c r="S197" s="10"/>
      <c r="T197" s="10"/>
      <c r="U197" s="10"/>
      <c r="V197" s="10"/>
      <c r="W197" s="10"/>
      <c r="X197" s="10"/>
      <c r="Y197" s="10"/>
      <c r="Z197" s="10"/>
      <c r="AA197" s="10"/>
    </row>
    <row r="198" spans="1:29" x14ac:dyDescent="0.25">
      <c r="A198" s="14">
        <f>'Notes &amp; Assumptions'!A58</f>
        <v>45</v>
      </c>
      <c r="E198" t="s">
        <v>39</v>
      </c>
      <c r="F198" t="s">
        <v>7</v>
      </c>
      <c r="G198" s="2"/>
      <c r="H198" s="10"/>
      <c r="I198" s="10"/>
      <c r="J198" s="10"/>
      <c r="K198" s="10"/>
      <c r="L198" s="10"/>
      <c r="M198" s="10"/>
      <c r="N198" s="10"/>
      <c r="O198" s="10"/>
      <c r="P198" s="10"/>
      <c r="Q198" s="10"/>
      <c r="R198" s="10"/>
      <c r="S198" s="10"/>
      <c r="T198" s="10"/>
      <c r="U198" s="10"/>
      <c r="V198" s="10"/>
      <c r="W198" s="10"/>
      <c r="X198" s="10"/>
      <c r="Y198" s="10"/>
      <c r="Z198" s="10"/>
      <c r="AA198" s="10"/>
    </row>
    <row r="199" spans="1:29" x14ac:dyDescent="0.25">
      <c r="G199" s="2"/>
    </row>
    <row r="200" spans="1:29" x14ac:dyDescent="0.25">
      <c r="E200" t="s">
        <v>10</v>
      </c>
      <c r="F200" t="s">
        <v>7</v>
      </c>
      <c r="G200" s="2"/>
      <c r="H200" s="2">
        <f>H192*H175+(H193+H197)*H176+H194+H198</f>
        <v>743132.80799999996</v>
      </c>
      <c r="I200" s="2">
        <f t="shared" ref="I200:AA200" si="79">I192*I175+(I193+I197)*I176+I194+I198</f>
        <v>1478523.258648</v>
      </c>
      <c r="J200" s="2">
        <f t="shared" si="79"/>
        <v>2217704.8560236422</v>
      </c>
      <c r="K200" s="2">
        <f t="shared" si="79"/>
        <v>2925774.6497805635</v>
      </c>
      <c r="L200" s="2">
        <f t="shared" si="79"/>
        <v>3601445.9789350131</v>
      </c>
      <c r="M200" s="2">
        <f t="shared" si="79"/>
        <v>4244828.2267642058</v>
      </c>
      <c r="N200" s="2">
        <f t="shared" si="79"/>
        <v>4856268.0739904055</v>
      </c>
      <c r="O200" s="2">
        <f t="shared" si="79"/>
        <v>5436055.6661825636</v>
      </c>
      <c r="P200" s="2">
        <f t="shared" si="79"/>
        <v>6024970.6241419576</v>
      </c>
      <c r="Q200" s="2">
        <f t="shared" si="79"/>
        <v>6621031.2070962396</v>
      </c>
      <c r="R200" s="2">
        <f t="shared" si="79"/>
        <v>7265929.5167125678</v>
      </c>
      <c r="S200" s="2">
        <f t="shared" si="79"/>
        <v>7965178.6357935406</v>
      </c>
      <c r="T200" s="2">
        <f t="shared" si="79"/>
        <v>8722222.05257494</v>
      </c>
      <c r="U200" s="2">
        <f t="shared" si="79"/>
        <v>9504620.6801167671</v>
      </c>
      <c r="V200" s="2">
        <f t="shared" si="79"/>
        <v>10313348.939650029</v>
      </c>
      <c r="W200" s="2">
        <f t="shared" si="79"/>
        <v>10529929.26738268</v>
      </c>
      <c r="X200" s="2">
        <f t="shared" si="79"/>
        <v>10751057.781997714</v>
      </c>
      <c r="Y200" s="2">
        <f t="shared" si="79"/>
        <v>10976829.995419666</v>
      </c>
      <c r="Z200" s="2">
        <f t="shared" si="79"/>
        <v>11207343.425323477</v>
      </c>
      <c r="AA200" s="2">
        <f t="shared" si="79"/>
        <v>11442697.63725527</v>
      </c>
    </row>
    <row r="201" spans="1:29" x14ac:dyDescent="0.25">
      <c r="G201" s="2"/>
      <c r="H201" s="2"/>
      <c r="I201" s="2"/>
      <c r="J201" s="2"/>
      <c r="K201" s="2"/>
      <c r="L201" s="2"/>
      <c r="M201" s="2"/>
      <c r="N201" s="2"/>
      <c r="O201" s="2"/>
      <c r="P201" s="2"/>
      <c r="Q201" s="2"/>
      <c r="R201" s="2"/>
      <c r="S201" s="2"/>
      <c r="T201" s="2"/>
      <c r="U201" s="2"/>
      <c r="V201" s="2"/>
      <c r="W201" s="2"/>
      <c r="X201" s="2"/>
      <c r="Y201" s="2"/>
      <c r="Z201" s="2"/>
      <c r="AA201" s="2"/>
    </row>
    <row r="202" spans="1:29" x14ac:dyDescent="0.25">
      <c r="C202" s="1" t="s">
        <v>48</v>
      </c>
      <c r="G202" s="2"/>
      <c r="H202" s="2"/>
      <c r="I202" s="2"/>
      <c r="J202" s="2"/>
      <c r="K202" s="2"/>
      <c r="L202" s="2"/>
      <c r="M202" s="2"/>
      <c r="N202" s="2"/>
      <c r="O202" s="2"/>
      <c r="P202" s="2"/>
      <c r="Q202" s="2"/>
      <c r="R202" s="2"/>
      <c r="S202" s="2"/>
      <c r="T202" s="2"/>
      <c r="U202" s="2"/>
      <c r="V202" s="2"/>
      <c r="W202" s="2"/>
      <c r="X202" s="2"/>
      <c r="Y202" s="2"/>
      <c r="Z202" s="2"/>
      <c r="AA202" s="2"/>
    </row>
    <row r="203" spans="1:29" x14ac:dyDescent="0.25">
      <c r="A203" s="14">
        <f>'Notes &amp; Assumptions'!A59</f>
        <v>46</v>
      </c>
      <c r="E203" s="10" t="s">
        <v>44</v>
      </c>
      <c r="F203" t="s">
        <v>7</v>
      </c>
      <c r="G203" s="2"/>
      <c r="H203" s="10"/>
      <c r="I203" s="10"/>
      <c r="J203" s="10"/>
      <c r="K203" s="10"/>
      <c r="L203" s="10"/>
      <c r="M203" s="10"/>
      <c r="N203" s="10"/>
      <c r="O203" s="10"/>
      <c r="P203" s="10"/>
      <c r="Q203" s="10"/>
      <c r="R203" s="10"/>
      <c r="S203" s="10"/>
      <c r="T203" s="10"/>
      <c r="U203" s="10"/>
      <c r="V203" s="10"/>
      <c r="W203" s="10"/>
      <c r="X203" s="10"/>
      <c r="Y203" s="10"/>
      <c r="Z203" s="10"/>
      <c r="AA203" s="10"/>
    </row>
    <row r="204" spans="1:29" x14ac:dyDescent="0.25">
      <c r="A204" s="14">
        <f>'Notes &amp; Assumptions'!A60</f>
        <v>47</v>
      </c>
      <c r="E204" s="10" t="s">
        <v>45</v>
      </c>
      <c r="F204" t="s">
        <v>7</v>
      </c>
      <c r="G204" s="2"/>
      <c r="H204" s="10"/>
      <c r="I204" s="10"/>
      <c r="J204" s="10"/>
      <c r="K204" s="10"/>
      <c r="L204" s="10"/>
      <c r="M204" s="10"/>
      <c r="N204" s="10"/>
      <c r="O204" s="10"/>
      <c r="P204" s="10"/>
      <c r="Q204" s="10"/>
      <c r="R204" s="10"/>
      <c r="S204" s="10"/>
      <c r="T204" s="10"/>
      <c r="U204" s="10"/>
      <c r="V204" s="10"/>
      <c r="W204" s="10"/>
      <c r="X204" s="10"/>
      <c r="Y204" s="10"/>
      <c r="Z204" s="10"/>
      <c r="AA204" s="10"/>
    </row>
    <row r="205" spans="1:29" x14ac:dyDescent="0.25">
      <c r="A205" s="14">
        <f>'Notes &amp; Assumptions'!A61</f>
        <v>48</v>
      </c>
      <c r="E205" s="10" t="s">
        <v>46</v>
      </c>
      <c r="F205" t="s">
        <v>7</v>
      </c>
      <c r="G205" s="2"/>
      <c r="H205" s="10"/>
      <c r="I205" s="10"/>
      <c r="J205" s="10"/>
      <c r="K205" s="10"/>
      <c r="L205" s="10"/>
      <c r="M205" s="10"/>
      <c r="N205" s="10"/>
      <c r="O205" s="10"/>
      <c r="P205" s="10"/>
      <c r="Q205" s="10"/>
      <c r="R205" s="10"/>
      <c r="S205" s="10"/>
      <c r="T205" s="10"/>
      <c r="U205" s="10"/>
      <c r="V205" s="10"/>
      <c r="W205" s="10"/>
      <c r="X205" s="10"/>
      <c r="Y205" s="10"/>
      <c r="Z205" s="10"/>
      <c r="AA205" s="10"/>
    </row>
    <row r="206" spans="1:29" x14ac:dyDescent="0.25">
      <c r="A206" s="14">
        <f>'Notes &amp; Assumptions'!A62</f>
        <v>49</v>
      </c>
      <c r="E206" s="10" t="s">
        <v>47</v>
      </c>
      <c r="F206" t="s">
        <v>7</v>
      </c>
      <c r="G206" s="2"/>
      <c r="H206" s="10"/>
      <c r="I206" s="10"/>
      <c r="J206" s="10"/>
      <c r="K206" s="10"/>
      <c r="L206" s="10"/>
      <c r="M206" s="10"/>
      <c r="N206" s="10"/>
      <c r="O206" s="10"/>
      <c r="P206" s="10"/>
      <c r="Q206" s="10"/>
      <c r="R206" s="10"/>
      <c r="S206" s="10"/>
      <c r="T206" s="10"/>
      <c r="U206" s="10"/>
      <c r="V206" s="10"/>
      <c r="W206" s="10"/>
      <c r="X206" s="10"/>
      <c r="Y206" s="10"/>
      <c r="Z206" s="10"/>
      <c r="AA206" s="10"/>
    </row>
    <row r="207" spans="1:29" x14ac:dyDescent="0.25">
      <c r="E207" t="s">
        <v>17</v>
      </c>
      <c r="G207" s="2"/>
      <c r="H207" s="2">
        <f>SUM(H203:H206)</f>
        <v>0</v>
      </c>
      <c r="I207" s="2">
        <f t="shared" ref="I207:AA207" si="80">SUM(I203:I206)</f>
        <v>0</v>
      </c>
      <c r="J207" s="2">
        <f t="shared" si="80"/>
        <v>0</v>
      </c>
      <c r="K207" s="2">
        <f t="shared" si="80"/>
        <v>0</v>
      </c>
      <c r="L207" s="2">
        <f t="shared" si="80"/>
        <v>0</v>
      </c>
      <c r="M207" s="2">
        <f t="shared" si="80"/>
        <v>0</v>
      </c>
      <c r="N207" s="2">
        <f t="shared" si="80"/>
        <v>0</v>
      </c>
      <c r="O207" s="2">
        <f t="shared" si="80"/>
        <v>0</v>
      </c>
      <c r="P207" s="2">
        <f t="shared" si="80"/>
        <v>0</v>
      </c>
      <c r="Q207" s="2">
        <f t="shared" si="80"/>
        <v>0</v>
      </c>
      <c r="R207" s="2">
        <f t="shared" si="80"/>
        <v>0</v>
      </c>
      <c r="S207" s="2">
        <f t="shared" si="80"/>
        <v>0</v>
      </c>
      <c r="T207" s="2">
        <f t="shared" si="80"/>
        <v>0</v>
      </c>
      <c r="U207" s="2">
        <f t="shared" si="80"/>
        <v>0</v>
      </c>
      <c r="V207" s="2">
        <f t="shared" si="80"/>
        <v>0</v>
      </c>
      <c r="W207" s="2">
        <f t="shared" si="80"/>
        <v>0</v>
      </c>
      <c r="X207" s="2">
        <f t="shared" si="80"/>
        <v>0</v>
      </c>
      <c r="Y207" s="2">
        <f t="shared" si="80"/>
        <v>0</v>
      </c>
      <c r="Z207" s="2">
        <f t="shared" si="80"/>
        <v>0</v>
      </c>
      <c r="AA207" s="2">
        <f t="shared" si="80"/>
        <v>0</v>
      </c>
    </row>
    <row r="208" spans="1:29" x14ac:dyDescent="0.25">
      <c r="G208" s="2"/>
      <c r="H208" s="2"/>
      <c r="I208" s="2"/>
      <c r="J208" s="2"/>
      <c r="K208" s="2"/>
      <c r="L208" s="2"/>
      <c r="M208" s="2"/>
      <c r="N208" s="2"/>
      <c r="O208" s="2"/>
      <c r="P208" s="2"/>
      <c r="Q208" s="2"/>
      <c r="R208" s="2"/>
      <c r="S208" s="2"/>
      <c r="T208" s="2"/>
      <c r="U208" s="2"/>
      <c r="V208" s="2"/>
      <c r="W208" s="2"/>
      <c r="X208" s="2"/>
      <c r="Y208" s="2"/>
      <c r="Z208" s="2"/>
      <c r="AA208" s="2"/>
    </row>
    <row r="209" spans="1:27" x14ac:dyDescent="0.25">
      <c r="C209" s="1" t="s">
        <v>49</v>
      </c>
      <c r="G209" s="2"/>
      <c r="H209" s="2"/>
      <c r="I209" s="2"/>
      <c r="J209" s="2"/>
      <c r="K209" s="2"/>
      <c r="L209" s="2"/>
      <c r="M209" s="2"/>
      <c r="N209" s="2"/>
      <c r="O209" s="2"/>
      <c r="P209" s="2"/>
      <c r="Q209" s="2"/>
      <c r="R209" s="2"/>
      <c r="S209" s="2"/>
      <c r="T209" s="2"/>
      <c r="U209" s="2"/>
      <c r="V209" s="2"/>
      <c r="W209" s="2"/>
      <c r="X209" s="2"/>
      <c r="Y209" s="2"/>
      <c r="Z209" s="2"/>
      <c r="AA209" s="2"/>
    </row>
    <row r="210" spans="1:27" x14ac:dyDescent="0.25">
      <c r="A210" s="14">
        <f>'Notes &amp; Assumptions'!A63</f>
        <v>50</v>
      </c>
      <c r="E210" s="10" t="s">
        <v>174</v>
      </c>
      <c r="F210" t="s">
        <v>7</v>
      </c>
      <c r="G210" s="24">
        <v>0</v>
      </c>
      <c r="H210" s="10">
        <f>H107*($G$210*(1+$G$14)^(H2))</f>
        <v>0</v>
      </c>
      <c r="I210" s="10">
        <f>I107*($G$210*(1+$G$14)^(I2))</f>
        <v>0</v>
      </c>
      <c r="J210" s="10">
        <f t="shared" ref="J210:AA210" si="81">J107*($G$210*(1+$G$14)^(J2))</f>
        <v>0</v>
      </c>
      <c r="K210" s="10">
        <f t="shared" si="81"/>
        <v>0</v>
      </c>
      <c r="L210" s="10">
        <f t="shared" si="81"/>
        <v>0</v>
      </c>
      <c r="M210" s="10">
        <f t="shared" si="81"/>
        <v>0</v>
      </c>
      <c r="N210" s="10">
        <f t="shared" si="81"/>
        <v>0</v>
      </c>
      <c r="O210" s="10">
        <f t="shared" si="81"/>
        <v>0</v>
      </c>
      <c r="P210" s="10">
        <f t="shared" si="81"/>
        <v>0</v>
      </c>
      <c r="Q210" s="10">
        <f t="shared" si="81"/>
        <v>0</v>
      </c>
      <c r="R210" s="10">
        <f t="shared" si="81"/>
        <v>0</v>
      </c>
      <c r="S210" s="10">
        <f t="shared" si="81"/>
        <v>0</v>
      </c>
      <c r="T210" s="10">
        <f t="shared" si="81"/>
        <v>0</v>
      </c>
      <c r="U210" s="10">
        <f t="shared" si="81"/>
        <v>0</v>
      </c>
      <c r="V210" s="10">
        <f t="shared" si="81"/>
        <v>0</v>
      </c>
      <c r="W210" s="10">
        <f t="shared" si="81"/>
        <v>0</v>
      </c>
      <c r="X210" s="10">
        <f t="shared" si="81"/>
        <v>0</v>
      </c>
      <c r="Y210" s="10">
        <f t="shared" si="81"/>
        <v>0</v>
      </c>
      <c r="Z210" s="10">
        <f t="shared" si="81"/>
        <v>0</v>
      </c>
      <c r="AA210" s="10">
        <f t="shared" si="81"/>
        <v>0</v>
      </c>
    </row>
    <row r="211" spans="1:27" x14ac:dyDescent="0.25">
      <c r="A211" s="14">
        <f>'Notes &amp; Assumptions'!A64</f>
        <v>51</v>
      </c>
      <c r="E211" s="10" t="s">
        <v>50</v>
      </c>
      <c r="F211" t="s">
        <v>7</v>
      </c>
      <c r="G211" s="2"/>
      <c r="H211" s="10"/>
      <c r="I211" s="10"/>
      <c r="J211" s="10"/>
      <c r="K211" s="10"/>
      <c r="L211" s="10"/>
      <c r="M211" s="10"/>
      <c r="N211" s="10"/>
      <c r="O211" s="10"/>
      <c r="P211" s="10"/>
      <c r="Q211" s="10"/>
      <c r="R211" s="10"/>
      <c r="S211" s="10"/>
      <c r="T211" s="10"/>
      <c r="U211" s="10"/>
      <c r="V211" s="10"/>
      <c r="W211" s="10"/>
      <c r="X211" s="10"/>
      <c r="Y211" s="10"/>
      <c r="Z211" s="10"/>
      <c r="AA211" s="10"/>
    </row>
    <row r="212" spans="1:27" x14ac:dyDescent="0.25">
      <c r="A212" s="14">
        <f>'Notes &amp; Assumptions'!A65</f>
        <v>52</v>
      </c>
      <c r="E212" s="10" t="s">
        <v>51</v>
      </c>
      <c r="F212" t="s">
        <v>7</v>
      </c>
      <c r="G212" s="2"/>
      <c r="H212" s="10"/>
      <c r="I212" s="10"/>
      <c r="J212" s="10"/>
      <c r="K212" s="10"/>
      <c r="L212" s="10"/>
      <c r="M212" s="10"/>
      <c r="N212" s="10"/>
      <c r="O212" s="10"/>
      <c r="P212" s="10"/>
      <c r="Q212" s="10"/>
      <c r="R212" s="10"/>
      <c r="S212" s="10"/>
      <c r="T212" s="10"/>
      <c r="U212" s="10"/>
      <c r="V212" s="10"/>
      <c r="W212" s="10"/>
      <c r="X212" s="10"/>
      <c r="Y212" s="10"/>
      <c r="Z212" s="10"/>
      <c r="AA212" s="10"/>
    </row>
    <row r="213" spans="1:27" x14ac:dyDescent="0.25">
      <c r="A213" s="14">
        <f>'Notes &amp; Assumptions'!A66</f>
        <v>53</v>
      </c>
      <c r="E213" s="10" t="s">
        <v>52</v>
      </c>
      <c r="F213" t="s">
        <v>7</v>
      </c>
      <c r="G213" s="2"/>
      <c r="H213" s="10"/>
      <c r="I213" s="10"/>
      <c r="J213" s="10"/>
      <c r="K213" s="10"/>
      <c r="L213" s="10"/>
      <c r="M213" s="10"/>
      <c r="N213" s="10"/>
      <c r="O213" s="10"/>
      <c r="P213" s="10"/>
      <c r="Q213" s="10"/>
      <c r="R213" s="10"/>
      <c r="S213" s="10"/>
      <c r="T213" s="10"/>
      <c r="U213" s="10"/>
      <c r="V213" s="10"/>
      <c r="W213" s="10"/>
      <c r="X213" s="10"/>
      <c r="Y213" s="10"/>
      <c r="Z213" s="10"/>
      <c r="AA213" s="10"/>
    </row>
    <row r="214" spans="1:27" x14ac:dyDescent="0.25">
      <c r="E214" t="s">
        <v>17</v>
      </c>
      <c r="G214" s="2"/>
      <c r="H214" s="2">
        <f>SUM(H210:H213)</f>
        <v>0</v>
      </c>
      <c r="I214" s="2">
        <f t="shared" ref="I214:AA214" si="82">SUM(I210:I213)</f>
        <v>0</v>
      </c>
      <c r="J214" s="2">
        <f t="shared" si="82"/>
        <v>0</v>
      </c>
      <c r="K214" s="2">
        <f t="shared" si="82"/>
        <v>0</v>
      </c>
      <c r="L214" s="2">
        <f t="shared" si="82"/>
        <v>0</v>
      </c>
      <c r="M214" s="2">
        <f t="shared" si="82"/>
        <v>0</v>
      </c>
      <c r="N214" s="2">
        <f t="shared" si="82"/>
        <v>0</v>
      </c>
      <c r="O214" s="2">
        <f t="shared" si="82"/>
        <v>0</v>
      </c>
      <c r="P214" s="2">
        <f t="shared" si="82"/>
        <v>0</v>
      </c>
      <c r="Q214" s="2">
        <f t="shared" si="82"/>
        <v>0</v>
      </c>
      <c r="R214" s="2">
        <f t="shared" si="82"/>
        <v>0</v>
      </c>
      <c r="S214" s="2">
        <f t="shared" si="82"/>
        <v>0</v>
      </c>
      <c r="T214" s="2">
        <f t="shared" si="82"/>
        <v>0</v>
      </c>
      <c r="U214" s="2">
        <f t="shared" si="82"/>
        <v>0</v>
      </c>
      <c r="V214" s="2">
        <f t="shared" si="82"/>
        <v>0</v>
      </c>
      <c r="W214" s="2">
        <f t="shared" si="82"/>
        <v>0</v>
      </c>
      <c r="X214" s="2">
        <f t="shared" si="82"/>
        <v>0</v>
      </c>
      <c r="Y214" s="2">
        <f t="shared" si="82"/>
        <v>0</v>
      </c>
      <c r="Z214" s="2">
        <f t="shared" si="82"/>
        <v>0</v>
      </c>
      <c r="AA214" s="2">
        <f t="shared" si="82"/>
        <v>0</v>
      </c>
    </row>
    <row r="215" spans="1:27" x14ac:dyDescent="0.25">
      <c r="G215" s="2"/>
      <c r="H215" s="2"/>
      <c r="I215" s="2"/>
      <c r="J215" s="2"/>
      <c r="K215" s="2"/>
      <c r="L215" s="2"/>
      <c r="M215" s="2"/>
      <c r="N215" s="2"/>
      <c r="O215" s="2"/>
      <c r="P215" s="2"/>
      <c r="Q215" s="2"/>
      <c r="R215" s="2"/>
      <c r="S215" s="2"/>
      <c r="T215" s="2"/>
      <c r="U215" s="2"/>
      <c r="V215" s="2"/>
      <c r="W215" s="2"/>
      <c r="X215" s="2"/>
      <c r="Y215" s="2"/>
      <c r="Z215" s="2"/>
      <c r="AA215" s="2"/>
    </row>
    <row r="216" spans="1:27" x14ac:dyDescent="0.25">
      <c r="C216" s="1" t="s">
        <v>33</v>
      </c>
      <c r="G216" s="2"/>
      <c r="H216" s="2"/>
      <c r="I216" s="2"/>
      <c r="J216" s="2"/>
      <c r="K216" s="2"/>
      <c r="L216" s="2"/>
      <c r="M216" s="2"/>
      <c r="N216" s="2"/>
      <c r="O216" s="2"/>
      <c r="P216" s="2"/>
      <c r="Q216" s="2"/>
      <c r="R216" s="2"/>
      <c r="S216" s="2"/>
      <c r="T216" s="2"/>
      <c r="U216" s="2"/>
      <c r="V216" s="2"/>
      <c r="W216" s="2"/>
      <c r="X216" s="2"/>
      <c r="Y216" s="2"/>
      <c r="Z216" s="2"/>
      <c r="AA216" s="2"/>
    </row>
    <row r="217" spans="1:27" x14ac:dyDescent="0.25">
      <c r="C217" s="1"/>
      <c r="D217" s="1"/>
      <c r="E217" t="s">
        <v>29</v>
      </c>
      <c r="F217" t="s">
        <v>3</v>
      </c>
      <c r="G217" s="44"/>
      <c r="H217" s="2">
        <f t="shared" ref="H217:AA217" si="83">H174</f>
        <v>10109</v>
      </c>
      <c r="I217" s="2">
        <f t="shared" si="83"/>
        <v>9590</v>
      </c>
      <c r="J217" s="2">
        <f t="shared" si="83"/>
        <v>9240.6999999999989</v>
      </c>
      <c r="K217" s="2">
        <f t="shared" si="83"/>
        <v>8454.5999999999985</v>
      </c>
      <c r="L217" s="2">
        <f t="shared" si="83"/>
        <v>7688.9999999999982</v>
      </c>
      <c r="M217" s="2">
        <f t="shared" si="83"/>
        <v>6960.9999999999982</v>
      </c>
      <c r="N217" s="2">
        <f t="shared" si="83"/>
        <v>6271.9999999999973</v>
      </c>
      <c r="O217" s="2">
        <f t="shared" si="83"/>
        <v>5619.699999999998</v>
      </c>
      <c r="P217" s="2">
        <f t="shared" si="83"/>
        <v>5468.9999999999982</v>
      </c>
      <c r="Q217" s="2">
        <f t="shared" si="83"/>
        <v>5297.5999999999985</v>
      </c>
      <c r="R217" s="2">
        <f t="shared" si="83"/>
        <v>5589.9999999999982</v>
      </c>
      <c r="S217" s="2">
        <f t="shared" si="83"/>
        <v>5916.699999999998</v>
      </c>
      <c r="T217" s="2">
        <f t="shared" si="83"/>
        <v>6251.9999999999982</v>
      </c>
      <c r="U217" s="2">
        <f t="shared" si="83"/>
        <v>6221.5999999999976</v>
      </c>
      <c r="V217" s="2">
        <f t="shared" si="83"/>
        <v>6194.2999999999975</v>
      </c>
      <c r="W217" s="2">
        <f t="shared" si="83"/>
        <v>0</v>
      </c>
      <c r="X217" s="2">
        <f t="shared" si="83"/>
        <v>0</v>
      </c>
      <c r="Y217" s="2">
        <f t="shared" si="83"/>
        <v>0</v>
      </c>
      <c r="Z217" s="2">
        <f t="shared" si="83"/>
        <v>0</v>
      </c>
      <c r="AA217" s="2">
        <f t="shared" si="83"/>
        <v>0</v>
      </c>
    </row>
    <row r="218" spans="1:27" x14ac:dyDescent="0.25">
      <c r="E218" t="s">
        <v>18</v>
      </c>
      <c r="F218" t="s">
        <v>22</v>
      </c>
      <c r="G218" s="8">
        <f ca="1">MAX(0,-G245/(NPV($G$16,H217:AA217)))</f>
        <v>2422.5951995476544</v>
      </c>
      <c r="H218" s="2">
        <f t="shared" ref="H218:AA218" ca="1" si="84">G218*(1+$G$14)</f>
        <v>2473.4696987381549</v>
      </c>
      <c r="I218" s="2">
        <f t="shared" ca="1" si="84"/>
        <v>2525.4125624116559</v>
      </c>
      <c r="J218" s="2">
        <f t="shared" ca="1" si="84"/>
        <v>2578.4462262223005</v>
      </c>
      <c r="K218" s="2">
        <f t="shared" ca="1" si="84"/>
        <v>2632.5935969729685</v>
      </c>
      <c r="L218" s="2">
        <f t="shared" ca="1" si="84"/>
        <v>2687.8780625094005</v>
      </c>
      <c r="M218" s="2">
        <f t="shared" ca="1" si="84"/>
        <v>2744.3235018220976</v>
      </c>
      <c r="N218" s="2">
        <f t="shared" ca="1" si="84"/>
        <v>2801.9542953603614</v>
      </c>
      <c r="O218" s="2">
        <f t="shared" ca="1" si="84"/>
        <v>2860.7953355629288</v>
      </c>
      <c r="P218" s="2">
        <f t="shared" ca="1" si="84"/>
        <v>2920.8720376097499</v>
      </c>
      <c r="Q218" s="2">
        <f t="shared" ca="1" si="84"/>
        <v>2982.2103503995545</v>
      </c>
      <c r="R218" s="2">
        <f t="shared" ca="1" si="84"/>
        <v>3044.8367677579449</v>
      </c>
      <c r="S218" s="2">
        <f t="shared" ca="1" si="84"/>
        <v>3108.7783398808615</v>
      </c>
      <c r="T218" s="2">
        <f t="shared" ca="1" si="84"/>
        <v>3174.0626850183594</v>
      </c>
      <c r="U218" s="2">
        <f t="shared" ca="1" si="84"/>
        <v>3240.7180014037444</v>
      </c>
      <c r="V218" s="2">
        <f t="shared" ca="1" si="84"/>
        <v>3308.7730794332228</v>
      </c>
      <c r="W218" s="2">
        <f t="shared" ca="1" si="84"/>
        <v>3378.2573141013204</v>
      </c>
      <c r="X218" s="2">
        <f t="shared" ca="1" si="84"/>
        <v>3449.200717697448</v>
      </c>
      <c r="Y218" s="2">
        <f t="shared" ca="1" si="84"/>
        <v>3521.6339327690939</v>
      </c>
      <c r="Z218" s="2">
        <f t="shared" ca="1" si="84"/>
        <v>3595.5882453572444</v>
      </c>
      <c r="AA218" s="2">
        <f t="shared" ca="1" si="84"/>
        <v>3671.0955985097462</v>
      </c>
    </row>
    <row r="219" spans="1:27" x14ac:dyDescent="0.25">
      <c r="E219" t="s">
        <v>21</v>
      </c>
      <c r="F219" t="s">
        <v>7</v>
      </c>
      <c r="H219" s="2">
        <f ca="1">H218*H217</f>
        <v>25004305.184544008</v>
      </c>
      <c r="I219" s="2">
        <f t="shared" ref="I219:AA219" ca="1" si="85">I218*I217</f>
        <v>24218706.473527782</v>
      </c>
      <c r="J219" s="2">
        <f t="shared" ca="1" si="85"/>
        <v>23826648.04265241</v>
      </c>
      <c r="K219" s="2">
        <f t="shared" ca="1" si="85"/>
        <v>22257525.824967656</v>
      </c>
      <c r="L219" s="2">
        <f t="shared" ca="1" si="85"/>
        <v>20667094.422634777</v>
      </c>
      <c r="M219" s="2">
        <f t="shared" ca="1" si="85"/>
        <v>19103235.896183617</v>
      </c>
      <c r="N219" s="2">
        <f t="shared" ca="1" si="85"/>
        <v>17573857.34050018</v>
      </c>
      <c r="O219" s="2">
        <f t="shared" ca="1" si="85"/>
        <v>16076811.547262985</v>
      </c>
      <c r="P219" s="2">
        <f t="shared" ca="1" si="85"/>
        <v>15974249.173687717</v>
      </c>
      <c r="Q219" s="2">
        <f t="shared" ca="1" si="85"/>
        <v>15798557.552276675</v>
      </c>
      <c r="R219" s="2">
        <f t="shared" ca="1" si="85"/>
        <v>17020637.531766906</v>
      </c>
      <c r="S219" s="2">
        <f t="shared" ca="1" si="85"/>
        <v>18393708.803573087</v>
      </c>
      <c r="T219" s="2">
        <f t="shared" ca="1" si="85"/>
        <v>19844239.906734776</v>
      </c>
      <c r="U219" s="2">
        <f t="shared" ca="1" si="85"/>
        <v>20162451.117533527</v>
      </c>
      <c r="V219" s="2">
        <f t="shared" ca="1" si="85"/>
        <v>20495533.085933205</v>
      </c>
      <c r="W219" s="2">
        <f t="shared" ca="1" si="85"/>
        <v>0</v>
      </c>
      <c r="X219" s="2">
        <f t="shared" ca="1" si="85"/>
        <v>0</v>
      </c>
      <c r="Y219" s="2">
        <f t="shared" ca="1" si="85"/>
        <v>0</v>
      </c>
      <c r="Z219" s="2">
        <f t="shared" ca="1" si="85"/>
        <v>0</v>
      </c>
      <c r="AA219" s="2">
        <f t="shared" ca="1" si="85"/>
        <v>0</v>
      </c>
    </row>
    <row r="220" spans="1:27" x14ac:dyDescent="0.25">
      <c r="G220" s="8">
        <f ca="1">-G245/(NPV($G$16,H217:AA217))</f>
        <v>2422.5951995476544</v>
      </c>
    </row>
    <row r="221" spans="1:27" x14ac:dyDescent="0.25">
      <c r="D221" t="s">
        <v>9</v>
      </c>
    </row>
    <row r="222" spans="1:27" x14ac:dyDescent="0.25">
      <c r="E222" t="s">
        <v>107</v>
      </c>
      <c r="F222" t="s">
        <v>7</v>
      </c>
      <c r="G222" s="2">
        <f t="shared" ref="G222:AA222" si="86">G42</f>
        <v>0</v>
      </c>
      <c r="H222" s="2">
        <f t="shared" si="86"/>
        <v>72249022.999999985</v>
      </c>
      <c r="I222" s="2">
        <f t="shared" si="86"/>
        <v>69979064.329999983</v>
      </c>
      <c r="J222" s="2">
        <f t="shared" si="86"/>
        <v>68846225.869558871</v>
      </c>
      <c r="K222" s="2">
        <f t="shared" si="86"/>
        <v>64312304.756430194</v>
      </c>
      <c r="L222" s="2">
        <f t="shared" si="86"/>
        <v>59716811.53560283</v>
      </c>
      <c r="M222" s="2">
        <f t="shared" si="86"/>
        <v>55198099.665290311</v>
      </c>
      <c r="N222" s="2">
        <f t="shared" si="86"/>
        <v>50779016.406236961</v>
      </c>
      <c r="O222" s="2">
        <f t="shared" si="86"/>
        <v>46453357.47872936</v>
      </c>
      <c r="P222" s="2">
        <f t="shared" si="86"/>
        <v>46157007.26092948</v>
      </c>
      <c r="Q222" s="2">
        <f t="shared" si="86"/>
        <v>45649352.76293207</v>
      </c>
      <c r="R222" s="2">
        <f t="shared" si="86"/>
        <v>49180508.053766027</v>
      </c>
      <c r="S222" s="2">
        <f t="shared" si="86"/>
        <v>53147947.147361971</v>
      </c>
      <c r="T222" s="2">
        <f t="shared" si="86"/>
        <v>57339203.583446585</v>
      </c>
      <c r="U222" s="2">
        <f t="shared" si="86"/>
        <v>58258663.209226079</v>
      </c>
      <c r="V222" s="2">
        <f t="shared" si="86"/>
        <v>59221091.343828619</v>
      </c>
      <c r="W222" s="2">
        <f t="shared" si="86"/>
        <v>0</v>
      </c>
      <c r="X222" s="2">
        <f t="shared" si="86"/>
        <v>0</v>
      </c>
      <c r="Y222" s="2">
        <f t="shared" si="86"/>
        <v>0</v>
      </c>
      <c r="Z222" s="2">
        <f t="shared" si="86"/>
        <v>0</v>
      </c>
      <c r="AA222" s="2">
        <f t="shared" si="86"/>
        <v>0</v>
      </c>
    </row>
    <row r="223" spans="1:27" x14ac:dyDescent="0.25">
      <c r="E223" t="s">
        <v>11</v>
      </c>
      <c r="F223" t="s">
        <v>7</v>
      </c>
      <c r="G223" s="2">
        <f t="shared" ref="G223:AA223" si="87">G177</f>
        <v>0</v>
      </c>
      <c r="H223" s="2">
        <f t="shared" si="87"/>
        <v>5059997.0294428989</v>
      </c>
      <c r="I223" s="2">
        <f t="shared" si="87"/>
        <v>9813640.4386346266</v>
      </c>
      <c r="J223" s="2">
        <f t="shared" si="87"/>
        <v>14756828.047150774</v>
      </c>
      <c r="K223" s="2">
        <f t="shared" si="87"/>
        <v>19511444.976588752</v>
      </c>
      <c r="L223" s="2">
        <f t="shared" si="87"/>
        <v>24074077.954699419</v>
      </c>
      <c r="M223" s="2">
        <f t="shared" si="87"/>
        <v>28439929.932911668</v>
      </c>
      <c r="N223" s="2">
        <f t="shared" si="87"/>
        <v>32615620.831842452</v>
      </c>
      <c r="O223" s="2">
        <f t="shared" si="87"/>
        <v>36602502.914364107</v>
      </c>
      <c r="P223" s="2">
        <f t="shared" si="87"/>
        <v>40685024.897572123</v>
      </c>
      <c r="Q223" s="2">
        <f t="shared" si="87"/>
        <v>44858687.51313892</v>
      </c>
      <c r="R223" s="2">
        <f t="shared" si="87"/>
        <v>49378191.643165857</v>
      </c>
      <c r="S223" s="2">
        <f t="shared" si="87"/>
        <v>54285148.555953443</v>
      </c>
      <c r="T223" s="2">
        <f t="shared" si="87"/>
        <v>59597404.693263024</v>
      </c>
      <c r="U223" s="2">
        <f t="shared" si="87"/>
        <v>65085081.36430487</v>
      </c>
      <c r="V223" s="2">
        <f t="shared" si="87"/>
        <v>70760709.81436567</v>
      </c>
      <c r="W223" s="2">
        <f t="shared" si="87"/>
        <v>72246684.720467344</v>
      </c>
      <c r="X223" s="2">
        <f t="shared" si="87"/>
        <v>73763865.099597141</v>
      </c>
      <c r="Y223" s="2">
        <f t="shared" si="87"/>
        <v>75312906.266688675</v>
      </c>
      <c r="Z223" s="2">
        <f t="shared" si="87"/>
        <v>76894477.29828915</v>
      </c>
      <c r="AA223" s="2">
        <f t="shared" si="87"/>
        <v>78509261.3215532</v>
      </c>
    </row>
    <row r="224" spans="1:27" x14ac:dyDescent="0.25">
      <c r="E224" t="s">
        <v>57</v>
      </c>
      <c r="F224" t="s">
        <v>7</v>
      </c>
      <c r="G224" s="2">
        <f t="shared" ref="G224:AA224" si="88">-G187</f>
        <v>0</v>
      </c>
      <c r="H224" s="2">
        <f t="shared" si="88"/>
        <v>-2122629.1767095425</v>
      </c>
      <c r="I224" s="2">
        <f t="shared" si="88"/>
        <v>-4354269.4778751032</v>
      </c>
      <c r="J224" s="2">
        <f t="shared" si="88"/>
        <v>-6734273.1972878007</v>
      </c>
      <c r="K224" s="2">
        <f t="shared" si="88"/>
        <v>-8885262.4259306435</v>
      </c>
      <c r="L224" s="2">
        <f t="shared" si="88"/>
        <v>-10938346.137787469</v>
      </c>
      <c r="M224" s="2">
        <f t="shared" si="88"/>
        <v>-12893745.156370113</v>
      </c>
      <c r="N224" s="2">
        <f t="shared" si="88"/>
        <v>-14752599.121368518</v>
      </c>
      <c r="O224" s="2">
        <f t="shared" si="88"/>
        <v>-16515777.432666125</v>
      </c>
      <c r="P224" s="2">
        <f t="shared" si="88"/>
        <v>-18307375.226850472</v>
      </c>
      <c r="Q224" s="2">
        <f t="shared" si="88"/>
        <v>-20121549.814150285</v>
      </c>
      <c r="R224" s="2">
        <f t="shared" si="88"/>
        <v>-22084445.385203749</v>
      </c>
      <c r="S224" s="2">
        <f t="shared" si="88"/>
        <v>-24212902.218682617</v>
      </c>
      <c r="T224" s="2">
        <f t="shared" si="88"/>
        <v>-26517274.696559355</v>
      </c>
      <c r="U224" s="2">
        <f t="shared" si="88"/>
        <v>-28898775.798122369</v>
      </c>
      <c r="V224" s="2">
        <f t="shared" si="88"/>
        <v>-31360486.303749148</v>
      </c>
      <c r="W224" s="2">
        <f t="shared" si="88"/>
        <v>-32019056.516127877</v>
      </c>
      <c r="X224" s="2">
        <f t="shared" si="88"/>
        <v>-32691456.70296656</v>
      </c>
      <c r="Y224" s="2">
        <f t="shared" si="88"/>
        <v>-33377977.293728855</v>
      </c>
      <c r="Z224" s="2">
        <f t="shared" si="88"/>
        <v>-34078914.816897161</v>
      </c>
      <c r="AA224" s="2">
        <f t="shared" si="88"/>
        <v>-34794572.028051995</v>
      </c>
    </row>
    <row r="225" spans="4:28" customFormat="1" x14ac:dyDescent="0.25">
      <c r="E225" t="s">
        <v>10</v>
      </c>
      <c r="F225" t="s">
        <v>7</v>
      </c>
      <c r="G225" s="2">
        <f t="shared" ref="G225:AA225" si="89">-G200</f>
        <v>0</v>
      </c>
      <c r="H225" s="2">
        <f t="shared" si="89"/>
        <v>-743132.80799999996</v>
      </c>
      <c r="I225" s="2">
        <f t="shared" si="89"/>
        <v>-1478523.258648</v>
      </c>
      <c r="J225" s="2">
        <f t="shared" si="89"/>
        <v>-2217704.8560236422</v>
      </c>
      <c r="K225" s="2">
        <f t="shared" si="89"/>
        <v>-2925774.6497805635</v>
      </c>
      <c r="L225" s="2">
        <f t="shared" si="89"/>
        <v>-3601445.9789350131</v>
      </c>
      <c r="M225" s="2">
        <f t="shared" si="89"/>
        <v>-4244828.2267642058</v>
      </c>
      <c r="N225" s="2">
        <f t="shared" si="89"/>
        <v>-4856268.0739904055</v>
      </c>
      <c r="O225" s="2">
        <f t="shared" si="89"/>
        <v>-5436055.6661825636</v>
      </c>
      <c r="P225" s="2">
        <f t="shared" si="89"/>
        <v>-6024970.6241419576</v>
      </c>
      <c r="Q225" s="2">
        <f t="shared" si="89"/>
        <v>-6621031.2070962396</v>
      </c>
      <c r="R225" s="2">
        <f t="shared" si="89"/>
        <v>-7265929.5167125678</v>
      </c>
      <c r="S225" s="2">
        <f t="shared" si="89"/>
        <v>-7965178.6357935406</v>
      </c>
      <c r="T225" s="2">
        <f t="shared" si="89"/>
        <v>-8722222.05257494</v>
      </c>
      <c r="U225" s="2">
        <f t="shared" si="89"/>
        <v>-9504620.6801167671</v>
      </c>
      <c r="V225" s="2">
        <f t="shared" si="89"/>
        <v>-10313348.939650029</v>
      </c>
      <c r="W225" s="2">
        <f t="shared" si="89"/>
        <v>-10529929.26738268</v>
      </c>
      <c r="X225" s="2">
        <f t="shared" si="89"/>
        <v>-10751057.781997714</v>
      </c>
      <c r="Y225" s="2">
        <f t="shared" si="89"/>
        <v>-10976829.995419666</v>
      </c>
      <c r="Z225" s="2">
        <f t="shared" si="89"/>
        <v>-11207343.425323477</v>
      </c>
      <c r="AA225" s="2">
        <f t="shared" si="89"/>
        <v>-11442697.63725527</v>
      </c>
    </row>
    <row r="226" spans="4:28" customFormat="1" x14ac:dyDescent="0.25">
      <c r="E226" t="s">
        <v>12</v>
      </c>
      <c r="F226" t="s">
        <v>7</v>
      </c>
      <c r="G226" s="2">
        <f t="shared" ref="G226:AA226" si="90">-G34-G50-G85</f>
        <v>-2270733.6869101608</v>
      </c>
      <c r="H226" s="2">
        <f t="shared" si="90"/>
        <v>-3595527.3885563994</v>
      </c>
      <c r="I226" s="2">
        <f t="shared" si="90"/>
        <v>-4858521.1906916089</v>
      </c>
      <c r="J226" s="2">
        <f t="shared" si="90"/>
        <v>-6033547.6911213035</v>
      </c>
      <c r="K226" s="2">
        <f t="shared" si="90"/>
        <v>-7176532.7481053052</v>
      </c>
      <c r="L226" s="2">
        <f t="shared" si="90"/>
        <v>-8257140.2665846683</v>
      </c>
      <c r="M226" s="2">
        <f t="shared" si="90"/>
        <v>-9284285.1947393343</v>
      </c>
      <c r="N226" s="2">
        <f t="shared" si="90"/>
        <v>-10277006.398075156</v>
      </c>
      <c r="O226" s="2">
        <f t="shared" si="90"/>
        <v>-11228432.760702128</v>
      </c>
      <c r="P226" s="2">
        <f t="shared" si="90"/>
        <v>-12180185.866708048</v>
      </c>
      <c r="Q226" s="2">
        <f t="shared" si="90"/>
        <v>-13137055.051101888</v>
      </c>
      <c r="R226" s="2">
        <f t="shared" si="90"/>
        <v>-14144446.216800435</v>
      </c>
      <c r="S226" s="2">
        <f t="shared" si="90"/>
        <v>-15205768.084630694</v>
      </c>
      <c r="T226" s="2">
        <f t="shared" si="90"/>
        <v>-16322639.069420304</v>
      </c>
      <c r="U226" s="2">
        <f t="shared" si="90"/>
        <v>-17459127.3869568</v>
      </c>
      <c r="V226" s="2">
        <f t="shared" si="90"/>
        <v>-18617187.355069697</v>
      </c>
      <c r="W226" s="2">
        <f t="shared" si="90"/>
        <v>-18753510.329643548</v>
      </c>
      <c r="X226" s="2">
        <f t="shared" si="90"/>
        <v>-18892575.543719023</v>
      </c>
      <c r="Y226" s="2">
        <f t="shared" si="90"/>
        <v>-19034375.311761718</v>
      </c>
      <c r="Z226" s="2">
        <f t="shared" si="90"/>
        <v>-19179130.697570179</v>
      </c>
      <c r="AA226" s="2">
        <f t="shared" si="90"/>
        <v>-19327051.483097389</v>
      </c>
    </row>
    <row r="227" spans="4:28" customFormat="1" x14ac:dyDescent="0.25">
      <c r="E227" t="s">
        <v>48</v>
      </c>
      <c r="F227" t="s">
        <v>7</v>
      </c>
      <c r="G227" s="2">
        <f t="shared" ref="G227:AA227" si="91">G207</f>
        <v>0</v>
      </c>
      <c r="H227" s="2">
        <f t="shared" si="91"/>
        <v>0</v>
      </c>
      <c r="I227" s="2">
        <f t="shared" si="91"/>
        <v>0</v>
      </c>
      <c r="J227" s="2">
        <f t="shared" si="91"/>
        <v>0</v>
      </c>
      <c r="K227" s="2">
        <f t="shared" si="91"/>
        <v>0</v>
      </c>
      <c r="L227" s="2">
        <f t="shared" si="91"/>
        <v>0</v>
      </c>
      <c r="M227" s="2">
        <f t="shared" si="91"/>
        <v>0</v>
      </c>
      <c r="N227" s="2">
        <f t="shared" si="91"/>
        <v>0</v>
      </c>
      <c r="O227" s="2">
        <f t="shared" si="91"/>
        <v>0</v>
      </c>
      <c r="P227" s="2">
        <f t="shared" si="91"/>
        <v>0</v>
      </c>
      <c r="Q227" s="2">
        <f t="shared" si="91"/>
        <v>0</v>
      </c>
      <c r="R227" s="2">
        <f t="shared" si="91"/>
        <v>0</v>
      </c>
      <c r="S227" s="2">
        <f t="shared" si="91"/>
        <v>0</v>
      </c>
      <c r="T227" s="2">
        <f t="shared" si="91"/>
        <v>0</v>
      </c>
      <c r="U227" s="2">
        <f t="shared" si="91"/>
        <v>0</v>
      </c>
      <c r="V227" s="2">
        <f t="shared" si="91"/>
        <v>0</v>
      </c>
      <c r="W227" s="2">
        <f t="shared" si="91"/>
        <v>0</v>
      </c>
      <c r="X227" s="2">
        <f t="shared" si="91"/>
        <v>0</v>
      </c>
      <c r="Y227" s="2">
        <f t="shared" si="91"/>
        <v>0</v>
      </c>
      <c r="Z227" s="2">
        <f t="shared" si="91"/>
        <v>0</v>
      </c>
      <c r="AA227" s="2">
        <f t="shared" si="91"/>
        <v>0</v>
      </c>
    </row>
    <row r="228" spans="4:28" customFormat="1" x14ac:dyDescent="0.25">
      <c r="E228" t="s">
        <v>13</v>
      </c>
      <c r="F228" t="s">
        <v>7</v>
      </c>
      <c r="H228" s="2">
        <f t="shared" ref="H228:AA228" ca="1" si="92">H219</f>
        <v>25004305.184544008</v>
      </c>
      <c r="I228" s="2">
        <f t="shared" ca="1" si="92"/>
        <v>24218706.473527782</v>
      </c>
      <c r="J228" s="2">
        <f t="shared" ca="1" si="92"/>
        <v>23826648.04265241</v>
      </c>
      <c r="K228" s="2">
        <f t="shared" ca="1" si="92"/>
        <v>22257525.824967656</v>
      </c>
      <c r="L228" s="2">
        <f t="shared" ca="1" si="92"/>
        <v>20667094.422634777</v>
      </c>
      <c r="M228" s="2">
        <f t="shared" ca="1" si="92"/>
        <v>19103235.896183617</v>
      </c>
      <c r="N228" s="2">
        <f t="shared" ca="1" si="92"/>
        <v>17573857.34050018</v>
      </c>
      <c r="O228" s="2">
        <f t="shared" ca="1" si="92"/>
        <v>16076811.547262985</v>
      </c>
      <c r="P228" s="2">
        <f t="shared" ca="1" si="92"/>
        <v>15974249.173687717</v>
      </c>
      <c r="Q228" s="2">
        <f t="shared" ca="1" si="92"/>
        <v>15798557.552276675</v>
      </c>
      <c r="R228" s="2">
        <f t="shared" ca="1" si="92"/>
        <v>17020637.531766906</v>
      </c>
      <c r="S228" s="2">
        <f t="shared" ca="1" si="92"/>
        <v>18393708.803573087</v>
      </c>
      <c r="T228" s="2">
        <f t="shared" ca="1" si="92"/>
        <v>19844239.906734776</v>
      </c>
      <c r="U228" s="2">
        <f t="shared" ca="1" si="92"/>
        <v>20162451.117533527</v>
      </c>
      <c r="V228" s="2">
        <f t="shared" ca="1" si="92"/>
        <v>20495533.085933205</v>
      </c>
      <c r="W228" s="2">
        <f t="shared" ca="1" si="92"/>
        <v>0</v>
      </c>
      <c r="X228" s="2">
        <f t="shared" ca="1" si="92"/>
        <v>0</v>
      </c>
      <c r="Y228" s="2">
        <f t="shared" ca="1" si="92"/>
        <v>0</v>
      </c>
      <c r="Z228" s="2">
        <f t="shared" ca="1" si="92"/>
        <v>0</v>
      </c>
      <c r="AA228" s="2">
        <f t="shared" ca="1" si="92"/>
        <v>0</v>
      </c>
    </row>
    <row r="229" spans="4:28" customFormat="1" x14ac:dyDescent="0.25"/>
    <row r="230" spans="4:28" customFormat="1" x14ac:dyDescent="0.25">
      <c r="E230" t="s">
        <v>14</v>
      </c>
      <c r="F230" t="s">
        <v>7</v>
      </c>
      <c r="G230" s="2">
        <f t="shared" ref="G230:AA230" si="93">SUM(G222:G228)</f>
        <v>-2270733.6869101608</v>
      </c>
      <c r="H230" s="2">
        <f t="shared" ca="1" si="93"/>
        <v>95852035.840720937</v>
      </c>
      <c r="I230" s="2">
        <f t="shared" ca="1" si="93"/>
        <v>93320097.314947695</v>
      </c>
      <c r="J230" s="2">
        <f t="shared" ca="1" si="93"/>
        <v>92444176.214929312</v>
      </c>
      <c r="K230" s="2">
        <f t="shared" ca="1" si="93"/>
        <v>87093705.734170094</v>
      </c>
      <c r="L230" s="2">
        <f t="shared" ca="1" si="93"/>
        <v>81661051.529629871</v>
      </c>
      <c r="M230" s="2">
        <f t="shared" ca="1" si="93"/>
        <v>76318406.916511938</v>
      </c>
      <c r="N230" s="2">
        <f t="shared" ca="1" si="93"/>
        <v>71082620.985145524</v>
      </c>
      <c r="O230" s="2">
        <f t="shared" ca="1" si="93"/>
        <v>65952406.080805644</v>
      </c>
      <c r="P230" s="2">
        <f t="shared" ca="1" si="93"/>
        <v>66303749.614488825</v>
      </c>
      <c r="Q230" s="2">
        <f t="shared" ca="1" si="93"/>
        <v>66426961.755999237</v>
      </c>
      <c r="R230" s="2">
        <f t="shared" ca="1" si="93"/>
        <v>72084516.109982044</v>
      </c>
      <c r="S230" s="2">
        <f t="shared" ca="1" si="93"/>
        <v>78442955.567781642</v>
      </c>
      <c r="T230" s="2">
        <f t="shared" ca="1" si="93"/>
        <v>85218712.364889786</v>
      </c>
      <c r="U230" s="2">
        <f t="shared" ca="1" si="93"/>
        <v>87643671.825868517</v>
      </c>
      <c r="V230" s="2">
        <f t="shared" ca="1" si="93"/>
        <v>90186311.645658627</v>
      </c>
      <c r="W230" s="2">
        <f t="shared" ca="1" si="93"/>
        <v>10944188.607313238</v>
      </c>
      <c r="X230" s="2">
        <f t="shared" ca="1" si="93"/>
        <v>11428775.070913848</v>
      </c>
      <c r="Y230" s="2">
        <f t="shared" ca="1" si="93"/>
        <v>11923723.665778432</v>
      </c>
      <c r="Z230" s="2">
        <f t="shared" ca="1" si="93"/>
        <v>12429088.358498331</v>
      </c>
      <c r="AA230" s="2">
        <f t="shared" ca="1" si="93"/>
        <v>12944940.173148546</v>
      </c>
    </row>
    <row r="231" spans="4:28" customFormat="1" x14ac:dyDescent="0.25">
      <c r="E231" t="s">
        <v>15</v>
      </c>
      <c r="F231" t="s">
        <v>7</v>
      </c>
      <c r="G231" s="2">
        <f>-G230*G$18</f>
        <v>681220.1060730482</v>
      </c>
      <c r="H231" s="2">
        <f t="shared" ref="H231:AA231" ca="1" si="94">-H230*H$18</f>
        <v>-28755610.75221628</v>
      </c>
      <c r="I231" s="2">
        <f t="shared" ca="1" si="94"/>
        <v>-27996029.194484308</v>
      </c>
      <c r="J231" s="2">
        <f t="shared" ca="1" si="94"/>
        <v>-27733252.864478793</v>
      </c>
      <c r="K231" s="2">
        <f t="shared" ca="1" si="94"/>
        <v>-26128111.720251027</v>
      </c>
      <c r="L231" s="2">
        <f t="shared" ca="1" si="94"/>
        <v>-24498315.458888959</v>
      </c>
      <c r="M231" s="2">
        <f t="shared" ca="1" si="94"/>
        <v>-22895522.074953582</v>
      </c>
      <c r="N231" s="2">
        <f t="shared" ca="1" si="94"/>
        <v>-21324786.295543656</v>
      </c>
      <c r="O231" s="2">
        <f t="shared" ca="1" si="94"/>
        <v>-19785721.824241694</v>
      </c>
      <c r="P231" s="2">
        <f t="shared" ca="1" si="94"/>
        <v>-19891124.884346645</v>
      </c>
      <c r="Q231" s="2">
        <f t="shared" ca="1" si="94"/>
        <v>-19928088.526799772</v>
      </c>
      <c r="R231" s="2">
        <f t="shared" ca="1" si="94"/>
        <v>-21625354.832994614</v>
      </c>
      <c r="S231" s="2">
        <f t="shared" ca="1" si="94"/>
        <v>-23532886.670334492</v>
      </c>
      <c r="T231" s="2">
        <f t="shared" ca="1" si="94"/>
        <v>-25565613.709466934</v>
      </c>
      <c r="U231" s="2">
        <f t="shared" ca="1" si="94"/>
        <v>-26293101.547760554</v>
      </c>
      <c r="V231" s="2">
        <f t="shared" ca="1" si="94"/>
        <v>-27055893.493697587</v>
      </c>
      <c r="W231" s="2">
        <f t="shared" ca="1" si="94"/>
        <v>-3283256.5821939711</v>
      </c>
      <c r="X231" s="2">
        <f t="shared" ca="1" si="94"/>
        <v>-3428632.5212741541</v>
      </c>
      <c r="Y231" s="2">
        <f t="shared" ca="1" si="94"/>
        <v>-3577117.0997335296</v>
      </c>
      <c r="Z231" s="2">
        <f t="shared" ca="1" si="94"/>
        <v>-3728726.5075494992</v>
      </c>
      <c r="AA231" s="2">
        <f t="shared" ca="1" si="94"/>
        <v>-3883482.0519445636</v>
      </c>
    </row>
    <row r="232" spans="4:28" customFormat="1" x14ac:dyDescent="0.25"/>
    <row r="233" spans="4:28" customFormat="1" x14ac:dyDescent="0.25">
      <c r="D233" t="s">
        <v>28</v>
      </c>
    </row>
    <row r="234" spans="4:28" customFormat="1" x14ac:dyDescent="0.25">
      <c r="E234" t="s">
        <v>1</v>
      </c>
      <c r="F234" t="s">
        <v>7</v>
      </c>
      <c r="G234" s="2">
        <f t="shared" ref="G234:AA234" si="95">-G26</f>
        <v>-204366031.82191446</v>
      </c>
      <c r="H234" s="2">
        <f t="shared" si="95"/>
        <v>-46982410.148161471</v>
      </c>
      <c r="I234" s="2">
        <f t="shared" si="95"/>
        <v>-43690377.862168886</v>
      </c>
      <c r="J234" s="2">
        <f t="shared" si="95"/>
        <v>-36906159.169113621</v>
      </c>
      <c r="K234" s="2">
        <f t="shared" si="95"/>
        <v>-38556350.372129947</v>
      </c>
      <c r="L234" s="2">
        <f t="shared" si="95"/>
        <v>-37537865.127539843</v>
      </c>
      <c r="M234" s="2">
        <f t="shared" si="95"/>
        <v>-37244943.86862956</v>
      </c>
      <c r="N234" s="2">
        <f t="shared" si="95"/>
        <v>-38565891.893987045</v>
      </c>
      <c r="O234" s="2">
        <f t="shared" si="95"/>
        <v>-39175015.157698087</v>
      </c>
      <c r="P234" s="2">
        <f t="shared" si="95"/>
        <v>-39500772.279603362</v>
      </c>
      <c r="Q234" s="2">
        <f t="shared" si="95"/>
        <v>-40468873.832513496</v>
      </c>
      <c r="R234" s="2">
        <f t="shared" si="95"/>
        <v>-41484696.859103203</v>
      </c>
      <c r="S234" s="2">
        <f t="shared" si="95"/>
        <v>-42371020.957361422</v>
      </c>
      <c r="T234" s="2">
        <f t="shared" si="95"/>
        <v>-43179185.047618181</v>
      </c>
      <c r="U234" s="2">
        <f t="shared" si="95"/>
        <v>-44025285.369058631</v>
      </c>
      <c r="V234" s="2">
        <f t="shared" si="95"/>
        <v>-45004305.786332041</v>
      </c>
      <c r="W234" s="2">
        <f t="shared" si="95"/>
        <v>-12269067.711646918</v>
      </c>
      <c r="X234" s="2">
        <f t="shared" si="95"/>
        <v>-12515869.266792528</v>
      </c>
      <c r="Y234" s="2">
        <f t="shared" si="95"/>
        <v>-12761979.123842647</v>
      </c>
      <c r="Z234" s="2">
        <f t="shared" si="95"/>
        <v>-13027984.722761476</v>
      </c>
      <c r="AA234" s="2">
        <f t="shared" si="95"/>
        <v>-13312870.697448894</v>
      </c>
    </row>
    <row r="235" spans="4:28" customFormat="1" x14ac:dyDescent="0.25">
      <c r="E235" t="s">
        <v>19</v>
      </c>
      <c r="F235" t="s">
        <v>7</v>
      </c>
      <c r="G235" s="2">
        <f t="shared" ref="G235:AA235" si="96">G84</f>
        <v>0</v>
      </c>
      <c r="H235" s="2">
        <f t="shared" si="96"/>
        <v>0</v>
      </c>
      <c r="I235" s="2">
        <f t="shared" si="96"/>
        <v>0</v>
      </c>
      <c r="J235" s="2">
        <f t="shared" si="96"/>
        <v>0</v>
      </c>
      <c r="K235" s="2">
        <f t="shared" si="96"/>
        <v>0</v>
      </c>
      <c r="L235" s="2">
        <f t="shared" si="96"/>
        <v>0</v>
      </c>
      <c r="M235" s="2">
        <f t="shared" si="96"/>
        <v>0</v>
      </c>
      <c r="N235" s="2">
        <f t="shared" si="96"/>
        <v>0</v>
      </c>
      <c r="O235" s="2">
        <f t="shared" si="96"/>
        <v>0</v>
      </c>
      <c r="P235" s="2">
        <f t="shared" si="96"/>
        <v>0</v>
      </c>
      <c r="Q235" s="2">
        <f t="shared" si="96"/>
        <v>0</v>
      </c>
      <c r="R235" s="2">
        <f t="shared" si="96"/>
        <v>0</v>
      </c>
      <c r="S235" s="2">
        <f t="shared" si="96"/>
        <v>0</v>
      </c>
      <c r="T235" s="2">
        <f t="shared" si="96"/>
        <v>0</v>
      </c>
      <c r="U235" s="2">
        <f t="shared" si="96"/>
        <v>0</v>
      </c>
      <c r="V235" s="2">
        <f t="shared" si="96"/>
        <v>0</v>
      </c>
      <c r="W235" s="2">
        <f t="shared" si="96"/>
        <v>0</v>
      </c>
      <c r="X235" s="2">
        <f t="shared" si="96"/>
        <v>0</v>
      </c>
      <c r="Y235" s="2">
        <f t="shared" si="96"/>
        <v>0</v>
      </c>
      <c r="Z235" s="2">
        <f t="shared" si="96"/>
        <v>0</v>
      </c>
      <c r="AA235" s="2">
        <f t="shared" si="96"/>
        <v>0</v>
      </c>
    </row>
    <row r="236" spans="4:28" customFormat="1" x14ac:dyDescent="0.25">
      <c r="E236" t="s">
        <v>109</v>
      </c>
      <c r="F236" t="s">
        <v>7</v>
      </c>
      <c r="G236" s="2">
        <f t="shared" ref="G236:AA236" si="97">G53</f>
        <v>0</v>
      </c>
      <c r="H236" s="2">
        <f t="shared" si="97"/>
        <v>0</v>
      </c>
      <c r="I236" s="2">
        <f t="shared" si="97"/>
        <v>0</v>
      </c>
      <c r="J236" s="2">
        <f t="shared" si="97"/>
        <v>0</v>
      </c>
      <c r="K236" s="2">
        <f t="shared" si="97"/>
        <v>0</v>
      </c>
      <c r="L236" s="2">
        <f t="shared" si="97"/>
        <v>0</v>
      </c>
      <c r="M236" s="2">
        <f t="shared" si="97"/>
        <v>0</v>
      </c>
      <c r="N236" s="2">
        <f t="shared" si="97"/>
        <v>0</v>
      </c>
      <c r="O236" s="2">
        <f t="shared" si="97"/>
        <v>0</v>
      </c>
      <c r="P236" s="2">
        <f t="shared" si="97"/>
        <v>0</v>
      </c>
      <c r="Q236" s="2">
        <f t="shared" si="97"/>
        <v>0</v>
      </c>
      <c r="R236" s="2">
        <f t="shared" si="97"/>
        <v>0</v>
      </c>
      <c r="S236" s="2">
        <f t="shared" si="97"/>
        <v>0</v>
      </c>
      <c r="T236" s="2">
        <f t="shared" si="97"/>
        <v>0</v>
      </c>
      <c r="U236" s="2">
        <f t="shared" si="97"/>
        <v>0</v>
      </c>
      <c r="V236" s="2">
        <f t="shared" si="97"/>
        <v>0</v>
      </c>
      <c r="W236" s="2">
        <f t="shared" si="97"/>
        <v>0</v>
      </c>
      <c r="X236" s="2">
        <f t="shared" si="97"/>
        <v>0</v>
      </c>
      <c r="Y236" s="2">
        <f t="shared" si="97"/>
        <v>0</v>
      </c>
      <c r="Z236" s="2">
        <f t="shared" si="97"/>
        <v>0</v>
      </c>
      <c r="AA236" s="2">
        <f t="shared" si="97"/>
        <v>0</v>
      </c>
    </row>
    <row r="237" spans="4:28" customFormat="1" x14ac:dyDescent="0.25">
      <c r="E237" t="s">
        <v>11</v>
      </c>
      <c r="F237" t="s">
        <v>7</v>
      </c>
      <c r="G237" s="2">
        <f t="shared" ref="G237:AA237" si="98">G177</f>
        <v>0</v>
      </c>
      <c r="H237" s="2">
        <f t="shared" si="98"/>
        <v>5059997.0294428989</v>
      </c>
      <c r="I237" s="2">
        <f t="shared" si="98"/>
        <v>9813640.4386346266</v>
      </c>
      <c r="J237" s="2">
        <f t="shared" si="98"/>
        <v>14756828.047150774</v>
      </c>
      <c r="K237" s="2">
        <f t="shared" si="98"/>
        <v>19511444.976588752</v>
      </c>
      <c r="L237" s="2">
        <f t="shared" si="98"/>
        <v>24074077.954699419</v>
      </c>
      <c r="M237" s="2">
        <f t="shared" si="98"/>
        <v>28439929.932911668</v>
      </c>
      <c r="N237" s="2">
        <f t="shared" si="98"/>
        <v>32615620.831842452</v>
      </c>
      <c r="O237" s="2">
        <f t="shared" si="98"/>
        <v>36602502.914364107</v>
      </c>
      <c r="P237" s="2">
        <f t="shared" si="98"/>
        <v>40685024.897572123</v>
      </c>
      <c r="Q237" s="2">
        <f t="shared" si="98"/>
        <v>44858687.51313892</v>
      </c>
      <c r="R237" s="2">
        <f t="shared" si="98"/>
        <v>49378191.643165857</v>
      </c>
      <c r="S237" s="2">
        <f t="shared" si="98"/>
        <v>54285148.555953443</v>
      </c>
      <c r="T237" s="2">
        <f t="shared" si="98"/>
        <v>59597404.693263024</v>
      </c>
      <c r="U237" s="2">
        <f t="shared" si="98"/>
        <v>65085081.36430487</v>
      </c>
      <c r="V237" s="2">
        <f t="shared" si="98"/>
        <v>70760709.81436567</v>
      </c>
      <c r="W237" s="2">
        <f t="shared" si="98"/>
        <v>72246684.720467344</v>
      </c>
      <c r="X237" s="2">
        <f t="shared" si="98"/>
        <v>73763865.099597141</v>
      </c>
      <c r="Y237" s="2">
        <f t="shared" si="98"/>
        <v>75312906.266688675</v>
      </c>
      <c r="Z237" s="2">
        <f t="shared" si="98"/>
        <v>76894477.29828915</v>
      </c>
      <c r="AA237" s="2">
        <f t="shared" si="98"/>
        <v>78509261.3215532</v>
      </c>
      <c r="AB237" s="2">
        <f t="shared" ref="AB237:AB241" si="99">IF(V237=0,0,IF($G$15&gt;(AA237/V237)^(1/5)-1+2%,AA237*(AA237/V237)^(1/5)/($G$15-((AA237/V237)^(1/5)-1)),AA237*(1+$G$14)/$G$16))</f>
        <v>2616975377.3851123</v>
      </c>
    </row>
    <row r="238" spans="4:28" customFormat="1" x14ac:dyDescent="0.25">
      <c r="E238" t="s">
        <v>57</v>
      </c>
      <c r="F238" t="s">
        <v>7</v>
      </c>
      <c r="G238" s="2">
        <f t="shared" ref="G238:AA238" si="100">G224</f>
        <v>0</v>
      </c>
      <c r="H238" s="2">
        <f t="shared" si="100"/>
        <v>-2122629.1767095425</v>
      </c>
      <c r="I238" s="2">
        <f t="shared" si="100"/>
        <v>-4354269.4778751032</v>
      </c>
      <c r="J238" s="2">
        <f t="shared" si="100"/>
        <v>-6734273.1972878007</v>
      </c>
      <c r="K238" s="2">
        <f t="shared" si="100"/>
        <v>-8885262.4259306435</v>
      </c>
      <c r="L238" s="2">
        <f t="shared" si="100"/>
        <v>-10938346.137787469</v>
      </c>
      <c r="M238" s="2">
        <f t="shared" si="100"/>
        <v>-12893745.156370113</v>
      </c>
      <c r="N238" s="2">
        <f t="shared" si="100"/>
        <v>-14752599.121368518</v>
      </c>
      <c r="O238" s="2">
        <f t="shared" si="100"/>
        <v>-16515777.432666125</v>
      </c>
      <c r="P238" s="2">
        <f t="shared" si="100"/>
        <v>-18307375.226850472</v>
      </c>
      <c r="Q238" s="2">
        <f t="shared" si="100"/>
        <v>-20121549.814150285</v>
      </c>
      <c r="R238" s="2">
        <f t="shared" si="100"/>
        <v>-22084445.385203749</v>
      </c>
      <c r="S238" s="2">
        <f t="shared" si="100"/>
        <v>-24212902.218682617</v>
      </c>
      <c r="T238" s="2">
        <f t="shared" si="100"/>
        <v>-26517274.696559355</v>
      </c>
      <c r="U238" s="2">
        <f t="shared" si="100"/>
        <v>-28898775.798122369</v>
      </c>
      <c r="V238" s="2">
        <f t="shared" si="100"/>
        <v>-31360486.303749148</v>
      </c>
      <c r="W238" s="2">
        <f t="shared" si="100"/>
        <v>-32019056.516127877</v>
      </c>
      <c r="X238" s="2">
        <f t="shared" si="100"/>
        <v>-32691456.70296656</v>
      </c>
      <c r="Y238" s="2">
        <f t="shared" si="100"/>
        <v>-33377977.293728855</v>
      </c>
      <c r="Z238" s="2">
        <f t="shared" si="100"/>
        <v>-34078914.816897161</v>
      </c>
      <c r="AA238" s="2">
        <f t="shared" si="100"/>
        <v>-34794572.028051995</v>
      </c>
      <c r="AB238" s="2">
        <f t="shared" si="99"/>
        <v>-1159819067.6017356</v>
      </c>
    </row>
    <row r="239" spans="4:28" customFormat="1" x14ac:dyDescent="0.25">
      <c r="E239" t="s">
        <v>10</v>
      </c>
      <c r="F239" t="s">
        <v>7</v>
      </c>
      <c r="G239" s="2">
        <f t="shared" ref="G239:AA239" si="101">-G200</f>
        <v>0</v>
      </c>
      <c r="H239" s="2">
        <f t="shared" si="101"/>
        <v>-743132.80799999996</v>
      </c>
      <c r="I239" s="2">
        <f t="shared" si="101"/>
        <v>-1478523.258648</v>
      </c>
      <c r="J239" s="2">
        <f t="shared" si="101"/>
        <v>-2217704.8560236422</v>
      </c>
      <c r="K239" s="2">
        <f t="shared" si="101"/>
        <v>-2925774.6497805635</v>
      </c>
      <c r="L239" s="2">
        <f t="shared" si="101"/>
        <v>-3601445.9789350131</v>
      </c>
      <c r="M239" s="2">
        <f t="shared" si="101"/>
        <v>-4244828.2267642058</v>
      </c>
      <c r="N239" s="2">
        <f t="shared" si="101"/>
        <v>-4856268.0739904055</v>
      </c>
      <c r="O239" s="2">
        <f t="shared" si="101"/>
        <v>-5436055.6661825636</v>
      </c>
      <c r="P239" s="2">
        <f t="shared" si="101"/>
        <v>-6024970.6241419576</v>
      </c>
      <c r="Q239" s="2">
        <f t="shared" si="101"/>
        <v>-6621031.2070962396</v>
      </c>
      <c r="R239" s="2">
        <f t="shared" si="101"/>
        <v>-7265929.5167125678</v>
      </c>
      <c r="S239" s="2">
        <f t="shared" si="101"/>
        <v>-7965178.6357935406</v>
      </c>
      <c r="T239" s="2">
        <f t="shared" si="101"/>
        <v>-8722222.05257494</v>
      </c>
      <c r="U239" s="2">
        <f t="shared" si="101"/>
        <v>-9504620.6801167671</v>
      </c>
      <c r="V239" s="2">
        <f t="shared" si="101"/>
        <v>-10313348.939650029</v>
      </c>
      <c r="W239" s="2">
        <f t="shared" si="101"/>
        <v>-10529929.26738268</v>
      </c>
      <c r="X239" s="2">
        <f t="shared" si="101"/>
        <v>-10751057.781997714</v>
      </c>
      <c r="Y239" s="2">
        <f t="shared" si="101"/>
        <v>-10976829.995419666</v>
      </c>
      <c r="Z239" s="2">
        <f t="shared" si="101"/>
        <v>-11207343.425323477</v>
      </c>
      <c r="AA239" s="2">
        <f t="shared" si="101"/>
        <v>-11442697.63725527</v>
      </c>
      <c r="AB239" s="2">
        <f t="shared" si="99"/>
        <v>-381423254.57517648</v>
      </c>
    </row>
    <row r="240" spans="4:28" customFormat="1" x14ac:dyDescent="0.25">
      <c r="E240" t="s">
        <v>48</v>
      </c>
      <c r="F240" t="s">
        <v>7</v>
      </c>
      <c r="G240" s="2">
        <f t="shared" ref="G240:AA240" si="102">G207</f>
        <v>0</v>
      </c>
      <c r="H240" s="2">
        <f t="shared" si="102"/>
        <v>0</v>
      </c>
      <c r="I240" s="2">
        <f t="shared" si="102"/>
        <v>0</v>
      </c>
      <c r="J240" s="2">
        <f t="shared" si="102"/>
        <v>0</v>
      </c>
      <c r="K240" s="2">
        <f t="shared" si="102"/>
        <v>0</v>
      </c>
      <c r="L240" s="2">
        <f t="shared" si="102"/>
        <v>0</v>
      </c>
      <c r="M240" s="2">
        <f t="shared" si="102"/>
        <v>0</v>
      </c>
      <c r="N240" s="2">
        <f t="shared" si="102"/>
        <v>0</v>
      </c>
      <c r="O240" s="2">
        <f t="shared" si="102"/>
        <v>0</v>
      </c>
      <c r="P240" s="2">
        <f t="shared" si="102"/>
        <v>0</v>
      </c>
      <c r="Q240" s="2">
        <f t="shared" si="102"/>
        <v>0</v>
      </c>
      <c r="R240" s="2">
        <f t="shared" si="102"/>
        <v>0</v>
      </c>
      <c r="S240" s="2">
        <f t="shared" si="102"/>
        <v>0</v>
      </c>
      <c r="T240" s="2">
        <f t="shared" si="102"/>
        <v>0</v>
      </c>
      <c r="U240" s="2">
        <f t="shared" si="102"/>
        <v>0</v>
      </c>
      <c r="V240" s="2">
        <f t="shared" si="102"/>
        <v>0</v>
      </c>
      <c r="W240" s="2">
        <f t="shared" si="102"/>
        <v>0</v>
      </c>
      <c r="X240" s="2">
        <f t="shared" si="102"/>
        <v>0</v>
      </c>
      <c r="Y240" s="2">
        <f t="shared" si="102"/>
        <v>0</v>
      </c>
      <c r="Z240" s="2">
        <f t="shared" si="102"/>
        <v>0</v>
      </c>
      <c r="AA240" s="2">
        <f t="shared" si="102"/>
        <v>0</v>
      </c>
      <c r="AB240" s="2">
        <f t="shared" si="99"/>
        <v>0</v>
      </c>
    </row>
    <row r="241" spans="1:28" x14ac:dyDescent="0.25">
      <c r="A241"/>
      <c r="E241" t="s">
        <v>49</v>
      </c>
      <c r="F241" t="s">
        <v>7</v>
      </c>
      <c r="G241" s="2">
        <f t="shared" ref="G241:AA241" si="103">G214</f>
        <v>0</v>
      </c>
      <c r="H241" s="2">
        <f t="shared" si="103"/>
        <v>0</v>
      </c>
      <c r="I241" s="2">
        <f t="shared" si="103"/>
        <v>0</v>
      </c>
      <c r="J241" s="2">
        <f t="shared" si="103"/>
        <v>0</v>
      </c>
      <c r="K241" s="2">
        <f t="shared" si="103"/>
        <v>0</v>
      </c>
      <c r="L241" s="2">
        <f t="shared" si="103"/>
        <v>0</v>
      </c>
      <c r="M241" s="2">
        <f t="shared" si="103"/>
        <v>0</v>
      </c>
      <c r="N241" s="2">
        <f t="shared" si="103"/>
        <v>0</v>
      </c>
      <c r="O241" s="2">
        <f t="shared" si="103"/>
        <v>0</v>
      </c>
      <c r="P241" s="2">
        <f t="shared" si="103"/>
        <v>0</v>
      </c>
      <c r="Q241" s="2">
        <f t="shared" si="103"/>
        <v>0</v>
      </c>
      <c r="R241" s="2">
        <f t="shared" si="103"/>
        <v>0</v>
      </c>
      <c r="S241" s="2">
        <f t="shared" si="103"/>
        <v>0</v>
      </c>
      <c r="T241" s="2">
        <f t="shared" si="103"/>
        <v>0</v>
      </c>
      <c r="U241" s="2">
        <f t="shared" si="103"/>
        <v>0</v>
      </c>
      <c r="V241" s="2">
        <f t="shared" si="103"/>
        <v>0</v>
      </c>
      <c r="W241" s="2">
        <f t="shared" si="103"/>
        <v>0</v>
      </c>
      <c r="X241" s="2">
        <f t="shared" si="103"/>
        <v>0</v>
      </c>
      <c r="Y241" s="2">
        <f t="shared" si="103"/>
        <v>0</v>
      </c>
      <c r="Z241" s="2">
        <f t="shared" si="103"/>
        <v>0</v>
      </c>
      <c r="AA241" s="2">
        <f t="shared" si="103"/>
        <v>0</v>
      </c>
      <c r="AB241" s="2">
        <f t="shared" si="99"/>
        <v>0</v>
      </c>
    </row>
    <row r="242" spans="1:28" x14ac:dyDescent="0.25">
      <c r="A242"/>
      <c r="E242" t="s">
        <v>20</v>
      </c>
      <c r="F242" t="s">
        <v>7</v>
      </c>
      <c r="G242" s="2">
        <f t="shared" ref="G242:AA242" si="104">G231</f>
        <v>681220.1060730482</v>
      </c>
      <c r="H242" s="2">
        <f t="shared" ca="1" si="104"/>
        <v>-28755610.75221628</v>
      </c>
      <c r="I242" s="2">
        <f t="shared" ca="1" si="104"/>
        <v>-27996029.194484308</v>
      </c>
      <c r="J242" s="2">
        <f t="shared" ca="1" si="104"/>
        <v>-27733252.864478793</v>
      </c>
      <c r="K242" s="2">
        <f t="shared" ca="1" si="104"/>
        <v>-26128111.720251027</v>
      </c>
      <c r="L242" s="2">
        <f t="shared" ca="1" si="104"/>
        <v>-24498315.458888959</v>
      </c>
      <c r="M242" s="2">
        <f t="shared" ca="1" si="104"/>
        <v>-22895522.074953582</v>
      </c>
      <c r="N242" s="2">
        <f t="shared" ca="1" si="104"/>
        <v>-21324786.295543656</v>
      </c>
      <c r="O242" s="2">
        <f t="shared" ca="1" si="104"/>
        <v>-19785721.824241694</v>
      </c>
      <c r="P242" s="2">
        <f t="shared" ca="1" si="104"/>
        <v>-19891124.884346645</v>
      </c>
      <c r="Q242" s="2">
        <f t="shared" ca="1" si="104"/>
        <v>-19928088.526799772</v>
      </c>
      <c r="R242" s="2">
        <f t="shared" ca="1" si="104"/>
        <v>-21625354.832994614</v>
      </c>
      <c r="S242" s="2">
        <f t="shared" ca="1" si="104"/>
        <v>-23532886.670334492</v>
      </c>
      <c r="T242" s="2">
        <f t="shared" ca="1" si="104"/>
        <v>-25565613.709466934</v>
      </c>
      <c r="U242" s="2">
        <f t="shared" ca="1" si="104"/>
        <v>-26293101.547760554</v>
      </c>
      <c r="V242" s="2">
        <f t="shared" ca="1" si="104"/>
        <v>-27055893.493697587</v>
      </c>
      <c r="W242" s="2">
        <f t="shared" ca="1" si="104"/>
        <v>-3283256.5821939711</v>
      </c>
      <c r="X242" s="2">
        <f t="shared" ca="1" si="104"/>
        <v>-3428632.5212741541</v>
      </c>
      <c r="Y242" s="2">
        <f t="shared" ca="1" si="104"/>
        <v>-3577117.0997335296</v>
      </c>
      <c r="Z242" s="2">
        <f t="shared" ca="1" si="104"/>
        <v>-3728726.5075494992</v>
      </c>
      <c r="AA242" s="2">
        <f t="shared" ca="1" si="104"/>
        <v>-3883482.0519445636</v>
      </c>
      <c r="AB242" s="2">
        <f ca="1">IF(V242=0,0,IF($G$15&gt;(AA242/V242)^(1/5)-1+2%,AA242*(AA242/V242)^(1/5)/($G$15-((AA242/V242)^(1/5)-1)),AA242*(1+$G$14)/$G$16))</f>
        <v>-7054494.7914831117</v>
      </c>
    </row>
    <row r="243" spans="1:28" x14ac:dyDescent="0.25">
      <c r="A243"/>
      <c r="E243" t="s">
        <v>173</v>
      </c>
      <c r="F243" t="s">
        <v>7</v>
      </c>
      <c r="G243" s="2">
        <f>-$G$17*G242</f>
        <v>-340610.0530365241</v>
      </c>
      <c r="H243" s="2">
        <f t="shared" ref="H243:AA243" ca="1" si="105">-$G$17*H242</f>
        <v>14377805.37610814</v>
      </c>
      <c r="I243" s="2">
        <f t="shared" ca="1" si="105"/>
        <v>13998014.597242154</v>
      </c>
      <c r="J243" s="2">
        <f t="shared" ca="1" si="105"/>
        <v>13866626.432239396</v>
      </c>
      <c r="K243" s="2">
        <f t="shared" ca="1" si="105"/>
        <v>13064055.860125514</v>
      </c>
      <c r="L243" s="2">
        <f t="shared" ca="1" si="105"/>
        <v>12249157.72944448</v>
      </c>
      <c r="M243" s="2">
        <f t="shared" ca="1" si="105"/>
        <v>11447761.037476791</v>
      </c>
      <c r="N243" s="2">
        <f t="shared" ca="1" si="105"/>
        <v>10662393.147771828</v>
      </c>
      <c r="O243" s="2">
        <f t="shared" ca="1" si="105"/>
        <v>9892860.912120847</v>
      </c>
      <c r="P243" s="2">
        <f t="shared" ca="1" si="105"/>
        <v>9945562.4421733227</v>
      </c>
      <c r="Q243" s="2">
        <f t="shared" ca="1" si="105"/>
        <v>9964044.263399886</v>
      </c>
      <c r="R243" s="2">
        <f t="shared" ca="1" si="105"/>
        <v>10812677.416497307</v>
      </c>
      <c r="S243" s="2">
        <f t="shared" ca="1" si="105"/>
        <v>11766443.335167246</v>
      </c>
      <c r="T243" s="2">
        <f t="shared" ca="1" si="105"/>
        <v>12782806.854733467</v>
      </c>
      <c r="U243" s="2">
        <f t="shared" ca="1" si="105"/>
        <v>13146550.773880277</v>
      </c>
      <c r="V243" s="2">
        <f t="shared" ca="1" si="105"/>
        <v>13527946.746848794</v>
      </c>
      <c r="W243" s="2">
        <f t="shared" ca="1" si="105"/>
        <v>1641628.2910969856</v>
      </c>
      <c r="X243" s="2">
        <f t="shared" ca="1" si="105"/>
        <v>1714316.260637077</v>
      </c>
      <c r="Y243" s="2">
        <f t="shared" ca="1" si="105"/>
        <v>1788558.5498667648</v>
      </c>
      <c r="Z243" s="2">
        <f t="shared" ca="1" si="105"/>
        <v>1864363.2537747496</v>
      </c>
      <c r="AA243" s="2">
        <f t="shared" ca="1" si="105"/>
        <v>1941741.0259722818</v>
      </c>
      <c r="AB243" s="2">
        <f t="shared" ref="AB243" ca="1" si="106">IF(V243=0,0,IF($G$15&gt;(AA243/V243)^(1/5)-1+2%,AA243*(AA243/V243)^(1/5)/($G$15-((AA243/V243)^(1/5)-1)),AA243*(1+$G$14)/$G$16))</f>
        <v>3527247.3957415558</v>
      </c>
    </row>
    <row r="244" spans="1:28" x14ac:dyDescent="0.25">
      <c r="A244"/>
      <c r="E244" t="s">
        <v>23</v>
      </c>
      <c r="F244" t="s">
        <v>7</v>
      </c>
      <c r="G244" s="2">
        <f>SUM(G234:G243)</f>
        <v>-204025421.76887792</v>
      </c>
      <c r="H244" s="2">
        <f t="shared" ref="H244:AB244" ca="1" si="107">SUM(H234:H243)</f>
        <v>-59165980.47953625</v>
      </c>
      <c r="I244" s="2">
        <f t="shared" ca="1" si="107"/>
        <v>-53707544.75729952</v>
      </c>
      <c r="J244" s="2">
        <f t="shared" ca="1" si="107"/>
        <v>-44967935.607513681</v>
      </c>
      <c r="K244" s="2">
        <f t="shared" ca="1" si="107"/>
        <v>-43919998.331377923</v>
      </c>
      <c r="L244" s="2">
        <f t="shared" ca="1" si="107"/>
        <v>-40252737.019007385</v>
      </c>
      <c r="M244" s="2">
        <f t="shared" ca="1" si="107"/>
        <v>-37391348.356329001</v>
      </c>
      <c r="N244" s="2">
        <f t="shared" ca="1" si="107"/>
        <v>-36221531.405275345</v>
      </c>
      <c r="O244" s="2">
        <f t="shared" ca="1" si="107"/>
        <v>-34417206.254303515</v>
      </c>
      <c r="P244" s="2">
        <f t="shared" ca="1" si="107"/>
        <v>-33093655.67519699</v>
      </c>
      <c r="Q244" s="2">
        <f t="shared" ca="1" si="107"/>
        <v>-32316811.604020983</v>
      </c>
      <c r="R244" s="2">
        <f t="shared" ca="1" si="107"/>
        <v>-32269557.534350976</v>
      </c>
      <c r="S244" s="2">
        <f t="shared" ca="1" si="107"/>
        <v>-32030396.591051385</v>
      </c>
      <c r="T244" s="2">
        <f t="shared" ca="1" si="107"/>
        <v>-31604083.958222918</v>
      </c>
      <c r="U244" s="2">
        <f t="shared" ca="1" si="107"/>
        <v>-30490151.256873172</v>
      </c>
      <c r="V244" s="2">
        <f t="shared" ca="1" si="107"/>
        <v>-29445377.962214343</v>
      </c>
      <c r="W244" s="2">
        <f t="shared" ca="1" si="107"/>
        <v>15787002.934212886</v>
      </c>
      <c r="X244" s="2">
        <f t="shared" ca="1" si="107"/>
        <v>16091165.087203262</v>
      </c>
      <c r="Y244" s="2">
        <f t="shared" ca="1" si="107"/>
        <v>16407561.303830739</v>
      </c>
      <c r="Z244" s="2">
        <f t="shared" ca="1" si="107"/>
        <v>16715871.079532286</v>
      </c>
      <c r="AA244" s="2">
        <f t="shared" ca="1" si="107"/>
        <v>17017379.932824761</v>
      </c>
      <c r="AB244" s="2">
        <f t="shared" ca="1" si="107"/>
        <v>1072205807.8124586</v>
      </c>
    </row>
    <row r="245" spans="1:28" x14ac:dyDescent="0.25">
      <c r="A245"/>
      <c r="E245" t="s">
        <v>31</v>
      </c>
      <c r="F245" t="s">
        <v>7</v>
      </c>
      <c r="G245" s="2">
        <f ca="1">NPV($G$15,H244:AB244)+G244</f>
        <v>-207104582.00658688</v>
      </c>
    </row>
    <row r="247" spans="1:28" x14ac:dyDescent="0.25">
      <c r="A247"/>
      <c r="E247" t="s">
        <v>13</v>
      </c>
      <c r="F247" t="s">
        <v>7</v>
      </c>
      <c r="H247" s="2">
        <f t="shared" ref="H247:AA247" ca="1" si="108">H219</f>
        <v>25004305.184544008</v>
      </c>
      <c r="I247" s="2">
        <f t="shared" ca="1" si="108"/>
        <v>24218706.473527782</v>
      </c>
      <c r="J247" s="2">
        <f t="shared" ca="1" si="108"/>
        <v>23826648.04265241</v>
      </c>
      <c r="K247" s="2">
        <f t="shared" ca="1" si="108"/>
        <v>22257525.824967656</v>
      </c>
      <c r="L247" s="2">
        <f t="shared" ca="1" si="108"/>
        <v>20667094.422634777</v>
      </c>
      <c r="M247" s="2">
        <f t="shared" ca="1" si="108"/>
        <v>19103235.896183617</v>
      </c>
      <c r="N247" s="2">
        <f t="shared" ca="1" si="108"/>
        <v>17573857.34050018</v>
      </c>
      <c r="O247" s="2">
        <f t="shared" ca="1" si="108"/>
        <v>16076811.547262985</v>
      </c>
      <c r="P247" s="2">
        <f t="shared" ca="1" si="108"/>
        <v>15974249.173687717</v>
      </c>
      <c r="Q247" s="2">
        <f t="shared" ca="1" si="108"/>
        <v>15798557.552276675</v>
      </c>
      <c r="R247" s="2">
        <f t="shared" ca="1" si="108"/>
        <v>17020637.531766906</v>
      </c>
      <c r="S247" s="2">
        <f t="shared" ca="1" si="108"/>
        <v>18393708.803573087</v>
      </c>
      <c r="T247" s="2">
        <f t="shared" ca="1" si="108"/>
        <v>19844239.906734776</v>
      </c>
      <c r="U247" s="2">
        <f t="shared" ca="1" si="108"/>
        <v>20162451.117533527</v>
      </c>
      <c r="V247" s="2">
        <f t="shared" ca="1" si="108"/>
        <v>20495533.085933205</v>
      </c>
      <c r="W247" s="2">
        <f t="shared" ca="1" si="108"/>
        <v>0</v>
      </c>
      <c r="X247" s="2">
        <f t="shared" ca="1" si="108"/>
        <v>0</v>
      </c>
      <c r="Y247" s="2">
        <f t="shared" ca="1" si="108"/>
        <v>0</v>
      </c>
      <c r="Z247" s="2">
        <f t="shared" ca="1" si="108"/>
        <v>0</v>
      </c>
      <c r="AA247" s="2">
        <f t="shared" ca="1" si="108"/>
        <v>0</v>
      </c>
    </row>
    <row r="248" spans="1:28" x14ac:dyDescent="0.25">
      <c r="A248"/>
      <c r="E248" t="s">
        <v>24</v>
      </c>
      <c r="F248" t="s">
        <v>7</v>
      </c>
      <c r="G248" s="2">
        <f ca="1">NPV($G$15,H247:AA247)+G247</f>
        <v>207104582.00658697</v>
      </c>
    </row>
    <row r="249" spans="1:28" x14ac:dyDescent="0.25">
      <c r="A249"/>
      <c r="E249" s="3" t="s">
        <v>34</v>
      </c>
      <c r="F249" s="3"/>
      <c r="G249" s="4" t="str">
        <f ca="1">IF(G245&gt;0,"N/A",IF(ABS(G245+G248)&gt;1,"Error","OK"))</f>
        <v>OK</v>
      </c>
    </row>
    <row r="251" spans="1:28" x14ac:dyDescent="0.25">
      <c r="A251"/>
      <c r="C251" s="1" t="s">
        <v>35</v>
      </c>
      <c r="D251" s="1"/>
    </row>
    <row r="252" spans="1:28" x14ac:dyDescent="0.25">
      <c r="A252"/>
      <c r="C252" s="1"/>
      <c r="D252" s="1"/>
      <c r="G252" s="44"/>
    </row>
    <row r="253" spans="1:28" x14ac:dyDescent="0.25">
      <c r="A253"/>
      <c r="C253" s="1"/>
      <c r="D253" t="s">
        <v>35</v>
      </c>
      <c r="F253" t="s">
        <v>7</v>
      </c>
      <c r="G253" s="8">
        <f ca="1">MAX(0,-G279)</f>
        <v>207342306.49329594</v>
      </c>
    </row>
    <row r="255" spans="1:28" x14ac:dyDescent="0.25">
      <c r="A255"/>
      <c r="D255" t="s">
        <v>9</v>
      </c>
    </row>
    <row r="256" spans="1:28" x14ac:dyDescent="0.25">
      <c r="A256"/>
      <c r="E256" t="s">
        <v>107</v>
      </c>
      <c r="F256" t="s">
        <v>7</v>
      </c>
      <c r="G256" s="2">
        <f t="shared" ref="G256:AA261" si="109">G222</f>
        <v>0</v>
      </c>
      <c r="H256" s="2">
        <f t="shared" si="109"/>
        <v>72249022.999999985</v>
      </c>
      <c r="I256" s="2">
        <f t="shared" si="109"/>
        <v>69979064.329999983</v>
      </c>
      <c r="J256" s="2">
        <f t="shared" si="109"/>
        <v>68846225.869558871</v>
      </c>
      <c r="K256" s="2">
        <f t="shared" si="109"/>
        <v>64312304.756430194</v>
      </c>
      <c r="L256" s="2">
        <f t="shared" si="109"/>
        <v>59716811.53560283</v>
      </c>
      <c r="M256" s="2">
        <f t="shared" si="109"/>
        <v>55198099.665290311</v>
      </c>
      <c r="N256" s="2">
        <f t="shared" si="109"/>
        <v>50779016.406236961</v>
      </c>
      <c r="O256" s="2">
        <f t="shared" si="109"/>
        <v>46453357.47872936</v>
      </c>
      <c r="P256" s="2">
        <f t="shared" si="109"/>
        <v>46157007.26092948</v>
      </c>
      <c r="Q256" s="2">
        <f t="shared" si="109"/>
        <v>45649352.76293207</v>
      </c>
      <c r="R256" s="2">
        <f t="shared" si="109"/>
        <v>49180508.053766027</v>
      </c>
      <c r="S256" s="2">
        <f t="shared" si="109"/>
        <v>53147947.147361971</v>
      </c>
      <c r="T256" s="2">
        <f t="shared" si="109"/>
        <v>57339203.583446585</v>
      </c>
      <c r="U256" s="2">
        <f t="shared" si="109"/>
        <v>58258663.209226079</v>
      </c>
      <c r="V256" s="2">
        <f t="shared" si="109"/>
        <v>59221091.343828619</v>
      </c>
      <c r="W256" s="2">
        <f t="shared" si="109"/>
        <v>0</v>
      </c>
      <c r="X256" s="2">
        <f t="shared" si="109"/>
        <v>0</v>
      </c>
      <c r="Y256" s="2">
        <f t="shared" si="109"/>
        <v>0</v>
      </c>
      <c r="Z256" s="2">
        <f t="shared" si="109"/>
        <v>0</v>
      </c>
      <c r="AA256" s="2">
        <f t="shared" si="109"/>
        <v>0</v>
      </c>
    </row>
    <row r="257" spans="4:28" customFormat="1" x14ac:dyDescent="0.25">
      <c r="E257" t="s">
        <v>11</v>
      </c>
      <c r="F257" t="s">
        <v>7</v>
      </c>
      <c r="G257" s="2">
        <f t="shared" si="109"/>
        <v>0</v>
      </c>
      <c r="H257" s="2">
        <f t="shared" si="109"/>
        <v>5059997.0294428989</v>
      </c>
      <c r="I257" s="2">
        <f t="shared" si="109"/>
        <v>9813640.4386346266</v>
      </c>
      <c r="J257" s="2">
        <f t="shared" si="109"/>
        <v>14756828.047150774</v>
      </c>
      <c r="K257" s="2">
        <f t="shared" si="109"/>
        <v>19511444.976588752</v>
      </c>
      <c r="L257" s="2">
        <f t="shared" si="109"/>
        <v>24074077.954699419</v>
      </c>
      <c r="M257" s="2">
        <f t="shared" si="109"/>
        <v>28439929.932911668</v>
      </c>
      <c r="N257" s="2">
        <f t="shared" si="109"/>
        <v>32615620.831842452</v>
      </c>
      <c r="O257" s="2">
        <f t="shared" si="109"/>
        <v>36602502.914364107</v>
      </c>
      <c r="P257" s="2">
        <f t="shared" si="109"/>
        <v>40685024.897572123</v>
      </c>
      <c r="Q257" s="2">
        <f t="shared" si="109"/>
        <v>44858687.51313892</v>
      </c>
      <c r="R257" s="2">
        <f t="shared" si="109"/>
        <v>49378191.643165857</v>
      </c>
      <c r="S257" s="2">
        <f t="shared" si="109"/>
        <v>54285148.555953443</v>
      </c>
      <c r="T257" s="2">
        <f t="shared" si="109"/>
        <v>59597404.693263024</v>
      </c>
      <c r="U257" s="2">
        <f t="shared" si="109"/>
        <v>65085081.36430487</v>
      </c>
      <c r="V257" s="2">
        <f t="shared" si="109"/>
        <v>70760709.81436567</v>
      </c>
      <c r="W257" s="2">
        <f t="shared" si="109"/>
        <v>72246684.720467344</v>
      </c>
      <c r="X257" s="2">
        <f t="shared" si="109"/>
        <v>73763865.099597141</v>
      </c>
      <c r="Y257" s="2">
        <f t="shared" si="109"/>
        <v>75312906.266688675</v>
      </c>
      <c r="Z257" s="2">
        <f t="shared" si="109"/>
        <v>76894477.29828915</v>
      </c>
      <c r="AA257" s="2">
        <f t="shared" si="109"/>
        <v>78509261.3215532</v>
      </c>
    </row>
    <row r="258" spans="4:28" customFormat="1" x14ac:dyDescent="0.25">
      <c r="E258" t="s">
        <v>57</v>
      </c>
      <c r="F258" t="s">
        <v>7</v>
      </c>
      <c r="G258" s="2">
        <f t="shared" si="109"/>
        <v>0</v>
      </c>
      <c r="H258" s="2">
        <f t="shared" si="109"/>
        <v>-2122629.1767095425</v>
      </c>
      <c r="I258" s="2">
        <f t="shared" si="109"/>
        <v>-4354269.4778751032</v>
      </c>
      <c r="J258" s="2">
        <f t="shared" si="109"/>
        <v>-6734273.1972878007</v>
      </c>
      <c r="K258" s="2">
        <f t="shared" si="109"/>
        <v>-8885262.4259306435</v>
      </c>
      <c r="L258" s="2">
        <f t="shared" si="109"/>
        <v>-10938346.137787469</v>
      </c>
      <c r="M258" s="2">
        <f t="shared" si="109"/>
        <v>-12893745.156370113</v>
      </c>
      <c r="N258" s="2">
        <f t="shared" si="109"/>
        <v>-14752599.121368518</v>
      </c>
      <c r="O258" s="2">
        <f t="shared" si="109"/>
        <v>-16515777.432666125</v>
      </c>
      <c r="P258" s="2">
        <f t="shared" si="109"/>
        <v>-18307375.226850472</v>
      </c>
      <c r="Q258" s="2">
        <f t="shared" si="109"/>
        <v>-20121549.814150285</v>
      </c>
      <c r="R258" s="2">
        <f t="shared" si="109"/>
        <v>-22084445.385203749</v>
      </c>
      <c r="S258" s="2">
        <f t="shared" si="109"/>
        <v>-24212902.218682617</v>
      </c>
      <c r="T258" s="2">
        <f t="shared" si="109"/>
        <v>-26517274.696559355</v>
      </c>
      <c r="U258" s="2">
        <f t="shared" si="109"/>
        <v>-28898775.798122369</v>
      </c>
      <c r="V258" s="2">
        <f t="shared" si="109"/>
        <v>-31360486.303749148</v>
      </c>
      <c r="W258" s="2">
        <f t="shared" si="109"/>
        <v>-32019056.516127877</v>
      </c>
      <c r="X258" s="2">
        <f t="shared" si="109"/>
        <v>-32691456.70296656</v>
      </c>
      <c r="Y258" s="2">
        <f t="shared" si="109"/>
        <v>-33377977.293728855</v>
      </c>
      <c r="Z258" s="2">
        <f t="shared" si="109"/>
        <v>-34078914.816897161</v>
      </c>
      <c r="AA258" s="2">
        <f t="shared" si="109"/>
        <v>-34794572.028051995</v>
      </c>
    </row>
    <row r="259" spans="4:28" customFormat="1" x14ac:dyDescent="0.25">
      <c r="E259" t="s">
        <v>10</v>
      </c>
      <c r="F259" t="s">
        <v>7</v>
      </c>
      <c r="G259" s="2">
        <f t="shared" si="109"/>
        <v>0</v>
      </c>
      <c r="H259" s="2">
        <f t="shared" si="109"/>
        <v>-743132.80799999996</v>
      </c>
      <c r="I259" s="2">
        <f t="shared" si="109"/>
        <v>-1478523.258648</v>
      </c>
      <c r="J259" s="2">
        <f t="shared" si="109"/>
        <v>-2217704.8560236422</v>
      </c>
      <c r="K259" s="2">
        <f t="shared" si="109"/>
        <v>-2925774.6497805635</v>
      </c>
      <c r="L259" s="2">
        <f t="shared" si="109"/>
        <v>-3601445.9789350131</v>
      </c>
      <c r="M259" s="2">
        <f t="shared" si="109"/>
        <v>-4244828.2267642058</v>
      </c>
      <c r="N259" s="2">
        <f t="shared" si="109"/>
        <v>-4856268.0739904055</v>
      </c>
      <c r="O259" s="2">
        <f t="shared" si="109"/>
        <v>-5436055.6661825636</v>
      </c>
      <c r="P259" s="2">
        <f t="shared" si="109"/>
        <v>-6024970.6241419576</v>
      </c>
      <c r="Q259" s="2">
        <f t="shared" si="109"/>
        <v>-6621031.2070962396</v>
      </c>
      <c r="R259" s="2">
        <f t="shared" si="109"/>
        <v>-7265929.5167125678</v>
      </c>
      <c r="S259" s="2">
        <f t="shared" si="109"/>
        <v>-7965178.6357935406</v>
      </c>
      <c r="T259" s="2">
        <f t="shared" si="109"/>
        <v>-8722222.05257494</v>
      </c>
      <c r="U259" s="2">
        <f t="shared" si="109"/>
        <v>-9504620.6801167671</v>
      </c>
      <c r="V259" s="2">
        <f t="shared" si="109"/>
        <v>-10313348.939650029</v>
      </c>
      <c r="W259" s="2">
        <f t="shared" si="109"/>
        <v>-10529929.26738268</v>
      </c>
      <c r="X259" s="2">
        <f t="shared" si="109"/>
        <v>-10751057.781997714</v>
      </c>
      <c r="Y259" s="2">
        <f t="shared" si="109"/>
        <v>-10976829.995419666</v>
      </c>
      <c r="Z259" s="2">
        <f t="shared" si="109"/>
        <v>-11207343.425323477</v>
      </c>
      <c r="AA259" s="2">
        <f t="shared" si="109"/>
        <v>-11442697.63725527</v>
      </c>
    </row>
    <row r="260" spans="4:28" customFormat="1" x14ac:dyDescent="0.25">
      <c r="E260" t="s">
        <v>12</v>
      </c>
      <c r="F260" t="s">
        <v>7</v>
      </c>
      <c r="G260" s="2">
        <f t="shared" si="109"/>
        <v>-2270733.6869101608</v>
      </c>
      <c r="H260" s="2">
        <f t="shared" si="109"/>
        <v>-3595527.3885563994</v>
      </c>
      <c r="I260" s="2">
        <f t="shared" si="109"/>
        <v>-4858521.1906916089</v>
      </c>
      <c r="J260" s="2">
        <f t="shared" si="109"/>
        <v>-6033547.6911213035</v>
      </c>
      <c r="K260" s="2">
        <f t="shared" si="109"/>
        <v>-7176532.7481053052</v>
      </c>
      <c r="L260" s="2">
        <f t="shared" si="109"/>
        <v>-8257140.2665846683</v>
      </c>
      <c r="M260" s="2">
        <f t="shared" si="109"/>
        <v>-9284285.1947393343</v>
      </c>
      <c r="N260" s="2">
        <f t="shared" si="109"/>
        <v>-10277006.398075156</v>
      </c>
      <c r="O260" s="2">
        <f t="shared" si="109"/>
        <v>-11228432.760702128</v>
      </c>
      <c r="P260" s="2">
        <f t="shared" si="109"/>
        <v>-12180185.866708048</v>
      </c>
      <c r="Q260" s="2">
        <f t="shared" si="109"/>
        <v>-13137055.051101888</v>
      </c>
      <c r="R260" s="2">
        <f t="shared" si="109"/>
        <v>-14144446.216800435</v>
      </c>
      <c r="S260" s="2">
        <f t="shared" si="109"/>
        <v>-15205768.084630694</v>
      </c>
      <c r="T260" s="2">
        <f t="shared" si="109"/>
        <v>-16322639.069420304</v>
      </c>
      <c r="U260" s="2">
        <f t="shared" si="109"/>
        <v>-17459127.3869568</v>
      </c>
      <c r="V260" s="2">
        <f t="shared" si="109"/>
        <v>-18617187.355069697</v>
      </c>
      <c r="W260" s="2">
        <f t="shared" si="109"/>
        <v>-18753510.329643548</v>
      </c>
      <c r="X260" s="2">
        <f t="shared" si="109"/>
        <v>-18892575.543719023</v>
      </c>
      <c r="Y260" s="2">
        <f t="shared" si="109"/>
        <v>-19034375.311761718</v>
      </c>
      <c r="Z260" s="2">
        <f t="shared" si="109"/>
        <v>-19179130.697570179</v>
      </c>
      <c r="AA260" s="2">
        <f t="shared" si="109"/>
        <v>-19327051.483097389</v>
      </c>
    </row>
    <row r="261" spans="4:28" customFormat="1" x14ac:dyDescent="0.25">
      <c r="E261" t="s">
        <v>48</v>
      </c>
      <c r="F261" t="s">
        <v>7</v>
      </c>
      <c r="G261" s="2">
        <f t="shared" si="109"/>
        <v>0</v>
      </c>
      <c r="H261" s="2">
        <f t="shared" si="109"/>
        <v>0</v>
      </c>
      <c r="I261" s="2">
        <f t="shared" si="109"/>
        <v>0</v>
      </c>
      <c r="J261" s="2">
        <f t="shared" si="109"/>
        <v>0</v>
      </c>
      <c r="K261" s="2">
        <f t="shared" si="109"/>
        <v>0</v>
      </c>
      <c r="L261" s="2">
        <f t="shared" si="109"/>
        <v>0</v>
      </c>
      <c r="M261" s="2">
        <f t="shared" si="109"/>
        <v>0</v>
      </c>
      <c r="N261" s="2">
        <f t="shared" si="109"/>
        <v>0</v>
      </c>
      <c r="O261" s="2">
        <f t="shared" si="109"/>
        <v>0</v>
      </c>
      <c r="P261" s="2">
        <f t="shared" si="109"/>
        <v>0</v>
      </c>
      <c r="Q261" s="2">
        <f t="shared" si="109"/>
        <v>0</v>
      </c>
      <c r="R261" s="2">
        <f t="shared" si="109"/>
        <v>0</v>
      </c>
      <c r="S261" s="2">
        <f t="shared" si="109"/>
        <v>0</v>
      </c>
      <c r="T261" s="2">
        <f t="shared" si="109"/>
        <v>0</v>
      </c>
      <c r="U261" s="2">
        <f t="shared" si="109"/>
        <v>0</v>
      </c>
      <c r="V261" s="2">
        <f t="shared" si="109"/>
        <v>0</v>
      </c>
      <c r="W261" s="2">
        <f t="shared" si="109"/>
        <v>0</v>
      </c>
      <c r="X261" s="2">
        <f t="shared" si="109"/>
        <v>0</v>
      </c>
      <c r="Y261" s="2">
        <f t="shared" si="109"/>
        <v>0</v>
      </c>
      <c r="Z261" s="2">
        <f t="shared" si="109"/>
        <v>0</v>
      </c>
      <c r="AA261" s="2">
        <f t="shared" si="109"/>
        <v>0</v>
      </c>
    </row>
    <row r="262" spans="4:28" customFormat="1" x14ac:dyDescent="0.25">
      <c r="E262" t="s">
        <v>13</v>
      </c>
      <c r="F262" t="s">
        <v>7</v>
      </c>
      <c r="G262" s="2">
        <f ca="1">G253</f>
        <v>207342306.49329594</v>
      </c>
      <c r="H262" s="2"/>
      <c r="I262" s="2"/>
      <c r="J262" s="2"/>
      <c r="K262" s="2"/>
      <c r="L262" s="2"/>
      <c r="M262" s="2"/>
      <c r="N262" s="2"/>
      <c r="O262" s="2"/>
      <c r="P262" s="2"/>
      <c r="Q262" s="2"/>
      <c r="R262" s="2"/>
      <c r="S262" s="2"/>
      <c r="T262" s="2"/>
      <c r="U262" s="2"/>
      <c r="V262" s="2"/>
      <c r="W262" s="2"/>
      <c r="X262" s="2"/>
      <c r="Y262" s="2"/>
      <c r="Z262" s="2"/>
      <c r="AA262" s="2"/>
    </row>
    <row r="263" spans="4:28" customFormat="1" x14ac:dyDescent="0.25"/>
    <row r="264" spans="4:28" customFormat="1" x14ac:dyDescent="0.25">
      <c r="E264" t="s">
        <v>14</v>
      </c>
      <c r="F264" t="s">
        <v>7</v>
      </c>
      <c r="G264" s="2">
        <f t="shared" ref="G264:AA264" ca="1" si="110">SUM(G256:G262)</f>
        <v>205071572.80638579</v>
      </c>
      <c r="H264" s="2">
        <f t="shared" si="110"/>
        <v>70847730.656176925</v>
      </c>
      <c r="I264" s="2">
        <f t="shared" si="110"/>
        <v>69101390.84141992</v>
      </c>
      <c r="J264" s="2">
        <f t="shared" si="110"/>
        <v>68617528.172276899</v>
      </c>
      <c r="K264" s="2">
        <f t="shared" si="110"/>
        <v>64836179.909202442</v>
      </c>
      <c r="L264" s="2">
        <f t="shared" si="110"/>
        <v>60993957.106995091</v>
      </c>
      <c r="M264" s="2">
        <f t="shared" si="110"/>
        <v>57215171.020328321</v>
      </c>
      <c r="N264" s="2">
        <f t="shared" si="110"/>
        <v>53508763.644645341</v>
      </c>
      <c r="O264" s="2">
        <f t="shared" si="110"/>
        <v>49875594.533542655</v>
      </c>
      <c r="P264" s="2">
        <f t="shared" si="110"/>
        <v>50329500.440801106</v>
      </c>
      <c r="Q264" s="2">
        <f t="shared" si="110"/>
        <v>50628404.203722566</v>
      </c>
      <c r="R264" s="2">
        <f t="shared" si="110"/>
        <v>55063878.578215137</v>
      </c>
      <c r="S264" s="2">
        <f t="shared" si="110"/>
        <v>60049246.764208555</v>
      </c>
      <c r="T264" s="2">
        <f t="shared" si="110"/>
        <v>65374472.458155006</v>
      </c>
      <c r="U264" s="2">
        <f t="shared" si="110"/>
        <v>67481220.708334997</v>
      </c>
      <c r="V264" s="2">
        <f t="shared" si="110"/>
        <v>69690778.559725419</v>
      </c>
      <c r="W264" s="2">
        <f t="shared" si="110"/>
        <v>10944188.607313238</v>
      </c>
      <c r="X264" s="2">
        <f t="shared" si="110"/>
        <v>11428775.070913848</v>
      </c>
      <c r="Y264" s="2">
        <f t="shared" si="110"/>
        <v>11923723.665778432</v>
      </c>
      <c r="Z264" s="2">
        <f t="shared" si="110"/>
        <v>12429088.358498331</v>
      </c>
      <c r="AA264" s="2">
        <f t="shared" si="110"/>
        <v>12944940.173148546</v>
      </c>
    </row>
    <row r="265" spans="4:28" customFormat="1" x14ac:dyDescent="0.25">
      <c r="E265" t="s">
        <v>15</v>
      </c>
      <c r="F265" t="s">
        <v>7</v>
      </c>
      <c r="G265" s="2">
        <f ca="1">-G264*G$18</f>
        <v>-61521471.841915734</v>
      </c>
      <c r="H265" s="2">
        <f t="shared" ref="H265:AA265" si="111">-H264*H$18</f>
        <v>-21254319.196853075</v>
      </c>
      <c r="I265" s="2">
        <f t="shared" si="111"/>
        <v>-20730417.252425976</v>
      </c>
      <c r="J265" s="2">
        <f t="shared" si="111"/>
        <v>-20585258.451683071</v>
      </c>
      <c r="K265" s="2">
        <f t="shared" si="111"/>
        <v>-19450853.972760733</v>
      </c>
      <c r="L265" s="2">
        <f t="shared" si="111"/>
        <v>-18298187.132098526</v>
      </c>
      <c r="M265" s="2">
        <f t="shared" si="111"/>
        <v>-17164551.306098495</v>
      </c>
      <c r="N265" s="2">
        <f t="shared" si="111"/>
        <v>-16052629.093393601</v>
      </c>
      <c r="O265" s="2">
        <f t="shared" si="111"/>
        <v>-14962678.360062797</v>
      </c>
      <c r="P265" s="2">
        <f t="shared" si="111"/>
        <v>-15098850.132240331</v>
      </c>
      <c r="Q265" s="2">
        <f t="shared" si="111"/>
        <v>-15188521.261116769</v>
      </c>
      <c r="R265" s="2">
        <f t="shared" si="111"/>
        <v>-16519163.573464541</v>
      </c>
      <c r="S265" s="2">
        <f t="shared" si="111"/>
        <v>-18014774.029262565</v>
      </c>
      <c r="T265" s="2">
        <f t="shared" si="111"/>
        <v>-19612341.737446502</v>
      </c>
      <c r="U265" s="2">
        <f t="shared" si="111"/>
        <v>-20244366.212500498</v>
      </c>
      <c r="V265" s="2">
        <f t="shared" si="111"/>
        <v>-20907233.567917626</v>
      </c>
      <c r="W265" s="2">
        <f t="shared" si="111"/>
        <v>-3283256.5821939711</v>
      </c>
      <c r="X265" s="2">
        <f t="shared" si="111"/>
        <v>-3428632.5212741541</v>
      </c>
      <c r="Y265" s="2">
        <f t="shared" si="111"/>
        <v>-3577117.0997335296</v>
      </c>
      <c r="Z265" s="2">
        <f t="shared" si="111"/>
        <v>-3728726.5075494992</v>
      </c>
      <c r="AA265" s="2">
        <f t="shared" si="111"/>
        <v>-3883482.0519445636</v>
      </c>
    </row>
    <row r="266" spans="4:28" customFormat="1" x14ac:dyDescent="0.25"/>
    <row r="267" spans="4:28" customFormat="1" x14ac:dyDescent="0.25">
      <c r="D267" t="s">
        <v>28</v>
      </c>
    </row>
    <row r="268" spans="4:28" customFormat="1" x14ac:dyDescent="0.25">
      <c r="E268" t="s">
        <v>1</v>
      </c>
      <c r="F268" t="s">
        <v>7</v>
      </c>
      <c r="G268" s="2">
        <f t="shared" ref="G268:AA275" si="112">G234</f>
        <v>-204366031.82191446</v>
      </c>
      <c r="H268" s="2">
        <f t="shared" si="112"/>
        <v>-46982410.148161471</v>
      </c>
      <c r="I268" s="2">
        <f t="shared" si="112"/>
        <v>-43690377.862168886</v>
      </c>
      <c r="J268" s="2">
        <f t="shared" si="112"/>
        <v>-36906159.169113621</v>
      </c>
      <c r="K268" s="2">
        <f t="shared" si="112"/>
        <v>-38556350.372129947</v>
      </c>
      <c r="L268" s="2">
        <f t="shared" si="112"/>
        <v>-37537865.127539843</v>
      </c>
      <c r="M268" s="2">
        <f t="shared" si="112"/>
        <v>-37244943.86862956</v>
      </c>
      <c r="N268" s="2">
        <f t="shared" si="112"/>
        <v>-38565891.893987045</v>
      </c>
      <c r="O268" s="2">
        <f t="shared" si="112"/>
        <v>-39175015.157698087</v>
      </c>
      <c r="P268" s="2">
        <f t="shared" si="112"/>
        <v>-39500772.279603362</v>
      </c>
      <c r="Q268" s="2">
        <f t="shared" si="112"/>
        <v>-40468873.832513496</v>
      </c>
      <c r="R268" s="2">
        <f t="shared" si="112"/>
        <v>-41484696.859103203</v>
      </c>
      <c r="S268" s="2">
        <f t="shared" si="112"/>
        <v>-42371020.957361422</v>
      </c>
      <c r="T268" s="2">
        <f t="shared" si="112"/>
        <v>-43179185.047618181</v>
      </c>
      <c r="U268" s="2">
        <f t="shared" si="112"/>
        <v>-44025285.369058631</v>
      </c>
      <c r="V268" s="2">
        <f t="shared" si="112"/>
        <v>-45004305.786332041</v>
      </c>
      <c r="W268" s="2">
        <f t="shared" si="112"/>
        <v>-12269067.711646918</v>
      </c>
      <c r="X268" s="2">
        <f t="shared" si="112"/>
        <v>-12515869.266792528</v>
      </c>
      <c r="Y268" s="2">
        <f t="shared" si="112"/>
        <v>-12761979.123842647</v>
      </c>
      <c r="Z268" s="2">
        <f t="shared" si="112"/>
        <v>-13027984.722761476</v>
      </c>
      <c r="AA268" s="2">
        <f t="shared" si="112"/>
        <v>-13312870.697448894</v>
      </c>
    </row>
    <row r="269" spans="4:28" customFormat="1" x14ac:dyDescent="0.25">
      <c r="E269" t="s">
        <v>19</v>
      </c>
      <c r="F269" t="s">
        <v>7</v>
      </c>
      <c r="G269" s="2">
        <f t="shared" si="112"/>
        <v>0</v>
      </c>
      <c r="H269" s="2">
        <f t="shared" si="112"/>
        <v>0</v>
      </c>
      <c r="I269" s="2">
        <f t="shared" si="112"/>
        <v>0</v>
      </c>
      <c r="J269" s="2">
        <f t="shared" si="112"/>
        <v>0</v>
      </c>
      <c r="K269" s="2">
        <f t="shared" si="112"/>
        <v>0</v>
      </c>
      <c r="L269" s="2">
        <f t="shared" si="112"/>
        <v>0</v>
      </c>
      <c r="M269" s="2">
        <f t="shared" si="112"/>
        <v>0</v>
      </c>
      <c r="N269" s="2">
        <f t="shared" si="112"/>
        <v>0</v>
      </c>
      <c r="O269" s="2">
        <f t="shared" si="112"/>
        <v>0</v>
      </c>
      <c r="P269" s="2">
        <f t="shared" si="112"/>
        <v>0</v>
      </c>
      <c r="Q269" s="2">
        <f t="shared" si="112"/>
        <v>0</v>
      </c>
      <c r="R269" s="2">
        <f t="shared" si="112"/>
        <v>0</v>
      </c>
      <c r="S269" s="2">
        <f t="shared" si="112"/>
        <v>0</v>
      </c>
      <c r="T269" s="2">
        <f t="shared" si="112"/>
        <v>0</v>
      </c>
      <c r="U269" s="2">
        <f t="shared" si="112"/>
        <v>0</v>
      </c>
      <c r="V269" s="2">
        <f t="shared" si="112"/>
        <v>0</v>
      </c>
      <c r="W269" s="2">
        <f t="shared" si="112"/>
        <v>0</v>
      </c>
      <c r="X269" s="2">
        <f t="shared" si="112"/>
        <v>0</v>
      </c>
      <c r="Y269" s="2">
        <f t="shared" si="112"/>
        <v>0</v>
      </c>
      <c r="Z269" s="2">
        <f t="shared" si="112"/>
        <v>0</v>
      </c>
      <c r="AA269" s="2">
        <f t="shared" si="112"/>
        <v>0</v>
      </c>
    </row>
    <row r="270" spans="4:28" customFormat="1" x14ac:dyDescent="0.25">
      <c r="E270" t="s">
        <v>109</v>
      </c>
      <c r="F270" t="s">
        <v>7</v>
      </c>
      <c r="G270" s="2">
        <f t="shared" si="112"/>
        <v>0</v>
      </c>
      <c r="H270" s="2">
        <f t="shared" si="112"/>
        <v>0</v>
      </c>
      <c r="I270" s="2">
        <f t="shared" si="112"/>
        <v>0</v>
      </c>
      <c r="J270" s="2">
        <f t="shared" si="112"/>
        <v>0</v>
      </c>
      <c r="K270" s="2">
        <f t="shared" si="112"/>
        <v>0</v>
      </c>
      <c r="L270" s="2">
        <f t="shared" si="112"/>
        <v>0</v>
      </c>
      <c r="M270" s="2">
        <f t="shared" si="112"/>
        <v>0</v>
      </c>
      <c r="N270" s="2">
        <f t="shared" si="112"/>
        <v>0</v>
      </c>
      <c r="O270" s="2">
        <f t="shared" si="112"/>
        <v>0</v>
      </c>
      <c r="P270" s="2">
        <f t="shared" si="112"/>
        <v>0</v>
      </c>
      <c r="Q270" s="2">
        <f t="shared" si="112"/>
        <v>0</v>
      </c>
      <c r="R270" s="2">
        <f t="shared" si="112"/>
        <v>0</v>
      </c>
      <c r="S270" s="2">
        <f t="shared" si="112"/>
        <v>0</v>
      </c>
      <c r="T270" s="2">
        <f t="shared" si="112"/>
        <v>0</v>
      </c>
      <c r="U270" s="2">
        <f t="shared" si="112"/>
        <v>0</v>
      </c>
      <c r="V270" s="2">
        <f t="shared" si="112"/>
        <v>0</v>
      </c>
      <c r="W270" s="2">
        <f t="shared" si="112"/>
        <v>0</v>
      </c>
      <c r="X270" s="2">
        <f t="shared" si="112"/>
        <v>0</v>
      </c>
      <c r="Y270" s="2">
        <f t="shared" si="112"/>
        <v>0</v>
      </c>
      <c r="Z270" s="2">
        <f t="shared" si="112"/>
        <v>0</v>
      </c>
      <c r="AA270" s="2">
        <f t="shared" si="112"/>
        <v>0</v>
      </c>
    </row>
    <row r="271" spans="4:28" customFormat="1" x14ac:dyDescent="0.25">
      <c r="E271" t="s">
        <v>11</v>
      </c>
      <c r="F271" t="s">
        <v>7</v>
      </c>
      <c r="G271" s="2">
        <f t="shared" si="112"/>
        <v>0</v>
      </c>
      <c r="H271" s="2">
        <f t="shared" si="112"/>
        <v>5059997.0294428989</v>
      </c>
      <c r="I271" s="2">
        <f t="shared" si="112"/>
        <v>9813640.4386346266</v>
      </c>
      <c r="J271" s="2">
        <f t="shared" si="112"/>
        <v>14756828.047150774</v>
      </c>
      <c r="K271" s="2">
        <f t="shared" si="112"/>
        <v>19511444.976588752</v>
      </c>
      <c r="L271" s="2">
        <f t="shared" si="112"/>
        <v>24074077.954699419</v>
      </c>
      <c r="M271" s="2">
        <f t="shared" si="112"/>
        <v>28439929.932911668</v>
      </c>
      <c r="N271" s="2">
        <f t="shared" si="112"/>
        <v>32615620.831842452</v>
      </c>
      <c r="O271" s="2">
        <f t="shared" si="112"/>
        <v>36602502.914364107</v>
      </c>
      <c r="P271" s="2">
        <f t="shared" si="112"/>
        <v>40685024.897572123</v>
      </c>
      <c r="Q271" s="2">
        <f t="shared" si="112"/>
        <v>44858687.51313892</v>
      </c>
      <c r="R271" s="2">
        <f t="shared" si="112"/>
        <v>49378191.643165857</v>
      </c>
      <c r="S271" s="2">
        <f t="shared" si="112"/>
        <v>54285148.555953443</v>
      </c>
      <c r="T271" s="2">
        <f t="shared" si="112"/>
        <v>59597404.693263024</v>
      </c>
      <c r="U271" s="2">
        <f t="shared" si="112"/>
        <v>65085081.36430487</v>
      </c>
      <c r="V271" s="2">
        <f t="shared" si="112"/>
        <v>70760709.81436567</v>
      </c>
      <c r="W271" s="2">
        <f t="shared" si="112"/>
        <v>72246684.720467344</v>
      </c>
      <c r="X271" s="2">
        <f t="shared" si="112"/>
        <v>73763865.099597141</v>
      </c>
      <c r="Y271" s="2">
        <f t="shared" si="112"/>
        <v>75312906.266688675</v>
      </c>
      <c r="Z271" s="2">
        <f t="shared" si="112"/>
        <v>76894477.29828915</v>
      </c>
      <c r="AA271" s="2">
        <f t="shared" si="112"/>
        <v>78509261.3215532</v>
      </c>
      <c r="AB271" s="2">
        <f t="shared" ref="AB271:AB275" si="113">IF(V271=0,0,IF($G$15&gt;(AA271/V271)^(1/5)-1+2%,AA271*(AA271/V271)^(1/5)/($G$15-((AA271/V271)^(1/5)-1)),AA271*(1+$G$14)/$G$16))</f>
        <v>2616975377.3851123</v>
      </c>
    </row>
    <row r="272" spans="4:28" customFormat="1" x14ac:dyDescent="0.25">
      <c r="E272" t="s">
        <v>57</v>
      </c>
      <c r="F272" t="s">
        <v>7</v>
      </c>
      <c r="G272" s="2">
        <f t="shared" si="112"/>
        <v>0</v>
      </c>
      <c r="H272" s="2">
        <f t="shared" si="112"/>
        <v>-2122629.1767095425</v>
      </c>
      <c r="I272" s="2">
        <f t="shared" si="112"/>
        <v>-4354269.4778751032</v>
      </c>
      <c r="J272" s="2">
        <f t="shared" si="112"/>
        <v>-6734273.1972878007</v>
      </c>
      <c r="K272" s="2">
        <f t="shared" si="112"/>
        <v>-8885262.4259306435</v>
      </c>
      <c r="L272" s="2">
        <f t="shared" si="112"/>
        <v>-10938346.137787469</v>
      </c>
      <c r="M272" s="2">
        <f t="shared" si="112"/>
        <v>-12893745.156370113</v>
      </c>
      <c r="N272" s="2">
        <f t="shared" si="112"/>
        <v>-14752599.121368518</v>
      </c>
      <c r="O272" s="2">
        <f t="shared" si="112"/>
        <v>-16515777.432666125</v>
      </c>
      <c r="P272" s="2">
        <f t="shared" si="112"/>
        <v>-18307375.226850472</v>
      </c>
      <c r="Q272" s="2">
        <f t="shared" si="112"/>
        <v>-20121549.814150285</v>
      </c>
      <c r="R272" s="2">
        <f t="shared" si="112"/>
        <v>-22084445.385203749</v>
      </c>
      <c r="S272" s="2">
        <f t="shared" si="112"/>
        <v>-24212902.218682617</v>
      </c>
      <c r="T272" s="2">
        <f t="shared" si="112"/>
        <v>-26517274.696559355</v>
      </c>
      <c r="U272" s="2">
        <f t="shared" si="112"/>
        <v>-28898775.798122369</v>
      </c>
      <c r="V272" s="2">
        <f t="shared" si="112"/>
        <v>-31360486.303749148</v>
      </c>
      <c r="W272" s="2">
        <f t="shared" si="112"/>
        <v>-32019056.516127877</v>
      </c>
      <c r="X272" s="2">
        <f t="shared" si="112"/>
        <v>-32691456.70296656</v>
      </c>
      <c r="Y272" s="2">
        <f t="shared" si="112"/>
        <v>-33377977.293728855</v>
      </c>
      <c r="Z272" s="2">
        <f t="shared" si="112"/>
        <v>-34078914.816897161</v>
      </c>
      <c r="AA272" s="2">
        <f t="shared" si="112"/>
        <v>-34794572.028051995</v>
      </c>
      <c r="AB272" s="2">
        <f t="shared" si="113"/>
        <v>-1159819067.6017356</v>
      </c>
    </row>
    <row r="273" spans="1:28" x14ac:dyDescent="0.25">
      <c r="E273" t="s">
        <v>10</v>
      </c>
      <c r="F273" t="s">
        <v>7</v>
      </c>
      <c r="G273" s="2">
        <f t="shared" si="112"/>
        <v>0</v>
      </c>
      <c r="H273" s="2">
        <f t="shared" si="112"/>
        <v>-743132.80799999996</v>
      </c>
      <c r="I273" s="2">
        <f t="shared" si="112"/>
        <v>-1478523.258648</v>
      </c>
      <c r="J273" s="2">
        <f t="shared" si="112"/>
        <v>-2217704.8560236422</v>
      </c>
      <c r="K273" s="2">
        <f t="shared" si="112"/>
        <v>-2925774.6497805635</v>
      </c>
      <c r="L273" s="2">
        <f t="shared" si="112"/>
        <v>-3601445.9789350131</v>
      </c>
      <c r="M273" s="2">
        <f t="shared" si="112"/>
        <v>-4244828.2267642058</v>
      </c>
      <c r="N273" s="2">
        <f t="shared" si="112"/>
        <v>-4856268.0739904055</v>
      </c>
      <c r="O273" s="2">
        <f t="shared" si="112"/>
        <v>-5436055.6661825636</v>
      </c>
      <c r="P273" s="2">
        <f t="shared" si="112"/>
        <v>-6024970.6241419576</v>
      </c>
      <c r="Q273" s="2">
        <f t="shared" si="112"/>
        <v>-6621031.2070962396</v>
      </c>
      <c r="R273" s="2">
        <f t="shared" si="112"/>
        <v>-7265929.5167125678</v>
      </c>
      <c r="S273" s="2">
        <f t="shared" si="112"/>
        <v>-7965178.6357935406</v>
      </c>
      <c r="T273" s="2">
        <f t="shared" si="112"/>
        <v>-8722222.05257494</v>
      </c>
      <c r="U273" s="2">
        <f t="shared" si="112"/>
        <v>-9504620.6801167671</v>
      </c>
      <c r="V273" s="2">
        <f t="shared" si="112"/>
        <v>-10313348.939650029</v>
      </c>
      <c r="W273" s="2">
        <f t="shared" si="112"/>
        <v>-10529929.26738268</v>
      </c>
      <c r="X273" s="2">
        <f t="shared" si="112"/>
        <v>-10751057.781997714</v>
      </c>
      <c r="Y273" s="2">
        <f t="shared" si="112"/>
        <v>-10976829.995419666</v>
      </c>
      <c r="Z273" s="2">
        <f t="shared" si="112"/>
        <v>-11207343.425323477</v>
      </c>
      <c r="AA273" s="2">
        <f t="shared" si="112"/>
        <v>-11442697.63725527</v>
      </c>
      <c r="AB273" s="2">
        <f t="shared" si="113"/>
        <v>-381423254.57517648</v>
      </c>
    </row>
    <row r="274" spans="1:28" x14ac:dyDescent="0.25">
      <c r="E274" t="s">
        <v>48</v>
      </c>
      <c r="F274" t="s">
        <v>7</v>
      </c>
      <c r="G274" s="2">
        <f t="shared" si="112"/>
        <v>0</v>
      </c>
      <c r="H274" s="2">
        <f t="shared" si="112"/>
        <v>0</v>
      </c>
      <c r="I274" s="2">
        <f t="shared" si="112"/>
        <v>0</v>
      </c>
      <c r="J274" s="2">
        <f t="shared" si="112"/>
        <v>0</v>
      </c>
      <c r="K274" s="2">
        <f t="shared" si="112"/>
        <v>0</v>
      </c>
      <c r="L274" s="2">
        <f t="shared" si="112"/>
        <v>0</v>
      </c>
      <c r="M274" s="2">
        <f t="shared" si="112"/>
        <v>0</v>
      </c>
      <c r="N274" s="2">
        <f t="shared" si="112"/>
        <v>0</v>
      </c>
      <c r="O274" s="2">
        <f t="shared" si="112"/>
        <v>0</v>
      </c>
      <c r="P274" s="2">
        <f t="shared" si="112"/>
        <v>0</v>
      </c>
      <c r="Q274" s="2">
        <f t="shared" si="112"/>
        <v>0</v>
      </c>
      <c r="R274" s="2">
        <f t="shared" si="112"/>
        <v>0</v>
      </c>
      <c r="S274" s="2">
        <f t="shared" si="112"/>
        <v>0</v>
      </c>
      <c r="T274" s="2">
        <f t="shared" si="112"/>
        <v>0</v>
      </c>
      <c r="U274" s="2">
        <f t="shared" si="112"/>
        <v>0</v>
      </c>
      <c r="V274" s="2">
        <f t="shared" si="112"/>
        <v>0</v>
      </c>
      <c r="W274" s="2">
        <f t="shared" si="112"/>
        <v>0</v>
      </c>
      <c r="X274" s="2">
        <f t="shared" si="112"/>
        <v>0</v>
      </c>
      <c r="Y274" s="2">
        <f t="shared" si="112"/>
        <v>0</v>
      </c>
      <c r="Z274" s="2">
        <f t="shared" si="112"/>
        <v>0</v>
      </c>
      <c r="AA274" s="2">
        <f t="shared" si="112"/>
        <v>0</v>
      </c>
      <c r="AB274" s="2">
        <f t="shared" si="113"/>
        <v>0</v>
      </c>
    </row>
    <row r="275" spans="1:28" x14ac:dyDescent="0.25">
      <c r="E275" t="s">
        <v>49</v>
      </c>
      <c r="F275" t="s">
        <v>7</v>
      </c>
      <c r="G275" s="2">
        <f t="shared" si="112"/>
        <v>0</v>
      </c>
      <c r="H275" s="2">
        <f t="shared" si="112"/>
        <v>0</v>
      </c>
      <c r="I275" s="2">
        <f t="shared" si="112"/>
        <v>0</v>
      </c>
      <c r="J275" s="2">
        <f t="shared" si="112"/>
        <v>0</v>
      </c>
      <c r="K275" s="2">
        <f t="shared" si="112"/>
        <v>0</v>
      </c>
      <c r="L275" s="2">
        <f t="shared" si="112"/>
        <v>0</v>
      </c>
      <c r="M275" s="2">
        <f t="shared" si="112"/>
        <v>0</v>
      </c>
      <c r="N275" s="2">
        <f t="shared" si="112"/>
        <v>0</v>
      </c>
      <c r="O275" s="2">
        <f t="shared" si="112"/>
        <v>0</v>
      </c>
      <c r="P275" s="2">
        <f t="shared" si="112"/>
        <v>0</v>
      </c>
      <c r="Q275" s="2">
        <f t="shared" si="112"/>
        <v>0</v>
      </c>
      <c r="R275" s="2">
        <f t="shared" si="112"/>
        <v>0</v>
      </c>
      <c r="S275" s="2">
        <f t="shared" si="112"/>
        <v>0</v>
      </c>
      <c r="T275" s="2">
        <f t="shared" si="112"/>
        <v>0</v>
      </c>
      <c r="U275" s="2">
        <f t="shared" si="112"/>
        <v>0</v>
      </c>
      <c r="V275" s="2">
        <f t="shared" si="112"/>
        <v>0</v>
      </c>
      <c r="W275" s="2">
        <f t="shared" si="112"/>
        <v>0</v>
      </c>
      <c r="X275" s="2">
        <f t="shared" si="112"/>
        <v>0</v>
      </c>
      <c r="Y275" s="2">
        <f t="shared" si="112"/>
        <v>0</v>
      </c>
      <c r="Z275" s="2">
        <f t="shared" si="112"/>
        <v>0</v>
      </c>
      <c r="AA275" s="2">
        <f t="shared" si="112"/>
        <v>0</v>
      </c>
      <c r="AB275" s="2">
        <f t="shared" si="113"/>
        <v>0</v>
      </c>
    </row>
    <row r="276" spans="1:28" x14ac:dyDescent="0.25">
      <c r="E276" t="s">
        <v>20</v>
      </c>
      <c r="F276" t="s">
        <v>7</v>
      </c>
      <c r="G276" s="2">
        <f t="shared" ref="G276:AA276" ca="1" si="114">G265</f>
        <v>-61521471.841915734</v>
      </c>
      <c r="H276" s="2">
        <f t="shared" si="114"/>
        <v>-21254319.196853075</v>
      </c>
      <c r="I276" s="2">
        <f t="shared" si="114"/>
        <v>-20730417.252425976</v>
      </c>
      <c r="J276" s="2">
        <f t="shared" si="114"/>
        <v>-20585258.451683071</v>
      </c>
      <c r="K276" s="2">
        <f t="shared" si="114"/>
        <v>-19450853.972760733</v>
      </c>
      <c r="L276" s="2">
        <f t="shared" si="114"/>
        <v>-18298187.132098526</v>
      </c>
      <c r="M276" s="2">
        <f t="shared" si="114"/>
        <v>-17164551.306098495</v>
      </c>
      <c r="N276" s="2">
        <f t="shared" si="114"/>
        <v>-16052629.093393601</v>
      </c>
      <c r="O276" s="2">
        <f t="shared" si="114"/>
        <v>-14962678.360062797</v>
      </c>
      <c r="P276" s="2">
        <f t="shared" si="114"/>
        <v>-15098850.132240331</v>
      </c>
      <c r="Q276" s="2">
        <f t="shared" si="114"/>
        <v>-15188521.261116769</v>
      </c>
      <c r="R276" s="2">
        <f t="shared" si="114"/>
        <v>-16519163.573464541</v>
      </c>
      <c r="S276" s="2">
        <f t="shared" si="114"/>
        <v>-18014774.029262565</v>
      </c>
      <c r="T276" s="2">
        <f t="shared" si="114"/>
        <v>-19612341.737446502</v>
      </c>
      <c r="U276" s="2">
        <f t="shared" si="114"/>
        <v>-20244366.212500498</v>
      </c>
      <c r="V276" s="2">
        <f t="shared" si="114"/>
        <v>-20907233.567917626</v>
      </c>
      <c r="W276" s="2">
        <f t="shared" si="114"/>
        <v>-3283256.5821939711</v>
      </c>
      <c r="X276" s="2">
        <f t="shared" si="114"/>
        <v>-3428632.5212741541</v>
      </c>
      <c r="Y276" s="2">
        <f t="shared" si="114"/>
        <v>-3577117.0997335296</v>
      </c>
      <c r="Z276" s="2">
        <f t="shared" si="114"/>
        <v>-3728726.5075494992</v>
      </c>
      <c r="AA276" s="2">
        <f t="shared" si="114"/>
        <v>-3883482.0519445636</v>
      </c>
      <c r="AB276" s="2">
        <f>IF(V276=0,0,IF($G$15&gt;(AA276/V276)^(1/5)-1+2%,AA276*(AA276/V276)^(1/5)/($G$15-((AA276/V276)^(1/5)-1)),AA276*(1+$G$14)/$G$16))</f>
        <v>-8217670.0137631763</v>
      </c>
    </row>
    <row r="277" spans="1:28" x14ac:dyDescent="0.25">
      <c r="E277" t="s">
        <v>173</v>
      </c>
      <c r="F277" t="s">
        <v>7</v>
      </c>
      <c r="G277" s="2">
        <f ca="1">-$G$17*G276</f>
        <v>30760735.920957867</v>
      </c>
      <c r="H277" s="2">
        <f t="shared" ref="H277:AA277" si="115">-$G$17*H276</f>
        <v>10627159.598426538</v>
      </c>
      <c r="I277" s="2">
        <f t="shared" si="115"/>
        <v>10365208.626212988</v>
      </c>
      <c r="J277" s="2">
        <f t="shared" si="115"/>
        <v>10292629.225841535</v>
      </c>
      <c r="K277" s="2">
        <f t="shared" si="115"/>
        <v>9725426.9863803666</v>
      </c>
      <c r="L277" s="2">
        <f t="shared" si="115"/>
        <v>9149093.5660492629</v>
      </c>
      <c r="M277" s="2">
        <f t="shared" si="115"/>
        <v>8582275.6530492473</v>
      </c>
      <c r="N277" s="2">
        <f t="shared" si="115"/>
        <v>8026314.5466968007</v>
      </c>
      <c r="O277" s="2">
        <f t="shared" si="115"/>
        <v>7481339.1800313983</v>
      </c>
      <c r="P277" s="2">
        <f t="shared" si="115"/>
        <v>7549425.0661201654</v>
      </c>
      <c r="Q277" s="2">
        <f t="shared" si="115"/>
        <v>7594260.6305583846</v>
      </c>
      <c r="R277" s="2">
        <f t="shared" si="115"/>
        <v>8259581.7867322704</v>
      </c>
      <c r="S277" s="2">
        <f t="shared" si="115"/>
        <v>9007387.0146312825</v>
      </c>
      <c r="T277" s="2">
        <f t="shared" si="115"/>
        <v>9806170.8687232509</v>
      </c>
      <c r="U277" s="2">
        <f t="shared" si="115"/>
        <v>10122183.106250249</v>
      </c>
      <c r="V277" s="2">
        <f t="shared" si="115"/>
        <v>10453616.783958813</v>
      </c>
      <c r="W277" s="2">
        <f t="shared" si="115"/>
        <v>1641628.2910969856</v>
      </c>
      <c r="X277" s="2">
        <f t="shared" si="115"/>
        <v>1714316.260637077</v>
      </c>
      <c r="Y277" s="2">
        <f t="shared" si="115"/>
        <v>1788558.5498667648</v>
      </c>
      <c r="Z277" s="2">
        <f t="shared" si="115"/>
        <v>1864363.2537747496</v>
      </c>
      <c r="AA277" s="2">
        <f t="shared" si="115"/>
        <v>1941741.0259722818</v>
      </c>
      <c r="AB277" s="2">
        <f t="shared" ref="AB277" si="116">IF(V277=0,0,IF($G$15&gt;(AA277/V277)^(1/5)-1+2%,AA277*(AA277/V277)^(1/5)/($G$15-((AA277/V277)^(1/5)-1)),AA277*(1+$G$14)/$G$16))</f>
        <v>4108835.0068815881</v>
      </c>
    </row>
    <row r="278" spans="1:28" x14ac:dyDescent="0.25">
      <c r="E278" t="s">
        <v>23</v>
      </c>
      <c r="F278" t="s">
        <v>7</v>
      </c>
      <c r="G278" s="2">
        <f t="shared" ref="G278:AB278" ca="1" si="117">SUM(G268:G277)</f>
        <v>-235126767.74287233</v>
      </c>
      <c r="H278" s="2">
        <f t="shared" si="117"/>
        <v>-55415334.701854646</v>
      </c>
      <c r="I278" s="2">
        <f t="shared" si="117"/>
        <v>-50074738.78627035</v>
      </c>
      <c r="J278" s="2">
        <f t="shared" si="117"/>
        <v>-41393938.40111582</v>
      </c>
      <c r="K278" s="2">
        <f t="shared" si="117"/>
        <v>-40581369.457632765</v>
      </c>
      <c r="L278" s="2">
        <f t="shared" si="117"/>
        <v>-37152672.855612174</v>
      </c>
      <c r="M278" s="2">
        <f t="shared" si="117"/>
        <v>-34525862.971901461</v>
      </c>
      <c r="N278" s="2">
        <f t="shared" si="117"/>
        <v>-33585452.804200321</v>
      </c>
      <c r="O278" s="2">
        <f t="shared" si="117"/>
        <v>-32005684.522214063</v>
      </c>
      <c r="P278" s="2">
        <f t="shared" si="117"/>
        <v>-30697518.299143832</v>
      </c>
      <c r="Q278" s="2">
        <f t="shared" si="117"/>
        <v>-29947027.971179485</v>
      </c>
      <c r="R278" s="2">
        <f t="shared" si="117"/>
        <v>-29716461.904585935</v>
      </c>
      <c r="S278" s="2">
        <f t="shared" si="117"/>
        <v>-29271340.270515416</v>
      </c>
      <c r="T278" s="2">
        <f t="shared" si="117"/>
        <v>-28627447.972212702</v>
      </c>
      <c r="U278" s="2">
        <f t="shared" si="117"/>
        <v>-27465783.589243144</v>
      </c>
      <c r="V278" s="2">
        <f t="shared" si="117"/>
        <v>-26371047.999324359</v>
      </c>
      <c r="W278" s="2">
        <f t="shared" si="117"/>
        <v>15787002.934212886</v>
      </c>
      <c r="X278" s="2">
        <f t="shared" si="117"/>
        <v>16091165.087203262</v>
      </c>
      <c r="Y278" s="2">
        <f t="shared" si="117"/>
        <v>16407561.303830739</v>
      </c>
      <c r="Z278" s="2">
        <f t="shared" si="117"/>
        <v>16715871.079532286</v>
      </c>
      <c r="AA278" s="2">
        <f t="shared" si="117"/>
        <v>17017379.932824761</v>
      </c>
      <c r="AB278" s="2">
        <f t="shared" si="117"/>
        <v>1071624220.2013186</v>
      </c>
    </row>
    <row r="279" spans="1:28" x14ac:dyDescent="0.25">
      <c r="E279" t="s">
        <v>31</v>
      </c>
      <c r="F279" t="s">
        <v>7</v>
      </c>
      <c r="G279" s="2">
        <f ca="1">NPV($G$15,H278:AB278)+G278</f>
        <v>-207342306.49329594</v>
      </c>
    </row>
    <row r="280" spans="1:28" x14ac:dyDescent="0.25">
      <c r="E280" s="3" t="s">
        <v>34</v>
      </c>
      <c r="F280" s="3"/>
      <c r="G280" s="4" t="str">
        <f ca="1">IF(G279&gt;0,"N/A",IF(ABS(G279+G253)&gt;1,"Error","OK"))</f>
        <v>OK</v>
      </c>
    </row>
    <row r="282" spans="1:28" x14ac:dyDescent="0.25">
      <c r="C282" s="1" t="s">
        <v>36</v>
      </c>
      <c r="D282" s="1"/>
      <c r="G282" s="44"/>
    </row>
    <row r="283" spans="1:28" x14ac:dyDescent="0.25">
      <c r="A283" s="14">
        <f>'Notes &amp; Assumptions'!A67</f>
        <v>54</v>
      </c>
      <c r="C283" s="1"/>
      <c r="D283" s="1"/>
      <c r="E283" t="s">
        <v>42</v>
      </c>
      <c r="F283" t="s">
        <v>3</v>
      </c>
      <c r="G283" s="10"/>
      <c r="H283" s="10">
        <v>1</v>
      </c>
      <c r="I283" s="10">
        <v>1</v>
      </c>
      <c r="J283" s="10">
        <v>1</v>
      </c>
      <c r="K283" s="10">
        <v>1</v>
      </c>
      <c r="L283" s="10">
        <v>1</v>
      </c>
      <c r="M283" s="10">
        <v>1</v>
      </c>
      <c r="N283" s="10">
        <v>1</v>
      </c>
      <c r="O283" s="10">
        <v>1</v>
      </c>
      <c r="P283" s="10">
        <v>1</v>
      </c>
      <c r="Q283" s="10">
        <v>1</v>
      </c>
      <c r="R283" s="10">
        <v>1</v>
      </c>
      <c r="S283" s="10">
        <v>1</v>
      </c>
      <c r="T283" s="10">
        <v>1</v>
      </c>
      <c r="U283" s="10">
        <v>1</v>
      </c>
      <c r="V283" s="10">
        <v>1</v>
      </c>
      <c r="W283" s="10">
        <v>0</v>
      </c>
      <c r="X283" s="10">
        <v>0</v>
      </c>
      <c r="Y283" s="10">
        <v>0</v>
      </c>
      <c r="Z283" s="10">
        <v>0</v>
      </c>
      <c r="AA283" s="10">
        <v>0</v>
      </c>
    </row>
    <row r="284" spans="1:28" x14ac:dyDescent="0.25">
      <c r="E284" t="s">
        <v>37</v>
      </c>
      <c r="F284" t="s">
        <v>38</v>
      </c>
      <c r="G284" s="8">
        <f ca="1">MAX(0,-G311/(NPV($G$16,H283:AA283)+G283))</f>
        <v>17346111.294228148</v>
      </c>
      <c r="H284" s="2">
        <f t="shared" ref="H284:AA284" ca="1" si="118">G284*(1+$G$14)</f>
        <v>17710379.631406937</v>
      </c>
      <c r="I284" s="2">
        <f t="shared" ca="1" si="118"/>
        <v>18082297.603666481</v>
      </c>
      <c r="J284" s="2">
        <f t="shared" ca="1" si="118"/>
        <v>18462025.853343476</v>
      </c>
      <c r="K284" s="2">
        <f t="shared" ca="1" si="118"/>
        <v>18849728.396263685</v>
      </c>
      <c r="L284" s="2">
        <f t="shared" ca="1" si="118"/>
        <v>19245572.692585222</v>
      </c>
      <c r="M284" s="2">
        <f t="shared" ca="1" si="118"/>
        <v>19649729.71912951</v>
      </c>
      <c r="N284" s="2">
        <f t="shared" ca="1" si="118"/>
        <v>20062374.043231227</v>
      </c>
      <c r="O284" s="2">
        <f t="shared" ca="1" si="118"/>
        <v>20483683.898139082</v>
      </c>
      <c r="P284" s="2">
        <f t="shared" ca="1" si="118"/>
        <v>20913841.260000002</v>
      </c>
      <c r="Q284" s="2">
        <f t="shared" ca="1" si="118"/>
        <v>21353031.926459998</v>
      </c>
      <c r="R284" s="2">
        <f t="shared" ca="1" si="118"/>
        <v>21801445.596915655</v>
      </c>
      <c r="S284" s="2">
        <f t="shared" ca="1" si="118"/>
        <v>22259275.954450883</v>
      </c>
      <c r="T284" s="2">
        <f t="shared" ca="1" si="118"/>
        <v>22726720.749494348</v>
      </c>
      <c r="U284" s="2">
        <f t="shared" ca="1" si="118"/>
        <v>23203981.885233726</v>
      </c>
      <c r="V284" s="2">
        <f t="shared" ca="1" si="118"/>
        <v>23691265.504823633</v>
      </c>
      <c r="W284" s="2">
        <f t="shared" ca="1" si="118"/>
        <v>24188782.080424927</v>
      </c>
      <c r="X284" s="2">
        <f t="shared" ca="1" si="118"/>
        <v>24696746.504113849</v>
      </c>
      <c r="Y284" s="2">
        <f t="shared" ca="1" si="118"/>
        <v>25215378.180700239</v>
      </c>
      <c r="Z284" s="2">
        <f t="shared" ca="1" si="118"/>
        <v>25744901.12249494</v>
      </c>
      <c r="AA284" s="2">
        <f t="shared" ca="1" si="118"/>
        <v>26285544.046067331</v>
      </c>
    </row>
    <row r="285" spans="1:28" x14ac:dyDescent="0.25">
      <c r="E285" t="s">
        <v>21</v>
      </c>
      <c r="F285" t="s">
        <v>7</v>
      </c>
      <c r="G285" s="2">
        <f ca="1">G283*G284</f>
        <v>0</v>
      </c>
      <c r="H285" s="2">
        <f t="shared" ref="H285:AA285" ca="1" si="119">H283*H284</f>
        <v>17710379.631406937</v>
      </c>
      <c r="I285" s="2">
        <f t="shared" ca="1" si="119"/>
        <v>18082297.603666481</v>
      </c>
      <c r="J285" s="2">
        <f t="shared" ca="1" si="119"/>
        <v>18462025.853343476</v>
      </c>
      <c r="K285" s="2">
        <f t="shared" ca="1" si="119"/>
        <v>18849728.396263685</v>
      </c>
      <c r="L285" s="2">
        <f t="shared" ca="1" si="119"/>
        <v>19245572.692585222</v>
      </c>
      <c r="M285" s="2">
        <f t="shared" ca="1" si="119"/>
        <v>19649729.71912951</v>
      </c>
      <c r="N285" s="2">
        <f t="shared" ca="1" si="119"/>
        <v>20062374.043231227</v>
      </c>
      <c r="O285" s="2">
        <f t="shared" ca="1" si="119"/>
        <v>20483683.898139082</v>
      </c>
      <c r="P285" s="2">
        <f t="shared" ca="1" si="119"/>
        <v>20913841.260000002</v>
      </c>
      <c r="Q285" s="2">
        <f t="shared" ca="1" si="119"/>
        <v>21353031.926459998</v>
      </c>
      <c r="R285" s="2">
        <f t="shared" ca="1" si="119"/>
        <v>21801445.596915655</v>
      </c>
      <c r="S285" s="2">
        <f t="shared" ca="1" si="119"/>
        <v>22259275.954450883</v>
      </c>
      <c r="T285" s="2">
        <f t="shared" ca="1" si="119"/>
        <v>22726720.749494348</v>
      </c>
      <c r="U285" s="2">
        <f t="shared" ca="1" si="119"/>
        <v>23203981.885233726</v>
      </c>
      <c r="V285" s="2">
        <f t="shared" ca="1" si="119"/>
        <v>23691265.504823633</v>
      </c>
      <c r="W285" s="2">
        <f t="shared" ca="1" si="119"/>
        <v>0</v>
      </c>
      <c r="X285" s="2">
        <f t="shared" ca="1" si="119"/>
        <v>0</v>
      </c>
      <c r="Y285" s="2">
        <f t="shared" ca="1" si="119"/>
        <v>0</v>
      </c>
      <c r="Z285" s="2">
        <f t="shared" ca="1" si="119"/>
        <v>0</v>
      </c>
      <c r="AA285" s="2">
        <f t="shared" ca="1" si="119"/>
        <v>0</v>
      </c>
    </row>
    <row r="286" spans="1:28" x14ac:dyDescent="0.25">
      <c r="G286" s="8">
        <f ca="1">-G311/(NPV($G$16,H283:AA283)+G283)</f>
        <v>17346111.294228148</v>
      </c>
    </row>
    <row r="287" spans="1:28" x14ac:dyDescent="0.25">
      <c r="D287" t="s">
        <v>9</v>
      </c>
    </row>
    <row r="288" spans="1:28" x14ac:dyDescent="0.25">
      <c r="E288" t="s">
        <v>107</v>
      </c>
      <c r="F288" t="s">
        <v>7</v>
      </c>
      <c r="G288" s="2">
        <f t="shared" ref="G288:AA293" si="120">G222</f>
        <v>0</v>
      </c>
      <c r="H288" s="2">
        <f t="shared" si="120"/>
        <v>72249022.999999985</v>
      </c>
      <c r="I288" s="2">
        <f t="shared" si="120"/>
        <v>69979064.329999983</v>
      </c>
      <c r="J288" s="2">
        <f t="shared" si="120"/>
        <v>68846225.869558871</v>
      </c>
      <c r="K288" s="2">
        <f t="shared" si="120"/>
        <v>64312304.756430194</v>
      </c>
      <c r="L288" s="2">
        <f t="shared" si="120"/>
        <v>59716811.53560283</v>
      </c>
      <c r="M288" s="2">
        <f t="shared" si="120"/>
        <v>55198099.665290311</v>
      </c>
      <c r="N288" s="2">
        <f t="shared" si="120"/>
        <v>50779016.406236961</v>
      </c>
      <c r="O288" s="2">
        <f t="shared" si="120"/>
        <v>46453357.47872936</v>
      </c>
      <c r="P288" s="2">
        <f t="shared" si="120"/>
        <v>46157007.26092948</v>
      </c>
      <c r="Q288" s="2">
        <f t="shared" si="120"/>
        <v>45649352.76293207</v>
      </c>
      <c r="R288" s="2">
        <f t="shared" si="120"/>
        <v>49180508.053766027</v>
      </c>
      <c r="S288" s="2">
        <f t="shared" si="120"/>
        <v>53147947.147361971</v>
      </c>
      <c r="T288" s="2">
        <f t="shared" si="120"/>
        <v>57339203.583446585</v>
      </c>
      <c r="U288" s="2">
        <f t="shared" si="120"/>
        <v>58258663.209226079</v>
      </c>
      <c r="V288" s="2">
        <f t="shared" si="120"/>
        <v>59221091.343828619</v>
      </c>
      <c r="W288" s="2">
        <f t="shared" si="120"/>
        <v>0</v>
      </c>
      <c r="X288" s="2">
        <f t="shared" si="120"/>
        <v>0</v>
      </c>
      <c r="Y288" s="2">
        <f t="shared" si="120"/>
        <v>0</v>
      </c>
      <c r="Z288" s="2">
        <f t="shared" si="120"/>
        <v>0</v>
      </c>
      <c r="AA288" s="2">
        <f t="shared" si="120"/>
        <v>0</v>
      </c>
    </row>
    <row r="289" spans="4:28" customFormat="1" x14ac:dyDescent="0.25">
      <c r="E289" t="s">
        <v>11</v>
      </c>
      <c r="F289" t="s">
        <v>7</v>
      </c>
      <c r="G289" s="2">
        <f t="shared" si="120"/>
        <v>0</v>
      </c>
      <c r="H289" s="2">
        <f t="shared" si="120"/>
        <v>5059997.0294428989</v>
      </c>
      <c r="I289" s="2">
        <f t="shared" si="120"/>
        <v>9813640.4386346266</v>
      </c>
      <c r="J289" s="2">
        <f t="shared" si="120"/>
        <v>14756828.047150774</v>
      </c>
      <c r="K289" s="2">
        <f t="shared" si="120"/>
        <v>19511444.976588752</v>
      </c>
      <c r="L289" s="2">
        <f t="shared" si="120"/>
        <v>24074077.954699419</v>
      </c>
      <c r="M289" s="2">
        <f t="shared" si="120"/>
        <v>28439929.932911668</v>
      </c>
      <c r="N289" s="2">
        <f t="shared" si="120"/>
        <v>32615620.831842452</v>
      </c>
      <c r="O289" s="2">
        <f t="shared" si="120"/>
        <v>36602502.914364107</v>
      </c>
      <c r="P289" s="2">
        <f t="shared" si="120"/>
        <v>40685024.897572123</v>
      </c>
      <c r="Q289" s="2">
        <f t="shared" si="120"/>
        <v>44858687.51313892</v>
      </c>
      <c r="R289" s="2">
        <f t="shared" si="120"/>
        <v>49378191.643165857</v>
      </c>
      <c r="S289" s="2">
        <f t="shared" si="120"/>
        <v>54285148.555953443</v>
      </c>
      <c r="T289" s="2">
        <f t="shared" si="120"/>
        <v>59597404.693263024</v>
      </c>
      <c r="U289" s="2">
        <f t="shared" si="120"/>
        <v>65085081.36430487</v>
      </c>
      <c r="V289" s="2">
        <f t="shared" si="120"/>
        <v>70760709.81436567</v>
      </c>
      <c r="W289" s="2">
        <f t="shared" si="120"/>
        <v>72246684.720467344</v>
      </c>
      <c r="X289" s="2">
        <f t="shared" si="120"/>
        <v>73763865.099597141</v>
      </c>
      <c r="Y289" s="2">
        <f t="shared" si="120"/>
        <v>75312906.266688675</v>
      </c>
      <c r="Z289" s="2">
        <f t="shared" si="120"/>
        <v>76894477.29828915</v>
      </c>
      <c r="AA289" s="2">
        <f t="shared" si="120"/>
        <v>78509261.3215532</v>
      </c>
    </row>
    <row r="290" spans="4:28" customFormat="1" x14ac:dyDescent="0.25">
      <c r="E290" t="s">
        <v>57</v>
      </c>
      <c r="F290" t="s">
        <v>7</v>
      </c>
      <c r="G290" s="2">
        <f t="shared" si="120"/>
        <v>0</v>
      </c>
      <c r="H290" s="2">
        <f t="shared" si="120"/>
        <v>-2122629.1767095425</v>
      </c>
      <c r="I290" s="2">
        <f t="shared" si="120"/>
        <v>-4354269.4778751032</v>
      </c>
      <c r="J290" s="2">
        <f t="shared" si="120"/>
        <v>-6734273.1972878007</v>
      </c>
      <c r="K290" s="2">
        <f t="shared" si="120"/>
        <v>-8885262.4259306435</v>
      </c>
      <c r="L290" s="2">
        <f t="shared" si="120"/>
        <v>-10938346.137787469</v>
      </c>
      <c r="M290" s="2">
        <f t="shared" si="120"/>
        <v>-12893745.156370113</v>
      </c>
      <c r="N290" s="2">
        <f t="shared" si="120"/>
        <v>-14752599.121368518</v>
      </c>
      <c r="O290" s="2">
        <f t="shared" si="120"/>
        <v>-16515777.432666125</v>
      </c>
      <c r="P290" s="2">
        <f t="shared" si="120"/>
        <v>-18307375.226850472</v>
      </c>
      <c r="Q290" s="2">
        <f t="shared" si="120"/>
        <v>-20121549.814150285</v>
      </c>
      <c r="R290" s="2">
        <f t="shared" si="120"/>
        <v>-22084445.385203749</v>
      </c>
      <c r="S290" s="2">
        <f t="shared" si="120"/>
        <v>-24212902.218682617</v>
      </c>
      <c r="T290" s="2">
        <f t="shared" si="120"/>
        <v>-26517274.696559355</v>
      </c>
      <c r="U290" s="2">
        <f t="shared" si="120"/>
        <v>-28898775.798122369</v>
      </c>
      <c r="V290" s="2">
        <f t="shared" si="120"/>
        <v>-31360486.303749148</v>
      </c>
      <c r="W290" s="2">
        <f t="shared" si="120"/>
        <v>-32019056.516127877</v>
      </c>
      <c r="X290" s="2">
        <f t="shared" si="120"/>
        <v>-32691456.70296656</v>
      </c>
      <c r="Y290" s="2">
        <f t="shared" si="120"/>
        <v>-33377977.293728855</v>
      </c>
      <c r="Z290" s="2">
        <f t="shared" si="120"/>
        <v>-34078914.816897161</v>
      </c>
      <c r="AA290" s="2">
        <f t="shared" si="120"/>
        <v>-34794572.028051995</v>
      </c>
    </row>
    <row r="291" spans="4:28" customFormat="1" x14ac:dyDescent="0.25">
      <c r="E291" t="s">
        <v>10</v>
      </c>
      <c r="F291" t="s">
        <v>7</v>
      </c>
      <c r="G291" s="2">
        <f t="shared" si="120"/>
        <v>0</v>
      </c>
      <c r="H291" s="2">
        <f t="shared" si="120"/>
        <v>-743132.80799999996</v>
      </c>
      <c r="I291" s="2">
        <f t="shared" si="120"/>
        <v>-1478523.258648</v>
      </c>
      <c r="J291" s="2">
        <f t="shared" si="120"/>
        <v>-2217704.8560236422</v>
      </c>
      <c r="K291" s="2">
        <f t="shared" si="120"/>
        <v>-2925774.6497805635</v>
      </c>
      <c r="L291" s="2">
        <f t="shared" si="120"/>
        <v>-3601445.9789350131</v>
      </c>
      <c r="M291" s="2">
        <f t="shared" si="120"/>
        <v>-4244828.2267642058</v>
      </c>
      <c r="N291" s="2">
        <f t="shared" si="120"/>
        <v>-4856268.0739904055</v>
      </c>
      <c r="O291" s="2">
        <f t="shared" si="120"/>
        <v>-5436055.6661825636</v>
      </c>
      <c r="P291" s="2">
        <f t="shared" si="120"/>
        <v>-6024970.6241419576</v>
      </c>
      <c r="Q291" s="2">
        <f t="shared" si="120"/>
        <v>-6621031.2070962396</v>
      </c>
      <c r="R291" s="2">
        <f t="shared" si="120"/>
        <v>-7265929.5167125678</v>
      </c>
      <c r="S291" s="2">
        <f t="shared" si="120"/>
        <v>-7965178.6357935406</v>
      </c>
      <c r="T291" s="2">
        <f t="shared" si="120"/>
        <v>-8722222.05257494</v>
      </c>
      <c r="U291" s="2">
        <f t="shared" si="120"/>
        <v>-9504620.6801167671</v>
      </c>
      <c r="V291" s="2">
        <f t="shared" si="120"/>
        <v>-10313348.939650029</v>
      </c>
      <c r="W291" s="2">
        <f t="shared" si="120"/>
        <v>-10529929.26738268</v>
      </c>
      <c r="X291" s="2">
        <f t="shared" si="120"/>
        <v>-10751057.781997714</v>
      </c>
      <c r="Y291" s="2">
        <f t="shared" si="120"/>
        <v>-10976829.995419666</v>
      </c>
      <c r="Z291" s="2">
        <f t="shared" si="120"/>
        <v>-11207343.425323477</v>
      </c>
      <c r="AA291" s="2">
        <f t="shared" si="120"/>
        <v>-11442697.63725527</v>
      </c>
    </row>
    <row r="292" spans="4:28" customFormat="1" x14ac:dyDescent="0.25">
      <c r="E292" t="s">
        <v>12</v>
      </c>
      <c r="F292" t="s">
        <v>7</v>
      </c>
      <c r="G292" s="2">
        <f t="shared" si="120"/>
        <v>-2270733.6869101608</v>
      </c>
      <c r="H292" s="2">
        <f t="shared" si="120"/>
        <v>-3595527.3885563994</v>
      </c>
      <c r="I292" s="2">
        <f t="shared" si="120"/>
        <v>-4858521.1906916089</v>
      </c>
      <c r="J292" s="2">
        <f t="shared" si="120"/>
        <v>-6033547.6911213035</v>
      </c>
      <c r="K292" s="2">
        <f t="shared" si="120"/>
        <v>-7176532.7481053052</v>
      </c>
      <c r="L292" s="2">
        <f t="shared" si="120"/>
        <v>-8257140.2665846683</v>
      </c>
      <c r="M292" s="2">
        <f t="shared" si="120"/>
        <v>-9284285.1947393343</v>
      </c>
      <c r="N292" s="2">
        <f t="shared" si="120"/>
        <v>-10277006.398075156</v>
      </c>
      <c r="O292" s="2">
        <f t="shared" si="120"/>
        <v>-11228432.760702128</v>
      </c>
      <c r="P292" s="2">
        <f t="shared" si="120"/>
        <v>-12180185.866708048</v>
      </c>
      <c r="Q292" s="2">
        <f t="shared" si="120"/>
        <v>-13137055.051101888</v>
      </c>
      <c r="R292" s="2">
        <f t="shared" si="120"/>
        <v>-14144446.216800435</v>
      </c>
      <c r="S292" s="2">
        <f t="shared" si="120"/>
        <v>-15205768.084630694</v>
      </c>
      <c r="T292" s="2">
        <f t="shared" si="120"/>
        <v>-16322639.069420304</v>
      </c>
      <c r="U292" s="2">
        <f t="shared" si="120"/>
        <v>-17459127.3869568</v>
      </c>
      <c r="V292" s="2">
        <f t="shared" si="120"/>
        <v>-18617187.355069697</v>
      </c>
      <c r="W292" s="2">
        <f t="shared" si="120"/>
        <v>-18753510.329643548</v>
      </c>
      <c r="X292" s="2">
        <f t="shared" si="120"/>
        <v>-18892575.543719023</v>
      </c>
      <c r="Y292" s="2">
        <f t="shared" si="120"/>
        <v>-19034375.311761718</v>
      </c>
      <c r="Z292" s="2">
        <f t="shared" si="120"/>
        <v>-19179130.697570179</v>
      </c>
      <c r="AA292" s="2">
        <f t="shared" si="120"/>
        <v>-19327051.483097389</v>
      </c>
    </row>
    <row r="293" spans="4:28" customFormat="1" x14ac:dyDescent="0.25">
      <c r="E293" t="s">
        <v>48</v>
      </c>
      <c r="F293" t="s">
        <v>7</v>
      </c>
      <c r="G293" s="2">
        <f t="shared" si="120"/>
        <v>0</v>
      </c>
      <c r="H293" s="2">
        <f t="shared" si="120"/>
        <v>0</v>
      </c>
      <c r="I293" s="2">
        <f t="shared" si="120"/>
        <v>0</v>
      </c>
      <c r="J293" s="2">
        <f t="shared" si="120"/>
        <v>0</v>
      </c>
      <c r="K293" s="2">
        <f t="shared" si="120"/>
        <v>0</v>
      </c>
      <c r="L293" s="2">
        <f t="shared" si="120"/>
        <v>0</v>
      </c>
      <c r="M293" s="2">
        <f t="shared" si="120"/>
        <v>0</v>
      </c>
      <c r="N293" s="2">
        <f t="shared" si="120"/>
        <v>0</v>
      </c>
      <c r="O293" s="2">
        <f t="shared" si="120"/>
        <v>0</v>
      </c>
      <c r="P293" s="2">
        <f t="shared" si="120"/>
        <v>0</v>
      </c>
      <c r="Q293" s="2">
        <f t="shared" si="120"/>
        <v>0</v>
      </c>
      <c r="R293" s="2">
        <f t="shared" si="120"/>
        <v>0</v>
      </c>
      <c r="S293" s="2">
        <f t="shared" si="120"/>
        <v>0</v>
      </c>
      <c r="T293" s="2">
        <f t="shared" si="120"/>
        <v>0</v>
      </c>
      <c r="U293" s="2">
        <f t="shared" si="120"/>
        <v>0</v>
      </c>
      <c r="V293" s="2">
        <f t="shared" si="120"/>
        <v>0</v>
      </c>
      <c r="W293" s="2">
        <f t="shared" si="120"/>
        <v>0</v>
      </c>
      <c r="X293" s="2">
        <f t="shared" si="120"/>
        <v>0</v>
      </c>
      <c r="Y293" s="2">
        <f t="shared" si="120"/>
        <v>0</v>
      </c>
      <c r="Z293" s="2">
        <f t="shared" si="120"/>
        <v>0</v>
      </c>
      <c r="AA293" s="2">
        <f t="shared" si="120"/>
        <v>0</v>
      </c>
    </row>
    <row r="294" spans="4:28" customFormat="1" x14ac:dyDescent="0.25">
      <c r="E294" t="s">
        <v>13</v>
      </c>
      <c r="F294" t="s">
        <v>7</v>
      </c>
      <c r="G294" s="2">
        <f t="shared" ref="G294:AA294" ca="1" si="121">G285</f>
        <v>0</v>
      </c>
      <c r="H294" s="2">
        <f t="shared" ca="1" si="121"/>
        <v>17710379.631406937</v>
      </c>
      <c r="I294" s="2">
        <f t="shared" ca="1" si="121"/>
        <v>18082297.603666481</v>
      </c>
      <c r="J294" s="2">
        <f t="shared" ca="1" si="121"/>
        <v>18462025.853343476</v>
      </c>
      <c r="K294" s="2">
        <f t="shared" ca="1" si="121"/>
        <v>18849728.396263685</v>
      </c>
      <c r="L294" s="2">
        <f t="shared" ca="1" si="121"/>
        <v>19245572.692585222</v>
      </c>
      <c r="M294" s="2">
        <f t="shared" ca="1" si="121"/>
        <v>19649729.71912951</v>
      </c>
      <c r="N294" s="2">
        <f t="shared" ca="1" si="121"/>
        <v>20062374.043231227</v>
      </c>
      <c r="O294" s="2">
        <f t="shared" ca="1" si="121"/>
        <v>20483683.898139082</v>
      </c>
      <c r="P294" s="2">
        <f t="shared" ca="1" si="121"/>
        <v>20913841.260000002</v>
      </c>
      <c r="Q294" s="2">
        <f t="shared" ca="1" si="121"/>
        <v>21353031.926459998</v>
      </c>
      <c r="R294" s="2">
        <f t="shared" ca="1" si="121"/>
        <v>21801445.596915655</v>
      </c>
      <c r="S294" s="2">
        <f t="shared" ca="1" si="121"/>
        <v>22259275.954450883</v>
      </c>
      <c r="T294" s="2">
        <f t="shared" ca="1" si="121"/>
        <v>22726720.749494348</v>
      </c>
      <c r="U294" s="2">
        <f t="shared" ca="1" si="121"/>
        <v>23203981.885233726</v>
      </c>
      <c r="V294" s="2">
        <f t="shared" ca="1" si="121"/>
        <v>23691265.504823633</v>
      </c>
      <c r="W294" s="2">
        <f t="shared" ca="1" si="121"/>
        <v>0</v>
      </c>
      <c r="X294" s="2">
        <f t="shared" ca="1" si="121"/>
        <v>0</v>
      </c>
      <c r="Y294" s="2">
        <f t="shared" ca="1" si="121"/>
        <v>0</v>
      </c>
      <c r="Z294" s="2">
        <f t="shared" ca="1" si="121"/>
        <v>0</v>
      </c>
      <c r="AA294" s="2">
        <f t="shared" ca="1" si="121"/>
        <v>0</v>
      </c>
    </row>
    <row r="295" spans="4:28" customFormat="1" x14ac:dyDescent="0.25"/>
    <row r="296" spans="4:28" customFormat="1" x14ac:dyDescent="0.25">
      <c r="E296" t="s">
        <v>14</v>
      </c>
      <c r="F296" t="s">
        <v>7</v>
      </c>
      <c r="G296" s="2">
        <f t="shared" ref="G296:AA296" ca="1" si="122">SUM(G288:G294)</f>
        <v>-2270733.6869101608</v>
      </c>
      <c r="H296" s="2">
        <f t="shared" ca="1" si="122"/>
        <v>88558110.287583858</v>
      </c>
      <c r="I296" s="2">
        <f t="shared" ca="1" si="122"/>
        <v>87183688.445086405</v>
      </c>
      <c r="J296" s="2">
        <f t="shared" ca="1" si="122"/>
        <v>87079554.025620371</v>
      </c>
      <c r="K296" s="2">
        <f t="shared" ca="1" si="122"/>
        <v>83685908.30546613</v>
      </c>
      <c r="L296" s="2">
        <f t="shared" ca="1" si="122"/>
        <v>80239529.799580306</v>
      </c>
      <c r="M296" s="2">
        <f t="shared" ca="1" si="122"/>
        <v>76864900.739457831</v>
      </c>
      <c r="N296" s="2">
        <f t="shared" ca="1" si="122"/>
        <v>73571137.687876567</v>
      </c>
      <c r="O296" s="2">
        <f t="shared" ca="1" si="122"/>
        <v>70359278.431681737</v>
      </c>
      <c r="P296" s="2">
        <f t="shared" ca="1" si="122"/>
        <v>71243341.700801104</v>
      </c>
      <c r="Q296" s="2">
        <f t="shared" ca="1" si="122"/>
        <v>71981436.130182564</v>
      </c>
      <c r="R296" s="2">
        <f t="shared" ca="1" si="122"/>
        <v>76865324.175130785</v>
      </c>
      <c r="S296" s="2">
        <f t="shared" ca="1" si="122"/>
        <v>82308522.718659431</v>
      </c>
      <c r="T296" s="2">
        <f t="shared" ca="1" si="122"/>
        <v>88101193.20764935</v>
      </c>
      <c r="U296" s="2">
        <f t="shared" ca="1" si="122"/>
        <v>90685202.593568727</v>
      </c>
      <c r="V296" s="2">
        <f t="shared" ca="1" si="122"/>
        <v>93382044.064549059</v>
      </c>
      <c r="W296" s="2">
        <f t="shared" ca="1" si="122"/>
        <v>10944188.607313238</v>
      </c>
      <c r="X296" s="2">
        <f t="shared" ca="1" si="122"/>
        <v>11428775.070913848</v>
      </c>
      <c r="Y296" s="2">
        <f t="shared" ca="1" si="122"/>
        <v>11923723.665778432</v>
      </c>
      <c r="Z296" s="2">
        <f t="shared" ca="1" si="122"/>
        <v>12429088.358498331</v>
      </c>
      <c r="AA296" s="2">
        <f t="shared" ca="1" si="122"/>
        <v>12944940.173148546</v>
      </c>
    </row>
    <row r="297" spans="4:28" customFormat="1" x14ac:dyDescent="0.25">
      <c r="E297" t="s">
        <v>15</v>
      </c>
      <c r="F297" t="s">
        <v>7</v>
      </c>
      <c r="G297" s="2">
        <f t="shared" ref="G297:AA297" ca="1" si="123">-G296*G$18</f>
        <v>681220.1060730482</v>
      </c>
      <c r="H297" s="2">
        <f t="shared" ca="1" si="123"/>
        <v>-26567433.086275157</v>
      </c>
      <c r="I297" s="2">
        <f t="shared" ca="1" si="123"/>
        <v>-26155106.533525921</v>
      </c>
      <c r="J297" s="2">
        <f t="shared" ca="1" si="123"/>
        <v>-26123866.207686111</v>
      </c>
      <c r="K297" s="2">
        <f t="shared" ca="1" si="123"/>
        <v>-25105772.491639838</v>
      </c>
      <c r="L297" s="2">
        <f t="shared" ca="1" si="123"/>
        <v>-24071858.93987409</v>
      </c>
      <c r="M297" s="2">
        <f t="shared" ca="1" si="123"/>
        <v>-23059470.221837349</v>
      </c>
      <c r="N297" s="2">
        <f t="shared" ca="1" si="123"/>
        <v>-22071341.306362968</v>
      </c>
      <c r="O297" s="2">
        <f t="shared" ca="1" si="123"/>
        <v>-21107783.529504519</v>
      </c>
      <c r="P297" s="2">
        <f t="shared" ca="1" si="123"/>
        <v>-21373002.510240331</v>
      </c>
      <c r="Q297" s="2">
        <f t="shared" ca="1" si="123"/>
        <v>-21594430.839054767</v>
      </c>
      <c r="R297" s="2">
        <f t="shared" ca="1" si="123"/>
        <v>-23059597.252539236</v>
      </c>
      <c r="S297" s="2">
        <f t="shared" ca="1" si="123"/>
        <v>-24692556.815597828</v>
      </c>
      <c r="T297" s="2">
        <f t="shared" ca="1" si="123"/>
        <v>-26430357.962294806</v>
      </c>
      <c r="U297" s="2">
        <f t="shared" ca="1" si="123"/>
        <v>-27205560.778070617</v>
      </c>
      <c r="V297" s="2">
        <f t="shared" ca="1" si="123"/>
        <v>-28014613.219364718</v>
      </c>
      <c r="W297" s="2">
        <f t="shared" ca="1" si="123"/>
        <v>-3283256.5821939711</v>
      </c>
      <c r="X297" s="2">
        <f t="shared" ca="1" si="123"/>
        <v>-3428632.5212741541</v>
      </c>
      <c r="Y297" s="2">
        <f t="shared" ca="1" si="123"/>
        <v>-3577117.0997335296</v>
      </c>
      <c r="Z297" s="2">
        <f t="shared" ca="1" si="123"/>
        <v>-3728726.5075494992</v>
      </c>
      <c r="AA297" s="2">
        <f t="shared" ca="1" si="123"/>
        <v>-3883482.0519445636</v>
      </c>
    </row>
    <row r="298" spans="4:28" customFormat="1" x14ac:dyDescent="0.25"/>
    <row r="299" spans="4:28" customFormat="1" x14ac:dyDescent="0.25">
      <c r="D299" t="s">
        <v>28</v>
      </c>
    </row>
    <row r="300" spans="4:28" customFormat="1" x14ac:dyDescent="0.25">
      <c r="E300" t="s">
        <v>1</v>
      </c>
      <c r="F300" t="s">
        <v>7</v>
      </c>
      <c r="G300" s="2">
        <f t="shared" ref="G300:AA307" si="124">G234</f>
        <v>-204366031.82191446</v>
      </c>
      <c r="H300" s="2">
        <f t="shared" si="124"/>
        <v>-46982410.148161471</v>
      </c>
      <c r="I300" s="2">
        <f t="shared" si="124"/>
        <v>-43690377.862168886</v>
      </c>
      <c r="J300" s="2">
        <f t="shared" si="124"/>
        <v>-36906159.169113621</v>
      </c>
      <c r="K300" s="2">
        <f t="shared" si="124"/>
        <v>-38556350.372129947</v>
      </c>
      <c r="L300" s="2">
        <f t="shared" si="124"/>
        <v>-37537865.127539843</v>
      </c>
      <c r="M300" s="2">
        <f t="shared" si="124"/>
        <v>-37244943.86862956</v>
      </c>
      <c r="N300" s="2">
        <f t="shared" si="124"/>
        <v>-38565891.893987045</v>
      </c>
      <c r="O300" s="2">
        <f t="shared" si="124"/>
        <v>-39175015.157698087</v>
      </c>
      <c r="P300" s="2">
        <f t="shared" si="124"/>
        <v>-39500772.279603362</v>
      </c>
      <c r="Q300" s="2">
        <f t="shared" si="124"/>
        <v>-40468873.832513496</v>
      </c>
      <c r="R300" s="2">
        <f t="shared" si="124"/>
        <v>-41484696.859103203</v>
      </c>
      <c r="S300" s="2">
        <f t="shared" si="124"/>
        <v>-42371020.957361422</v>
      </c>
      <c r="T300" s="2">
        <f t="shared" si="124"/>
        <v>-43179185.047618181</v>
      </c>
      <c r="U300" s="2">
        <f t="shared" si="124"/>
        <v>-44025285.369058631</v>
      </c>
      <c r="V300" s="2">
        <f t="shared" si="124"/>
        <v>-45004305.786332041</v>
      </c>
      <c r="W300" s="2">
        <f t="shared" si="124"/>
        <v>-12269067.711646918</v>
      </c>
      <c r="X300" s="2">
        <f t="shared" si="124"/>
        <v>-12515869.266792528</v>
      </c>
      <c r="Y300" s="2">
        <f t="shared" si="124"/>
        <v>-12761979.123842647</v>
      </c>
      <c r="Z300" s="2">
        <f t="shared" si="124"/>
        <v>-13027984.722761476</v>
      </c>
      <c r="AA300" s="2">
        <f t="shared" si="124"/>
        <v>-13312870.697448894</v>
      </c>
    </row>
    <row r="301" spans="4:28" customFormat="1" x14ac:dyDescent="0.25">
      <c r="E301" t="s">
        <v>19</v>
      </c>
      <c r="F301" t="s">
        <v>7</v>
      </c>
      <c r="G301" s="2">
        <f t="shared" si="124"/>
        <v>0</v>
      </c>
      <c r="H301" s="2">
        <f t="shared" si="124"/>
        <v>0</v>
      </c>
      <c r="I301" s="2">
        <f t="shared" si="124"/>
        <v>0</v>
      </c>
      <c r="J301" s="2">
        <f t="shared" si="124"/>
        <v>0</v>
      </c>
      <c r="K301" s="2">
        <f t="shared" si="124"/>
        <v>0</v>
      </c>
      <c r="L301" s="2">
        <f t="shared" si="124"/>
        <v>0</v>
      </c>
      <c r="M301" s="2">
        <f t="shared" si="124"/>
        <v>0</v>
      </c>
      <c r="N301" s="2">
        <f t="shared" si="124"/>
        <v>0</v>
      </c>
      <c r="O301" s="2">
        <f t="shared" si="124"/>
        <v>0</v>
      </c>
      <c r="P301" s="2">
        <f t="shared" si="124"/>
        <v>0</v>
      </c>
      <c r="Q301" s="2">
        <f t="shared" si="124"/>
        <v>0</v>
      </c>
      <c r="R301" s="2">
        <f t="shared" si="124"/>
        <v>0</v>
      </c>
      <c r="S301" s="2">
        <f t="shared" si="124"/>
        <v>0</v>
      </c>
      <c r="T301" s="2">
        <f t="shared" si="124"/>
        <v>0</v>
      </c>
      <c r="U301" s="2">
        <f t="shared" si="124"/>
        <v>0</v>
      </c>
      <c r="V301" s="2">
        <f t="shared" si="124"/>
        <v>0</v>
      </c>
      <c r="W301" s="2">
        <f t="shared" si="124"/>
        <v>0</v>
      </c>
      <c r="X301" s="2">
        <f t="shared" si="124"/>
        <v>0</v>
      </c>
      <c r="Y301" s="2">
        <f t="shared" si="124"/>
        <v>0</v>
      </c>
      <c r="Z301" s="2">
        <f t="shared" si="124"/>
        <v>0</v>
      </c>
      <c r="AA301" s="2">
        <f t="shared" si="124"/>
        <v>0</v>
      </c>
    </row>
    <row r="302" spans="4:28" customFormat="1" x14ac:dyDescent="0.25">
      <c r="E302" t="s">
        <v>109</v>
      </c>
      <c r="F302" t="s">
        <v>7</v>
      </c>
      <c r="G302" s="2">
        <f t="shared" si="124"/>
        <v>0</v>
      </c>
      <c r="H302" s="2">
        <f t="shared" si="124"/>
        <v>0</v>
      </c>
      <c r="I302" s="2">
        <f t="shared" si="124"/>
        <v>0</v>
      </c>
      <c r="J302" s="2">
        <f t="shared" si="124"/>
        <v>0</v>
      </c>
      <c r="K302" s="2">
        <f t="shared" si="124"/>
        <v>0</v>
      </c>
      <c r="L302" s="2">
        <f t="shared" si="124"/>
        <v>0</v>
      </c>
      <c r="M302" s="2">
        <f t="shared" si="124"/>
        <v>0</v>
      </c>
      <c r="N302" s="2">
        <f t="shared" si="124"/>
        <v>0</v>
      </c>
      <c r="O302" s="2">
        <f t="shared" si="124"/>
        <v>0</v>
      </c>
      <c r="P302" s="2">
        <f t="shared" si="124"/>
        <v>0</v>
      </c>
      <c r="Q302" s="2">
        <f t="shared" si="124"/>
        <v>0</v>
      </c>
      <c r="R302" s="2">
        <f t="shared" si="124"/>
        <v>0</v>
      </c>
      <c r="S302" s="2">
        <f t="shared" si="124"/>
        <v>0</v>
      </c>
      <c r="T302" s="2">
        <f t="shared" si="124"/>
        <v>0</v>
      </c>
      <c r="U302" s="2">
        <f t="shared" si="124"/>
        <v>0</v>
      </c>
      <c r="V302" s="2">
        <f t="shared" si="124"/>
        <v>0</v>
      </c>
      <c r="W302" s="2">
        <f t="shared" si="124"/>
        <v>0</v>
      </c>
      <c r="X302" s="2">
        <f t="shared" si="124"/>
        <v>0</v>
      </c>
      <c r="Y302" s="2">
        <f t="shared" si="124"/>
        <v>0</v>
      </c>
      <c r="Z302" s="2">
        <f t="shared" si="124"/>
        <v>0</v>
      </c>
      <c r="AA302" s="2">
        <f t="shared" si="124"/>
        <v>0</v>
      </c>
    </row>
    <row r="303" spans="4:28" customFormat="1" x14ac:dyDescent="0.25">
      <c r="E303" t="s">
        <v>11</v>
      </c>
      <c r="F303" t="s">
        <v>7</v>
      </c>
      <c r="G303" s="2">
        <f t="shared" si="124"/>
        <v>0</v>
      </c>
      <c r="H303" s="2">
        <f t="shared" si="124"/>
        <v>5059997.0294428989</v>
      </c>
      <c r="I303" s="2">
        <f t="shared" si="124"/>
        <v>9813640.4386346266</v>
      </c>
      <c r="J303" s="2">
        <f t="shared" si="124"/>
        <v>14756828.047150774</v>
      </c>
      <c r="K303" s="2">
        <f t="shared" si="124"/>
        <v>19511444.976588752</v>
      </c>
      <c r="L303" s="2">
        <f t="shared" si="124"/>
        <v>24074077.954699419</v>
      </c>
      <c r="M303" s="2">
        <f t="shared" si="124"/>
        <v>28439929.932911668</v>
      </c>
      <c r="N303" s="2">
        <f t="shared" si="124"/>
        <v>32615620.831842452</v>
      </c>
      <c r="O303" s="2">
        <f t="shared" si="124"/>
        <v>36602502.914364107</v>
      </c>
      <c r="P303" s="2">
        <f t="shared" si="124"/>
        <v>40685024.897572123</v>
      </c>
      <c r="Q303" s="2">
        <f t="shared" si="124"/>
        <v>44858687.51313892</v>
      </c>
      <c r="R303" s="2">
        <f t="shared" si="124"/>
        <v>49378191.643165857</v>
      </c>
      <c r="S303" s="2">
        <f t="shared" si="124"/>
        <v>54285148.555953443</v>
      </c>
      <c r="T303" s="2">
        <f t="shared" si="124"/>
        <v>59597404.693263024</v>
      </c>
      <c r="U303" s="2">
        <f t="shared" si="124"/>
        <v>65085081.36430487</v>
      </c>
      <c r="V303" s="2">
        <f t="shared" si="124"/>
        <v>70760709.81436567</v>
      </c>
      <c r="W303" s="2">
        <f t="shared" si="124"/>
        <v>72246684.720467344</v>
      </c>
      <c r="X303" s="2">
        <f t="shared" si="124"/>
        <v>73763865.099597141</v>
      </c>
      <c r="Y303" s="2">
        <f t="shared" si="124"/>
        <v>75312906.266688675</v>
      </c>
      <c r="Z303" s="2">
        <f t="shared" si="124"/>
        <v>76894477.29828915</v>
      </c>
      <c r="AA303" s="2">
        <f t="shared" si="124"/>
        <v>78509261.3215532</v>
      </c>
      <c r="AB303" s="2">
        <f t="shared" ref="AB303:AB307" si="125">IF(V303=0,0,IF($G$15&gt;(AA303/V303)^(1/5)-1+2%,AA303*(AA303/V303)^(1/5)/($G$15-((AA303/V303)^(1/5)-1)),AA303*(1+$G$14)/$G$16))</f>
        <v>2616975377.3851123</v>
      </c>
    </row>
    <row r="304" spans="4:28" customFormat="1" x14ac:dyDescent="0.25">
      <c r="E304" t="s">
        <v>57</v>
      </c>
      <c r="F304" t="s">
        <v>7</v>
      </c>
      <c r="G304" s="2">
        <f t="shared" si="124"/>
        <v>0</v>
      </c>
      <c r="H304" s="2">
        <f t="shared" si="124"/>
        <v>-2122629.1767095425</v>
      </c>
      <c r="I304" s="2">
        <f t="shared" si="124"/>
        <v>-4354269.4778751032</v>
      </c>
      <c r="J304" s="2">
        <f t="shared" si="124"/>
        <v>-6734273.1972878007</v>
      </c>
      <c r="K304" s="2">
        <f t="shared" si="124"/>
        <v>-8885262.4259306435</v>
      </c>
      <c r="L304" s="2">
        <f t="shared" si="124"/>
        <v>-10938346.137787469</v>
      </c>
      <c r="M304" s="2">
        <f t="shared" si="124"/>
        <v>-12893745.156370113</v>
      </c>
      <c r="N304" s="2">
        <f t="shared" si="124"/>
        <v>-14752599.121368518</v>
      </c>
      <c r="O304" s="2">
        <f t="shared" si="124"/>
        <v>-16515777.432666125</v>
      </c>
      <c r="P304" s="2">
        <f t="shared" si="124"/>
        <v>-18307375.226850472</v>
      </c>
      <c r="Q304" s="2">
        <f t="shared" si="124"/>
        <v>-20121549.814150285</v>
      </c>
      <c r="R304" s="2">
        <f t="shared" si="124"/>
        <v>-22084445.385203749</v>
      </c>
      <c r="S304" s="2">
        <f t="shared" si="124"/>
        <v>-24212902.218682617</v>
      </c>
      <c r="T304" s="2">
        <f t="shared" si="124"/>
        <v>-26517274.696559355</v>
      </c>
      <c r="U304" s="2">
        <f t="shared" si="124"/>
        <v>-28898775.798122369</v>
      </c>
      <c r="V304" s="2">
        <f t="shared" si="124"/>
        <v>-31360486.303749148</v>
      </c>
      <c r="W304" s="2">
        <f t="shared" si="124"/>
        <v>-32019056.516127877</v>
      </c>
      <c r="X304" s="2">
        <f t="shared" si="124"/>
        <v>-32691456.70296656</v>
      </c>
      <c r="Y304" s="2">
        <f t="shared" si="124"/>
        <v>-33377977.293728855</v>
      </c>
      <c r="Z304" s="2">
        <f t="shared" si="124"/>
        <v>-34078914.816897161</v>
      </c>
      <c r="AA304" s="2">
        <f t="shared" si="124"/>
        <v>-34794572.028051995</v>
      </c>
      <c r="AB304" s="2">
        <f t="shared" si="125"/>
        <v>-1159819067.6017356</v>
      </c>
    </row>
    <row r="305" spans="1:28" x14ac:dyDescent="0.25">
      <c r="E305" t="s">
        <v>10</v>
      </c>
      <c r="F305" t="s">
        <v>7</v>
      </c>
      <c r="G305" s="2">
        <f t="shared" si="124"/>
        <v>0</v>
      </c>
      <c r="H305" s="2">
        <f t="shared" si="124"/>
        <v>-743132.80799999996</v>
      </c>
      <c r="I305" s="2">
        <f t="shared" si="124"/>
        <v>-1478523.258648</v>
      </c>
      <c r="J305" s="2">
        <f t="shared" si="124"/>
        <v>-2217704.8560236422</v>
      </c>
      <c r="K305" s="2">
        <f t="shared" si="124"/>
        <v>-2925774.6497805635</v>
      </c>
      <c r="L305" s="2">
        <f t="shared" si="124"/>
        <v>-3601445.9789350131</v>
      </c>
      <c r="M305" s="2">
        <f t="shared" si="124"/>
        <v>-4244828.2267642058</v>
      </c>
      <c r="N305" s="2">
        <f t="shared" si="124"/>
        <v>-4856268.0739904055</v>
      </c>
      <c r="O305" s="2">
        <f t="shared" si="124"/>
        <v>-5436055.6661825636</v>
      </c>
      <c r="P305" s="2">
        <f t="shared" si="124"/>
        <v>-6024970.6241419576</v>
      </c>
      <c r="Q305" s="2">
        <f t="shared" si="124"/>
        <v>-6621031.2070962396</v>
      </c>
      <c r="R305" s="2">
        <f t="shared" si="124"/>
        <v>-7265929.5167125678</v>
      </c>
      <c r="S305" s="2">
        <f t="shared" si="124"/>
        <v>-7965178.6357935406</v>
      </c>
      <c r="T305" s="2">
        <f t="shared" si="124"/>
        <v>-8722222.05257494</v>
      </c>
      <c r="U305" s="2">
        <f t="shared" si="124"/>
        <v>-9504620.6801167671</v>
      </c>
      <c r="V305" s="2">
        <f t="shared" si="124"/>
        <v>-10313348.939650029</v>
      </c>
      <c r="W305" s="2">
        <f t="shared" si="124"/>
        <v>-10529929.26738268</v>
      </c>
      <c r="X305" s="2">
        <f t="shared" si="124"/>
        <v>-10751057.781997714</v>
      </c>
      <c r="Y305" s="2">
        <f t="shared" si="124"/>
        <v>-10976829.995419666</v>
      </c>
      <c r="Z305" s="2">
        <f t="shared" si="124"/>
        <v>-11207343.425323477</v>
      </c>
      <c r="AA305" s="2">
        <f t="shared" si="124"/>
        <v>-11442697.63725527</v>
      </c>
      <c r="AB305" s="2">
        <f t="shared" si="125"/>
        <v>-381423254.57517648</v>
      </c>
    </row>
    <row r="306" spans="1:28" x14ac:dyDescent="0.25">
      <c r="E306" t="s">
        <v>48</v>
      </c>
      <c r="F306" t="s">
        <v>7</v>
      </c>
      <c r="G306" s="2">
        <f t="shared" si="124"/>
        <v>0</v>
      </c>
      <c r="H306" s="2">
        <f t="shared" si="124"/>
        <v>0</v>
      </c>
      <c r="I306" s="2">
        <f t="shared" si="124"/>
        <v>0</v>
      </c>
      <c r="J306" s="2">
        <f t="shared" si="124"/>
        <v>0</v>
      </c>
      <c r="K306" s="2">
        <f t="shared" si="124"/>
        <v>0</v>
      </c>
      <c r="L306" s="2">
        <f t="shared" si="124"/>
        <v>0</v>
      </c>
      <c r="M306" s="2">
        <f t="shared" si="124"/>
        <v>0</v>
      </c>
      <c r="N306" s="2">
        <f t="shared" si="124"/>
        <v>0</v>
      </c>
      <c r="O306" s="2">
        <f t="shared" si="124"/>
        <v>0</v>
      </c>
      <c r="P306" s="2">
        <f t="shared" si="124"/>
        <v>0</v>
      </c>
      <c r="Q306" s="2">
        <f t="shared" si="124"/>
        <v>0</v>
      </c>
      <c r="R306" s="2">
        <f t="shared" si="124"/>
        <v>0</v>
      </c>
      <c r="S306" s="2">
        <f t="shared" si="124"/>
        <v>0</v>
      </c>
      <c r="T306" s="2">
        <f t="shared" si="124"/>
        <v>0</v>
      </c>
      <c r="U306" s="2">
        <f t="shared" si="124"/>
        <v>0</v>
      </c>
      <c r="V306" s="2">
        <f t="shared" si="124"/>
        <v>0</v>
      </c>
      <c r="W306" s="2">
        <f t="shared" si="124"/>
        <v>0</v>
      </c>
      <c r="X306" s="2">
        <f t="shared" si="124"/>
        <v>0</v>
      </c>
      <c r="Y306" s="2">
        <f t="shared" si="124"/>
        <v>0</v>
      </c>
      <c r="Z306" s="2">
        <f t="shared" si="124"/>
        <v>0</v>
      </c>
      <c r="AA306" s="2">
        <f t="shared" si="124"/>
        <v>0</v>
      </c>
      <c r="AB306" s="2">
        <f t="shared" si="125"/>
        <v>0</v>
      </c>
    </row>
    <row r="307" spans="1:28" x14ac:dyDescent="0.25">
      <c r="E307" t="s">
        <v>49</v>
      </c>
      <c r="F307" t="s">
        <v>7</v>
      </c>
      <c r="G307" s="2">
        <f t="shared" si="124"/>
        <v>0</v>
      </c>
      <c r="H307" s="2">
        <f t="shared" si="124"/>
        <v>0</v>
      </c>
      <c r="I307" s="2">
        <f t="shared" si="124"/>
        <v>0</v>
      </c>
      <c r="J307" s="2">
        <f t="shared" si="124"/>
        <v>0</v>
      </c>
      <c r="K307" s="2">
        <f t="shared" si="124"/>
        <v>0</v>
      </c>
      <c r="L307" s="2">
        <f t="shared" si="124"/>
        <v>0</v>
      </c>
      <c r="M307" s="2">
        <f t="shared" si="124"/>
        <v>0</v>
      </c>
      <c r="N307" s="2">
        <f t="shared" si="124"/>
        <v>0</v>
      </c>
      <c r="O307" s="2">
        <f t="shared" si="124"/>
        <v>0</v>
      </c>
      <c r="P307" s="2">
        <f t="shared" si="124"/>
        <v>0</v>
      </c>
      <c r="Q307" s="2">
        <f t="shared" si="124"/>
        <v>0</v>
      </c>
      <c r="R307" s="2">
        <f t="shared" si="124"/>
        <v>0</v>
      </c>
      <c r="S307" s="2">
        <f t="shared" si="124"/>
        <v>0</v>
      </c>
      <c r="T307" s="2">
        <f t="shared" si="124"/>
        <v>0</v>
      </c>
      <c r="U307" s="2">
        <f t="shared" si="124"/>
        <v>0</v>
      </c>
      <c r="V307" s="2">
        <f t="shared" si="124"/>
        <v>0</v>
      </c>
      <c r="W307" s="2">
        <f t="shared" si="124"/>
        <v>0</v>
      </c>
      <c r="X307" s="2">
        <f t="shared" si="124"/>
        <v>0</v>
      </c>
      <c r="Y307" s="2">
        <f t="shared" si="124"/>
        <v>0</v>
      </c>
      <c r="Z307" s="2">
        <f t="shared" si="124"/>
        <v>0</v>
      </c>
      <c r="AA307" s="2">
        <f t="shared" si="124"/>
        <v>0</v>
      </c>
      <c r="AB307" s="2">
        <f t="shared" si="125"/>
        <v>0</v>
      </c>
    </row>
    <row r="308" spans="1:28" x14ac:dyDescent="0.25">
      <c r="E308" t="s">
        <v>20</v>
      </c>
      <c r="F308" t="s">
        <v>7</v>
      </c>
      <c r="G308" s="2">
        <f t="shared" ref="G308:AA308" ca="1" si="126">G297</f>
        <v>681220.1060730482</v>
      </c>
      <c r="H308" s="2">
        <f t="shared" ca="1" si="126"/>
        <v>-26567433.086275157</v>
      </c>
      <c r="I308" s="2">
        <f t="shared" ca="1" si="126"/>
        <v>-26155106.533525921</v>
      </c>
      <c r="J308" s="2">
        <f t="shared" ca="1" si="126"/>
        <v>-26123866.207686111</v>
      </c>
      <c r="K308" s="2">
        <f t="shared" ca="1" si="126"/>
        <v>-25105772.491639838</v>
      </c>
      <c r="L308" s="2">
        <f t="shared" ca="1" si="126"/>
        <v>-24071858.93987409</v>
      </c>
      <c r="M308" s="2">
        <f t="shared" ca="1" si="126"/>
        <v>-23059470.221837349</v>
      </c>
      <c r="N308" s="2">
        <f t="shared" ca="1" si="126"/>
        <v>-22071341.306362968</v>
      </c>
      <c r="O308" s="2">
        <f t="shared" ca="1" si="126"/>
        <v>-21107783.529504519</v>
      </c>
      <c r="P308" s="2">
        <f t="shared" ca="1" si="126"/>
        <v>-21373002.510240331</v>
      </c>
      <c r="Q308" s="2">
        <f t="shared" ca="1" si="126"/>
        <v>-21594430.839054767</v>
      </c>
      <c r="R308" s="2">
        <f t="shared" ca="1" si="126"/>
        <v>-23059597.252539236</v>
      </c>
      <c r="S308" s="2">
        <f t="shared" ca="1" si="126"/>
        <v>-24692556.815597828</v>
      </c>
      <c r="T308" s="2">
        <f t="shared" ca="1" si="126"/>
        <v>-26430357.962294806</v>
      </c>
      <c r="U308" s="2">
        <f t="shared" ca="1" si="126"/>
        <v>-27205560.778070617</v>
      </c>
      <c r="V308" s="2">
        <f t="shared" ca="1" si="126"/>
        <v>-28014613.219364718</v>
      </c>
      <c r="W308" s="2">
        <f t="shared" ca="1" si="126"/>
        <v>-3283256.5821939711</v>
      </c>
      <c r="X308" s="2">
        <f t="shared" ca="1" si="126"/>
        <v>-3428632.5212741541</v>
      </c>
      <c r="Y308" s="2">
        <f t="shared" ca="1" si="126"/>
        <v>-3577117.0997335296</v>
      </c>
      <c r="Z308" s="2">
        <f t="shared" ca="1" si="126"/>
        <v>-3728726.5075494992</v>
      </c>
      <c r="AA308" s="2">
        <f t="shared" ca="1" si="126"/>
        <v>-3883482.0519445636</v>
      </c>
      <c r="AB308" s="2">
        <f ca="1">IF(V308=0,0,IF($G$15&gt;(AA308/V308)^(1/5)-1+2%,AA308*(AA308/V308)^(1/5)/($G$15-((AA308/V308)^(1/5)-1)),AA308*(1+$G$14)/$G$16))</f>
        <v>-6918317.1590405358</v>
      </c>
    </row>
    <row r="309" spans="1:28" x14ac:dyDescent="0.25">
      <c r="E309" t="s">
        <v>173</v>
      </c>
      <c r="F309" t="s">
        <v>7</v>
      </c>
      <c r="G309" s="2">
        <f ca="1">-$G$17*G308</f>
        <v>-340610.0530365241</v>
      </c>
      <c r="H309" s="2">
        <f t="shared" ref="H309:AA309" ca="1" si="127">-$G$17*H308</f>
        <v>13283716.543137578</v>
      </c>
      <c r="I309" s="2">
        <f t="shared" ca="1" si="127"/>
        <v>13077553.266762961</v>
      </c>
      <c r="J309" s="2">
        <f t="shared" ca="1" si="127"/>
        <v>13061933.103843056</v>
      </c>
      <c r="K309" s="2">
        <f t="shared" ca="1" si="127"/>
        <v>12552886.245819919</v>
      </c>
      <c r="L309" s="2">
        <f t="shared" ca="1" si="127"/>
        <v>12035929.469937045</v>
      </c>
      <c r="M309" s="2">
        <f t="shared" ca="1" si="127"/>
        <v>11529735.110918675</v>
      </c>
      <c r="N309" s="2">
        <f t="shared" ca="1" si="127"/>
        <v>11035670.653181484</v>
      </c>
      <c r="O309" s="2">
        <f t="shared" ca="1" si="127"/>
        <v>10553891.764752259</v>
      </c>
      <c r="P309" s="2">
        <f t="shared" ca="1" si="127"/>
        <v>10686501.255120166</v>
      </c>
      <c r="Q309" s="2">
        <f t="shared" ca="1" si="127"/>
        <v>10797215.419527384</v>
      </c>
      <c r="R309" s="2">
        <f t="shared" ca="1" si="127"/>
        <v>11529798.626269618</v>
      </c>
      <c r="S309" s="2">
        <f t="shared" ca="1" si="127"/>
        <v>12346278.407798914</v>
      </c>
      <c r="T309" s="2">
        <f t="shared" ca="1" si="127"/>
        <v>13215178.981147403</v>
      </c>
      <c r="U309" s="2">
        <f t="shared" ca="1" si="127"/>
        <v>13602780.389035309</v>
      </c>
      <c r="V309" s="2">
        <f t="shared" ca="1" si="127"/>
        <v>14007306.609682359</v>
      </c>
      <c r="W309" s="2">
        <f t="shared" ca="1" si="127"/>
        <v>1641628.2910969856</v>
      </c>
      <c r="X309" s="2">
        <f t="shared" ca="1" si="127"/>
        <v>1714316.260637077</v>
      </c>
      <c r="Y309" s="2">
        <f t="shared" ca="1" si="127"/>
        <v>1788558.5498667648</v>
      </c>
      <c r="Z309" s="2">
        <f t="shared" ca="1" si="127"/>
        <v>1864363.2537747496</v>
      </c>
      <c r="AA309" s="2">
        <f t="shared" ca="1" si="127"/>
        <v>1941741.0259722818</v>
      </c>
      <c r="AB309" s="2">
        <f t="shared" ref="AB309" ca="1" si="128">IF(V309=0,0,IF($G$15&gt;(AA309/V309)^(1/5)-1+2%,AA309*(AA309/V309)^(1/5)/($G$15-((AA309/V309)^(1/5)-1)),AA309*(1+$G$14)/$G$16))</f>
        <v>3459158.5795202679</v>
      </c>
    </row>
    <row r="310" spans="1:28" x14ac:dyDescent="0.25">
      <c r="E310" t="s">
        <v>23</v>
      </c>
      <c r="F310" t="s">
        <v>7</v>
      </c>
      <c r="G310" s="2">
        <f t="shared" ref="G310:AB310" ca="1" si="129">SUM(G300:G309)</f>
        <v>-204025421.76887792</v>
      </c>
      <c r="H310" s="2">
        <f t="shared" ca="1" si="129"/>
        <v>-58071891.646565691</v>
      </c>
      <c r="I310" s="2">
        <f t="shared" ca="1" si="129"/>
        <v>-52787083.426820323</v>
      </c>
      <c r="J310" s="2">
        <f t="shared" ca="1" si="129"/>
        <v>-44163242.279117346</v>
      </c>
      <c r="K310" s="2">
        <f t="shared" ca="1" si="129"/>
        <v>-43408828.717072323</v>
      </c>
      <c r="L310" s="2">
        <f t="shared" ca="1" si="129"/>
        <v>-40039508.759499952</v>
      </c>
      <c r="M310" s="2">
        <f t="shared" ca="1" si="129"/>
        <v>-37473322.429770887</v>
      </c>
      <c r="N310" s="2">
        <f t="shared" ca="1" si="129"/>
        <v>-36594808.910684995</v>
      </c>
      <c r="O310" s="2">
        <f t="shared" ca="1" si="129"/>
        <v>-35078237.106934927</v>
      </c>
      <c r="P310" s="2">
        <f t="shared" ca="1" si="129"/>
        <v>-33834594.488143839</v>
      </c>
      <c r="Q310" s="2">
        <f t="shared" ca="1" si="129"/>
        <v>-33149982.760148481</v>
      </c>
      <c r="R310" s="2">
        <f t="shared" ca="1" si="129"/>
        <v>-32986678.744123287</v>
      </c>
      <c r="S310" s="2">
        <f t="shared" ca="1" si="129"/>
        <v>-32610231.663683049</v>
      </c>
      <c r="T310" s="2">
        <f t="shared" ca="1" si="129"/>
        <v>-32036456.08463686</v>
      </c>
      <c r="U310" s="2">
        <f t="shared" ca="1" si="129"/>
        <v>-30946380.872028209</v>
      </c>
      <c r="V310" s="2">
        <f t="shared" ca="1" si="129"/>
        <v>-29924737.825047903</v>
      </c>
      <c r="W310" s="2">
        <f t="shared" ca="1" si="129"/>
        <v>15787002.934212886</v>
      </c>
      <c r="X310" s="2">
        <f t="shared" ca="1" si="129"/>
        <v>16091165.087203262</v>
      </c>
      <c r="Y310" s="2">
        <f t="shared" ca="1" si="129"/>
        <v>16407561.303830739</v>
      </c>
      <c r="Z310" s="2">
        <f t="shared" ca="1" si="129"/>
        <v>16715871.079532286</v>
      </c>
      <c r="AA310" s="2">
        <f t="shared" ca="1" si="129"/>
        <v>17017379.932824761</v>
      </c>
      <c r="AB310" s="2">
        <f t="shared" ca="1" si="129"/>
        <v>1072273896.6286799</v>
      </c>
    </row>
    <row r="311" spans="1:28" x14ac:dyDescent="0.25">
      <c r="E311" t="s">
        <v>31</v>
      </c>
      <c r="F311" t="s">
        <v>7</v>
      </c>
      <c r="G311" s="2">
        <f ca="1">NPV($G$15,H310:AB310)+G310</f>
        <v>-207076750.63848901</v>
      </c>
    </row>
    <row r="313" spans="1:28" x14ac:dyDescent="0.25">
      <c r="E313" t="s">
        <v>13</v>
      </c>
      <c r="F313" t="s">
        <v>7</v>
      </c>
      <c r="G313" s="2">
        <f t="shared" ref="G313:AA313" ca="1" si="130">G285</f>
        <v>0</v>
      </c>
      <c r="H313" s="2">
        <f t="shared" ca="1" si="130"/>
        <v>17710379.631406937</v>
      </c>
      <c r="I313" s="2">
        <f t="shared" ca="1" si="130"/>
        <v>18082297.603666481</v>
      </c>
      <c r="J313" s="2">
        <f t="shared" ca="1" si="130"/>
        <v>18462025.853343476</v>
      </c>
      <c r="K313" s="2">
        <f t="shared" ca="1" si="130"/>
        <v>18849728.396263685</v>
      </c>
      <c r="L313" s="2">
        <f t="shared" ca="1" si="130"/>
        <v>19245572.692585222</v>
      </c>
      <c r="M313" s="2">
        <f t="shared" ca="1" si="130"/>
        <v>19649729.71912951</v>
      </c>
      <c r="N313" s="2">
        <f t="shared" ca="1" si="130"/>
        <v>20062374.043231227</v>
      </c>
      <c r="O313" s="2">
        <f t="shared" ca="1" si="130"/>
        <v>20483683.898139082</v>
      </c>
      <c r="P313" s="2">
        <f t="shared" ca="1" si="130"/>
        <v>20913841.260000002</v>
      </c>
      <c r="Q313" s="2">
        <f t="shared" ca="1" si="130"/>
        <v>21353031.926459998</v>
      </c>
      <c r="R313" s="2">
        <f t="shared" ca="1" si="130"/>
        <v>21801445.596915655</v>
      </c>
      <c r="S313" s="2">
        <f t="shared" ca="1" si="130"/>
        <v>22259275.954450883</v>
      </c>
      <c r="T313" s="2">
        <f t="shared" ca="1" si="130"/>
        <v>22726720.749494348</v>
      </c>
      <c r="U313" s="2">
        <f t="shared" ca="1" si="130"/>
        <v>23203981.885233726</v>
      </c>
      <c r="V313" s="2">
        <f t="shared" ca="1" si="130"/>
        <v>23691265.504823633</v>
      </c>
      <c r="W313" s="2">
        <f t="shared" ca="1" si="130"/>
        <v>0</v>
      </c>
      <c r="X313" s="2">
        <f t="shared" ca="1" si="130"/>
        <v>0</v>
      </c>
      <c r="Y313" s="2">
        <f t="shared" ca="1" si="130"/>
        <v>0</v>
      </c>
      <c r="Z313" s="2">
        <f t="shared" ca="1" si="130"/>
        <v>0</v>
      </c>
      <c r="AA313" s="2">
        <f t="shared" ca="1" si="130"/>
        <v>0</v>
      </c>
    </row>
    <row r="314" spans="1:28" x14ac:dyDescent="0.25">
      <c r="E314" t="s">
        <v>24</v>
      </c>
      <c r="F314" t="s">
        <v>7</v>
      </c>
      <c r="G314" s="2">
        <f ca="1">NPV($G$15,H313:AA313)+G313</f>
        <v>207076750.6384891</v>
      </c>
    </row>
    <row r="315" spans="1:28" x14ac:dyDescent="0.25">
      <c r="E315" s="3" t="s">
        <v>34</v>
      </c>
      <c r="F315" s="3"/>
      <c r="G315" s="4" t="str">
        <f ca="1">IF(G311&gt;0,"N/A",IF(ABS(G311+G314)&gt;1,"Error","OK"))</f>
        <v>OK</v>
      </c>
    </row>
    <row r="318" spans="1:28" x14ac:dyDescent="0.25">
      <c r="C318" s="1" t="s">
        <v>110</v>
      </c>
    </row>
    <row r="319" spans="1:28" x14ac:dyDescent="0.25">
      <c r="E319" t="s">
        <v>116</v>
      </c>
      <c r="F319" t="s">
        <v>117</v>
      </c>
    </row>
    <row r="320" spans="1:28" x14ac:dyDescent="0.25">
      <c r="A320" s="14">
        <f>'Notes &amp; Assumptions'!A68</f>
        <v>55</v>
      </c>
      <c r="E320" s="19" t="s">
        <v>111</v>
      </c>
      <c r="F320" s="19" t="s">
        <v>119</v>
      </c>
    </row>
    <row r="321" spans="5:6" customFormat="1" x14ac:dyDescent="0.25">
      <c r="E321" s="19" t="s">
        <v>112</v>
      </c>
      <c r="F321" s="19" t="s">
        <v>120</v>
      </c>
    </row>
    <row r="322" spans="5:6" customFormat="1" x14ac:dyDescent="0.25">
      <c r="E322" s="19" t="s">
        <v>113</v>
      </c>
      <c r="F322" s="19" t="s">
        <v>121</v>
      </c>
    </row>
  </sheetData>
  <mergeCells count="1">
    <mergeCell ref="G4:H4"/>
  </mergeCells>
  <dataValidations count="1">
    <dataValidation type="list" showInputMessage="1" showErrorMessage="1" sqref="G4" xr:uid="{94ACA007-12B6-4AA2-A049-03E28FCF8271}">
      <formula1>$E$320:$E$322</formula1>
    </dataValidation>
  </dataValidation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72"/>
  <sheetViews>
    <sheetView workbookViewId="0">
      <selection activeCell="B22" sqref="B22"/>
    </sheetView>
  </sheetViews>
  <sheetFormatPr defaultColWidth="11" defaultRowHeight="15.75" x14ac:dyDescent="0.25"/>
  <cols>
    <col min="2" max="2" width="70" style="5" customWidth="1"/>
  </cols>
  <sheetData>
    <row r="1" spans="1:2" x14ac:dyDescent="0.25">
      <c r="A1" s="324" t="s">
        <v>93</v>
      </c>
      <c r="B1" s="324"/>
    </row>
    <row r="3" spans="1:2" ht="171" customHeight="1" x14ac:dyDescent="0.25">
      <c r="A3" s="325" t="s">
        <v>106</v>
      </c>
      <c r="B3" s="325"/>
    </row>
    <row r="5" spans="1:2" x14ac:dyDescent="0.25">
      <c r="A5" s="1" t="s">
        <v>94</v>
      </c>
    </row>
    <row r="6" spans="1:2" x14ac:dyDescent="0.25">
      <c r="A6" s="12" t="s">
        <v>53</v>
      </c>
      <c r="B6" s="13" t="s">
        <v>148</v>
      </c>
    </row>
    <row r="7" spans="1:2" x14ac:dyDescent="0.25">
      <c r="A7" s="22" t="s">
        <v>146</v>
      </c>
      <c r="B7" s="13" t="s">
        <v>147</v>
      </c>
    </row>
    <row r="8" spans="1:2" x14ac:dyDescent="0.25">
      <c r="A8" s="5" t="s">
        <v>54</v>
      </c>
      <c r="B8" s="13" t="s">
        <v>95</v>
      </c>
    </row>
    <row r="9" spans="1:2" x14ac:dyDescent="0.25">
      <c r="A9" s="6" t="s">
        <v>55</v>
      </c>
      <c r="B9" s="13" t="s">
        <v>96</v>
      </c>
    </row>
    <row r="10" spans="1:2" x14ac:dyDescent="0.25">
      <c r="A10" s="7" t="s">
        <v>56</v>
      </c>
      <c r="B10" s="13" t="s">
        <v>97</v>
      </c>
    </row>
    <row r="12" spans="1:2" x14ac:dyDescent="0.25">
      <c r="A12" s="1" t="s">
        <v>98</v>
      </c>
    </row>
    <row r="13" spans="1:2" ht="47.25" x14ac:dyDescent="0.25">
      <c r="A13" s="15">
        <v>0</v>
      </c>
      <c r="B13" s="16" t="s">
        <v>102</v>
      </c>
    </row>
    <row r="14" spans="1:2" ht="31.5" x14ac:dyDescent="0.25">
      <c r="A14" s="15">
        <v>1</v>
      </c>
      <c r="B14" s="16" t="s">
        <v>150</v>
      </c>
    </row>
    <row r="15" spans="1:2" ht="78.75" x14ac:dyDescent="0.25">
      <c r="A15" s="15">
        <v>2</v>
      </c>
      <c r="B15" s="16" t="s">
        <v>151</v>
      </c>
    </row>
    <row r="16" spans="1:2" x14ac:dyDescent="0.25">
      <c r="A16" s="15">
        <v>3</v>
      </c>
      <c r="B16" s="16"/>
    </row>
    <row r="17" spans="1:2" x14ac:dyDescent="0.25">
      <c r="A17" s="15">
        <v>4</v>
      </c>
      <c r="B17" s="16"/>
    </row>
    <row r="18" spans="1:2" x14ac:dyDescent="0.25">
      <c r="A18" s="15">
        <v>5</v>
      </c>
      <c r="B18" s="16"/>
    </row>
    <row r="19" spans="1:2" ht="31.5" x14ac:dyDescent="0.25">
      <c r="A19" s="15">
        <v>6</v>
      </c>
      <c r="B19" s="16" t="s">
        <v>99</v>
      </c>
    </row>
    <row r="20" spans="1:2" ht="47.25" x14ac:dyDescent="0.25">
      <c r="A20" s="15">
        <v>7</v>
      </c>
      <c r="B20" s="16" t="s">
        <v>100</v>
      </c>
    </row>
    <row r="21" spans="1:2" ht="31.5" x14ac:dyDescent="0.25">
      <c r="A21" s="15">
        <v>8</v>
      </c>
      <c r="B21" s="16" t="s">
        <v>172</v>
      </c>
    </row>
    <row r="22" spans="1:2" x14ac:dyDescent="0.25">
      <c r="A22" s="15">
        <v>9</v>
      </c>
      <c r="B22" s="16" t="s">
        <v>101</v>
      </c>
    </row>
    <row r="23" spans="1:2" ht="31.5" x14ac:dyDescent="0.25">
      <c r="A23" s="15">
        <v>10</v>
      </c>
      <c r="B23" s="16" t="s">
        <v>103</v>
      </c>
    </row>
    <row r="24" spans="1:2" ht="31.5" x14ac:dyDescent="0.25">
      <c r="A24" s="15">
        <v>11</v>
      </c>
      <c r="B24" s="16" t="s">
        <v>108</v>
      </c>
    </row>
    <row r="25" spans="1:2" ht="78.75" x14ac:dyDescent="0.25">
      <c r="A25" s="15">
        <v>12</v>
      </c>
      <c r="B25" s="16" t="s">
        <v>152</v>
      </c>
    </row>
    <row r="26" spans="1:2" ht="31.5" x14ac:dyDescent="0.25">
      <c r="A26" s="15">
        <v>13</v>
      </c>
      <c r="B26" s="16" t="s">
        <v>104</v>
      </c>
    </row>
    <row r="27" spans="1:2" ht="31.5" x14ac:dyDescent="0.25">
      <c r="A27" s="15">
        <v>14</v>
      </c>
      <c r="B27" s="16" t="s">
        <v>105</v>
      </c>
    </row>
    <row r="28" spans="1:2" ht="47.25" x14ac:dyDescent="0.25">
      <c r="A28" s="15">
        <v>15</v>
      </c>
      <c r="B28" s="16" t="s">
        <v>153</v>
      </c>
    </row>
    <row r="29" spans="1:2" ht="78.75" x14ac:dyDescent="0.25">
      <c r="A29" s="15">
        <v>16</v>
      </c>
      <c r="B29" s="16" t="s">
        <v>154</v>
      </c>
    </row>
    <row r="30" spans="1:2" ht="47.25" x14ac:dyDescent="0.25">
      <c r="A30" s="15">
        <v>17</v>
      </c>
      <c r="B30" s="16" t="s">
        <v>155</v>
      </c>
    </row>
    <row r="31" spans="1:2" ht="47.25" x14ac:dyDescent="0.25">
      <c r="A31" s="15">
        <v>18</v>
      </c>
      <c r="B31" s="16" t="s">
        <v>156</v>
      </c>
    </row>
    <row r="32" spans="1:2" ht="47.25" x14ac:dyDescent="0.25">
      <c r="A32" s="15">
        <v>19</v>
      </c>
      <c r="B32" s="16" t="s">
        <v>157</v>
      </c>
    </row>
    <row r="33" spans="1:2" x14ac:dyDescent="0.25">
      <c r="A33" s="15">
        <v>20</v>
      </c>
      <c r="B33" s="16"/>
    </row>
    <row r="34" spans="1:2" x14ac:dyDescent="0.25">
      <c r="A34" s="15">
        <v>21</v>
      </c>
      <c r="B34" s="16"/>
    </row>
    <row r="35" spans="1:2" x14ac:dyDescent="0.25">
      <c r="A35" s="15">
        <v>22</v>
      </c>
      <c r="B35" s="16"/>
    </row>
    <row r="36" spans="1:2" x14ac:dyDescent="0.25">
      <c r="A36" s="15">
        <v>23</v>
      </c>
      <c r="B36" s="16"/>
    </row>
    <row r="37" spans="1:2" x14ac:dyDescent="0.25">
      <c r="A37" s="15">
        <v>24</v>
      </c>
      <c r="B37" s="16"/>
    </row>
    <row r="38" spans="1:2" x14ac:dyDescent="0.25">
      <c r="A38" s="15">
        <v>25</v>
      </c>
      <c r="B38" s="16"/>
    </row>
    <row r="39" spans="1:2" x14ac:dyDescent="0.25">
      <c r="A39" s="15">
        <v>26</v>
      </c>
      <c r="B39" s="16"/>
    </row>
    <row r="40" spans="1:2" x14ac:dyDescent="0.25">
      <c r="A40" s="15">
        <v>27</v>
      </c>
      <c r="B40" s="16"/>
    </row>
    <row r="41" spans="1:2" x14ac:dyDescent="0.25">
      <c r="A41" s="15">
        <v>28</v>
      </c>
      <c r="B41" s="16"/>
    </row>
    <row r="42" spans="1:2" x14ac:dyDescent="0.25">
      <c r="A42" s="15">
        <v>29</v>
      </c>
      <c r="B42" s="16"/>
    </row>
    <row r="43" spans="1:2" x14ac:dyDescent="0.25">
      <c r="A43" s="15">
        <v>30</v>
      </c>
      <c r="B43" s="16"/>
    </row>
    <row r="44" spans="1:2" x14ac:dyDescent="0.25">
      <c r="A44" s="15">
        <v>31</v>
      </c>
      <c r="B44" s="16"/>
    </row>
    <row r="45" spans="1:2" x14ac:dyDescent="0.25">
      <c r="A45" s="15">
        <v>32</v>
      </c>
      <c r="B45" s="16"/>
    </row>
    <row r="46" spans="1:2" x14ac:dyDescent="0.25">
      <c r="A46" s="15">
        <v>33</v>
      </c>
      <c r="B46" s="16"/>
    </row>
    <row r="47" spans="1:2" x14ac:dyDescent="0.25">
      <c r="A47" s="15">
        <v>34</v>
      </c>
      <c r="B47" s="16"/>
    </row>
    <row r="48" spans="1:2" x14ac:dyDescent="0.25">
      <c r="A48" s="15">
        <v>35</v>
      </c>
      <c r="B48" s="16"/>
    </row>
    <row r="49" spans="1:2" x14ac:dyDescent="0.25">
      <c r="A49" s="15">
        <v>36</v>
      </c>
      <c r="B49" s="16"/>
    </row>
    <row r="50" spans="1:2" ht="47.25" x14ac:dyDescent="0.25">
      <c r="A50" s="15">
        <v>37</v>
      </c>
      <c r="B50" s="16" t="s">
        <v>158</v>
      </c>
    </row>
    <row r="51" spans="1:2" x14ac:dyDescent="0.25">
      <c r="A51" s="15">
        <v>38</v>
      </c>
      <c r="B51" s="16" t="s">
        <v>159</v>
      </c>
    </row>
    <row r="52" spans="1:2" x14ac:dyDescent="0.25">
      <c r="A52" s="15">
        <v>39</v>
      </c>
      <c r="B52" s="16" t="s">
        <v>160</v>
      </c>
    </row>
    <row r="53" spans="1:2" x14ac:dyDescent="0.25">
      <c r="A53" s="15">
        <v>40</v>
      </c>
      <c r="B53" s="16" t="s">
        <v>161</v>
      </c>
    </row>
    <row r="54" spans="1:2" x14ac:dyDescent="0.25">
      <c r="A54" s="15">
        <v>41</v>
      </c>
      <c r="B54" s="16" t="s">
        <v>162</v>
      </c>
    </row>
    <row r="55" spans="1:2" x14ac:dyDescent="0.25">
      <c r="A55" s="15">
        <v>42</v>
      </c>
      <c r="B55" s="16" t="s">
        <v>163</v>
      </c>
    </row>
    <row r="56" spans="1:2" ht="31.5" x14ac:dyDescent="0.25">
      <c r="A56" s="15">
        <v>43</v>
      </c>
      <c r="B56" s="16" t="s">
        <v>164</v>
      </c>
    </row>
    <row r="57" spans="1:2" x14ac:dyDescent="0.25">
      <c r="A57" s="15">
        <v>44</v>
      </c>
      <c r="B57" s="16" t="s">
        <v>165</v>
      </c>
    </row>
    <row r="58" spans="1:2" x14ac:dyDescent="0.25">
      <c r="A58" s="15">
        <v>45</v>
      </c>
      <c r="B58" s="16" t="s">
        <v>166</v>
      </c>
    </row>
    <row r="59" spans="1:2" ht="47.25" x14ac:dyDescent="0.25">
      <c r="A59" s="15">
        <v>46</v>
      </c>
      <c r="B59" s="16" t="s">
        <v>167</v>
      </c>
    </row>
    <row r="60" spans="1:2" x14ac:dyDescent="0.25">
      <c r="A60" s="15">
        <v>47</v>
      </c>
      <c r="B60" s="16"/>
    </row>
    <row r="61" spans="1:2" x14ac:dyDescent="0.25">
      <c r="A61" s="15">
        <v>48</v>
      </c>
      <c r="B61" s="16"/>
    </row>
    <row r="62" spans="1:2" x14ac:dyDescent="0.25">
      <c r="A62" s="15">
        <v>49</v>
      </c>
      <c r="B62" s="16"/>
    </row>
    <row r="63" spans="1:2" ht="47.25" x14ac:dyDescent="0.25">
      <c r="A63" s="15">
        <v>50</v>
      </c>
      <c r="B63" s="16" t="s">
        <v>168</v>
      </c>
    </row>
    <row r="64" spans="1:2" x14ac:dyDescent="0.25">
      <c r="A64" s="15">
        <v>51</v>
      </c>
      <c r="B64" s="16"/>
    </row>
    <row r="65" spans="1:2" x14ac:dyDescent="0.25">
      <c r="A65" s="15">
        <v>52</v>
      </c>
      <c r="B65" s="16"/>
    </row>
    <row r="66" spans="1:2" x14ac:dyDescent="0.25">
      <c r="A66" s="15">
        <v>53</v>
      </c>
      <c r="B66" s="16"/>
    </row>
    <row r="67" spans="1:2" ht="94.5" x14ac:dyDescent="0.25">
      <c r="A67" s="15">
        <v>54</v>
      </c>
      <c r="B67" s="16" t="s">
        <v>169</v>
      </c>
    </row>
    <row r="68" spans="1:2" x14ac:dyDescent="0.25">
      <c r="A68" s="15">
        <v>55</v>
      </c>
      <c r="B68" s="16" t="s">
        <v>170</v>
      </c>
    </row>
    <row r="69" spans="1:2" x14ac:dyDescent="0.25">
      <c r="A69" s="15"/>
    </row>
    <row r="70" spans="1:2" x14ac:dyDescent="0.25">
      <c r="A70" s="15"/>
    </row>
    <row r="71" spans="1:2" x14ac:dyDescent="0.25">
      <c r="A71" s="15"/>
    </row>
    <row r="72" spans="1:2" x14ac:dyDescent="0.25">
      <c r="A72" s="15"/>
    </row>
  </sheetData>
  <mergeCells count="2">
    <mergeCell ref="A1:B1"/>
    <mergeCell ref="A3:B3"/>
  </mergeCells>
  <pageMargins left="0.75" right="0.75" top="1" bottom="1" header="0.5" footer="0.5"/>
  <pageSetup paperSize="9" orientation="portrait" horizontalDpi="4294967292" verticalDpi="4294967292"/>
  <extLst>
    <ext xmlns:mx="http://schemas.microsoft.com/office/mac/excel/2008/main" uri="{64002731-A6B0-56B0-2670-7721B7C09600}">
      <mx:PLV Mode="0" OnePage="0" WScale="0"/>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D5423B-81EC-4225-88AD-5DAC8FB905CD}">
  <dimension ref="A2:AC322"/>
  <sheetViews>
    <sheetView topLeftCell="A298" workbookViewId="0">
      <selection activeCell="G312" sqref="G312"/>
    </sheetView>
  </sheetViews>
  <sheetFormatPr defaultColWidth="11" defaultRowHeight="15.75" x14ac:dyDescent="0.25"/>
  <cols>
    <col min="1" max="1" width="7.625" style="14" customWidth="1"/>
    <col min="2" max="2" width="3.125" customWidth="1"/>
    <col min="3" max="3" width="3.375" customWidth="1"/>
    <col min="4" max="4" width="2.875" customWidth="1"/>
    <col min="5" max="5" width="36.5" bestFit="1" customWidth="1"/>
    <col min="6" max="6" width="17.5" customWidth="1"/>
    <col min="7" max="27" width="15.625" customWidth="1"/>
    <col min="28" max="28" width="11.125" customWidth="1"/>
  </cols>
  <sheetData>
    <row r="2" spans="1:27" x14ac:dyDescent="0.25">
      <c r="C2" s="1" t="s">
        <v>0</v>
      </c>
      <c r="D2" s="1"/>
      <c r="G2">
        <v>0</v>
      </c>
      <c r="H2">
        <v>1</v>
      </c>
      <c r="I2">
        <v>2</v>
      </c>
      <c r="J2">
        <v>3</v>
      </c>
      <c r="K2">
        <v>4</v>
      </c>
      <c r="L2">
        <v>5</v>
      </c>
      <c r="M2">
        <v>6</v>
      </c>
      <c r="N2">
        <v>7</v>
      </c>
      <c r="O2">
        <v>8</v>
      </c>
      <c r="P2">
        <v>9</v>
      </c>
      <c r="Q2">
        <v>10</v>
      </c>
      <c r="R2">
        <v>11</v>
      </c>
      <c r="S2">
        <v>12</v>
      </c>
      <c r="T2">
        <v>13</v>
      </c>
      <c r="U2">
        <v>14</v>
      </c>
      <c r="V2">
        <v>15</v>
      </c>
      <c r="W2">
        <v>16</v>
      </c>
      <c r="X2">
        <v>17</v>
      </c>
      <c r="Y2">
        <v>18</v>
      </c>
      <c r="Z2">
        <v>19</v>
      </c>
      <c r="AA2">
        <v>20</v>
      </c>
    </row>
    <row r="4" spans="1:27" x14ac:dyDescent="0.25">
      <c r="A4" s="14">
        <f>'Notes &amp; Assumptions'!A14</f>
        <v>1</v>
      </c>
      <c r="C4" s="1" t="s">
        <v>114</v>
      </c>
      <c r="F4" t="s">
        <v>115</v>
      </c>
      <c r="G4" s="368" t="s">
        <v>112</v>
      </c>
      <c r="H4" s="368"/>
    </row>
    <row r="6" spans="1:27" x14ac:dyDescent="0.25">
      <c r="C6" s="1" t="s">
        <v>126</v>
      </c>
    </row>
    <row r="7" spans="1:27" x14ac:dyDescent="0.25">
      <c r="A7" s="14">
        <f>'Notes &amp; Assumptions'!A15</f>
        <v>2</v>
      </c>
      <c r="E7" s="10" t="s">
        <v>128</v>
      </c>
      <c r="F7" t="s">
        <v>145</v>
      </c>
      <c r="G7" s="10">
        <v>90</v>
      </c>
    </row>
    <row r="8" spans="1:27" x14ac:dyDescent="0.25">
      <c r="A8" s="14">
        <f>'Notes &amp; Assumptions'!A16</f>
        <v>3</v>
      </c>
      <c r="E8" s="10" t="s">
        <v>129</v>
      </c>
      <c r="F8" t="s">
        <v>145</v>
      </c>
      <c r="G8" s="10">
        <v>25</v>
      </c>
    </row>
    <row r="9" spans="1:27" x14ac:dyDescent="0.25">
      <c r="A9" s="14">
        <f>'Notes &amp; Assumptions'!A17</f>
        <v>4</v>
      </c>
      <c r="E9" s="10" t="s">
        <v>130</v>
      </c>
      <c r="F9" t="s">
        <v>145</v>
      </c>
      <c r="G9" s="10">
        <v>30</v>
      </c>
    </row>
    <row r="10" spans="1:27" x14ac:dyDescent="0.25">
      <c r="A10" s="14">
        <f>'Notes &amp; Assumptions'!A18</f>
        <v>5</v>
      </c>
      <c r="E10" t="s">
        <v>127</v>
      </c>
      <c r="F10" t="s">
        <v>145</v>
      </c>
      <c r="G10" s="10">
        <v>5</v>
      </c>
    </row>
    <row r="13" spans="1:27" x14ac:dyDescent="0.25">
      <c r="C13" s="1" t="s">
        <v>92</v>
      </c>
    </row>
    <row r="14" spans="1:27" x14ac:dyDescent="0.25">
      <c r="A14" s="14">
        <f>'Notes &amp; Assumptions'!A19</f>
        <v>6</v>
      </c>
      <c r="E14" t="s">
        <v>5</v>
      </c>
      <c r="F14" t="s">
        <v>8</v>
      </c>
      <c r="G14" s="17">
        <f>'20 New UGB Water'!G14</f>
        <v>2.1000000000000001E-2</v>
      </c>
    </row>
    <row r="15" spans="1:27" x14ac:dyDescent="0.25">
      <c r="A15" s="14">
        <f>'Notes &amp; Assumptions'!A20</f>
        <v>7</v>
      </c>
      <c r="E15" t="s">
        <v>32</v>
      </c>
      <c r="F15" t="s">
        <v>8</v>
      </c>
      <c r="G15" s="17">
        <f>'20 New UGB Water'!G15</f>
        <v>5.1629999999999843E-2</v>
      </c>
    </row>
    <row r="16" spans="1:27" x14ac:dyDescent="0.25">
      <c r="E16" t="s">
        <v>30</v>
      </c>
      <c r="F16" t="s">
        <v>8</v>
      </c>
      <c r="G16" s="18">
        <f>(1+G15)/(1+G14)-1</f>
        <v>3.0000000000000027E-2</v>
      </c>
    </row>
    <row r="17" spans="1:27" x14ac:dyDescent="0.25">
      <c r="E17" t="s">
        <v>171</v>
      </c>
      <c r="F17" t="s">
        <v>8</v>
      </c>
      <c r="G17" s="11">
        <v>0.5</v>
      </c>
    </row>
    <row r="18" spans="1:27" x14ac:dyDescent="0.25">
      <c r="A18" s="14">
        <f>'Notes &amp; Assumptions'!A22</f>
        <v>9</v>
      </c>
      <c r="E18" t="s">
        <v>16</v>
      </c>
      <c r="F18" t="s">
        <v>8</v>
      </c>
      <c r="G18" s="11">
        <v>0.3</v>
      </c>
      <c r="H18" s="11">
        <v>0.3</v>
      </c>
      <c r="I18" s="11">
        <v>0.3</v>
      </c>
      <c r="J18" s="11">
        <v>0.3</v>
      </c>
      <c r="K18" s="11">
        <v>0.3</v>
      </c>
      <c r="L18" s="11">
        <v>0.3</v>
      </c>
      <c r="M18" s="11">
        <v>0.3</v>
      </c>
      <c r="N18" s="11">
        <v>0.3</v>
      </c>
      <c r="O18" s="11">
        <v>0.3</v>
      </c>
      <c r="P18" s="11">
        <v>0.3</v>
      </c>
      <c r="Q18" s="11">
        <v>0.3</v>
      </c>
      <c r="R18" s="11">
        <v>0.3</v>
      </c>
      <c r="S18" s="11">
        <v>0.3</v>
      </c>
      <c r="T18" s="11">
        <v>0.3</v>
      </c>
      <c r="U18" s="11">
        <v>0.3</v>
      </c>
      <c r="V18" s="11">
        <v>0.3</v>
      </c>
      <c r="W18" s="11">
        <v>0.3</v>
      </c>
      <c r="X18" s="11">
        <v>0.3</v>
      </c>
      <c r="Y18" s="11">
        <v>0.3</v>
      </c>
      <c r="Z18" s="11">
        <v>0.3</v>
      </c>
      <c r="AA18" s="11">
        <v>0.3</v>
      </c>
    </row>
    <row r="20" spans="1:27" x14ac:dyDescent="0.25">
      <c r="A20" s="14">
        <f>'Notes &amp; Assumptions'!A23</f>
        <v>10</v>
      </c>
      <c r="C20" s="1" t="s">
        <v>1</v>
      </c>
      <c r="D20" s="1"/>
      <c r="G20" s="51"/>
    </row>
    <row r="21" spans="1:27" x14ac:dyDescent="0.25">
      <c r="E21" s="2" t="str">
        <f>E7</f>
        <v>Pipes</v>
      </c>
      <c r="F21" t="s">
        <v>7</v>
      </c>
      <c r="G21" s="43">
        <f>'Net infill sewerage capex 13-14'!W33*10^6</f>
        <v>141488946.95505792</v>
      </c>
      <c r="H21" s="10">
        <f>'Forecast capex'!J89*1000*(1+$G$14)^H2+SUM('Community Sewerage'!I3)*1000000*(1+$G$14)^H2+'Renewal capex'!H58</f>
        <v>46982410.148161471</v>
      </c>
      <c r="I21" s="10">
        <f>'Forecast capex'!K89*1000*(1+$G$14)^I2+SUM('Community Sewerage'!J3)*1000000*(1+$G$14)^I2+'Renewal capex'!I58</f>
        <v>43690377.862168886</v>
      </c>
      <c r="J21" s="10">
        <f>'Forecast capex'!L89*1000*(1+$G$14)^J2+SUM('Community Sewerage'!K3)*1000000*(1+$G$14)^J2+'Renewal capex'!J58</f>
        <v>36906159.169113621</v>
      </c>
      <c r="K21" s="10">
        <f>'Forecast capex'!M89*1000*(1+$G$14)^K2+SUM('Community Sewerage'!L3)*1000000*(1+$G$14)^K2+'Renewal capex'!K58</f>
        <v>38556350.372129947</v>
      </c>
      <c r="L21" s="10">
        <f>'Forecast capex'!N89*1000*(1+$G$14)^L2+SUM('Community Sewerage'!M3)*1000000*(1+$G$14)^L2+'Renewal capex'!L58</f>
        <v>37537865.127539843</v>
      </c>
      <c r="M21" s="10">
        <f>'Forecast capex'!O89*1000*(1+$G$14)^M2+SUM('Community Sewerage'!N3)*1000000*(1+$G$14)^M2+'Renewal capex'!M58</f>
        <v>37244943.86862956</v>
      </c>
      <c r="N21" s="10">
        <f>'Forecast capex'!P89*1000*(1+$G$14)^N2+SUM('Community Sewerage'!O3)*1000000*(1+$G$14)^N2+'Renewal capex'!N58</f>
        <v>38565891.893987045</v>
      </c>
      <c r="O21" s="10">
        <f>'Forecast capex'!Q89*1000*(1+$G$14)^O2+SUM('Community Sewerage'!P3)*1000000*(1+$G$14)^O2+'Renewal capex'!O58</f>
        <v>39175015.157698087</v>
      </c>
      <c r="P21" s="10">
        <f>'Forecast capex'!R89*1000*(1+$G$14)^P2+SUM('Community Sewerage'!Q3)*1000000*(1+$G$14)^P2+'Renewal capex'!P58</f>
        <v>39500772.279603362</v>
      </c>
      <c r="Q21" s="10">
        <f>'Forecast capex'!S89*1000*(1+$G$14)^Q2+SUM('Community Sewerage'!R3)*1000000*(1+$G$14)^Q2+'Renewal capex'!Q58</f>
        <v>40468873.832513496</v>
      </c>
      <c r="R21" s="10">
        <f>('[11]Capex Profile'!X$146)*(1+$G$14)^R2+SUM('Community Sewerage'!S3)*1000000*(1+$G$14)^R2+'Renewal capex'!R58</f>
        <v>41484696.859103203</v>
      </c>
      <c r="S21" s="10">
        <f>('[11]Capex Profile'!Y$146)*(1+$G$14)^S2+SUM('Community Sewerage'!T3)*1000000*(1+$G$14)^S2+'Renewal capex'!S58</f>
        <v>42371020.957361422</v>
      </c>
      <c r="T21" s="10">
        <f>('[11]Capex Profile'!Z$146)*(1+$G$14)^T2+SUM('Community Sewerage'!U3)*1000000*(1+$G$14)^T2+'Renewal capex'!T58</f>
        <v>43179185.047618181</v>
      </c>
      <c r="U21" s="10">
        <f>('[11]Capex Profile'!AA$146)*(1+$G$14)^U2+SUM('Community Sewerage'!V3)*1000000*(1+$G$14)^U2+'Renewal capex'!U58</f>
        <v>44025285.369058631</v>
      </c>
      <c r="V21" s="10">
        <f>('[11]Capex Profile'!AB$146)*(1+$G$14)^V2+SUM('Community Sewerage'!W3)*1000000*(1+$G$14)^V2+'Renewal capex'!V58</f>
        <v>45004305.786332041</v>
      </c>
      <c r="W21" s="10">
        <f>('[11]Capex Profile'!AC$146)*(1+$G$14)^W2+SUM('Community Sewerage'!X3)*1000000*(1+$G$14)^W2+'Renewal capex'!W58</f>
        <v>12269067.711646918</v>
      </c>
      <c r="X21" s="10">
        <f>('[11]Capex Profile'!AD$146)*(1+$G$14)^X2+SUM('Community Sewerage'!Y3)*1000000*(1+$G$14)^X2+'Renewal capex'!X58</f>
        <v>12515869.266792528</v>
      </c>
      <c r="Y21" s="10">
        <f>('[11]Capex Profile'!AE$146)*(1+$G$14)^Y2+SUM('Community Sewerage'!Z3)*1000000*(1+$G$14)^Y2+'Renewal capex'!Y58</f>
        <v>12761979.123842647</v>
      </c>
      <c r="Z21" s="10">
        <f>('[11]Capex Profile'!AF$146)*(1+$G$14)^Z2+SUM('Community Sewerage'!AA3)*1000000*(1+$G$14)^Z2+'Renewal capex'!Z58</f>
        <v>13027984.722761476</v>
      </c>
      <c r="AA21" s="10">
        <f>('[11]Capex Profile'!AG$146)*(1+$G$14)^AA2+SUM('Community Sewerage'!AB3)*1000000*(1+$G$14)^AA2+'Renewal capex'!AA58</f>
        <v>13312870.697448894</v>
      </c>
    </row>
    <row r="22" spans="1:27" x14ac:dyDescent="0.25">
      <c r="E22" s="2" t="str">
        <f>E8</f>
        <v>Pumps</v>
      </c>
      <c r="F22" t="s">
        <v>7</v>
      </c>
      <c r="G22" s="10"/>
      <c r="H22" s="10"/>
      <c r="I22" s="10"/>
      <c r="J22" s="10"/>
      <c r="K22" s="10"/>
      <c r="L22" s="10"/>
      <c r="M22" s="10"/>
      <c r="N22" s="10"/>
      <c r="O22" s="10"/>
      <c r="P22" s="10"/>
      <c r="Q22" s="10"/>
      <c r="R22" s="10"/>
      <c r="S22" s="10"/>
      <c r="T22" s="10"/>
      <c r="U22" s="10"/>
      <c r="V22" s="10"/>
      <c r="W22" s="10"/>
      <c r="X22" s="10"/>
      <c r="Y22" s="10"/>
      <c r="Z22" s="10"/>
      <c r="AA22" s="10"/>
    </row>
    <row r="23" spans="1:27" x14ac:dyDescent="0.25">
      <c r="E23" s="2" t="str">
        <f>E9</f>
        <v>Valves and Meters</v>
      </c>
      <c r="F23" t="s">
        <v>7</v>
      </c>
      <c r="G23" s="10"/>
      <c r="H23" s="10"/>
      <c r="I23" s="10"/>
      <c r="J23" s="10"/>
      <c r="K23" s="10"/>
      <c r="L23" s="10"/>
      <c r="M23" s="10"/>
      <c r="N23" s="10"/>
      <c r="O23" s="10"/>
      <c r="P23" s="10"/>
      <c r="Q23" s="10"/>
      <c r="R23" s="10"/>
      <c r="S23" s="10"/>
      <c r="T23" s="10"/>
      <c r="U23" s="10"/>
      <c r="V23" s="10"/>
      <c r="W23" s="10"/>
      <c r="X23" s="10"/>
      <c r="Y23" s="10"/>
      <c r="Z23" s="10"/>
      <c r="AA23" s="10"/>
    </row>
    <row r="24" spans="1:27" x14ac:dyDescent="0.25">
      <c r="E24" t="s">
        <v>127</v>
      </c>
      <c r="F24" t="s">
        <v>7</v>
      </c>
      <c r="G24" s="10"/>
      <c r="H24" s="10"/>
      <c r="I24" s="10"/>
      <c r="J24" s="10"/>
      <c r="K24" s="10"/>
      <c r="L24" s="10"/>
      <c r="M24" s="10"/>
      <c r="N24" s="10"/>
      <c r="O24" s="10"/>
      <c r="P24" s="10"/>
      <c r="Q24" s="10"/>
      <c r="R24" s="10"/>
      <c r="S24" s="10"/>
      <c r="T24" s="10"/>
      <c r="U24" s="10"/>
      <c r="V24" s="10"/>
      <c r="W24" s="10"/>
      <c r="X24" s="10"/>
      <c r="Y24" s="10"/>
      <c r="Z24" s="10"/>
      <c r="AA24" s="10"/>
    </row>
    <row r="25" spans="1:27" x14ac:dyDescent="0.25">
      <c r="E25" t="s">
        <v>131</v>
      </c>
      <c r="F25" t="s">
        <v>7</v>
      </c>
      <c r="G25" s="10"/>
      <c r="H25" s="10"/>
      <c r="I25" s="10"/>
      <c r="J25" s="10"/>
      <c r="K25" s="10"/>
      <c r="L25" s="10"/>
      <c r="M25" s="10"/>
      <c r="N25" s="10"/>
      <c r="O25" s="10"/>
      <c r="P25" s="10"/>
      <c r="Q25" s="10"/>
      <c r="R25" s="10"/>
      <c r="S25" s="10"/>
      <c r="T25" s="10"/>
      <c r="U25" s="10"/>
      <c r="V25" s="10"/>
      <c r="W25" s="10"/>
      <c r="X25" s="10"/>
      <c r="Y25" s="10"/>
      <c r="Z25" s="10"/>
      <c r="AA25" s="10"/>
    </row>
    <row r="26" spans="1:27" x14ac:dyDescent="0.25">
      <c r="G26" s="2">
        <f>SUM(G21:G25)</f>
        <v>141488946.95505792</v>
      </c>
      <c r="H26" s="2">
        <f t="shared" ref="H26:AA26" si="0">SUM(H21:H25)</f>
        <v>46982410.148161471</v>
      </c>
      <c r="I26" s="2">
        <f t="shared" si="0"/>
        <v>43690377.862168886</v>
      </c>
      <c r="J26" s="2">
        <f t="shared" si="0"/>
        <v>36906159.169113621</v>
      </c>
      <c r="K26" s="2">
        <f t="shared" si="0"/>
        <v>38556350.372129947</v>
      </c>
      <c r="L26" s="2">
        <f t="shared" si="0"/>
        <v>37537865.127539843</v>
      </c>
      <c r="M26" s="2">
        <f t="shared" si="0"/>
        <v>37244943.86862956</v>
      </c>
      <c r="N26" s="2">
        <f t="shared" si="0"/>
        <v>38565891.893987045</v>
      </c>
      <c r="O26" s="2">
        <f t="shared" si="0"/>
        <v>39175015.157698087</v>
      </c>
      <c r="P26" s="2">
        <f t="shared" si="0"/>
        <v>39500772.279603362</v>
      </c>
      <c r="Q26" s="2">
        <f t="shared" si="0"/>
        <v>40468873.832513496</v>
      </c>
      <c r="R26" s="2">
        <f t="shared" si="0"/>
        <v>41484696.859103203</v>
      </c>
      <c r="S26" s="2">
        <f t="shared" si="0"/>
        <v>42371020.957361422</v>
      </c>
      <c r="T26" s="2">
        <f t="shared" si="0"/>
        <v>43179185.047618181</v>
      </c>
      <c r="U26" s="2">
        <f t="shared" si="0"/>
        <v>44025285.369058631</v>
      </c>
      <c r="V26" s="2">
        <f t="shared" si="0"/>
        <v>45004305.786332041</v>
      </c>
      <c r="W26" s="2">
        <f t="shared" si="0"/>
        <v>12269067.711646918</v>
      </c>
      <c r="X26" s="2">
        <f t="shared" si="0"/>
        <v>12515869.266792528</v>
      </c>
      <c r="Y26" s="2">
        <f t="shared" si="0"/>
        <v>12761979.123842647</v>
      </c>
      <c r="Z26" s="2">
        <f t="shared" si="0"/>
        <v>13027984.722761476</v>
      </c>
      <c r="AA26" s="2">
        <f t="shared" si="0"/>
        <v>13312870.697448894</v>
      </c>
    </row>
    <row r="27" spans="1:27" x14ac:dyDescent="0.25">
      <c r="G27" s="2"/>
      <c r="H27" s="2"/>
      <c r="I27" s="2"/>
      <c r="J27" s="2"/>
      <c r="K27" s="2"/>
      <c r="L27" s="2"/>
      <c r="M27" s="2"/>
      <c r="N27" s="2"/>
      <c r="O27" s="2"/>
      <c r="P27" s="2"/>
      <c r="Q27" s="2"/>
    </row>
    <row r="28" spans="1:27" x14ac:dyDescent="0.25">
      <c r="D28" t="s">
        <v>132</v>
      </c>
      <c r="G28" s="2"/>
      <c r="H28" s="2"/>
      <c r="I28" s="2"/>
      <c r="J28" s="2"/>
      <c r="K28" s="2"/>
      <c r="L28" s="2"/>
      <c r="M28" s="2"/>
      <c r="N28" s="2"/>
      <c r="O28" s="2"/>
      <c r="P28" s="2"/>
      <c r="Q28" s="2"/>
    </row>
    <row r="29" spans="1:27" x14ac:dyDescent="0.25">
      <c r="E29" s="2" t="str">
        <f>E21</f>
        <v>Pipes</v>
      </c>
      <c r="F29" t="s">
        <v>7</v>
      </c>
      <c r="G29" s="2">
        <f t="shared" ref="G29:AA32" si="1">G21/$G7+IF((G$2-$G7+1)&gt;0,-INDEX($G21:$AA21,1,(G$2-$G7+1))/$G7,0)</f>
        <v>1572099.4106117547</v>
      </c>
      <c r="H29" s="2">
        <f t="shared" si="1"/>
        <v>522026.77942401636</v>
      </c>
      <c r="I29" s="2">
        <f t="shared" si="1"/>
        <v>485448.64291298762</v>
      </c>
      <c r="J29" s="2">
        <f t="shared" si="1"/>
        <v>410068.43521237356</v>
      </c>
      <c r="K29" s="2">
        <f t="shared" si="1"/>
        <v>428403.89302366605</v>
      </c>
      <c r="L29" s="2">
        <f t="shared" si="1"/>
        <v>417087.39030599827</v>
      </c>
      <c r="M29" s="2">
        <f t="shared" si="1"/>
        <v>413832.70965143957</v>
      </c>
      <c r="N29" s="2">
        <f t="shared" si="1"/>
        <v>428509.9099331894</v>
      </c>
      <c r="O29" s="2">
        <f t="shared" si="1"/>
        <v>435277.94619664544</v>
      </c>
      <c r="P29" s="2">
        <f t="shared" si="1"/>
        <v>438897.46977337071</v>
      </c>
      <c r="Q29" s="2">
        <f t="shared" si="1"/>
        <v>449654.1536945944</v>
      </c>
      <c r="R29" s="2">
        <f t="shared" si="1"/>
        <v>460941.07621225779</v>
      </c>
      <c r="S29" s="2">
        <f t="shared" si="1"/>
        <v>470789.12174846022</v>
      </c>
      <c r="T29" s="2">
        <f t="shared" si="1"/>
        <v>479768.72275131312</v>
      </c>
      <c r="U29" s="2">
        <f t="shared" si="1"/>
        <v>489169.83743398479</v>
      </c>
      <c r="V29" s="2">
        <f t="shared" si="1"/>
        <v>500047.84207035601</v>
      </c>
      <c r="W29" s="2">
        <f t="shared" si="1"/>
        <v>136322.97457385465</v>
      </c>
      <c r="X29" s="2">
        <f t="shared" si="1"/>
        <v>139065.21407547253</v>
      </c>
      <c r="Y29" s="2">
        <f t="shared" si="1"/>
        <v>141799.76804269609</v>
      </c>
      <c r="Z29" s="2">
        <f t="shared" si="1"/>
        <v>144755.38580846085</v>
      </c>
      <c r="AA29" s="2">
        <f t="shared" si="1"/>
        <v>147920.78552720993</v>
      </c>
    </row>
    <row r="30" spans="1:27" x14ac:dyDescent="0.25">
      <c r="E30" s="2" t="str">
        <f t="shared" ref="E30:E32" si="2">E22</f>
        <v>Pumps</v>
      </c>
      <c r="F30" t="s">
        <v>7</v>
      </c>
      <c r="G30" s="2">
        <f t="shared" si="1"/>
        <v>0</v>
      </c>
      <c r="H30" s="2">
        <f t="shared" si="1"/>
        <v>0</v>
      </c>
      <c r="I30" s="2">
        <f t="shared" si="1"/>
        <v>0</v>
      </c>
      <c r="J30" s="2">
        <f t="shared" si="1"/>
        <v>0</v>
      </c>
      <c r="K30" s="2">
        <f t="shared" si="1"/>
        <v>0</v>
      </c>
      <c r="L30" s="2">
        <f t="shared" si="1"/>
        <v>0</v>
      </c>
      <c r="M30" s="2">
        <f t="shared" si="1"/>
        <v>0</v>
      </c>
      <c r="N30" s="2">
        <f t="shared" si="1"/>
        <v>0</v>
      </c>
      <c r="O30" s="2">
        <f t="shared" si="1"/>
        <v>0</v>
      </c>
      <c r="P30" s="2">
        <f t="shared" si="1"/>
        <v>0</v>
      </c>
      <c r="Q30" s="2">
        <f t="shared" si="1"/>
        <v>0</v>
      </c>
      <c r="R30" s="2">
        <f t="shared" si="1"/>
        <v>0</v>
      </c>
      <c r="S30" s="2">
        <f t="shared" si="1"/>
        <v>0</v>
      </c>
      <c r="T30" s="2">
        <f t="shared" si="1"/>
        <v>0</v>
      </c>
      <c r="U30" s="2">
        <f t="shared" si="1"/>
        <v>0</v>
      </c>
      <c r="V30" s="2">
        <f t="shared" si="1"/>
        <v>0</v>
      </c>
      <c r="W30" s="2">
        <f t="shared" si="1"/>
        <v>0</v>
      </c>
      <c r="X30" s="2">
        <f t="shared" si="1"/>
        <v>0</v>
      </c>
      <c r="Y30" s="2">
        <f t="shared" si="1"/>
        <v>0</v>
      </c>
      <c r="Z30" s="2">
        <f t="shared" si="1"/>
        <v>0</v>
      </c>
      <c r="AA30" s="2">
        <f t="shared" si="1"/>
        <v>0</v>
      </c>
    </row>
    <row r="31" spans="1:27" x14ac:dyDescent="0.25">
      <c r="E31" s="2" t="str">
        <f t="shared" si="2"/>
        <v>Valves and Meters</v>
      </c>
      <c r="F31" t="s">
        <v>7</v>
      </c>
      <c r="G31" s="2">
        <f t="shared" si="1"/>
        <v>0</v>
      </c>
      <c r="H31" s="2">
        <f t="shared" si="1"/>
        <v>0</v>
      </c>
      <c r="I31" s="2">
        <f t="shared" si="1"/>
        <v>0</v>
      </c>
      <c r="J31" s="2">
        <f t="shared" si="1"/>
        <v>0</v>
      </c>
      <c r="K31" s="2">
        <f t="shared" si="1"/>
        <v>0</v>
      </c>
      <c r="L31" s="2">
        <f t="shared" si="1"/>
        <v>0</v>
      </c>
      <c r="M31" s="2">
        <f t="shared" si="1"/>
        <v>0</v>
      </c>
      <c r="N31" s="2">
        <f t="shared" si="1"/>
        <v>0</v>
      </c>
      <c r="O31" s="2">
        <f t="shared" si="1"/>
        <v>0</v>
      </c>
      <c r="P31" s="2">
        <f t="shared" si="1"/>
        <v>0</v>
      </c>
      <c r="Q31" s="2">
        <f t="shared" si="1"/>
        <v>0</v>
      </c>
      <c r="R31" s="2">
        <f t="shared" si="1"/>
        <v>0</v>
      </c>
      <c r="S31" s="2">
        <f t="shared" si="1"/>
        <v>0</v>
      </c>
      <c r="T31" s="2">
        <f t="shared" si="1"/>
        <v>0</v>
      </c>
      <c r="U31" s="2">
        <f t="shared" si="1"/>
        <v>0</v>
      </c>
      <c r="V31" s="2">
        <f t="shared" si="1"/>
        <v>0</v>
      </c>
      <c r="W31" s="2">
        <f t="shared" si="1"/>
        <v>0</v>
      </c>
      <c r="X31" s="2">
        <f t="shared" si="1"/>
        <v>0</v>
      </c>
      <c r="Y31" s="2">
        <f t="shared" si="1"/>
        <v>0</v>
      </c>
      <c r="Z31" s="2">
        <f t="shared" si="1"/>
        <v>0</v>
      </c>
      <c r="AA31" s="2">
        <f t="shared" si="1"/>
        <v>0</v>
      </c>
    </row>
    <row r="32" spans="1:27" x14ac:dyDescent="0.25">
      <c r="E32" s="2" t="str">
        <f t="shared" si="2"/>
        <v>Temporary Assets</v>
      </c>
      <c r="F32" t="s">
        <v>7</v>
      </c>
      <c r="G32" s="2">
        <f t="shared" si="1"/>
        <v>0</v>
      </c>
      <c r="H32" s="2">
        <f t="shared" si="1"/>
        <v>0</v>
      </c>
      <c r="I32" s="2">
        <f t="shared" si="1"/>
        <v>0</v>
      </c>
      <c r="J32" s="2">
        <f t="shared" si="1"/>
        <v>0</v>
      </c>
      <c r="K32" s="2">
        <f t="shared" si="1"/>
        <v>0</v>
      </c>
      <c r="L32" s="2">
        <f t="shared" si="1"/>
        <v>0</v>
      </c>
      <c r="M32" s="2">
        <f t="shared" si="1"/>
        <v>0</v>
      </c>
      <c r="N32" s="2">
        <f t="shared" si="1"/>
        <v>0</v>
      </c>
      <c r="O32" s="2">
        <f t="shared" si="1"/>
        <v>0</v>
      </c>
      <c r="P32" s="2">
        <f t="shared" si="1"/>
        <v>0</v>
      </c>
      <c r="Q32" s="2">
        <f t="shared" si="1"/>
        <v>0</v>
      </c>
      <c r="R32" s="2">
        <f t="shared" si="1"/>
        <v>0</v>
      </c>
      <c r="S32" s="2">
        <f t="shared" si="1"/>
        <v>0</v>
      </c>
      <c r="T32" s="2">
        <f t="shared" si="1"/>
        <v>0</v>
      </c>
      <c r="U32" s="2">
        <f t="shared" si="1"/>
        <v>0</v>
      </c>
      <c r="V32" s="2">
        <f t="shared" si="1"/>
        <v>0</v>
      </c>
      <c r="W32" s="2">
        <f t="shared" si="1"/>
        <v>0</v>
      </c>
      <c r="X32" s="2">
        <f t="shared" si="1"/>
        <v>0</v>
      </c>
      <c r="Y32" s="2">
        <f t="shared" si="1"/>
        <v>0</v>
      </c>
      <c r="Z32" s="2">
        <f t="shared" si="1"/>
        <v>0</v>
      </c>
      <c r="AA32" s="2">
        <f t="shared" si="1"/>
        <v>0</v>
      </c>
    </row>
    <row r="33" spans="1:27" x14ac:dyDescent="0.25">
      <c r="G33" s="2"/>
      <c r="H33" s="2"/>
      <c r="I33" s="2"/>
      <c r="J33" s="2"/>
      <c r="K33" s="2"/>
      <c r="L33" s="2"/>
      <c r="M33" s="2"/>
      <c r="N33" s="2"/>
      <c r="O33" s="2"/>
      <c r="P33" s="2"/>
      <c r="Q33" s="2"/>
    </row>
    <row r="34" spans="1:27" x14ac:dyDescent="0.25">
      <c r="D34" t="s">
        <v>133</v>
      </c>
      <c r="F34" t="s">
        <v>7</v>
      </c>
      <c r="G34" s="2">
        <f>SUM($G$29:G32)</f>
        <v>1572099.4106117547</v>
      </c>
      <c r="H34" s="2">
        <f>SUM($G$29:H32)</f>
        <v>2094126.1900357711</v>
      </c>
      <c r="I34" s="2">
        <f>SUM($G$29:I32)</f>
        <v>2579574.8329487587</v>
      </c>
      <c r="J34" s="2">
        <f>SUM($G$29:J32)</f>
        <v>2989643.2681611325</v>
      </c>
      <c r="K34" s="2">
        <f>SUM($G$29:K32)</f>
        <v>3418047.1611847985</v>
      </c>
      <c r="L34" s="2">
        <f>SUM($G$29:L32)</f>
        <v>3835134.5514907967</v>
      </c>
      <c r="M34" s="2">
        <f>SUM($G$29:M32)</f>
        <v>4248967.2611422362</v>
      </c>
      <c r="N34" s="2">
        <f>SUM($G$29:N32)</f>
        <v>4677477.171075426</v>
      </c>
      <c r="O34" s="2">
        <f>SUM($G$29:O32)</f>
        <v>5112755.1172720715</v>
      </c>
      <c r="P34" s="2">
        <f>SUM($G$29:P32)</f>
        <v>5551652.5870454423</v>
      </c>
      <c r="Q34" s="2">
        <f>SUM($G$29:Q32)</f>
        <v>6001306.7407400366</v>
      </c>
      <c r="R34" s="2">
        <f>SUM($G$29:R32)</f>
        <v>6462247.8169522947</v>
      </c>
      <c r="S34" s="2">
        <f>SUM($G$29:S32)</f>
        <v>6933036.9387007551</v>
      </c>
      <c r="T34" s="2">
        <f>SUM($G$29:T32)</f>
        <v>7412805.661452068</v>
      </c>
      <c r="U34" s="2">
        <f>SUM($G$29:U32)</f>
        <v>7901975.4988860525</v>
      </c>
      <c r="V34" s="2">
        <f>SUM($G$29:V32)</f>
        <v>8402023.3409564085</v>
      </c>
      <c r="W34" s="2">
        <f>SUM($G$29:W32)</f>
        <v>8538346.3155302629</v>
      </c>
      <c r="X34" s="2">
        <f>SUM($G$29:X32)</f>
        <v>8677411.5296057351</v>
      </c>
      <c r="Y34" s="2">
        <f>SUM($G$29:Y32)</f>
        <v>8819211.2976484317</v>
      </c>
      <c r="Z34" s="2">
        <f>SUM($G$29:Z32)</f>
        <v>8963966.6834568921</v>
      </c>
      <c r="AA34" s="2">
        <f>SUM($G$29:AA32)</f>
        <v>9111887.4689841028</v>
      </c>
    </row>
    <row r="35" spans="1:27" x14ac:dyDescent="0.25">
      <c r="G35" s="2"/>
      <c r="H35" s="2"/>
      <c r="I35" s="2"/>
      <c r="J35" s="2"/>
      <c r="K35" s="2"/>
      <c r="L35" s="2"/>
      <c r="M35" s="2"/>
      <c r="N35" s="2"/>
      <c r="O35" s="2"/>
      <c r="P35" s="2"/>
      <c r="Q35" s="2"/>
      <c r="R35" s="2"/>
      <c r="S35" s="2"/>
      <c r="T35" s="2"/>
      <c r="U35" s="2"/>
      <c r="V35" s="2"/>
      <c r="W35" s="2"/>
      <c r="X35" s="2"/>
      <c r="Y35" s="2"/>
      <c r="Z35" s="2"/>
      <c r="AA35" s="2"/>
    </row>
    <row r="36" spans="1:27" x14ac:dyDescent="0.25">
      <c r="A36" s="14">
        <f>'Notes &amp; Assumptions'!A24</f>
        <v>11</v>
      </c>
      <c r="C36" s="1" t="s">
        <v>107</v>
      </c>
      <c r="D36" s="1"/>
    </row>
    <row r="37" spans="1:27" x14ac:dyDescent="0.25">
      <c r="E37" s="2" t="str">
        <f>E7</f>
        <v>Pipes</v>
      </c>
      <c r="F37" t="s">
        <v>7</v>
      </c>
      <c r="G37" s="10"/>
      <c r="H37" s="10">
        <f>'Key assumptions'!$B32*(1+$G$14)^H2*(H90+H111+H132+H153)</f>
        <v>72249022.999999985</v>
      </c>
      <c r="I37" s="10">
        <f>'Key assumptions'!$B32*(1+$G$14)^I2*(I90+I111+I132+I153)</f>
        <v>69979064.329999983</v>
      </c>
      <c r="J37" s="10">
        <f>'Key assumptions'!$B32*(1+$G$14)^J2*(J90+J111+J132+J153)</f>
        <v>68846225.869558871</v>
      </c>
      <c r="K37" s="10">
        <f>'Key assumptions'!$B32*(1+$G$14)^K2*(K90+K111+K132+K153)</f>
        <v>64312304.756430194</v>
      </c>
      <c r="L37" s="10">
        <f>'Key assumptions'!$B32*(1+$G$14)^L2*(L90+L111+L132+L153)</f>
        <v>59716811.53560283</v>
      </c>
      <c r="M37" s="10">
        <f>'Key assumptions'!$B32*(1+$G$14)^M2*(M90+M111+M132+M153)</f>
        <v>55198099.665290311</v>
      </c>
      <c r="N37" s="10">
        <f>'Key assumptions'!$B32*(1+$G$14)^N2*(N90+N111+N132+N153)</f>
        <v>50779016.406236961</v>
      </c>
      <c r="O37" s="10">
        <f>'Key assumptions'!$B32*(1+$G$14)^O2*(O90+O111+O132+O153)</f>
        <v>46453357.47872936</v>
      </c>
      <c r="P37" s="10">
        <f>'Key assumptions'!$B32*(1+$G$14)^P2*(P90+P111+P132+P153)</f>
        <v>46157007.26092948</v>
      </c>
      <c r="Q37" s="10">
        <f>'Key assumptions'!$B32*(1+$G$14)^Q2*(Q90+Q111+Q132+Q153)</f>
        <v>45649352.76293207</v>
      </c>
      <c r="R37" s="10">
        <f>'Key assumptions'!$B32*(1+$G$14)^R2*(R90+R111+R132+R153)</f>
        <v>49180508.053766027</v>
      </c>
      <c r="S37" s="10">
        <f>'Key assumptions'!$B32*(1+$G$14)^S2*(S90+S111+S132+S153)</f>
        <v>53147947.147361971</v>
      </c>
      <c r="T37" s="10">
        <f>'Key assumptions'!$B32*(1+$G$14)^T2*(T90+T111+T132+T153)</f>
        <v>57339203.583446585</v>
      </c>
      <c r="U37" s="10">
        <f>'Key assumptions'!$B32*(1+$G$14)^U2*(U90+U111+U132+U153)</f>
        <v>58258663.209226079</v>
      </c>
      <c r="V37" s="10">
        <f>'Key assumptions'!$B32*(1+$G$14)^V2*(V90+V111+V132+V153)</f>
        <v>59221091.343828619</v>
      </c>
      <c r="W37" s="10">
        <f t="shared" ref="W37:X37" si="3">7000*(1+$G$14)^W2*(W90+W111+W132+W153)</f>
        <v>0</v>
      </c>
      <c r="X37" s="10">
        <f t="shared" si="3"/>
        <v>0</v>
      </c>
      <c r="Y37" s="10">
        <f t="shared" ref="Y37:AA37" si="4">2000*(1+$G$14)^Y2*(Y90+Y111+Y132+Y153)</f>
        <v>0</v>
      </c>
      <c r="Z37" s="10">
        <f t="shared" si="4"/>
        <v>0</v>
      </c>
      <c r="AA37" s="10">
        <f t="shared" si="4"/>
        <v>0</v>
      </c>
    </row>
    <row r="38" spans="1:27" x14ac:dyDescent="0.25">
      <c r="E38" s="2" t="str">
        <f>E8</f>
        <v>Pumps</v>
      </c>
      <c r="F38" t="s">
        <v>7</v>
      </c>
      <c r="G38" s="10"/>
      <c r="H38" s="10"/>
      <c r="I38" s="10"/>
      <c r="J38" s="10"/>
      <c r="K38" s="10"/>
      <c r="L38" s="10"/>
      <c r="M38" s="10"/>
      <c r="N38" s="10"/>
      <c r="O38" s="10"/>
      <c r="P38" s="10"/>
      <c r="Q38" s="10"/>
      <c r="R38" s="10"/>
      <c r="S38" s="10"/>
      <c r="T38" s="10"/>
      <c r="U38" s="10"/>
      <c r="V38" s="10"/>
      <c r="W38" s="10"/>
      <c r="X38" s="10"/>
      <c r="Y38" s="10"/>
      <c r="Z38" s="10"/>
      <c r="AA38" s="10"/>
    </row>
    <row r="39" spans="1:27" x14ac:dyDescent="0.25">
      <c r="E39" s="2" t="str">
        <f>E9</f>
        <v>Valves and Meters</v>
      </c>
      <c r="F39" t="s">
        <v>7</v>
      </c>
      <c r="G39" s="10"/>
      <c r="H39" s="10"/>
      <c r="I39" s="10"/>
      <c r="J39" s="10"/>
      <c r="K39" s="10"/>
      <c r="L39" s="10"/>
      <c r="M39" s="10"/>
      <c r="N39" s="10"/>
      <c r="O39" s="10"/>
      <c r="P39" s="10"/>
      <c r="Q39" s="10"/>
      <c r="R39" s="10"/>
      <c r="S39" s="10"/>
      <c r="T39" s="10"/>
      <c r="U39" s="10"/>
      <c r="V39" s="10"/>
      <c r="W39" s="10"/>
      <c r="X39" s="10"/>
      <c r="Y39" s="10"/>
      <c r="Z39" s="10"/>
      <c r="AA39" s="10"/>
    </row>
    <row r="40" spans="1:27" x14ac:dyDescent="0.25">
      <c r="E40" s="2" t="str">
        <f>E10</f>
        <v>Temporary Assets</v>
      </c>
      <c r="F40" t="s">
        <v>7</v>
      </c>
      <c r="G40" s="10"/>
      <c r="H40" s="10"/>
      <c r="I40" s="10"/>
      <c r="J40" s="10"/>
      <c r="K40" s="10"/>
      <c r="L40" s="10"/>
      <c r="M40" s="10"/>
      <c r="N40" s="10"/>
      <c r="O40" s="10"/>
      <c r="P40" s="10"/>
      <c r="Q40" s="10"/>
      <c r="R40" s="10"/>
      <c r="S40" s="10"/>
      <c r="T40" s="10"/>
      <c r="U40" s="10"/>
      <c r="V40" s="10"/>
      <c r="W40" s="10"/>
      <c r="X40" s="10"/>
      <c r="Y40" s="10"/>
      <c r="Z40" s="10"/>
      <c r="AA40" s="10"/>
    </row>
    <row r="41" spans="1:27" x14ac:dyDescent="0.25">
      <c r="E41" t="s">
        <v>131</v>
      </c>
      <c r="F41" t="s">
        <v>7</v>
      </c>
      <c r="G41" s="10"/>
      <c r="H41" s="10"/>
      <c r="I41" s="10"/>
      <c r="J41" s="10"/>
      <c r="K41" s="10"/>
      <c r="L41" s="10"/>
      <c r="M41" s="10"/>
      <c r="N41" s="10"/>
      <c r="O41" s="10"/>
      <c r="P41" s="10"/>
      <c r="Q41" s="10"/>
      <c r="R41" s="10"/>
      <c r="S41" s="10"/>
      <c r="T41" s="10"/>
      <c r="U41" s="10"/>
      <c r="V41" s="10"/>
      <c r="W41" s="10"/>
      <c r="X41" s="10"/>
      <c r="Y41" s="10"/>
      <c r="Z41" s="10"/>
      <c r="AA41" s="10"/>
    </row>
    <row r="42" spans="1:27" x14ac:dyDescent="0.25">
      <c r="G42" s="2">
        <f>SUM(G37:G41)</f>
        <v>0</v>
      </c>
      <c r="H42" s="2">
        <f t="shared" ref="H42:AA42" si="5">SUM(H37:H41)</f>
        <v>72249022.999999985</v>
      </c>
      <c r="I42" s="2">
        <f t="shared" si="5"/>
        <v>69979064.329999983</v>
      </c>
      <c r="J42" s="2">
        <f t="shared" si="5"/>
        <v>68846225.869558871</v>
      </c>
      <c r="K42" s="2">
        <f t="shared" si="5"/>
        <v>64312304.756430194</v>
      </c>
      <c r="L42" s="2">
        <f t="shared" si="5"/>
        <v>59716811.53560283</v>
      </c>
      <c r="M42" s="2">
        <f t="shared" si="5"/>
        <v>55198099.665290311</v>
      </c>
      <c r="N42" s="2">
        <f t="shared" si="5"/>
        <v>50779016.406236961</v>
      </c>
      <c r="O42" s="2">
        <f t="shared" si="5"/>
        <v>46453357.47872936</v>
      </c>
      <c r="P42" s="2">
        <f t="shared" si="5"/>
        <v>46157007.26092948</v>
      </c>
      <c r="Q42" s="2">
        <f t="shared" si="5"/>
        <v>45649352.76293207</v>
      </c>
      <c r="R42" s="2">
        <f t="shared" si="5"/>
        <v>49180508.053766027</v>
      </c>
      <c r="S42" s="2">
        <f t="shared" si="5"/>
        <v>53147947.147361971</v>
      </c>
      <c r="T42" s="2">
        <f t="shared" si="5"/>
        <v>57339203.583446585</v>
      </c>
      <c r="U42" s="2">
        <f t="shared" si="5"/>
        <v>58258663.209226079</v>
      </c>
      <c r="V42" s="2">
        <f t="shared" si="5"/>
        <v>59221091.343828619</v>
      </c>
      <c r="W42" s="2">
        <f t="shared" si="5"/>
        <v>0</v>
      </c>
      <c r="X42" s="2">
        <f t="shared" si="5"/>
        <v>0</v>
      </c>
      <c r="Y42" s="2">
        <f t="shared" si="5"/>
        <v>0</v>
      </c>
      <c r="Z42" s="2">
        <f t="shared" si="5"/>
        <v>0</v>
      </c>
      <c r="AA42" s="2">
        <f t="shared" si="5"/>
        <v>0</v>
      </c>
    </row>
    <row r="43" spans="1:27" x14ac:dyDescent="0.25">
      <c r="G43" s="2"/>
      <c r="H43" s="2"/>
      <c r="I43" s="2"/>
      <c r="J43" s="2"/>
      <c r="K43" s="2"/>
      <c r="L43" s="2"/>
      <c r="M43" s="2"/>
      <c r="N43" s="2"/>
      <c r="O43" s="2"/>
      <c r="P43" s="2"/>
      <c r="Q43" s="2"/>
    </row>
    <row r="44" spans="1:27" x14ac:dyDescent="0.25">
      <c r="D44" t="s">
        <v>134</v>
      </c>
      <c r="G44" s="2"/>
      <c r="H44" s="2"/>
      <c r="I44" s="2"/>
      <c r="J44" s="2"/>
      <c r="K44" s="2"/>
      <c r="L44" s="2"/>
      <c r="M44" s="2"/>
      <c r="N44" s="2"/>
      <c r="O44" s="2"/>
      <c r="P44" s="2"/>
      <c r="Q44" s="2"/>
    </row>
    <row r="45" spans="1:27" x14ac:dyDescent="0.25">
      <c r="E45" s="2" t="str">
        <f>E37</f>
        <v>Pipes</v>
      </c>
      <c r="F45" t="s">
        <v>7</v>
      </c>
      <c r="G45" s="2">
        <f t="shared" ref="G45:AA48" si="6">G37/$G7+IF((G$2-$G7+1)&gt;0,-INDEX($G37:$AA37,1,(G$2-$G7+1))/$G7,0)</f>
        <v>0</v>
      </c>
      <c r="H45" s="2">
        <f t="shared" si="6"/>
        <v>802766.92222222209</v>
      </c>
      <c r="I45" s="2">
        <f t="shared" si="6"/>
        <v>777545.15922222205</v>
      </c>
      <c r="J45" s="2">
        <f t="shared" si="6"/>
        <v>764958.06521732081</v>
      </c>
      <c r="K45" s="2">
        <f t="shared" si="6"/>
        <v>714581.16396033554</v>
      </c>
      <c r="L45" s="2">
        <f t="shared" si="6"/>
        <v>663520.12817336479</v>
      </c>
      <c r="M45" s="2">
        <f t="shared" si="6"/>
        <v>613312.21850322571</v>
      </c>
      <c r="N45" s="2">
        <f t="shared" si="6"/>
        <v>564211.29340263293</v>
      </c>
      <c r="O45" s="2">
        <f t="shared" si="6"/>
        <v>516148.41643032624</v>
      </c>
      <c r="P45" s="2">
        <f t="shared" si="6"/>
        <v>512855.63623254979</v>
      </c>
      <c r="Q45" s="2">
        <f t="shared" si="6"/>
        <v>507215.03069924522</v>
      </c>
      <c r="R45" s="2">
        <f t="shared" si="6"/>
        <v>546450.08948628919</v>
      </c>
      <c r="S45" s="2">
        <f t="shared" si="6"/>
        <v>590532.74608179973</v>
      </c>
      <c r="T45" s="2">
        <f t="shared" si="6"/>
        <v>637102.26203829539</v>
      </c>
      <c r="U45" s="2">
        <f t="shared" si="6"/>
        <v>647318.48010251194</v>
      </c>
      <c r="V45" s="2">
        <f t="shared" si="6"/>
        <v>658012.12604254019</v>
      </c>
      <c r="W45" s="2">
        <f t="shared" si="6"/>
        <v>0</v>
      </c>
      <c r="X45" s="2">
        <f t="shared" si="6"/>
        <v>0</v>
      </c>
      <c r="Y45" s="2">
        <f t="shared" si="6"/>
        <v>0</v>
      </c>
      <c r="Z45" s="2">
        <f t="shared" si="6"/>
        <v>0</v>
      </c>
      <c r="AA45" s="2">
        <f t="shared" si="6"/>
        <v>0</v>
      </c>
    </row>
    <row r="46" spans="1:27" x14ac:dyDescent="0.25">
      <c r="E46" s="2" t="str">
        <f t="shared" ref="E46:E48" si="7">E38</f>
        <v>Pumps</v>
      </c>
      <c r="F46" t="s">
        <v>7</v>
      </c>
      <c r="G46" s="2">
        <f t="shared" si="6"/>
        <v>0</v>
      </c>
      <c r="H46" s="2">
        <f t="shared" si="6"/>
        <v>0</v>
      </c>
      <c r="I46" s="2">
        <f t="shared" si="6"/>
        <v>0</v>
      </c>
      <c r="J46" s="2">
        <f t="shared" si="6"/>
        <v>0</v>
      </c>
      <c r="K46" s="2">
        <f t="shared" si="6"/>
        <v>0</v>
      </c>
      <c r="L46" s="2">
        <f t="shared" si="6"/>
        <v>0</v>
      </c>
      <c r="M46" s="2">
        <f t="shared" si="6"/>
        <v>0</v>
      </c>
      <c r="N46" s="2">
        <f t="shared" si="6"/>
        <v>0</v>
      </c>
      <c r="O46" s="2">
        <f t="shared" si="6"/>
        <v>0</v>
      </c>
      <c r="P46" s="2">
        <f t="shared" si="6"/>
        <v>0</v>
      </c>
      <c r="Q46" s="2">
        <f t="shared" si="6"/>
        <v>0</v>
      </c>
      <c r="R46" s="2">
        <f t="shared" si="6"/>
        <v>0</v>
      </c>
      <c r="S46" s="2">
        <f t="shared" si="6"/>
        <v>0</v>
      </c>
      <c r="T46" s="2">
        <f t="shared" si="6"/>
        <v>0</v>
      </c>
      <c r="U46" s="2">
        <f t="shared" si="6"/>
        <v>0</v>
      </c>
      <c r="V46" s="2">
        <f t="shared" si="6"/>
        <v>0</v>
      </c>
      <c r="W46" s="2">
        <f t="shared" si="6"/>
        <v>0</v>
      </c>
      <c r="X46" s="2">
        <f t="shared" si="6"/>
        <v>0</v>
      </c>
      <c r="Y46" s="2">
        <f t="shared" si="6"/>
        <v>0</v>
      </c>
      <c r="Z46" s="2">
        <f t="shared" si="6"/>
        <v>0</v>
      </c>
      <c r="AA46" s="2">
        <f t="shared" si="6"/>
        <v>0</v>
      </c>
    </row>
    <row r="47" spans="1:27" x14ac:dyDescent="0.25">
      <c r="E47" s="2" t="str">
        <f t="shared" si="7"/>
        <v>Valves and Meters</v>
      </c>
      <c r="F47" t="s">
        <v>7</v>
      </c>
      <c r="G47" s="2">
        <f t="shared" si="6"/>
        <v>0</v>
      </c>
      <c r="H47" s="2">
        <f t="shared" si="6"/>
        <v>0</v>
      </c>
      <c r="I47" s="2">
        <f t="shared" si="6"/>
        <v>0</v>
      </c>
      <c r="J47" s="2">
        <f t="shared" si="6"/>
        <v>0</v>
      </c>
      <c r="K47" s="2">
        <f t="shared" si="6"/>
        <v>0</v>
      </c>
      <c r="L47" s="2">
        <f t="shared" si="6"/>
        <v>0</v>
      </c>
      <c r="M47" s="2">
        <f t="shared" si="6"/>
        <v>0</v>
      </c>
      <c r="N47" s="2">
        <f t="shared" si="6"/>
        <v>0</v>
      </c>
      <c r="O47" s="2">
        <f t="shared" si="6"/>
        <v>0</v>
      </c>
      <c r="P47" s="2">
        <f t="shared" si="6"/>
        <v>0</v>
      </c>
      <c r="Q47" s="2">
        <f t="shared" si="6"/>
        <v>0</v>
      </c>
      <c r="R47" s="2">
        <f t="shared" si="6"/>
        <v>0</v>
      </c>
      <c r="S47" s="2">
        <f t="shared" si="6"/>
        <v>0</v>
      </c>
      <c r="T47" s="2">
        <f t="shared" si="6"/>
        <v>0</v>
      </c>
      <c r="U47" s="2">
        <f t="shared" si="6"/>
        <v>0</v>
      </c>
      <c r="V47" s="2">
        <f t="shared" si="6"/>
        <v>0</v>
      </c>
      <c r="W47" s="2">
        <f t="shared" si="6"/>
        <v>0</v>
      </c>
      <c r="X47" s="2">
        <f t="shared" si="6"/>
        <v>0</v>
      </c>
      <c r="Y47" s="2">
        <f t="shared" si="6"/>
        <v>0</v>
      </c>
      <c r="Z47" s="2">
        <f t="shared" si="6"/>
        <v>0</v>
      </c>
      <c r="AA47" s="2">
        <f t="shared" si="6"/>
        <v>0</v>
      </c>
    </row>
    <row r="48" spans="1:27" x14ac:dyDescent="0.25">
      <c r="E48" s="2" t="str">
        <f t="shared" si="7"/>
        <v>Temporary Assets</v>
      </c>
      <c r="F48" t="s">
        <v>7</v>
      </c>
      <c r="G48" s="2">
        <f t="shared" si="6"/>
        <v>0</v>
      </c>
      <c r="H48" s="2">
        <f t="shared" si="6"/>
        <v>0</v>
      </c>
      <c r="I48" s="2">
        <f t="shared" si="6"/>
        <v>0</v>
      </c>
      <c r="J48" s="2">
        <f t="shared" si="6"/>
        <v>0</v>
      </c>
      <c r="K48" s="2">
        <f t="shared" si="6"/>
        <v>0</v>
      </c>
      <c r="L48" s="2">
        <f t="shared" si="6"/>
        <v>0</v>
      </c>
      <c r="M48" s="2">
        <f t="shared" si="6"/>
        <v>0</v>
      </c>
      <c r="N48" s="2">
        <f t="shared" si="6"/>
        <v>0</v>
      </c>
      <c r="O48" s="2">
        <f t="shared" si="6"/>
        <v>0</v>
      </c>
      <c r="P48" s="2">
        <f t="shared" si="6"/>
        <v>0</v>
      </c>
      <c r="Q48" s="2">
        <f t="shared" si="6"/>
        <v>0</v>
      </c>
      <c r="R48" s="2">
        <f t="shared" si="6"/>
        <v>0</v>
      </c>
      <c r="S48" s="2">
        <f t="shared" si="6"/>
        <v>0</v>
      </c>
      <c r="T48" s="2">
        <f t="shared" si="6"/>
        <v>0</v>
      </c>
      <c r="U48" s="2">
        <f t="shared" si="6"/>
        <v>0</v>
      </c>
      <c r="V48" s="2">
        <f t="shared" si="6"/>
        <v>0</v>
      </c>
      <c r="W48" s="2">
        <f t="shared" si="6"/>
        <v>0</v>
      </c>
      <c r="X48" s="2">
        <f t="shared" si="6"/>
        <v>0</v>
      </c>
      <c r="Y48" s="2">
        <f t="shared" si="6"/>
        <v>0</v>
      </c>
      <c r="Z48" s="2">
        <f t="shared" si="6"/>
        <v>0</v>
      </c>
      <c r="AA48" s="2">
        <f t="shared" si="6"/>
        <v>0</v>
      </c>
    </row>
    <row r="49" spans="1:27" x14ac:dyDescent="0.25">
      <c r="G49" s="2"/>
      <c r="H49" s="2"/>
      <c r="I49" s="2"/>
      <c r="J49" s="2"/>
      <c r="K49" s="2"/>
      <c r="L49" s="2"/>
      <c r="M49" s="2"/>
      <c r="N49" s="2"/>
      <c r="O49" s="2"/>
      <c r="P49" s="2"/>
      <c r="Q49" s="2"/>
    </row>
    <row r="50" spans="1:27" x14ac:dyDescent="0.25">
      <c r="D50" t="s">
        <v>135</v>
      </c>
      <c r="F50" t="s">
        <v>7</v>
      </c>
      <c r="G50" s="2">
        <f>SUM($G$45:G48)</f>
        <v>0</v>
      </c>
      <c r="H50" s="2">
        <f>SUM($G$45:H48)</f>
        <v>802766.92222222209</v>
      </c>
      <c r="I50" s="2">
        <f>SUM($G$45:I48)</f>
        <v>1580312.0814444441</v>
      </c>
      <c r="J50" s="2">
        <f>SUM($G$45:J48)</f>
        <v>2345270.1466617649</v>
      </c>
      <c r="K50" s="2">
        <f>SUM($G$45:K48)</f>
        <v>3059851.3106221007</v>
      </c>
      <c r="L50" s="2">
        <f>SUM($G$45:L48)</f>
        <v>3723371.4387954655</v>
      </c>
      <c r="M50" s="2">
        <f>SUM($G$45:M48)</f>
        <v>4336683.6572986916</v>
      </c>
      <c r="N50" s="2">
        <f>SUM($G$45:N48)</f>
        <v>4900894.9507013243</v>
      </c>
      <c r="O50" s="2">
        <f>SUM($G$45:O48)</f>
        <v>5417043.3671316504</v>
      </c>
      <c r="P50" s="2">
        <f>SUM($G$45:P48)</f>
        <v>5929899.0033641998</v>
      </c>
      <c r="Q50" s="2">
        <f>SUM($G$45:Q48)</f>
        <v>6437114.0340634454</v>
      </c>
      <c r="R50" s="2">
        <f>SUM($G$45:R48)</f>
        <v>6983564.1235497342</v>
      </c>
      <c r="S50" s="2">
        <f>SUM($G$45:S48)</f>
        <v>7574096.8696315344</v>
      </c>
      <c r="T50" s="2">
        <f>SUM($G$45:T48)</f>
        <v>8211199.1316698296</v>
      </c>
      <c r="U50" s="2">
        <f>SUM($G$45:U48)</f>
        <v>8858517.6117723417</v>
      </c>
      <c r="V50" s="2">
        <f>SUM($G$45:V48)</f>
        <v>9516529.7378148809</v>
      </c>
      <c r="W50" s="2">
        <f>SUM($G$45:W48)</f>
        <v>9516529.7378148809</v>
      </c>
      <c r="X50" s="2">
        <f>SUM($G$45:X48)</f>
        <v>9516529.7378148809</v>
      </c>
      <c r="Y50" s="2">
        <f>SUM($G$45:Y48)</f>
        <v>9516529.7378148809</v>
      </c>
      <c r="Z50" s="2">
        <f>SUM($G$45:Z48)</f>
        <v>9516529.7378148809</v>
      </c>
      <c r="AA50" s="2">
        <f>SUM($G$45:AA48)</f>
        <v>9516529.7378148809</v>
      </c>
    </row>
    <row r="51" spans="1:27" x14ac:dyDescent="0.25">
      <c r="G51" s="2"/>
      <c r="H51" s="2"/>
      <c r="I51" s="2"/>
      <c r="J51" s="2"/>
      <c r="K51" s="2"/>
      <c r="L51" s="2"/>
      <c r="M51" s="2"/>
      <c r="N51" s="2"/>
      <c r="O51" s="2"/>
      <c r="P51" s="2"/>
      <c r="Q51" s="2"/>
      <c r="R51" s="2"/>
      <c r="S51" s="2"/>
      <c r="T51" s="2"/>
      <c r="U51" s="2"/>
      <c r="V51" s="2"/>
      <c r="W51" s="2"/>
      <c r="X51" s="2"/>
      <c r="Y51" s="2"/>
      <c r="Z51" s="2"/>
      <c r="AA51" s="2"/>
    </row>
    <row r="52" spans="1:27" x14ac:dyDescent="0.25">
      <c r="A52" s="14">
        <f>'Notes &amp; Assumptions'!A25</f>
        <v>12</v>
      </c>
      <c r="C52" s="1" t="s">
        <v>109</v>
      </c>
      <c r="G52" s="2"/>
      <c r="H52" s="2"/>
      <c r="I52" s="2"/>
      <c r="J52" s="2"/>
      <c r="K52" s="2"/>
      <c r="L52" s="2"/>
      <c r="M52" s="2"/>
      <c r="N52" s="2"/>
      <c r="O52" s="2"/>
      <c r="P52" s="2"/>
      <c r="Q52" s="2"/>
      <c r="R52" s="2"/>
      <c r="S52" s="2"/>
      <c r="T52" s="2"/>
      <c r="U52" s="2"/>
      <c r="V52" s="2"/>
      <c r="W52" s="2"/>
      <c r="X52" s="2"/>
      <c r="Y52" s="2"/>
      <c r="Z52" s="2"/>
      <c r="AA52" s="2"/>
    </row>
    <row r="53" spans="1:27" x14ac:dyDescent="0.25">
      <c r="E53" t="s">
        <v>109</v>
      </c>
      <c r="F53" t="s">
        <v>7</v>
      </c>
      <c r="G53" s="10"/>
      <c r="H53" s="10"/>
      <c r="I53" s="10"/>
      <c r="J53" s="10"/>
      <c r="K53" s="10"/>
      <c r="L53" s="10"/>
      <c r="M53" s="10"/>
      <c r="N53" s="10"/>
      <c r="O53" s="10"/>
      <c r="P53" s="10"/>
      <c r="Q53" s="10"/>
      <c r="R53" s="10"/>
      <c r="S53" s="10"/>
      <c r="T53" s="10"/>
      <c r="U53" s="10"/>
      <c r="V53" s="10"/>
      <c r="W53" s="10"/>
      <c r="X53" s="10"/>
      <c r="Y53" s="10"/>
      <c r="Z53" s="10"/>
      <c r="AA53" s="10"/>
    </row>
    <row r="55" spans="1:27" x14ac:dyDescent="0.25">
      <c r="C55" s="1" t="s">
        <v>25</v>
      </c>
      <c r="D55" s="1"/>
    </row>
    <row r="56" spans="1:27" x14ac:dyDescent="0.25">
      <c r="A56" s="14">
        <f>'Notes &amp; Assumptions'!A26</f>
        <v>13</v>
      </c>
      <c r="D56" t="s">
        <v>2</v>
      </c>
    </row>
    <row r="57" spans="1:27" x14ac:dyDescent="0.25">
      <c r="E57" s="2" t="str">
        <f>E7</f>
        <v>Pipes</v>
      </c>
      <c r="F57" t="s">
        <v>7</v>
      </c>
      <c r="G57" s="10"/>
      <c r="H57" s="10"/>
      <c r="I57" s="10"/>
      <c r="J57" s="10"/>
      <c r="K57" s="10"/>
      <c r="L57" s="10"/>
      <c r="M57" s="10"/>
      <c r="N57" s="10"/>
      <c r="O57" s="10"/>
      <c r="P57" s="10"/>
      <c r="Q57" s="10"/>
      <c r="R57" s="10"/>
      <c r="S57" s="10"/>
      <c r="T57" s="10"/>
      <c r="U57" s="10"/>
      <c r="V57" s="10"/>
      <c r="W57" s="10"/>
      <c r="X57" s="10"/>
      <c r="Y57" s="10"/>
      <c r="Z57" s="10"/>
      <c r="AA57" s="10"/>
    </row>
    <row r="58" spans="1:27" x14ac:dyDescent="0.25">
      <c r="E58" s="2" t="str">
        <f>E8</f>
        <v>Pumps</v>
      </c>
      <c r="F58" t="s">
        <v>7</v>
      </c>
      <c r="G58" s="10"/>
      <c r="H58" s="10"/>
      <c r="I58" s="10"/>
      <c r="J58" s="10"/>
      <c r="K58" s="10"/>
      <c r="L58" s="10"/>
      <c r="M58" s="10"/>
      <c r="N58" s="10"/>
      <c r="O58" s="10"/>
      <c r="P58" s="10"/>
      <c r="Q58" s="10"/>
      <c r="R58" s="10"/>
      <c r="S58" s="10"/>
      <c r="T58" s="10"/>
      <c r="U58" s="10"/>
      <c r="V58" s="10"/>
      <c r="W58" s="10"/>
      <c r="X58" s="10"/>
      <c r="Y58" s="10"/>
      <c r="Z58" s="10"/>
      <c r="AA58" s="10"/>
    </row>
    <row r="59" spans="1:27" x14ac:dyDescent="0.25">
      <c r="E59" s="2" t="str">
        <f>E9</f>
        <v>Valves and Meters</v>
      </c>
      <c r="F59" t="s">
        <v>7</v>
      </c>
      <c r="G59" s="10"/>
      <c r="H59" s="10"/>
      <c r="I59" s="10"/>
      <c r="J59" s="10"/>
      <c r="K59" s="10"/>
      <c r="L59" s="10"/>
      <c r="M59" s="10"/>
      <c r="N59" s="10"/>
      <c r="O59" s="10"/>
      <c r="P59" s="10"/>
      <c r="Q59" s="10"/>
      <c r="R59" s="10"/>
      <c r="S59" s="10"/>
      <c r="T59" s="10"/>
      <c r="U59" s="10"/>
      <c r="V59" s="10"/>
      <c r="W59" s="10"/>
      <c r="X59" s="10"/>
      <c r="Y59" s="10"/>
      <c r="Z59" s="10"/>
      <c r="AA59" s="10"/>
    </row>
    <row r="60" spans="1:27" x14ac:dyDescent="0.25">
      <c r="E60" t="s">
        <v>131</v>
      </c>
      <c r="F60" t="s">
        <v>7</v>
      </c>
      <c r="G60" s="10"/>
      <c r="H60" s="10"/>
      <c r="I60" s="10"/>
      <c r="J60" s="10"/>
      <c r="K60" s="10"/>
      <c r="L60" s="10"/>
      <c r="M60" s="10"/>
      <c r="N60" s="10"/>
      <c r="O60" s="10"/>
      <c r="P60" s="10"/>
      <c r="Q60" s="10"/>
      <c r="R60" s="10"/>
      <c r="S60" s="10"/>
      <c r="T60" s="10"/>
      <c r="U60" s="10"/>
      <c r="V60" s="10"/>
      <c r="W60" s="10"/>
      <c r="X60" s="10"/>
      <c r="Y60" s="10"/>
      <c r="Z60" s="10"/>
      <c r="AA60" s="10"/>
    </row>
    <row r="61" spans="1:27" x14ac:dyDescent="0.25">
      <c r="G61" s="2">
        <f>SUM(G57:G60)</f>
        <v>0</v>
      </c>
      <c r="H61" s="2">
        <f t="shared" ref="H61:AA61" si="8">SUM(H57:H60)</f>
        <v>0</v>
      </c>
      <c r="I61" s="2">
        <f t="shared" si="8"/>
        <v>0</v>
      </c>
      <c r="J61" s="2">
        <f t="shared" si="8"/>
        <v>0</v>
      </c>
      <c r="K61" s="2">
        <f t="shared" si="8"/>
        <v>0</v>
      </c>
      <c r="L61" s="2">
        <f t="shared" si="8"/>
        <v>0</v>
      </c>
      <c r="M61" s="2">
        <f t="shared" si="8"/>
        <v>0</v>
      </c>
      <c r="N61" s="2">
        <f t="shared" si="8"/>
        <v>0</v>
      </c>
      <c r="O61" s="2">
        <f t="shared" si="8"/>
        <v>0</v>
      </c>
      <c r="P61" s="2">
        <f t="shared" si="8"/>
        <v>0</v>
      </c>
      <c r="Q61" s="2">
        <f t="shared" si="8"/>
        <v>0</v>
      </c>
      <c r="R61" s="2">
        <f t="shared" si="8"/>
        <v>0</v>
      </c>
      <c r="S61" s="2">
        <f t="shared" si="8"/>
        <v>0</v>
      </c>
      <c r="T61" s="2">
        <f t="shared" si="8"/>
        <v>0</v>
      </c>
      <c r="U61" s="2">
        <f t="shared" si="8"/>
        <v>0</v>
      </c>
      <c r="V61" s="2">
        <f t="shared" si="8"/>
        <v>0</v>
      </c>
      <c r="W61" s="2">
        <f t="shared" si="8"/>
        <v>0</v>
      </c>
      <c r="X61" s="2">
        <f t="shared" si="8"/>
        <v>0</v>
      </c>
      <c r="Y61" s="2">
        <f t="shared" si="8"/>
        <v>0</v>
      </c>
      <c r="Z61" s="2">
        <f t="shared" si="8"/>
        <v>0</v>
      </c>
      <c r="AA61" s="2">
        <f t="shared" si="8"/>
        <v>0</v>
      </c>
    </row>
    <row r="63" spans="1:27" x14ac:dyDescent="0.25">
      <c r="D63" t="s">
        <v>136</v>
      </c>
      <c r="G63" s="2"/>
      <c r="H63" s="2"/>
      <c r="I63" s="2"/>
      <c r="J63" s="2"/>
      <c r="K63" s="2"/>
      <c r="L63" s="2"/>
      <c r="M63" s="2"/>
      <c r="N63" s="2"/>
      <c r="O63" s="2"/>
      <c r="P63" s="2"/>
      <c r="Q63" s="2"/>
    </row>
    <row r="64" spans="1:27" x14ac:dyDescent="0.25">
      <c r="E64" s="2" t="str">
        <f>E57</f>
        <v>Pipes</v>
      </c>
      <c r="F64" t="s">
        <v>7</v>
      </c>
      <c r="G64" s="2">
        <f t="shared" ref="G64:AA66" si="9">G57/$G7+IF((G$2-$G7+1)&gt;0,-INDEX($G57:$AA57,1,(G$2-$G7+1))/$G7,0)</f>
        <v>0</v>
      </c>
      <c r="H64" s="2">
        <f t="shared" si="9"/>
        <v>0</v>
      </c>
      <c r="I64" s="2">
        <f t="shared" si="9"/>
        <v>0</v>
      </c>
      <c r="J64" s="2">
        <f t="shared" si="9"/>
        <v>0</v>
      </c>
      <c r="K64" s="2">
        <f t="shared" si="9"/>
        <v>0</v>
      </c>
      <c r="L64" s="2">
        <f t="shared" si="9"/>
        <v>0</v>
      </c>
      <c r="M64" s="2">
        <f t="shared" si="9"/>
        <v>0</v>
      </c>
      <c r="N64" s="2">
        <f t="shared" si="9"/>
        <v>0</v>
      </c>
      <c r="O64" s="2">
        <f t="shared" si="9"/>
        <v>0</v>
      </c>
      <c r="P64" s="2">
        <f t="shared" si="9"/>
        <v>0</v>
      </c>
      <c r="Q64" s="2">
        <f t="shared" si="9"/>
        <v>0</v>
      </c>
      <c r="R64" s="2">
        <f t="shared" si="9"/>
        <v>0</v>
      </c>
      <c r="S64" s="2">
        <f t="shared" si="9"/>
        <v>0</v>
      </c>
      <c r="T64" s="2">
        <f t="shared" si="9"/>
        <v>0</v>
      </c>
      <c r="U64" s="2">
        <f t="shared" si="9"/>
        <v>0</v>
      </c>
      <c r="V64" s="2">
        <f t="shared" si="9"/>
        <v>0</v>
      </c>
      <c r="W64" s="2">
        <f t="shared" si="9"/>
        <v>0</v>
      </c>
      <c r="X64" s="2">
        <f t="shared" si="9"/>
        <v>0</v>
      </c>
      <c r="Y64" s="2">
        <f t="shared" si="9"/>
        <v>0</v>
      </c>
      <c r="Z64" s="2">
        <f t="shared" si="9"/>
        <v>0</v>
      </c>
      <c r="AA64" s="2">
        <f t="shared" si="9"/>
        <v>0</v>
      </c>
    </row>
    <row r="65" spans="1:27" x14ac:dyDescent="0.25">
      <c r="E65" s="2" t="str">
        <f t="shared" ref="E65:E66" si="10">E58</f>
        <v>Pumps</v>
      </c>
      <c r="F65" t="s">
        <v>7</v>
      </c>
      <c r="G65" s="2">
        <f t="shared" si="9"/>
        <v>0</v>
      </c>
      <c r="H65" s="2">
        <f t="shared" si="9"/>
        <v>0</v>
      </c>
      <c r="I65" s="2">
        <f t="shared" si="9"/>
        <v>0</v>
      </c>
      <c r="J65" s="2">
        <f t="shared" si="9"/>
        <v>0</v>
      </c>
      <c r="K65" s="2">
        <f t="shared" si="9"/>
        <v>0</v>
      </c>
      <c r="L65" s="2">
        <f t="shared" si="9"/>
        <v>0</v>
      </c>
      <c r="M65" s="2">
        <f t="shared" si="9"/>
        <v>0</v>
      </c>
      <c r="N65" s="2">
        <f t="shared" si="9"/>
        <v>0</v>
      </c>
      <c r="O65" s="2">
        <f t="shared" si="9"/>
        <v>0</v>
      </c>
      <c r="P65" s="2">
        <f t="shared" si="9"/>
        <v>0</v>
      </c>
      <c r="Q65" s="2">
        <f t="shared" si="9"/>
        <v>0</v>
      </c>
      <c r="R65" s="2">
        <f t="shared" si="9"/>
        <v>0</v>
      </c>
      <c r="S65" s="2">
        <f t="shared" si="9"/>
        <v>0</v>
      </c>
      <c r="T65" s="2">
        <f t="shared" si="9"/>
        <v>0</v>
      </c>
      <c r="U65" s="2">
        <f t="shared" si="9"/>
        <v>0</v>
      </c>
      <c r="V65" s="2">
        <f t="shared" si="9"/>
        <v>0</v>
      </c>
      <c r="W65" s="2">
        <f t="shared" si="9"/>
        <v>0</v>
      </c>
      <c r="X65" s="2">
        <f t="shared" si="9"/>
        <v>0</v>
      </c>
      <c r="Y65" s="2">
        <f t="shared" si="9"/>
        <v>0</v>
      </c>
      <c r="Z65" s="2">
        <f t="shared" si="9"/>
        <v>0</v>
      </c>
      <c r="AA65" s="2">
        <f t="shared" si="9"/>
        <v>0</v>
      </c>
    </row>
    <row r="66" spans="1:27" x14ac:dyDescent="0.25">
      <c r="E66" s="2" t="str">
        <f t="shared" si="10"/>
        <v>Valves and Meters</v>
      </c>
      <c r="F66" t="s">
        <v>7</v>
      </c>
      <c r="G66" s="2">
        <f t="shared" si="9"/>
        <v>0</v>
      </c>
      <c r="H66" s="2">
        <f t="shared" si="9"/>
        <v>0</v>
      </c>
      <c r="I66" s="2">
        <f t="shared" si="9"/>
        <v>0</v>
      </c>
      <c r="J66" s="2">
        <f t="shared" si="9"/>
        <v>0</v>
      </c>
      <c r="K66" s="2">
        <f t="shared" si="9"/>
        <v>0</v>
      </c>
      <c r="L66" s="2">
        <f t="shared" si="9"/>
        <v>0</v>
      </c>
      <c r="M66" s="2">
        <f t="shared" si="9"/>
        <v>0</v>
      </c>
      <c r="N66" s="2">
        <f t="shared" si="9"/>
        <v>0</v>
      </c>
      <c r="O66" s="2">
        <f t="shared" si="9"/>
        <v>0</v>
      </c>
      <c r="P66" s="2">
        <f t="shared" si="9"/>
        <v>0</v>
      </c>
      <c r="Q66" s="2">
        <f t="shared" si="9"/>
        <v>0</v>
      </c>
      <c r="R66" s="2">
        <f t="shared" si="9"/>
        <v>0</v>
      </c>
      <c r="S66" s="2">
        <f t="shared" si="9"/>
        <v>0</v>
      </c>
      <c r="T66" s="2">
        <f t="shared" si="9"/>
        <v>0</v>
      </c>
      <c r="U66" s="2">
        <f t="shared" si="9"/>
        <v>0</v>
      </c>
      <c r="V66" s="2">
        <f t="shared" si="9"/>
        <v>0</v>
      </c>
      <c r="W66" s="2">
        <f t="shared" si="9"/>
        <v>0</v>
      </c>
      <c r="X66" s="2">
        <f t="shared" si="9"/>
        <v>0</v>
      </c>
      <c r="Y66" s="2">
        <f t="shared" si="9"/>
        <v>0</v>
      </c>
      <c r="Z66" s="2">
        <f t="shared" si="9"/>
        <v>0</v>
      </c>
      <c r="AA66" s="2">
        <f t="shared" si="9"/>
        <v>0</v>
      </c>
    </row>
    <row r="68" spans="1:27" x14ac:dyDescent="0.25">
      <c r="D68" t="s">
        <v>137</v>
      </c>
      <c r="F68" t="s">
        <v>7</v>
      </c>
      <c r="G68" s="2">
        <f>SUM($G$64:G66)</f>
        <v>0</v>
      </c>
      <c r="H68" s="2">
        <f>SUM($G$64:H66)</f>
        <v>0</v>
      </c>
      <c r="I68" s="2">
        <f>SUM($G$64:I66)</f>
        <v>0</v>
      </c>
      <c r="J68" s="2">
        <f>SUM($G$64:J66)</f>
        <v>0</v>
      </c>
      <c r="K68" s="2">
        <f>SUM($G$64:K66)</f>
        <v>0</v>
      </c>
      <c r="L68" s="2">
        <f>SUM($G$64:L66)</f>
        <v>0</v>
      </c>
      <c r="M68" s="2">
        <f>SUM($G$64:M66)</f>
        <v>0</v>
      </c>
      <c r="N68" s="2">
        <f>SUM($G$64:N66)</f>
        <v>0</v>
      </c>
      <c r="O68" s="2">
        <f>SUM($G$64:O66)</f>
        <v>0</v>
      </c>
      <c r="P68" s="2">
        <f>SUM($G$64:P66)</f>
        <v>0</v>
      </c>
      <c r="Q68" s="2">
        <f>SUM($G$64:Q66)</f>
        <v>0</v>
      </c>
      <c r="R68" s="2">
        <f>SUM($G$64:R66)</f>
        <v>0</v>
      </c>
      <c r="S68" s="2">
        <f>SUM($G$64:S66)</f>
        <v>0</v>
      </c>
      <c r="T68" s="2">
        <f>SUM($G$64:T66)</f>
        <v>0</v>
      </c>
      <c r="U68" s="2">
        <f>SUM($G$64:U66)</f>
        <v>0</v>
      </c>
      <c r="V68" s="2">
        <f>SUM($G$64:V66)</f>
        <v>0</v>
      </c>
      <c r="W68" s="2">
        <f>SUM($G$64:W66)</f>
        <v>0</v>
      </c>
      <c r="X68" s="2">
        <f>SUM($G$64:X66)</f>
        <v>0</v>
      </c>
      <c r="Y68" s="2">
        <f>SUM($G$64:Y66)</f>
        <v>0</v>
      </c>
      <c r="Z68" s="2">
        <f>SUM($G$64:Z66)</f>
        <v>0</v>
      </c>
      <c r="AA68" s="2">
        <f>SUM($G$64:AA66)</f>
        <v>0</v>
      </c>
    </row>
    <row r="70" spans="1:27" x14ac:dyDescent="0.25">
      <c r="A70" s="14">
        <f>'Notes &amp; Assumptions'!A27</f>
        <v>14</v>
      </c>
      <c r="D70" t="s">
        <v>6</v>
      </c>
    </row>
    <row r="71" spans="1:27" x14ac:dyDescent="0.25">
      <c r="E71" s="2" t="str">
        <f>E7</f>
        <v>Pipes</v>
      </c>
      <c r="F71" t="s">
        <v>7</v>
      </c>
      <c r="G71" s="10"/>
      <c r="H71" s="10"/>
      <c r="I71" s="10"/>
      <c r="J71" s="10"/>
      <c r="K71" s="10"/>
      <c r="L71" s="10"/>
      <c r="M71" s="10"/>
      <c r="N71" s="10"/>
      <c r="O71" s="10"/>
      <c r="P71" s="10"/>
      <c r="Q71" s="10"/>
      <c r="R71" s="10"/>
      <c r="S71" s="10"/>
      <c r="T71" s="10"/>
      <c r="U71" s="10"/>
      <c r="V71" s="10"/>
      <c r="W71" s="10"/>
      <c r="X71" s="10"/>
      <c r="Y71" s="10"/>
      <c r="Z71" s="10"/>
      <c r="AA71" s="10"/>
    </row>
    <row r="72" spans="1:27" x14ac:dyDescent="0.25">
      <c r="E72" s="2" t="str">
        <f>E8</f>
        <v>Pumps</v>
      </c>
      <c r="F72" t="s">
        <v>7</v>
      </c>
      <c r="G72" s="10"/>
      <c r="H72" s="10"/>
      <c r="I72" s="10"/>
      <c r="J72" s="10"/>
      <c r="K72" s="10"/>
      <c r="L72" s="10"/>
      <c r="M72" s="10"/>
      <c r="N72" s="10"/>
      <c r="O72" s="10"/>
      <c r="P72" s="10"/>
      <c r="Q72" s="10"/>
      <c r="R72" s="10"/>
      <c r="S72" s="10"/>
      <c r="T72" s="10"/>
      <c r="U72" s="10"/>
      <c r="V72" s="10"/>
      <c r="W72" s="10"/>
      <c r="X72" s="10"/>
      <c r="Y72" s="10"/>
      <c r="Z72" s="10"/>
      <c r="AA72" s="10"/>
    </row>
    <row r="73" spans="1:27" x14ac:dyDescent="0.25">
      <c r="E73" s="2" t="str">
        <f>E9</f>
        <v>Valves and Meters</v>
      </c>
      <c r="F73" t="s">
        <v>7</v>
      </c>
      <c r="G73" s="10"/>
      <c r="H73" s="10"/>
      <c r="I73" s="10"/>
      <c r="J73" s="10"/>
      <c r="K73" s="10"/>
      <c r="L73" s="10"/>
      <c r="M73" s="10"/>
      <c r="N73" s="10"/>
      <c r="O73" s="10"/>
      <c r="P73" s="10"/>
      <c r="Q73" s="10"/>
      <c r="R73" s="10"/>
      <c r="S73" s="10"/>
      <c r="T73" s="10"/>
      <c r="U73" s="10"/>
      <c r="V73" s="10"/>
      <c r="W73" s="10"/>
      <c r="X73" s="10"/>
      <c r="Y73" s="10"/>
      <c r="Z73" s="10"/>
      <c r="AA73" s="10"/>
    </row>
    <row r="74" spans="1:27" x14ac:dyDescent="0.25">
      <c r="E74" t="s">
        <v>131</v>
      </c>
      <c r="F74" t="s">
        <v>7</v>
      </c>
      <c r="G74" s="10"/>
      <c r="H74" s="10"/>
      <c r="I74" s="10"/>
      <c r="J74" s="10"/>
      <c r="K74" s="10"/>
      <c r="L74" s="10"/>
      <c r="M74" s="10"/>
      <c r="N74" s="10"/>
      <c r="O74" s="10"/>
      <c r="P74" s="10"/>
      <c r="Q74" s="10"/>
      <c r="R74" s="10"/>
      <c r="S74" s="10"/>
      <c r="T74" s="10"/>
      <c r="U74" s="10"/>
      <c r="V74" s="10"/>
      <c r="W74" s="10"/>
      <c r="X74" s="10"/>
      <c r="Y74" s="10"/>
      <c r="Z74" s="10"/>
      <c r="AA74" s="10"/>
    </row>
    <row r="75" spans="1:27" x14ac:dyDescent="0.25">
      <c r="G75" s="2">
        <f>SUM(G71:G74)</f>
        <v>0</v>
      </c>
      <c r="H75" s="2">
        <f t="shared" ref="H75:AA75" si="11">SUM(H71:H74)</f>
        <v>0</v>
      </c>
      <c r="I75" s="2">
        <f t="shared" si="11"/>
        <v>0</v>
      </c>
      <c r="J75" s="2">
        <f t="shared" si="11"/>
        <v>0</v>
      </c>
      <c r="K75" s="2">
        <f t="shared" si="11"/>
        <v>0</v>
      </c>
      <c r="L75" s="2">
        <f t="shared" si="11"/>
        <v>0</v>
      </c>
      <c r="M75" s="2">
        <f t="shared" si="11"/>
        <v>0</v>
      </c>
      <c r="N75" s="2">
        <f t="shared" si="11"/>
        <v>0</v>
      </c>
      <c r="O75" s="2">
        <f t="shared" si="11"/>
        <v>0</v>
      </c>
      <c r="P75" s="2">
        <f t="shared" si="11"/>
        <v>0</v>
      </c>
      <c r="Q75" s="2">
        <f t="shared" si="11"/>
        <v>0</v>
      </c>
      <c r="R75" s="2">
        <f t="shared" si="11"/>
        <v>0</v>
      </c>
      <c r="S75" s="2">
        <f t="shared" si="11"/>
        <v>0</v>
      </c>
      <c r="T75" s="2">
        <f t="shared" si="11"/>
        <v>0</v>
      </c>
      <c r="U75" s="2">
        <f t="shared" si="11"/>
        <v>0</v>
      </c>
      <c r="V75" s="2">
        <f t="shared" si="11"/>
        <v>0</v>
      </c>
      <c r="W75" s="2">
        <f t="shared" si="11"/>
        <v>0</v>
      </c>
      <c r="X75" s="2">
        <f t="shared" si="11"/>
        <v>0</v>
      </c>
      <c r="Y75" s="2">
        <f t="shared" si="11"/>
        <v>0</v>
      </c>
      <c r="Z75" s="2">
        <f t="shared" si="11"/>
        <v>0</v>
      </c>
      <c r="AA75" s="2">
        <f t="shared" si="11"/>
        <v>0</v>
      </c>
    </row>
    <row r="76" spans="1:27" x14ac:dyDescent="0.25">
      <c r="G76" s="2"/>
      <c r="H76" s="2"/>
      <c r="I76" s="2"/>
      <c r="J76" s="2"/>
      <c r="K76" s="2"/>
      <c r="L76" s="2"/>
      <c r="M76" s="2"/>
      <c r="N76" s="2"/>
      <c r="O76" s="2"/>
      <c r="P76" s="2"/>
      <c r="Q76" s="2"/>
      <c r="R76" s="2"/>
      <c r="S76" s="2"/>
      <c r="T76" s="2"/>
      <c r="U76" s="2"/>
      <c r="V76" s="2"/>
      <c r="W76" s="2"/>
      <c r="X76" s="2"/>
      <c r="Y76" s="2"/>
      <c r="Z76" s="2"/>
      <c r="AA76" s="2"/>
    </row>
    <row r="77" spans="1:27" x14ac:dyDescent="0.25">
      <c r="D77" t="s">
        <v>136</v>
      </c>
      <c r="G77" s="2"/>
      <c r="H77" s="2"/>
      <c r="I77" s="2"/>
      <c r="J77" s="2"/>
      <c r="K77" s="2"/>
      <c r="L77" s="2"/>
      <c r="M77" s="2"/>
      <c r="N77" s="2"/>
      <c r="O77" s="2"/>
      <c r="P77" s="2"/>
      <c r="Q77" s="2"/>
    </row>
    <row r="78" spans="1:27" x14ac:dyDescent="0.25">
      <c r="E78" s="2" t="str">
        <f>E71</f>
        <v>Pipes</v>
      </c>
      <c r="F78" t="s">
        <v>7</v>
      </c>
      <c r="G78" s="2">
        <f t="shared" ref="G78:AA80" si="12">G71/$G7+IF((G$2-$G7+1)&gt;0,-INDEX($G71:$AA71,1,(G$2-$G7+1))/$G7,0)</f>
        <v>0</v>
      </c>
      <c r="H78" s="2">
        <f t="shared" si="12"/>
        <v>0</v>
      </c>
      <c r="I78" s="2">
        <f t="shared" si="12"/>
        <v>0</v>
      </c>
      <c r="J78" s="2">
        <f t="shared" si="12"/>
        <v>0</v>
      </c>
      <c r="K78" s="2">
        <f t="shared" si="12"/>
        <v>0</v>
      </c>
      <c r="L78" s="2">
        <f t="shared" si="12"/>
        <v>0</v>
      </c>
      <c r="M78" s="2">
        <f t="shared" si="12"/>
        <v>0</v>
      </c>
      <c r="N78" s="2">
        <f t="shared" si="12"/>
        <v>0</v>
      </c>
      <c r="O78" s="2">
        <f t="shared" si="12"/>
        <v>0</v>
      </c>
      <c r="P78" s="2">
        <f t="shared" si="12"/>
        <v>0</v>
      </c>
      <c r="Q78" s="2">
        <f t="shared" si="12"/>
        <v>0</v>
      </c>
      <c r="R78" s="2">
        <f t="shared" si="12"/>
        <v>0</v>
      </c>
      <c r="S78" s="2">
        <f t="shared" si="12"/>
        <v>0</v>
      </c>
      <c r="T78" s="2">
        <f t="shared" si="12"/>
        <v>0</v>
      </c>
      <c r="U78" s="2">
        <f t="shared" si="12"/>
        <v>0</v>
      </c>
      <c r="V78" s="2">
        <f t="shared" si="12"/>
        <v>0</v>
      </c>
      <c r="W78" s="2">
        <f t="shared" si="12"/>
        <v>0</v>
      </c>
      <c r="X78" s="2">
        <f t="shared" si="12"/>
        <v>0</v>
      </c>
      <c r="Y78" s="2">
        <f t="shared" si="12"/>
        <v>0</v>
      </c>
      <c r="Z78" s="2">
        <f t="shared" si="12"/>
        <v>0</v>
      </c>
      <c r="AA78" s="2">
        <f t="shared" si="12"/>
        <v>0</v>
      </c>
    </row>
    <row r="79" spans="1:27" x14ac:dyDescent="0.25">
      <c r="E79" s="2" t="str">
        <f t="shared" ref="E79:E80" si="13">E72</f>
        <v>Pumps</v>
      </c>
      <c r="F79" t="s">
        <v>7</v>
      </c>
      <c r="G79" s="2">
        <f t="shared" si="12"/>
        <v>0</v>
      </c>
      <c r="H79" s="2">
        <f t="shared" si="12"/>
        <v>0</v>
      </c>
      <c r="I79" s="2">
        <f t="shared" si="12"/>
        <v>0</v>
      </c>
      <c r="J79" s="2">
        <f t="shared" si="12"/>
        <v>0</v>
      </c>
      <c r="K79" s="2">
        <f t="shared" si="12"/>
        <v>0</v>
      </c>
      <c r="L79" s="2">
        <f t="shared" si="12"/>
        <v>0</v>
      </c>
      <c r="M79" s="2">
        <f t="shared" si="12"/>
        <v>0</v>
      </c>
      <c r="N79" s="2">
        <f t="shared" si="12"/>
        <v>0</v>
      </c>
      <c r="O79" s="2">
        <f t="shared" si="12"/>
        <v>0</v>
      </c>
      <c r="P79" s="2">
        <f t="shared" si="12"/>
        <v>0</v>
      </c>
      <c r="Q79" s="2">
        <f t="shared" si="12"/>
        <v>0</v>
      </c>
      <c r="R79" s="2">
        <f t="shared" si="12"/>
        <v>0</v>
      </c>
      <c r="S79" s="2">
        <f t="shared" si="12"/>
        <v>0</v>
      </c>
      <c r="T79" s="2">
        <f t="shared" si="12"/>
        <v>0</v>
      </c>
      <c r="U79" s="2">
        <f t="shared" si="12"/>
        <v>0</v>
      </c>
      <c r="V79" s="2">
        <f t="shared" si="12"/>
        <v>0</v>
      </c>
      <c r="W79" s="2">
        <f t="shared" si="12"/>
        <v>0</v>
      </c>
      <c r="X79" s="2">
        <f t="shared" si="12"/>
        <v>0</v>
      </c>
      <c r="Y79" s="2">
        <f t="shared" si="12"/>
        <v>0</v>
      </c>
      <c r="Z79" s="2">
        <f t="shared" si="12"/>
        <v>0</v>
      </c>
      <c r="AA79" s="2">
        <f t="shared" si="12"/>
        <v>0</v>
      </c>
    </row>
    <row r="80" spans="1:27" x14ac:dyDescent="0.25">
      <c r="E80" s="2" t="str">
        <f t="shared" si="13"/>
        <v>Valves and Meters</v>
      </c>
      <c r="F80" t="s">
        <v>7</v>
      </c>
      <c r="G80" s="2">
        <f t="shared" si="12"/>
        <v>0</v>
      </c>
      <c r="H80" s="2">
        <f t="shared" si="12"/>
        <v>0</v>
      </c>
      <c r="I80" s="2">
        <f t="shared" si="12"/>
        <v>0</v>
      </c>
      <c r="J80" s="2">
        <f t="shared" si="12"/>
        <v>0</v>
      </c>
      <c r="K80" s="2">
        <f t="shared" si="12"/>
        <v>0</v>
      </c>
      <c r="L80" s="2">
        <f t="shared" si="12"/>
        <v>0</v>
      </c>
      <c r="M80" s="2">
        <f t="shared" si="12"/>
        <v>0</v>
      </c>
      <c r="N80" s="2">
        <f t="shared" si="12"/>
        <v>0</v>
      </c>
      <c r="O80" s="2">
        <f t="shared" si="12"/>
        <v>0</v>
      </c>
      <c r="P80" s="2">
        <f t="shared" si="12"/>
        <v>0</v>
      </c>
      <c r="Q80" s="2">
        <f t="shared" si="12"/>
        <v>0</v>
      </c>
      <c r="R80" s="2">
        <f t="shared" si="12"/>
        <v>0</v>
      </c>
      <c r="S80" s="2">
        <f t="shared" si="12"/>
        <v>0</v>
      </c>
      <c r="T80" s="2">
        <f t="shared" si="12"/>
        <v>0</v>
      </c>
      <c r="U80" s="2">
        <f t="shared" si="12"/>
        <v>0</v>
      </c>
      <c r="V80" s="2">
        <f t="shared" si="12"/>
        <v>0</v>
      </c>
      <c r="W80" s="2">
        <f t="shared" si="12"/>
        <v>0</v>
      </c>
      <c r="X80" s="2">
        <f t="shared" si="12"/>
        <v>0</v>
      </c>
      <c r="Y80" s="2">
        <f t="shared" si="12"/>
        <v>0</v>
      </c>
      <c r="Z80" s="2">
        <f t="shared" si="12"/>
        <v>0</v>
      </c>
      <c r="AA80" s="2">
        <f t="shared" si="12"/>
        <v>0</v>
      </c>
    </row>
    <row r="82" spans="1:27" x14ac:dyDescent="0.25">
      <c r="D82" t="s">
        <v>137</v>
      </c>
      <c r="F82" t="s">
        <v>7</v>
      </c>
      <c r="G82" s="2">
        <f>SUM($G$77:G80)</f>
        <v>0</v>
      </c>
      <c r="H82" s="2">
        <f>SUM($G$77:H80)</f>
        <v>0</v>
      </c>
      <c r="I82" s="2">
        <f>SUM($G$77:I80)</f>
        <v>0</v>
      </c>
      <c r="J82" s="2">
        <f>SUM($G$77:J80)</f>
        <v>0</v>
      </c>
      <c r="K82" s="2">
        <f>SUM($G$77:K80)</f>
        <v>0</v>
      </c>
      <c r="L82" s="2">
        <f>SUM($G$77:L80)</f>
        <v>0</v>
      </c>
      <c r="M82" s="2">
        <f>SUM($G$77:M80)</f>
        <v>0</v>
      </c>
      <c r="N82" s="2">
        <f>SUM($G$77:N80)</f>
        <v>0</v>
      </c>
      <c r="O82" s="2">
        <f>SUM($G$77:O80)</f>
        <v>0</v>
      </c>
      <c r="P82" s="2">
        <f>SUM($G$77:P80)</f>
        <v>0</v>
      </c>
      <c r="Q82" s="2">
        <f>SUM($G$77:Q80)</f>
        <v>0</v>
      </c>
      <c r="R82" s="2">
        <f>SUM($G$77:R80)</f>
        <v>0</v>
      </c>
      <c r="S82" s="2">
        <f>SUM($G$77:S80)</f>
        <v>0</v>
      </c>
      <c r="T82" s="2">
        <f>SUM($G$77:T80)</f>
        <v>0</v>
      </c>
      <c r="U82" s="2">
        <f>SUM($G$77:U80)</f>
        <v>0</v>
      </c>
      <c r="V82" s="2">
        <f>SUM($G$77:V80)</f>
        <v>0</v>
      </c>
      <c r="W82" s="2">
        <f>SUM($G$77:W80)</f>
        <v>0</v>
      </c>
      <c r="X82" s="2">
        <f>SUM($G$77:X80)</f>
        <v>0</v>
      </c>
      <c r="Y82" s="2">
        <f>SUM($G$77:Y80)</f>
        <v>0</v>
      </c>
      <c r="Z82" s="2">
        <f>SUM($G$77:Z80)</f>
        <v>0</v>
      </c>
      <c r="AA82" s="2">
        <f>SUM($G$77:AA80)</f>
        <v>0</v>
      </c>
    </row>
    <row r="83" spans="1:27" x14ac:dyDescent="0.25">
      <c r="G83" s="2"/>
      <c r="H83" s="2"/>
      <c r="I83" s="2"/>
      <c r="J83" s="2"/>
      <c r="K83" s="2"/>
      <c r="L83" s="2"/>
      <c r="M83" s="2"/>
      <c r="N83" s="2"/>
      <c r="O83" s="2"/>
      <c r="P83" s="2"/>
      <c r="Q83" s="2"/>
      <c r="R83" s="2"/>
      <c r="S83" s="2"/>
      <c r="T83" s="2"/>
      <c r="U83" s="2"/>
      <c r="V83" s="2"/>
      <c r="W83" s="2"/>
      <c r="X83" s="2"/>
      <c r="Y83" s="2"/>
      <c r="Z83" s="2"/>
      <c r="AA83" s="2"/>
    </row>
    <row r="84" spans="1:27" x14ac:dyDescent="0.25">
      <c r="D84" t="s">
        <v>138</v>
      </c>
      <c r="F84" t="s">
        <v>7</v>
      </c>
      <c r="G84" s="2">
        <f t="shared" ref="G84:AA84" si="14">G61-G75</f>
        <v>0</v>
      </c>
      <c r="H84" s="2">
        <f t="shared" si="14"/>
        <v>0</v>
      </c>
      <c r="I84" s="2">
        <f t="shared" si="14"/>
        <v>0</v>
      </c>
      <c r="J84" s="2">
        <f t="shared" si="14"/>
        <v>0</v>
      </c>
      <c r="K84" s="2">
        <f t="shared" si="14"/>
        <v>0</v>
      </c>
      <c r="L84" s="2">
        <f t="shared" si="14"/>
        <v>0</v>
      </c>
      <c r="M84" s="2">
        <f t="shared" si="14"/>
        <v>0</v>
      </c>
      <c r="N84" s="2">
        <f t="shared" si="14"/>
        <v>0</v>
      </c>
      <c r="O84" s="2">
        <f t="shared" si="14"/>
        <v>0</v>
      </c>
      <c r="P84" s="2">
        <f t="shared" si="14"/>
        <v>0</v>
      </c>
      <c r="Q84" s="2">
        <f t="shared" si="14"/>
        <v>0</v>
      </c>
      <c r="R84" s="2">
        <f t="shared" si="14"/>
        <v>0</v>
      </c>
      <c r="S84" s="2">
        <f t="shared" si="14"/>
        <v>0</v>
      </c>
      <c r="T84" s="2">
        <f t="shared" si="14"/>
        <v>0</v>
      </c>
      <c r="U84" s="2">
        <f t="shared" si="14"/>
        <v>0</v>
      </c>
      <c r="V84" s="2">
        <f t="shared" si="14"/>
        <v>0</v>
      </c>
      <c r="W84" s="2">
        <f t="shared" si="14"/>
        <v>0</v>
      </c>
      <c r="X84" s="2">
        <f t="shared" si="14"/>
        <v>0</v>
      </c>
      <c r="Y84" s="2">
        <f t="shared" si="14"/>
        <v>0</v>
      </c>
      <c r="Z84" s="2">
        <f t="shared" si="14"/>
        <v>0</v>
      </c>
      <c r="AA84" s="2">
        <f t="shared" si="14"/>
        <v>0</v>
      </c>
    </row>
    <row r="85" spans="1:27" x14ac:dyDescent="0.25">
      <c r="D85" t="s">
        <v>139</v>
      </c>
      <c r="F85" t="s">
        <v>7</v>
      </c>
      <c r="G85" s="2">
        <f t="shared" ref="G85:AA85" si="15">-G68+G82</f>
        <v>0</v>
      </c>
      <c r="H85" s="2">
        <f t="shared" si="15"/>
        <v>0</v>
      </c>
      <c r="I85" s="2">
        <f t="shared" si="15"/>
        <v>0</v>
      </c>
      <c r="J85" s="2">
        <f t="shared" si="15"/>
        <v>0</v>
      </c>
      <c r="K85" s="2">
        <f t="shared" si="15"/>
        <v>0</v>
      </c>
      <c r="L85" s="2">
        <f t="shared" si="15"/>
        <v>0</v>
      </c>
      <c r="M85" s="2">
        <f t="shared" si="15"/>
        <v>0</v>
      </c>
      <c r="N85" s="2">
        <f t="shared" si="15"/>
        <v>0</v>
      </c>
      <c r="O85" s="2">
        <f t="shared" si="15"/>
        <v>0</v>
      </c>
      <c r="P85" s="2">
        <f t="shared" si="15"/>
        <v>0</v>
      </c>
      <c r="Q85" s="2">
        <f t="shared" si="15"/>
        <v>0</v>
      </c>
      <c r="R85" s="2">
        <f t="shared" si="15"/>
        <v>0</v>
      </c>
      <c r="S85" s="2">
        <f t="shared" si="15"/>
        <v>0</v>
      </c>
      <c r="T85" s="2">
        <f t="shared" si="15"/>
        <v>0</v>
      </c>
      <c r="U85" s="2">
        <f t="shared" si="15"/>
        <v>0</v>
      </c>
      <c r="V85" s="2">
        <f t="shared" si="15"/>
        <v>0</v>
      </c>
      <c r="W85" s="2">
        <f t="shared" si="15"/>
        <v>0</v>
      </c>
      <c r="X85" s="2">
        <f t="shared" si="15"/>
        <v>0</v>
      </c>
      <c r="Y85" s="2">
        <f t="shared" si="15"/>
        <v>0</v>
      </c>
      <c r="Z85" s="2">
        <f t="shared" si="15"/>
        <v>0</v>
      </c>
      <c r="AA85" s="2">
        <f t="shared" si="15"/>
        <v>0</v>
      </c>
    </row>
    <row r="87" spans="1:27" x14ac:dyDescent="0.25">
      <c r="C87" s="1" t="str">
        <f>"Incremental "&amp;G4&amp;" Service Revenue"</f>
        <v>Incremental Wastewater Service Revenue</v>
      </c>
      <c r="D87" s="1"/>
    </row>
    <row r="88" spans="1:27" x14ac:dyDescent="0.25">
      <c r="C88" s="1"/>
      <c r="D88" s="1"/>
    </row>
    <row r="89" spans="1:27" x14ac:dyDescent="0.25">
      <c r="C89" s="1"/>
      <c r="D89" t="s">
        <v>59</v>
      </c>
      <c r="F89" t="s">
        <v>327</v>
      </c>
    </row>
    <row r="90" spans="1:27" x14ac:dyDescent="0.25">
      <c r="A90" s="14">
        <f>'Notes &amp; Assumptions'!A28</f>
        <v>15</v>
      </c>
      <c r="C90" s="1"/>
      <c r="D90" s="1"/>
      <c r="E90" t="s">
        <v>87</v>
      </c>
      <c r="F90" t="s">
        <v>3</v>
      </c>
      <c r="H90" s="10">
        <f>'Customer numbers'!P12</f>
        <v>9465</v>
      </c>
      <c r="I90" s="10">
        <f>'Customer numbers'!Q12</f>
        <v>8946</v>
      </c>
      <c r="J90" s="10">
        <f>'Customer numbers'!R12</f>
        <v>8582.6999999999989</v>
      </c>
      <c r="K90" s="10">
        <f>'Customer numbers'!S12</f>
        <v>7824.5999999999985</v>
      </c>
      <c r="L90" s="10">
        <f>'Customer numbers'!T12</f>
        <v>7079.9999999999982</v>
      </c>
      <c r="M90" s="10">
        <f>'Customer numbers'!U12</f>
        <v>6379.9999999999982</v>
      </c>
      <c r="N90" s="10">
        <f>'Customer numbers'!V12</f>
        <v>5711.9999999999973</v>
      </c>
      <c r="O90" s="10">
        <f>'Customer numbers'!W12</f>
        <v>5080.699999999998</v>
      </c>
      <c r="P90" s="10">
        <f>'Customer numbers'!X12</f>
        <v>4901.9999999999982</v>
      </c>
      <c r="Q90" s="10">
        <f>'Customer numbers'!Y12</f>
        <v>4695.5999999999985</v>
      </c>
      <c r="R90" s="10">
        <f>'Customer numbers'!Z12</f>
        <v>4952.9999999999982</v>
      </c>
      <c r="S90" s="10">
        <f>'Customer numbers'!AA12</f>
        <v>5237.699999999998</v>
      </c>
      <c r="T90" s="10">
        <f>'Customer numbers'!AB12</f>
        <v>5537.9999999999982</v>
      </c>
      <c r="U90" s="10">
        <f>'Customer numbers'!AC12</f>
        <v>5514.5999999999976</v>
      </c>
      <c r="V90" s="10">
        <f>'Customer numbers'!AD12</f>
        <v>5487.2999999999975</v>
      </c>
    </row>
    <row r="91" spans="1:27" x14ac:dyDescent="0.25">
      <c r="C91" s="1"/>
      <c r="D91" s="1"/>
      <c r="E91" t="s">
        <v>60</v>
      </c>
      <c r="F91" t="s">
        <v>3</v>
      </c>
      <c r="G91">
        <f>IF('Key assumptions'!B4="yes",SUM('Customer numbers'!F13:O13),0)</f>
        <v>0</v>
      </c>
      <c r="H91" s="2">
        <f>G91+H90</f>
        <v>9465</v>
      </c>
      <c r="I91" s="2">
        <f t="shared" ref="I91:AA91" si="16">H91+I90</f>
        <v>18411</v>
      </c>
      <c r="J91" s="2">
        <f t="shared" si="16"/>
        <v>26993.699999999997</v>
      </c>
      <c r="K91" s="2">
        <f t="shared" si="16"/>
        <v>34818.299999999996</v>
      </c>
      <c r="L91" s="2">
        <f t="shared" si="16"/>
        <v>41898.299999999996</v>
      </c>
      <c r="M91" s="2">
        <f t="shared" si="16"/>
        <v>48278.299999999996</v>
      </c>
      <c r="N91" s="2">
        <f t="shared" si="16"/>
        <v>53990.299999999996</v>
      </c>
      <c r="O91" s="2">
        <f t="shared" si="16"/>
        <v>59070.999999999993</v>
      </c>
      <c r="P91" s="2">
        <f t="shared" si="16"/>
        <v>63972.999999999993</v>
      </c>
      <c r="Q91" s="2">
        <f t="shared" si="16"/>
        <v>68668.599999999991</v>
      </c>
      <c r="R91" s="2">
        <f t="shared" si="16"/>
        <v>73621.599999999991</v>
      </c>
      <c r="S91" s="2">
        <f t="shared" si="16"/>
        <v>78859.299999999988</v>
      </c>
      <c r="T91" s="2">
        <f t="shared" si="16"/>
        <v>84397.299999999988</v>
      </c>
      <c r="U91" s="2">
        <f t="shared" si="16"/>
        <v>89911.89999999998</v>
      </c>
      <c r="V91" s="2">
        <f t="shared" si="16"/>
        <v>95399.199999999983</v>
      </c>
      <c r="W91" s="2">
        <f t="shared" si="16"/>
        <v>95399.199999999983</v>
      </c>
      <c r="X91" s="2">
        <f t="shared" si="16"/>
        <v>95399.199999999983</v>
      </c>
      <c r="Y91" s="2">
        <f t="shared" si="16"/>
        <v>95399.199999999983</v>
      </c>
      <c r="Z91" s="2">
        <f t="shared" si="16"/>
        <v>95399.199999999983</v>
      </c>
      <c r="AA91" s="2">
        <f t="shared" si="16"/>
        <v>95399.199999999983</v>
      </c>
    </row>
    <row r="92" spans="1:27" x14ac:dyDescent="0.25">
      <c r="A92" s="14">
        <f>'Notes &amp; Assumptions'!A29</f>
        <v>16</v>
      </c>
      <c r="C92" s="1"/>
      <c r="D92" s="1"/>
      <c r="E92" t="s">
        <v>61</v>
      </c>
      <c r="F92" t="s">
        <v>3</v>
      </c>
      <c r="G92" s="10">
        <v>1</v>
      </c>
    </row>
    <row r="93" spans="1:27" x14ac:dyDescent="0.25">
      <c r="C93" s="1"/>
      <c r="D93" s="1"/>
      <c r="E93" t="s">
        <v>88</v>
      </c>
      <c r="F93" t="s">
        <v>3</v>
      </c>
      <c r="H93">
        <f>H90*$G92</f>
        <v>9465</v>
      </c>
      <c r="I93">
        <f t="shared" ref="I93:AA93" si="17">I90*$G92</f>
        <v>8946</v>
      </c>
      <c r="J93">
        <f t="shared" si="17"/>
        <v>8582.6999999999989</v>
      </c>
      <c r="K93">
        <f t="shared" si="17"/>
        <v>7824.5999999999985</v>
      </c>
      <c r="L93">
        <f t="shared" si="17"/>
        <v>7079.9999999999982</v>
      </c>
      <c r="M93">
        <f t="shared" si="17"/>
        <v>6379.9999999999982</v>
      </c>
      <c r="N93">
        <f t="shared" si="17"/>
        <v>5711.9999999999973</v>
      </c>
      <c r="O93">
        <f t="shared" si="17"/>
        <v>5080.699999999998</v>
      </c>
      <c r="P93">
        <f t="shared" si="17"/>
        <v>4901.9999999999982</v>
      </c>
      <c r="Q93">
        <f t="shared" si="17"/>
        <v>4695.5999999999985</v>
      </c>
      <c r="R93">
        <f t="shared" si="17"/>
        <v>4952.9999999999982</v>
      </c>
      <c r="S93">
        <f t="shared" si="17"/>
        <v>5237.699999999998</v>
      </c>
      <c r="T93">
        <f t="shared" si="17"/>
        <v>5537.9999999999982</v>
      </c>
      <c r="U93">
        <f t="shared" si="17"/>
        <v>5514.5999999999976</v>
      </c>
      <c r="V93">
        <f t="shared" si="17"/>
        <v>5487.2999999999975</v>
      </c>
      <c r="W93">
        <f t="shared" si="17"/>
        <v>0</v>
      </c>
      <c r="X93">
        <f t="shared" si="17"/>
        <v>0</v>
      </c>
      <c r="Y93">
        <f t="shared" si="17"/>
        <v>0</v>
      </c>
      <c r="Z93">
        <f t="shared" si="17"/>
        <v>0</v>
      </c>
      <c r="AA93">
        <f t="shared" si="17"/>
        <v>0</v>
      </c>
    </row>
    <row r="94" spans="1:27" x14ac:dyDescent="0.25">
      <c r="C94" s="1"/>
      <c r="D94" s="1"/>
      <c r="E94" t="s">
        <v>89</v>
      </c>
      <c r="F94" t="s">
        <v>3</v>
      </c>
      <c r="H94">
        <f>H91*$G92</f>
        <v>9465</v>
      </c>
      <c r="I94">
        <f t="shared" ref="I94:AA94" si="18">I91*$G92</f>
        <v>18411</v>
      </c>
      <c r="J94">
        <f t="shared" si="18"/>
        <v>26993.699999999997</v>
      </c>
      <c r="K94">
        <f t="shared" si="18"/>
        <v>34818.299999999996</v>
      </c>
      <c r="L94">
        <f t="shared" si="18"/>
        <v>41898.299999999996</v>
      </c>
      <c r="M94">
        <f t="shared" si="18"/>
        <v>48278.299999999996</v>
      </c>
      <c r="N94">
        <f t="shared" si="18"/>
        <v>53990.299999999996</v>
      </c>
      <c r="O94">
        <f t="shared" si="18"/>
        <v>59070.999999999993</v>
      </c>
      <c r="P94">
        <f t="shared" si="18"/>
        <v>63972.999999999993</v>
      </c>
      <c r="Q94">
        <f t="shared" si="18"/>
        <v>68668.599999999991</v>
      </c>
      <c r="R94">
        <f t="shared" si="18"/>
        <v>73621.599999999991</v>
      </c>
      <c r="S94">
        <f t="shared" si="18"/>
        <v>78859.299999999988</v>
      </c>
      <c r="T94">
        <f t="shared" si="18"/>
        <v>84397.299999999988</v>
      </c>
      <c r="U94">
        <f t="shared" si="18"/>
        <v>89911.89999999998</v>
      </c>
      <c r="V94">
        <f t="shared" si="18"/>
        <v>95399.199999999983</v>
      </c>
      <c r="W94">
        <f t="shared" si="18"/>
        <v>95399.199999999983</v>
      </c>
      <c r="X94">
        <f t="shared" si="18"/>
        <v>95399.199999999983</v>
      </c>
      <c r="Y94">
        <f t="shared" si="18"/>
        <v>95399.199999999983</v>
      </c>
      <c r="Z94">
        <f t="shared" si="18"/>
        <v>95399.199999999983</v>
      </c>
      <c r="AA94">
        <f t="shared" si="18"/>
        <v>95399.199999999983</v>
      </c>
    </row>
    <row r="95" spans="1:27" x14ac:dyDescent="0.25">
      <c r="A95" s="14">
        <f>'Notes &amp; Assumptions'!A30</f>
        <v>17</v>
      </c>
      <c r="C95" s="1"/>
      <c r="D95" s="1"/>
      <c r="E95" t="s">
        <v>62</v>
      </c>
      <c r="F95" t="s">
        <v>43</v>
      </c>
      <c r="H95" s="10">
        <f>'Key assumptions'!B23</f>
        <v>112.5</v>
      </c>
      <c r="I95" s="10">
        <f>H95</f>
        <v>112.5</v>
      </c>
      <c r="J95" s="10">
        <f t="shared" ref="J95:AA95" si="19">I95</f>
        <v>112.5</v>
      </c>
      <c r="K95" s="10">
        <f t="shared" si="19"/>
        <v>112.5</v>
      </c>
      <c r="L95" s="10">
        <f t="shared" si="19"/>
        <v>112.5</v>
      </c>
      <c r="M95" s="10">
        <f t="shared" si="19"/>
        <v>112.5</v>
      </c>
      <c r="N95" s="10">
        <f t="shared" si="19"/>
        <v>112.5</v>
      </c>
      <c r="O95" s="10">
        <f t="shared" si="19"/>
        <v>112.5</v>
      </c>
      <c r="P95" s="10">
        <f t="shared" si="19"/>
        <v>112.5</v>
      </c>
      <c r="Q95" s="10">
        <f t="shared" si="19"/>
        <v>112.5</v>
      </c>
      <c r="R95" s="10">
        <f t="shared" si="19"/>
        <v>112.5</v>
      </c>
      <c r="S95" s="10">
        <f t="shared" si="19"/>
        <v>112.5</v>
      </c>
      <c r="T95" s="10">
        <f t="shared" si="19"/>
        <v>112.5</v>
      </c>
      <c r="U95" s="10">
        <f t="shared" si="19"/>
        <v>112.5</v>
      </c>
      <c r="V95" s="10">
        <f t="shared" si="19"/>
        <v>112.5</v>
      </c>
      <c r="W95" s="10">
        <f t="shared" si="19"/>
        <v>112.5</v>
      </c>
      <c r="X95" s="10">
        <f t="shared" si="19"/>
        <v>112.5</v>
      </c>
      <c r="Y95" s="10">
        <f t="shared" si="19"/>
        <v>112.5</v>
      </c>
      <c r="Z95" s="10">
        <f t="shared" si="19"/>
        <v>112.5</v>
      </c>
      <c r="AA95" s="10">
        <f t="shared" si="19"/>
        <v>112.5</v>
      </c>
    </row>
    <row r="96" spans="1:27" x14ac:dyDescent="0.25">
      <c r="C96" s="1"/>
      <c r="D96" s="1"/>
      <c r="E96" t="s">
        <v>63</v>
      </c>
      <c r="F96" t="s">
        <v>43</v>
      </c>
      <c r="H96" s="10"/>
      <c r="I96" s="10"/>
      <c r="J96" s="10"/>
      <c r="K96" s="10"/>
      <c r="L96" s="10"/>
      <c r="M96" s="10"/>
      <c r="N96" s="10"/>
      <c r="O96" s="10"/>
      <c r="P96" s="10"/>
      <c r="Q96" s="10"/>
      <c r="R96" s="10"/>
      <c r="S96" s="10"/>
      <c r="T96" s="10"/>
      <c r="U96" s="10"/>
      <c r="V96" s="10"/>
      <c r="W96" s="10"/>
      <c r="X96" s="10"/>
      <c r="Y96" s="10"/>
      <c r="Z96" s="10"/>
      <c r="AA96" s="10"/>
    </row>
    <row r="97" spans="1:27" x14ac:dyDescent="0.25">
      <c r="C97" s="1"/>
      <c r="D97" s="1"/>
      <c r="E97" t="s">
        <v>140</v>
      </c>
      <c r="F97" t="s">
        <v>43</v>
      </c>
      <c r="H97" s="10"/>
      <c r="I97" s="10"/>
      <c r="J97" s="10"/>
      <c r="K97" s="10"/>
      <c r="L97" s="10"/>
      <c r="M97" s="10"/>
      <c r="N97" s="10"/>
      <c r="O97" s="10"/>
      <c r="P97" s="10"/>
      <c r="Q97" s="10"/>
      <c r="R97" s="10"/>
      <c r="S97" s="10"/>
      <c r="T97" s="10"/>
      <c r="U97" s="10"/>
      <c r="V97" s="10"/>
      <c r="W97" s="10"/>
      <c r="X97" s="10"/>
      <c r="Y97" s="10"/>
      <c r="Z97" s="10"/>
      <c r="AA97" s="10"/>
    </row>
    <row r="98" spans="1:27" x14ac:dyDescent="0.25">
      <c r="C98" s="1"/>
      <c r="D98" s="1"/>
      <c r="E98" t="s">
        <v>64</v>
      </c>
      <c r="F98" t="s">
        <v>144</v>
      </c>
      <c r="H98" s="2">
        <f>H91*H95</f>
        <v>1064812.5</v>
      </c>
      <c r="I98" s="2">
        <f t="shared" ref="I98:AA98" si="20">I91*I95</f>
        <v>2071237.5</v>
      </c>
      <c r="J98" s="2">
        <f t="shared" si="20"/>
        <v>3036791.2499999995</v>
      </c>
      <c r="K98" s="2">
        <f t="shared" si="20"/>
        <v>3917058.7499999995</v>
      </c>
      <c r="L98" s="2">
        <f t="shared" si="20"/>
        <v>4713558.7499999991</v>
      </c>
      <c r="M98" s="2">
        <f t="shared" si="20"/>
        <v>5431308.7499999991</v>
      </c>
      <c r="N98" s="2">
        <f t="shared" si="20"/>
        <v>6073908.7499999991</v>
      </c>
      <c r="O98" s="2">
        <f t="shared" si="20"/>
        <v>6645487.4999999991</v>
      </c>
      <c r="P98" s="2">
        <f t="shared" si="20"/>
        <v>7196962.4999999991</v>
      </c>
      <c r="Q98" s="2">
        <f t="shared" si="20"/>
        <v>7725217.4999999991</v>
      </c>
      <c r="R98" s="2">
        <f t="shared" si="20"/>
        <v>8282429.9999999991</v>
      </c>
      <c r="S98" s="2">
        <f t="shared" si="20"/>
        <v>8871671.2499999981</v>
      </c>
      <c r="T98" s="2">
        <f t="shared" si="20"/>
        <v>9494696.2499999981</v>
      </c>
      <c r="U98" s="2">
        <f t="shared" si="20"/>
        <v>10115088.749999998</v>
      </c>
      <c r="V98" s="2">
        <f t="shared" si="20"/>
        <v>10732409.999999998</v>
      </c>
      <c r="W98" s="2">
        <f t="shared" si="20"/>
        <v>10732409.999999998</v>
      </c>
      <c r="X98" s="2">
        <f t="shared" si="20"/>
        <v>10732409.999999998</v>
      </c>
      <c r="Y98" s="2">
        <f t="shared" si="20"/>
        <v>10732409.999999998</v>
      </c>
      <c r="Z98" s="2">
        <f t="shared" si="20"/>
        <v>10732409.999999998</v>
      </c>
      <c r="AA98" s="2">
        <f t="shared" si="20"/>
        <v>10732409.999999998</v>
      </c>
    </row>
    <row r="99" spans="1:27" x14ac:dyDescent="0.25">
      <c r="C99" s="1"/>
      <c r="D99" s="1"/>
      <c r="E99" t="s">
        <v>65</v>
      </c>
      <c r="F99" t="s">
        <v>144</v>
      </c>
      <c r="H99" s="2">
        <f>H91*H96</f>
        <v>0</v>
      </c>
      <c r="I99" s="2">
        <f t="shared" ref="I99:AA99" si="21">I91*I96</f>
        <v>0</v>
      </c>
      <c r="J99" s="2">
        <f t="shared" si="21"/>
        <v>0</v>
      </c>
      <c r="K99" s="2">
        <f t="shared" si="21"/>
        <v>0</v>
      </c>
      <c r="L99" s="2">
        <f t="shared" si="21"/>
        <v>0</v>
      </c>
      <c r="M99" s="2">
        <f t="shared" si="21"/>
        <v>0</v>
      </c>
      <c r="N99" s="2">
        <f t="shared" si="21"/>
        <v>0</v>
      </c>
      <c r="O99" s="2">
        <f t="shared" si="21"/>
        <v>0</v>
      </c>
      <c r="P99" s="2">
        <f t="shared" si="21"/>
        <v>0</v>
      </c>
      <c r="Q99" s="2">
        <f t="shared" si="21"/>
        <v>0</v>
      </c>
      <c r="R99" s="2">
        <f t="shared" si="21"/>
        <v>0</v>
      </c>
      <c r="S99" s="2">
        <f t="shared" si="21"/>
        <v>0</v>
      </c>
      <c r="T99" s="2">
        <f t="shared" si="21"/>
        <v>0</v>
      </c>
      <c r="U99" s="2">
        <f t="shared" si="21"/>
        <v>0</v>
      </c>
      <c r="V99" s="2">
        <f t="shared" si="21"/>
        <v>0</v>
      </c>
      <c r="W99" s="2">
        <f t="shared" si="21"/>
        <v>0</v>
      </c>
      <c r="X99" s="2">
        <f t="shared" si="21"/>
        <v>0</v>
      </c>
      <c r="Y99" s="2">
        <f t="shared" si="21"/>
        <v>0</v>
      </c>
      <c r="Z99" s="2">
        <f t="shared" si="21"/>
        <v>0</v>
      </c>
      <c r="AA99" s="2">
        <f t="shared" si="21"/>
        <v>0</v>
      </c>
    </row>
    <row r="100" spans="1:27" x14ac:dyDescent="0.25">
      <c r="C100" s="1"/>
      <c r="D100" s="1"/>
      <c r="E100" t="s">
        <v>141</v>
      </c>
      <c r="F100" t="s">
        <v>144</v>
      </c>
      <c r="H100" s="2">
        <f>H91*H97</f>
        <v>0</v>
      </c>
      <c r="I100" s="2">
        <f t="shared" ref="I100:AA100" si="22">I91*I97</f>
        <v>0</v>
      </c>
      <c r="J100" s="2">
        <f t="shared" si="22"/>
        <v>0</v>
      </c>
      <c r="K100" s="2">
        <f t="shared" si="22"/>
        <v>0</v>
      </c>
      <c r="L100" s="2">
        <f t="shared" si="22"/>
        <v>0</v>
      </c>
      <c r="M100" s="2">
        <f t="shared" si="22"/>
        <v>0</v>
      </c>
      <c r="N100" s="2">
        <f t="shared" si="22"/>
        <v>0</v>
      </c>
      <c r="O100" s="2">
        <f t="shared" si="22"/>
        <v>0</v>
      </c>
      <c r="P100" s="2">
        <f t="shared" si="22"/>
        <v>0</v>
      </c>
      <c r="Q100" s="2">
        <f t="shared" si="22"/>
        <v>0</v>
      </c>
      <c r="R100" s="2">
        <f t="shared" si="22"/>
        <v>0</v>
      </c>
      <c r="S100" s="2">
        <f t="shared" si="22"/>
        <v>0</v>
      </c>
      <c r="T100" s="2">
        <f t="shared" si="22"/>
        <v>0</v>
      </c>
      <c r="U100" s="2">
        <f t="shared" si="22"/>
        <v>0</v>
      </c>
      <c r="V100" s="2">
        <f t="shared" si="22"/>
        <v>0</v>
      </c>
      <c r="W100" s="2">
        <f t="shared" si="22"/>
        <v>0</v>
      </c>
      <c r="X100" s="2">
        <f t="shared" si="22"/>
        <v>0</v>
      </c>
      <c r="Y100" s="2">
        <f t="shared" si="22"/>
        <v>0</v>
      </c>
      <c r="Z100" s="2">
        <f t="shared" si="22"/>
        <v>0</v>
      </c>
      <c r="AA100" s="2">
        <f t="shared" si="22"/>
        <v>0</v>
      </c>
    </row>
    <row r="101" spans="1:27" x14ac:dyDescent="0.25">
      <c r="A101" s="14">
        <f>'Notes &amp; Assumptions'!A31</f>
        <v>18</v>
      </c>
      <c r="C101" s="1"/>
      <c r="D101" s="1"/>
      <c r="E101" t="s">
        <v>66</v>
      </c>
      <c r="F101" t="s">
        <v>8</v>
      </c>
      <c r="H101" s="11">
        <f>'YVW tariffs'!D29</f>
        <v>-4.24E-2</v>
      </c>
      <c r="I101" s="11">
        <f>'YVW tariffs'!E29</f>
        <v>-2.7400000000000001E-2</v>
      </c>
      <c r="J101" s="11">
        <v>0</v>
      </c>
      <c r="K101" s="11">
        <v>0</v>
      </c>
      <c r="L101" s="11">
        <v>0</v>
      </c>
      <c r="M101" s="11">
        <v>0</v>
      </c>
      <c r="N101" s="11">
        <v>0</v>
      </c>
      <c r="O101" s="11">
        <v>0</v>
      </c>
      <c r="P101" s="11">
        <v>0</v>
      </c>
      <c r="Q101" s="11">
        <v>0</v>
      </c>
      <c r="R101" s="11">
        <v>0</v>
      </c>
      <c r="S101" s="11">
        <v>0</v>
      </c>
      <c r="T101" s="11">
        <v>0</v>
      </c>
      <c r="U101" s="11">
        <v>0</v>
      </c>
      <c r="V101" s="11">
        <v>0</v>
      </c>
      <c r="W101" s="11">
        <v>0</v>
      </c>
      <c r="X101" s="11">
        <v>0</v>
      </c>
      <c r="Y101" s="11">
        <v>0</v>
      </c>
      <c r="Z101" s="11">
        <v>0</v>
      </c>
      <c r="AA101" s="11">
        <v>0</v>
      </c>
    </row>
    <row r="102" spans="1:27" x14ac:dyDescent="0.25">
      <c r="A102" s="14">
        <f>'Notes &amp; Assumptions'!A32</f>
        <v>19</v>
      </c>
      <c r="C102" s="1"/>
      <c r="D102" s="1"/>
      <c r="E102" t="s">
        <v>40</v>
      </c>
      <c r="F102" t="s">
        <v>41</v>
      </c>
      <c r="G102" s="20">
        <f>'YVW tariffs'!E14</f>
        <v>467.88345999999996</v>
      </c>
      <c r="H102" s="2">
        <f>G102*(1+$G$14)*(1+H101)</f>
        <v>457.45415052321596</v>
      </c>
      <c r="I102" s="2">
        <f t="shared" ref="I102:AA102" si="23">H102*(1+$G$14)*(1+I101)</f>
        <v>454.26322484165627</v>
      </c>
      <c r="J102" s="2">
        <f t="shared" si="23"/>
        <v>463.80275256333101</v>
      </c>
      <c r="K102" s="2">
        <f t="shared" si="23"/>
        <v>473.54261036716093</v>
      </c>
      <c r="L102" s="2">
        <f t="shared" si="23"/>
        <v>483.48700518487129</v>
      </c>
      <c r="M102" s="2">
        <f t="shared" si="23"/>
        <v>493.64023229375357</v>
      </c>
      <c r="N102" s="2">
        <f t="shared" si="23"/>
        <v>504.00667717192238</v>
      </c>
      <c r="O102" s="2">
        <f t="shared" si="23"/>
        <v>514.5908173925327</v>
      </c>
      <c r="P102" s="2">
        <f t="shared" si="23"/>
        <v>525.39722455777587</v>
      </c>
      <c r="Q102" s="2">
        <f t="shared" si="23"/>
        <v>536.43056627348915</v>
      </c>
      <c r="R102" s="2">
        <f t="shared" si="23"/>
        <v>547.69560816523233</v>
      </c>
      <c r="S102" s="2">
        <f t="shared" si="23"/>
        <v>559.19721593670215</v>
      </c>
      <c r="T102" s="2">
        <f t="shared" si="23"/>
        <v>570.94035747137286</v>
      </c>
      <c r="U102" s="2">
        <f t="shared" si="23"/>
        <v>582.93010497827163</v>
      </c>
      <c r="V102" s="2">
        <f t="shared" si="23"/>
        <v>595.17163718281529</v>
      </c>
      <c r="W102" s="2">
        <f t="shared" si="23"/>
        <v>607.67024156365437</v>
      </c>
      <c r="X102" s="2">
        <f t="shared" si="23"/>
        <v>620.43131663649103</v>
      </c>
      <c r="Y102" s="2">
        <f t="shared" si="23"/>
        <v>633.46037428585726</v>
      </c>
      <c r="Z102" s="2">
        <f t="shared" si="23"/>
        <v>646.76304214586025</v>
      </c>
      <c r="AA102" s="2">
        <f t="shared" si="23"/>
        <v>660.34506603092325</v>
      </c>
    </row>
    <row r="103" spans="1:27" x14ac:dyDescent="0.25">
      <c r="C103" s="1"/>
      <c r="D103" s="1"/>
      <c r="E103" t="s">
        <v>67</v>
      </c>
      <c r="F103" t="s">
        <v>143</v>
      </c>
      <c r="G103" s="20">
        <f>'YVW tariffs'!E15</f>
        <v>1.1665946</v>
      </c>
      <c r="H103" s="21">
        <f>G103*(1+'YVW tariffs'!D30)*(1+H101)</f>
        <v>0</v>
      </c>
      <c r="I103" s="21">
        <f t="shared" ref="I103:AA103" si="24">H103*(1+$G$14)*(1+I101)</f>
        <v>0</v>
      </c>
      <c r="J103" s="21">
        <f t="shared" si="24"/>
        <v>0</v>
      </c>
      <c r="K103" s="21">
        <f t="shared" si="24"/>
        <v>0</v>
      </c>
      <c r="L103" s="21">
        <f t="shared" si="24"/>
        <v>0</v>
      </c>
      <c r="M103" s="21">
        <f t="shared" si="24"/>
        <v>0</v>
      </c>
      <c r="N103" s="21">
        <f t="shared" si="24"/>
        <v>0</v>
      </c>
      <c r="O103" s="21">
        <f t="shared" si="24"/>
        <v>0</v>
      </c>
      <c r="P103" s="21">
        <f t="shared" si="24"/>
        <v>0</v>
      </c>
      <c r="Q103" s="21">
        <f t="shared" si="24"/>
        <v>0</v>
      </c>
      <c r="R103" s="21">
        <f t="shared" si="24"/>
        <v>0</v>
      </c>
      <c r="S103" s="21">
        <f t="shared" si="24"/>
        <v>0</v>
      </c>
      <c r="T103" s="21">
        <f t="shared" si="24"/>
        <v>0</v>
      </c>
      <c r="U103" s="21">
        <f t="shared" si="24"/>
        <v>0</v>
      </c>
      <c r="V103" s="21">
        <f t="shared" si="24"/>
        <v>0</v>
      </c>
      <c r="W103" s="21">
        <f t="shared" si="24"/>
        <v>0</v>
      </c>
      <c r="X103" s="21">
        <f t="shared" si="24"/>
        <v>0</v>
      </c>
      <c r="Y103" s="21">
        <f t="shared" si="24"/>
        <v>0</v>
      </c>
      <c r="Z103" s="21">
        <f t="shared" si="24"/>
        <v>0</v>
      </c>
      <c r="AA103" s="21">
        <f t="shared" si="24"/>
        <v>0</v>
      </c>
    </row>
    <row r="104" spans="1:27" x14ac:dyDescent="0.25">
      <c r="C104" s="1"/>
      <c r="D104" s="1"/>
      <c r="E104" t="s">
        <v>68</v>
      </c>
      <c r="F104" t="s">
        <v>143</v>
      </c>
      <c r="G104" s="20"/>
      <c r="H104" s="21">
        <f>G104*(1+$G$14)*(1+H101)</f>
        <v>0</v>
      </c>
      <c r="I104" s="21">
        <f t="shared" ref="I104:AA104" si="25">H104*(1+$G$14)*(1+I101)</f>
        <v>0</v>
      </c>
      <c r="J104" s="21">
        <f t="shared" si="25"/>
        <v>0</v>
      </c>
      <c r="K104" s="21">
        <f t="shared" si="25"/>
        <v>0</v>
      </c>
      <c r="L104" s="21">
        <f t="shared" si="25"/>
        <v>0</v>
      </c>
      <c r="M104" s="21">
        <f t="shared" si="25"/>
        <v>0</v>
      </c>
      <c r="N104" s="21">
        <f t="shared" si="25"/>
        <v>0</v>
      </c>
      <c r="O104" s="21">
        <f t="shared" si="25"/>
        <v>0</v>
      </c>
      <c r="P104" s="21">
        <f t="shared" si="25"/>
        <v>0</v>
      </c>
      <c r="Q104" s="21">
        <f t="shared" si="25"/>
        <v>0</v>
      </c>
      <c r="R104" s="21">
        <f t="shared" si="25"/>
        <v>0</v>
      </c>
      <c r="S104" s="21">
        <f t="shared" si="25"/>
        <v>0</v>
      </c>
      <c r="T104" s="21">
        <f t="shared" si="25"/>
        <v>0</v>
      </c>
      <c r="U104" s="21">
        <f t="shared" si="25"/>
        <v>0</v>
      </c>
      <c r="V104" s="21">
        <f t="shared" si="25"/>
        <v>0</v>
      </c>
      <c r="W104" s="21">
        <f t="shared" si="25"/>
        <v>0</v>
      </c>
      <c r="X104" s="21">
        <f t="shared" si="25"/>
        <v>0</v>
      </c>
      <c r="Y104" s="21">
        <f t="shared" si="25"/>
        <v>0</v>
      </c>
      <c r="Z104" s="21">
        <f t="shared" si="25"/>
        <v>0</v>
      </c>
      <c r="AA104" s="21">
        <f t="shared" si="25"/>
        <v>0</v>
      </c>
    </row>
    <row r="105" spans="1:27" x14ac:dyDescent="0.25">
      <c r="C105" s="1"/>
      <c r="D105" s="1"/>
      <c r="E105" t="s">
        <v>142</v>
      </c>
      <c r="F105" t="s">
        <v>143</v>
      </c>
      <c r="G105" s="20"/>
      <c r="H105" s="21">
        <f>G105*(1+$G$14)*(1+H101)</f>
        <v>0</v>
      </c>
      <c r="I105" s="21">
        <f t="shared" ref="I105:AA105" si="26">H105*(1+$G$14)*(1+I101)</f>
        <v>0</v>
      </c>
      <c r="J105" s="21">
        <f t="shared" si="26"/>
        <v>0</v>
      </c>
      <c r="K105" s="21">
        <f t="shared" si="26"/>
        <v>0</v>
      </c>
      <c r="L105" s="21">
        <f t="shared" si="26"/>
        <v>0</v>
      </c>
      <c r="M105" s="21">
        <f t="shared" si="26"/>
        <v>0</v>
      </c>
      <c r="N105" s="21">
        <f t="shared" si="26"/>
        <v>0</v>
      </c>
      <c r="O105" s="21">
        <f t="shared" si="26"/>
        <v>0</v>
      </c>
      <c r="P105" s="21">
        <f t="shared" si="26"/>
        <v>0</v>
      </c>
      <c r="Q105" s="21">
        <f t="shared" si="26"/>
        <v>0</v>
      </c>
      <c r="R105" s="21">
        <f t="shared" si="26"/>
        <v>0</v>
      </c>
      <c r="S105" s="21">
        <f t="shared" si="26"/>
        <v>0</v>
      </c>
      <c r="T105" s="21">
        <f t="shared" si="26"/>
        <v>0</v>
      </c>
      <c r="U105" s="21">
        <f t="shared" si="26"/>
        <v>0</v>
      </c>
      <c r="V105" s="21">
        <f t="shared" si="26"/>
        <v>0</v>
      </c>
      <c r="W105" s="21">
        <f t="shared" si="26"/>
        <v>0</v>
      </c>
      <c r="X105" s="21">
        <f t="shared" si="26"/>
        <v>0</v>
      </c>
      <c r="Y105" s="21">
        <f t="shared" si="26"/>
        <v>0</v>
      </c>
      <c r="Z105" s="21">
        <f t="shared" si="26"/>
        <v>0</v>
      </c>
      <c r="AA105" s="21">
        <f t="shared" si="26"/>
        <v>0</v>
      </c>
    </row>
    <row r="106" spans="1:27" x14ac:dyDescent="0.25">
      <c r="C106" s="1"/>
      <c r="D106" s="1"/>
    </row>
    <row r="107" spans="1:27" x14ac:dyDescent="0.25">
      <c r="C107" s="1"/>
      <c r="D107" s="1"/>
      <c r="E107" t="s">
        <v>69</v>
      </c>
      <c r="F107" t="s">
        <v>58</v>
      </c>
      <c r="H107" s="2">
        <f>SUM(H98:H100)/1000</f>
        <v>1064.8125</v>
      </c>
      <c r="I107" s="2">
        <f t="shared" ref="I107:AA107" si="27">SUM(I98:I100)/1000</f>
        <v>2071.2375000000002</v>
      </c>
      <c r="J107" s="2">
        <f t="shared" si="27"/>
        <v>3036.7912499999993</v>
      </c>
      <c r="K107" s="2">
        <f t="shared" si="27"/>
        <v>3917.0587499999997</v>
      </c>
      <c r="L107" s="2">
        <f t="shared" si="27"/>
        <v>4713.5587499999992</v>
      </c>
      <c r="M107" s="2">
        <f t="shared" si="27"/>
        <v>5431.3087499999992</v>
      </c>
      <c r="N107" s="2">
        <f t="shared" si="27"/>
        <v>6073.9087499999987</v>
      </c>
      <c r="O107" s="2">
        <f t="shared" si="27"/>
        <v>6645.4874999999993</v>
      </c>
      <c r="P107" s="2">
        <f t="shared" si="27"/>
        <v>7196.9624999999987</v>
      </c>
      <c r="Q107" s="2">
        <f t="shared" si="27"/>
        <v>7725.2174999999988</v>
      </c>
      <c r="R107" s="2">
        <f t="shared" si="27"/>
        <v>8282.4299999999985</v>
      </c>
      <c r="S107" s="2">
        <f t="shared" si="27"/>
        <v>8871.6712499999976</v>
      </c>
      <c r="T107" s="2">
        <f t="shared" si="27"/>
        <v>9494.6962499999972</v>
      </c>
      <c r="U107" s="2">
        <f t="shared" si="27"/>
        <v>10115.088749999999</v>
      </c>
      <c r="V107" s="2">
        <f t="shared" si="27"/>
        <v>10732.409999999998</v>
      </c>
      <c r="W107" s="2">
        <f t="shared" si="27"/>
        <v>10732.409999999998</v>
      </c>
      <c r="X107" s="2">
        <f t="shared" si="27"/>
        <v>10732.409999999998</v>
      </c>
      <c r="Y107" s="2">
        <f t="shared" si="27"/>
        <v>10732.409999999998</v>
      </c>
      <c r="Z107" s="2">
        <f t="shared" si="27"/>
        <v>10732.409999999998</v>
      </c>
      <c r="AA107" s="2">
        <f t="shared" si="27"/>
        <v>10732.409999999998</v>
      </c>
    </row>
    <row r="108" spans="1:27" x14ac:dyDescent="0.25">
      <c r="C108" s="1"/>
      <c r="D108" s="1"/>
      <c r="E108" t="s">
        <v>70</v>
      </c>
      <c r="F108" t="s">
        <v>7</v>
      </c>
      <c r="H108" s="2">
        <f>H91*H102+H98*H103+H99*H104+H100*H105</f>
        <v>4329803.5347022386</v>
      </c>
      <c r="I108" s="2">
        <f t="shared" ref="I108:AA108" si="28">I91*I102+I98*I103+I99*I104+I100*I105</f>
        <v>8363440.2325597331</v>
      </c>
      <c r="J108" s="2">
        <f t="shared" si="28"/>
        <v>12519752.361868788</v>
      </c>
      <c r="K108" s="2">
        <f t="shared" si="28"/>
        <v>16487948.670546917</v>
      </c>
      <c r="L108" s="2">
        <f t="shared" si="28"/>
        <v>20257283.589337289</v>
      </c>
      <c r="M108" s="2">
        <f t="shared" si="28"/>
        <v>23832111.22674752</v>
      </c>
      <c r="N108" s="2">
        <f t="shared" si="28"/>
        <v>27211471.702515237</v>
      </c>
      <c r="O108" s="2">
        <f t="shared" si="28"/>
        <v>30397394.174194295</v>
      </c>
      <c r="P108" s="2">
        <f t="shared" si="28"/>
        <v>33611236.646634594</v>
      </c>
      <c r="Q108" s="2">
        <f t="shared" si="28"/>
        <v>36835935.98320771</v>
      </c>
      <c r="R108" s="2">
        <f t="shared" si="28"/>
        <v>40322226.986097462</v>
      </c>
      <c r="S108" s="2">
        <f t="shared" si="28"/>
        <v>44097901.010717168</v>
      </c>
      <c r="T108" s="2">
        <f t="shared" si="28"/>
        <v>48185824.631618693</v>
      </c>
      <c r="U108" s="2">
        <f t="shared" si="28"/>
        <v>52412353.305795848</v>
      </c>
      <c r="V108" s="2">
        <f t="shared" si="28"/>
        <v>56778898.049930818</v>
      </c>
      <c r="W108" s="2">
        <f t="shared" si="28"/>
        <v>57971254.908979364</v>
      </c>
      <c r="X108" s="2">
        <f t="shared" si="28"/>
        <v>59188651.262067921</v>
      </c>
      <c r="Y108" s="2">
        <f t="shared" si="28"/>
        <v>60431612.938571341</v>
      </c>
      <c r="Z108" s="2">
        <f t="shared" si="28"/>
        <v>61700676.810281344</v>
      </c>
      <c r="AA108" s="2">
        <f t="shared" si="28"/>
        <v>62996391.023297243</v>
      </c>
    </row>
    <row r="109" spans="1:27" x14ac:dyDescent="0.25">
      <c r="C109" s="1"/>
      <c r="D109" s="1"/>
    </row>
    <row r="110" spans="1:27" x14ac:dyDescent="0.25">
      <c r="C110" s="1"/>
      <c r="D110" t="s">
        <v>71</v>
      </c>
    </row>
    <row r="111" spans="1:27" x14ac:dyDescent="0.25">
      <c r="A111" s="14">
        <f>'Notes &amp; Assumptions'!A33</f>
        <v>20</v>
      </c>
      <c r="C111" s="1"/>
      <c r="D111" s="1"/>
      <c r="E111" t="s">
        <v>87</v>
      </c>
      <c r="F111" t="s">
        <v>3</v>
      </c>
      <c r="H111" s="10">
        <f>'Customer numbers'!P30</f>
        <v>644</v>
      </c>
      <c r="I111" s="10">
        <f>'Customer numbers'!Q30</f>
        <v>644</v>
      </c>
      <c r="J111" s="10">
        <f>'Customer numbers'!R30</f>
        <v>658</v>
      </c>
      <c r="K111" s="10">
        <f>'Customer numbers'!S30</f>
        <v>630</v>
      </c>
      <c r="L111" s="10">
        <f>'Customer numbers'!T30</f>
        <v>609</v>
      </c>
      <c r="M111" s="10">
        <f>'Customer numbers'!U30</f>
        <v>581</v>
      </c>
      <c r="N111" s="10">
        <f>'Customer numbers'!V30</f>
        <v>560</v>
      </c>
      <c r="O111" s="10">
        <f>'Customer numbers'!W30</f>
        <v>539</v>
      </c>
      <c r="P111" s="10">
        <f>'Customer numbers'!X30</f>
        <v>567</v>
      </c>
      <c r="Q111" s="10">
        <f>'Customer numbers'!Y30</f>
        <v>602</v>
      </c>
      <c r="R111" s="10">
        <f>'Customer numbers'!Z30</f>
        <v>637</v>
      </c>
      <c r="S111" s="10">
        <f>'Customer numbers'!AA30</f>
        <v>679</v>
      </c>
      <c r="T111" s="10">
        <f>'Customer numbers'!AB30</f>
        <v>714</v>
      </c>
      <c r="U111" s="10">
        <f>'Customer numbers'!AC30</f>
        <v>707</v>
      </c>
      <c r="V111" s="10">
        <f>'Customer numbers'!AD30</f>
        <v>707</v>
      </c>
    </row>
    <row r="112" spans="1:27" x14ac:dyDescent="0.25">
      <c r="C112" s="1"/>
      <c r="D112" s="1"/>
      <c r="E112" t="s">
        <v>60</v>
      </c>
      <c r="F112" t="s">
        <v>3</v>
      </c>
      <c r="G112">
        <f>IF('Key assumptions'!B4="yes",SUM('Customer numbers'!F38:O38),0)</f>
        <v>0</v>
      </c>
      <c r="H112" s="2">
        <f>G112+H111</f>
        <v>644</v>
      </c>
      <c r="I112" s="2">
        <f t="shared" ref="I112:AA112" si="29">H112+I111</f>
        <v>1288</v>
      </c>
      <c r="J112" s="2">
        <f t="shared" si="29"/>
        <v>1946</v>
      </c>
      <c r="K112" s="2">
        <f t="shared" si="29"/>
        <v>2576</v>
      </c>
      <c r="L112" s="2">
        <f t="shared" si="29"/>
        <v>3185</v>
      </c>
      <c r="M112" s="2">
        <f t="shared" si="29"/>
        <v>3766</v>
      </c>
      <c r="N112" s="2">
        <f t="shared" si="29"/>
        <v>4326</v>
      </c>
      <c r="O112" s="2">
        <f t="shared" si="29"/>
        <v>4865</v>
      </c>
      <c r="P112" s="2">
        <f t="shared" si="29"/>
        <v>5432</v>
      </c>
      <c r="Q112" s="2">
        <f t="shared" si="29"/>
        <v>6034</v>
      </c>
      <c r="R112" s="2">
        <f t="shared" si="29"/>
        <v>6671</v>
      </c>
      <c r="S112" s="2">
        <f t="shared" si="29"/>
        <v>7350</v>
      </c>
      <c r="T112" s="2">
        <f t="shared" si="29"/>
        <v>8064</v>
      </c>
      <c r="U112" s="2">
        <f t="shared" si="29"/>
        <v>8771</v>
      </c>
      <c r="V112" s="2">
        <f t="shared" si="29"/>
        <v>9478</v>
      </c>
      <c r="W112" s="2">
        <f t="shared" si="29"/>
        <v>9478</v>
      </c>
      <c r="X112" s="2">
        <f t="shared" si="29"/>
        <v>9478</v>
      </c>
      <c r="Y112" s="2">
        <f t="shared" si="29"/>
        <v>9478</v>
      </c>
      <c r="Z112" s="2">
        <f t="shared" si="29"/>
        <v>9478</v>
      </c>
      <c r="AA112" s="2">
        <f t="shared" si="29"/>
        <v>9478</v>
      </c>
    </row>
    <row r="113" spans="1:27" x14ac:dyDescent="0.25">
      <c r="A113" s="14">
        <f>'Notes &amp; Assumptions'!A34</f>
        <v>21</v>
      </c>
      <c r="C113" s="1"/>
      <c r="D113" s="1"/>
      <c r="E113" t="s">
        <v>61</v>
      </c>
      <c r="F113" t="s">
        <v>3</v>
      </c>
      <c r="G113" s="10">
        <v>1</v>
      </c>
    </row>
    <row r="114" spans="1:27" x14ac:dyDescent="0.25">
      <c r="C114" s="1"/>
      <c r="D114" s="1"/>
      <c r="E114" t="s">
        <v>88</v>
      </c>
      <c r="F114" t="s">
        <v>3</v>
      </c>
      <c r="H114">
        <f>H111*$G113</f>
        <v>644</v>
      </c>
      <c r="I114">
        <f t="shared" ref="I114:AA114" si="30">I111*$G113</f>
        <v>644</v>
      </c>
      <c r="J114">
        <f t="shared" si="30"/>
        <v>658</v>
      </c>
      <c r="K114">
        <f t="shared" si="30"/>
        <v>630</v>
      </c>
      <c r="L114">
        <f t="shared" si="30"/>
        <v>609</v>
      </c>
      <c r="M114">
        <f t="shared" si="30"/>
        <v>581</v>
      </c>
      <c r="N114">
        <f t="shared" si="30"/>
        <v>560</v>
      </c>
      <c r="O114">
        <f t="shared" si="30"/>
        <v>539</v>
      </c>
      <c r="P114">
        <f t="shared" si="30"/>
        <v>567</v>
      </c>
      <c r="Q114">
        <f t="shared" si="30"/>
        <v>602</v>
      </c>
      <c r="R114">
        <f t="shared" si="30"/>
        <v>637</v>
      </c>
      <c r="S114">
        <f t="shared" si="30"/>
        <v>679</v>
      </c>
      <c r="T114">
        <f t="shared" si="30"/>
        <v>714</v>
      </c>
      <c r="U114">
        <f t="shared" si="30"/>
        <v>707</v>
      </c>
      <c r="V114">
        <f t="shared" si="30"/>
        <v>707</v>
      </c>
      <c r="W114">
        <f t="shared" si="30"/>
        <v>0</v>
      </c>
      <c r="X114">
        <f t="shared" si="30"/>
        <v>0</v>
      </c>
      <c r="Y114">
        <f t="shared" si="30"/>
        <v>0</v>
      </c>
      <c r="Z114">
        <f t="shared" si="30"/>
        <v>0</v>
      </c>
      <c r="AA114">
        <f t="shared" si="30"/>
        <v>0</v>
      </c>
    </row>
    <row r="115" spans="1:27" x14ac:dyDescent="0.25">
      <c r="C115" s="1"/>
      <c r="D115" s="1"/>
      <c r="E115" t="s">
        <v>89</v>
      </c>
      <c r="F115" t="s">
        <v>3</v>
      </c>
      <c r="H115">
        <f>H112*$G113</f>
        <v>644</v>
      </c>
      <c r="I115">
        <f>I112*$G113</f>
        <v>1288</v>
      </c>
      <c r="J115">
        <f t="shared" ref="J115:AA115" si="31">J112*$G113</f>
        <v>1946</v>
      </c>
      <c r="K115">
        <f t="shared" si="31"/>
        <v>2576</v>
      </c>
      <c r="L115">
        <f t="shared" si="31"/>
        <v>3185</v>
      </c>
      <c r="M115">
        <f t="shared" si="31"/>
        <v>3766</v>
      </c>
      <c r="N115">
        <f t="shared" si="31"/>
        <v>4326</v>
      </c>
      <c r="O115">
        <f t="shared" si="31"/>
        <v>4865</v>
      </c>
      <c r="P115">
        <f t="shared" si="31"/>
        <v>5432</v>
      </c>
      <c r="Q115">
        <f t="shared" si="31"/>
        <v>6034</v>
      </c>
      <c r="R115">
        <f t="shared" si="31"/>
        <v>6671</v>
      </c>
      <c r="S115">
        <f t="shared" si="31"/>
        <v>7350</v>
      </c>
      <c r="T115">
        <f t="shared" si="31"/>
        <v>8064</v>
      </c>
      <c r="U115">
        <f t="shared" si="31"/>
        <v>8771</v>
      </c>
      <c r="V115">
        <f t="shared" si="31"/>
        <v>9478</v>
      </c>
      <c r="W115">
        <f t="shared" si="31"/>
        <v>9478</v>
      </c>
      <c r="X115">
        <f t="shared" si="31"/>
        <v>9478</v>
      </c>
      <c r="Y115">
        <f t="shared" si="31"/>
        <v>9478</v>
      </c>
      <c r="Z115">
        <f t="shared" si="31"/>
        <v>9478</v>
      </c>
      <c r="AA115">
        <f t="shared" si="31"/>
        <v>9478</v>
      </c>
    </row>
    <row r="116" spans="1:27" x14ac:dyDescent="0.25">
      <c r="A116" s="14">
        <f>'Notes &amp; Assumptions'!A35</f>
        <v>22</v>
      </c>
      <c r="C116" s="1"/>
      <c r="D116" s="1"/>
      <c r="E116" t="s">
        <v>62</v>
      </c>
      <c r="F116" t="s">
        <v>43</v>
      </c>
      <c r="H116" s="10">
        <f>0.55*'20 New UGB Water'!H116</f>
        <v>286</v>
      </c>
      <c r="I116" s="10">
        <f>H116</f>
        <v>286</v>
      </c>
      <c r="J116" s="10">
        <f t="shared" ref="J116:AA116" si="32">I116</f>
        <v>286</v>
      </c>
      <c r="K116" s="10">
        <f t="shared" si="32"/>
        <v>286</v>
      </c>
      <c r="L116" s="10">
        <f t="shared" si="32"/>
        <v>286</v>
      </c>
      <c r="M116" s="10">
        <f t="shared" si="32"/>
        <v>286</v>
      </c>
      <c r="N116" s="10">
        <f t="shared" si="32"/>
        <v>286</v>
      </c>
      <c r="O116" s="10">
        <f t="shared" si="32"/>
        <v>286</v>
      </c>
      <c r="P116" s="10">
        <f t="shared" si="32"/>
        <v>286</v>
      </c>
      <c r="Q116" s="10">
        <f t="shared" si="32"/>
        <v>286</v>
      </c>
      <c r="R116" s="10">
        <f t="shared" si="32"/>
        <v>286</v>
      </c>
      <c r="S116" s="10">
        <f t="shared" si="32"/>
        <v>286</v>
      </c>
      <c r="T116" s="10">
        <f t="shared" si="32"/>
        <v>286</v>
      </c>
      <c r="U116" s="10">
        <f t="shared" si="32"/>
        <v>286</v>
      </c>
      <c r="V116" s="10">
        <f t="shared" si="32"/>
        <v>286</v>
      </c>
      <c r="W116" s="10">
        <f t="shared" si="32"/>
        <v>286</v>
      </c>
      <c r="X116" s="10">
        <f t="shared" si="32"/>
        <v>286</v>
      </c>
      <c r="Y116" s="10">
        <f t="shared" si="32"/>
        <v>286</v>
      </c>
      <c r="Z116" s="10">
        <f t="shared" si="32"/>
        <v>286</v>
      </c>
      <c r="AA116" s="10">
        <f t="shared" si="32"/>
        <v>286</v>
      </c>
    </row>
    <row r="117" spans="1:27" x14ac:dyDescent="0.25">
      <c r="C117" s="1"/>
      <c r="D117" s="1"/>
      <c r="E117" t="s">
        <v>63</v>
      </c>
      <c r="F117" t="s">
        <v>43</v>
      </c>
      <c r="H117" s="10"/>
      <c r="I117" s="10"/>
      <c r="J117" s="10"/>
      <c r="K117" s="10"/>
      <c r="L117" s="10"/>
      <c r="M117" s="10"/>
      <c r="N117" s="10"/>
      <c r="O117" s="10"/>
      <c r="P117" s="10"/>
      <c r="Q117" s="10"/>
      <c r="R117" s="10"/>
      <c r="S117" s="10"/>
      <c r="T117" s="10"/>
      <c r="U117" s="10"/>
      <c r="V117" s="10"/>
      <c r="W117" s="10"/>
      <c r="X117" s="10"/>
      <c r="Y117" s="10"/>
      <c r="Z117" s="10"/>
      <c r="AA117" s="10"/>
    </row>
    <row r="118" spans="1:27" x14ac:dyDescent="0.25">
      <c r="C118" s="1"/>
      <c r="D118" s="1"/>
      <c r="E118" t="s">
        <v>140</v>
      </c>
      <c r="F118" t="s">
        <v>43</v>
      </c>
      <c r="H118" s="10"/>
      <c r="I118" s="10"/>
      <c r="J118" s="10"/>
      <c r="K118" s="10"/>
      <c r="L118" s="10"/>
      <c r="M118" s="10"/>
      <c r="N118" s="10"/>
      <c r="O118" s="10"/>
      <c r="P118" s="10"/>
      <c r="Q118" s="10"/>
      <c r="R118" s="10"/>
      <c r="S118" s="10"/>
      <c r="T118" s="10"/>
      <c r="U118" s="10"/>
      <c r="V118" s="10"/>
      <c r="W118" s="10"/>
      <c r="X118" s="10"/>
      <c r="Y118" s="10"/>
      <c r="Z118" s="10"/>
      <c r="AA118" s="10"/>
    </row>
    <row r="119" spans="1:27" x14ac:dyDescent="0.25">
      <c r="C119" s="1"/>
      <c r="D119" s="1"/>
      <c r="E119" t="s">
        <v>64</v>
      </c>
      <c r="F119" t="s">
        <v>144</v>
      </c>
      <c r="H119" s="2">
        <f>H112*H116</f>
        <v>184184</v>
      </c>
      <c r="I119" s="2">
        <f t="shared" ref="I119:AA119" si="33">I112*I116</f>
        <v>368368</v>
      </c>
      <c r="J119" s="2">
        <f t="shared" si="33"/>
        <v>556556</v>
      </c>
      <c r="K119" s="2">
        <f t="shared" si="33"/>
        <v>736736</v>
      </c>
      <c r="L119" s="2">
        <f t="shared" si="33"/>
        <v>910910</v>
      </c>
      <c r="M119" s="2">
        <f t="shared" si="33"/>
        <v>1077076</v>
      </c>
      <c r="N119" s="2">
        <f t="shared" si="33"/>
        <v>1237236</v>
      </c>
      <c r="O119" s="2">
        <f t="shared" si="33"/>
        <v>1391390</v>
      </c>
      <c r="P119" s="2">
        <f t="shared" si="33"/>
        <v>1553552</v>
      </c>
      <c r="Q119" s="2">
        <f t="shared" si="33"/>
        <v>1725724</v>
      </c>
      <c r="R119" s="2">
        <f t="shared" si="33"/>
        <v>1907906</v>
      </c>
      <c r="S119" s="2">
        <f t="shared" si="33"/>
        <v>2102100</v>
      </c>
      <c r="T119" s="2">
        <f t="shared" si="33"/>
        <v>2306304</v>
      </c>
      <c r="U119" s="2">
        <f t="shared" si="33"/>
        <v>2508506</v>
      </c>
      <c r="V119" s="2">
        <f t="shared" si="33"/>
        <v>2710708</v>
      </c>
      <c r="W119" s="2">
        <f t="shared" si="33"/>
        <v>2710708</v>
      </c>
      <c r="X119" s="2">
        <f t="shared" si="33"/>
        <v>2710708</v>
      </c>
      <c r="Y119" s="2">
        <f t="shared" si="33"/>
        <v>2710708</v>
      </c>
      <c r="Z119" s="2">
        <f t="shared" si="33"/>
        <v>2710708</v>
      </c>
      <c r="AA119" s="2">
        <f t="shared" si="33"/>
        <v>2710708</v>
      </c>
    </row>
    <row r="120" spans="1:27" x14ac:dyDescent="0.25">
      <c r="C120" s="1"/>
      <c r="D120" s="1"/>
      <c r="E120" t="s">
        <v>65</v>
      </c>
      <c r="F120" t="s">
        <v>144</v>
      </c>
      <c r="H120" s="2">
        <f>H112*H117</f>
        <v>0</v>
      </c>
      <c r="I120" s="2">
        <f t="shared" ref="I120:AA120" si="34">I112*I117</f>
        <v>0</v>
      </c>
      <c r="J120" s="2">
        <f t="shared" si="34"/>
        <v>0</v>
      </c>
      <c r="K120" s="2">
        <f t="shared" si="34"/>
        <v>0</v>
      </c>
      <c r="L120" s="2">
        <f t="shared" si="34"/>
        <v>0</v>
      </c>
      <c r="M120" s="2">
        <f t="shared" si="34"/>
        <v>0</v>
      </c>
      <c r="N120" s="2">
        <f t="shared" si="34"/>
        <v>0</v>
      </c>
      <c r="O120" s="2">
        <f t="shared" si="34"/>
        <v>0</v>
      </c>
      <c r="P120" s="2">
        <f t="shared" si="34"/>
        <v>0</v>
      </c>
      <c r="Q120" s="2">
        <f t="shared" si="34"/>
        <v>0</v>
      </c>
      <c r="R120" s="2">
        <f t="shared" si="34"/>
        <v>0</v>
      </c>
      <c r="S120" s="2">
        <f t="shared" si="34"/>
        <v>0</v>
      </c>
      <c r="T120" s="2">
        <f t="shared" si="34"/>
        <v>0</v>
      </c>
      <c r="U120" s="2">
        <f t="shared" si="34"/>
        <v>0</v>
      </c>
      <c r="V120" s="2">
        <f t="shared" si="34"/>
        <v>0</v>
      </c>
      <c r="W120" s="2">
        <f t="shared" si="34"/>
        <v>0</v>
      </c>
      <c r="X120" s="2">
        <f t="shared" si="34"/>
        <v>0</v>
      </c>
      <c r="Y120" s="2">
        <f t="shared" si="34"/>
        <v>0</v>
      </c>
      <c r="Z120" s="2">
        <f t="shared" si="34"/>
        <v>0</v>
      </c>
      <c r="AA120" s="2">
        <f t="shared" si="34"/>
        <v>0</v>
      </c>
    </row>
    <row r="121" spans="1:27" x14ac:dyDescent="0.25">
      <c r="C121" s="1"/>
      <c r="D121" s="1"/>
      <c r="E121" t="s">
        <v>141</v>
      </c>
      <c r="F121" t="s">
        <v>144</v>
      </c>
      <c r="H121" s="2">
        <f>H112*H118</f>
        <v>0</v>
      </c>
      <c r="I121" s="2">
        <f t="shared" ref="I121:AA121" si="35">I112*I118</f>
        <v>0</v>
      </c>
      <c r="J121" s="2">
        <f t="shared" si="35"/>
        <v>0</v>
      </c>
      <c r="K121" s="2">
        <f t="shared" si="35"/>
        <v>0</v>
      </c>
      <c r="L121" s="2">
        <f t="shared" si="35"/>
        <v>0</v>
      </c>
      <c r="M121" s="2">
        <f t="shared" si="35"/>
        <v>0</v>
      </c>
      <c r="N121" s="2">
        <f t="shared" si="35"/>
        <v>0</v>
      </c>
      <c r="O121" s="2">
        <f t="shared" si="35"/>
        <v>0</v>
      </c>
      <c r="P121" s="2">
        <f t="shared" si="35"/>
        <v>0</v>
      </c>
      <c r="Q121" s="2">
        <f t="shared" si="35"/>
        <v>0</v>
      </c>
      <c r="R121" s="2">
        <f t="shared" si="35"/>
        <v>0</v>
      </c>
      <c r="S121" s="2">
        <f t="shared" si="35"/>
        <v>0</v>
      </c>
      <c r="T121" s="2">
        <f t="shared" si="35"/>
        <v>0</v>
      </c>
      <c r="U121" s="2">
        <f t="shared" si="35"/>
        <v>0</v>
      </c>
      <c r="V121" s="2">
        <f t="shared" si="35"/>
        <v>0</v>
      </c>
      <c r="W121" s="2">
        <f t="shared" si="35"/>
        <v>0</v>
      </c>
      <c r="X121" s="2">
        <f t="shared" si="35"/>
        <v>0</v>
      </c>
      <c r="Y121" s="2">
        <f t="shared" si="35"/>
        <v>0</v>
      </c>
      <c r="Z121" s="2">
        <f t="shared" si="35"/>
        <v>0</v>
      </c>
      <c r="AA121" s="2">
        <f t="shared" si="35"/>
        <v>0</v>
      </c>
    </row>
    <row r="122" spans="1:27" x14ac:dyDescent="0.25">
      <c r="A122" s="14">
        <f>'Notes &amp; Assumptions'!A36</f>
        <v>23</v>
      </c>
      <c r="C122" s="1"/>
      <c r="D122" s="1"/>
      <c r="E122" t="s">
        <v>66</v>
      </c>
      <c r="F122" t="s">
        <v>8</v>
      </c>
      <c r="H122" s="11">
        <f>H101</f>
        <v>-4.24E-2</v>
      </c>
      <c r="I122" s="11">
        <f>I101</f>
        <v>-2.7400000000000001E-2</v>
      </c>
      <c r="J122" s="11">
        <v>0</v>
      </c>
      <c r="K122" s="11">
        <v>0</v>
      </c>
      <c r="L122" s="11">
        <v>0</v>
      </c>
      <c r="M122" s="11">
        <v>0</v>
      </c>
      <c r="N122" s="11">
        <v>0</v>
      </c>
      <c r="O122" s="11">
        <v>0</v>
      </c>
      <c r="P122" s="11">
        <v>0</v>
      </c>
      <c r="Q122" s="11">
        <v>0</v>
      </c>
      <c r="R122" s="11">
        <v>0</v>
      </c>
      <c r="S122" s="11">
        <v>0</v>
      </c>
      <c r="T122" s="11">
        <v>0</v>
      </c>
      <c r="U122" s="11">
        <v>0</v>
      </c>
      <c r="V122" s="11">
        <v>0</v>
      </c>
      <c r="W122" s="11">
        <v>0</v>
      </c>
      <c r="X122" s="11">
        <v>0</v>
      </c>
      <c r="Y122" s="11">
        <v>0</v>
      </c>
      <c r="Z122" s="11">
        <v>0</v>
      </c>
      <c r="AA122" s="11">
        <v>0</v>
      </c>
    </row>
    <row r="123" spans="1:27" x14ac:dyDescent="0.25">
      <c r="A123" s="14">
        <f>'Notes &amp; Assumptions'!A37</f>
        <v>24</v>
      </c>
      <c r="C123" s="1"/>
      <c r="D123" s="1"/>
      <c r="E123" t="s">
        <v>40</v>
      </c>
      <c r="F123" t="s">
        <v>41</v>
      </c>
      <c r="G123" s="20">
        <f>'YVW tariffs'!E18</f>
        <v>568.75825999999984</v>
      </c>
      <c r="H123" s="2">
        <f>G123*(1+$G$14)*(1+H122)</f>
        <v>556.08041088129585</v>
      </c>
      <c r="I123" s="2">
        <f t="shared" ref="I123:AA123" si="36">H123*(1+$G$14)*(1+I122)</f>
        <v>552.20152758323445</v>
      </c>
      <c r="J123" s="2">
        <f t="shared" si="36"/>
        <v>563.79775966248235</v>
      </c>
      <c r="K123" s="2">
        <f t="shared" si="36"/>
        <v>575.63751261539437</v>
      </c>
      <c r="L123" s="2">
        <f t="shared" si="36"/>
        <v>587.72590038031763</v>
      </c>
      <c r="M123" s="2">
        <f t="shared" si="36"/>
        <v>600.06814428830421</v>
      </c>
      <c r="N123" s="2">
        <f t="shared" si="36"/>
        <v>612.66957531835851</v>
      </c>
      <c r="O123" s="2">
        <f t="shared" si="36"/>
        <v>625.53563640004393</v>
      </c>
      <c r="P123" s="2">
        <f t="shared" si="36"/>
        <v>638.67188476444483</v>
      </c>
      <c r="Q123" s="2">
        <f t="shared" si="36"/>
        <v>652.08399434449814</v>
      </c>
      <c r="R123" s="2">
        <f t="shared" si="36"/>
        <v>665.77775822573255</v>
      </c>
      <c r="S123" s="2">
        <f t="shared" si="36"/>
        <v>679.75909114847286</v>
      </c>
      <c r="T123" s="2">
        <f t="shared" si="36"/>
        <v>694.03403206259077</v>
      </c>
      <c r="U123" s="2">
        <f t="shared" si="36"/>
        <v>708.60874673590513</v>
      </c>
      <c r="V123" s="2">
        <f t="shared" si="36"/>
        <v>723.48953041735911</v>
      </c>
      <c r="W123" s="2">
        <f t="shared" si="36"/>
        <v>738.68281055612363</v>
      </c>
      <c r="X123" s="2">
        <f t="shared" si="36"/>
        <v>754.19514957780211</v>
      </c>
      <c r="Y123" s="2">
        <f t="shared" si="36"/>
        <v>770.03324771893585</v>
      </c>
      <c r="Z123" s="2">
        <f t="shared" si="36"/>
        <v>786.20394592103344</v>
      </c>
      <c r="AA123" s="2">
        <f t="shared" si="36"/>
        <v>802.7142287853751</v>
      </c>
    </row>
    <row r="124" spans="1:27" x14ac:dyDescent="0.25">
      <c r="C124" s="1"/>
      <c r="D124" s="1"/>
      <c r="E124" t="s">
        <v>67</v>
      </c>
      <c r="F124" t="s">
        <v>143</v>
      </c>
      <c r="G124" s="20">
        <f>'YVW tariffs'!E19</f>
        <v>2.0661976999999996</v>
      </c>
      <c r="H124" s="21">
        <f>G124*(1+$G$14)*(1+H122)</f>
        <v>2.0201413267879191</v>
      </c>
      <c r="I124" s="21">
        <f t="shared" ref="I124:AA124" si="37">H124*(1+$G$14)*(1+I122)</f>
        <v>2.0060500329770425</v>
      </c>
      <c r="J124" s="21">
        <f t="shared" si="37"/>
        <v>2.0481770836695601</v>
      </c>
      <c r="K124" s="21">
        <f t="shared" si="37"/>
        <v>2.0911888024266205</v>
      </c>
      <c r="L124" s="21">
        <f t="shared" si="37"/>
        <v>2.1351037672775792</v>
      </c>
      <c r="M124" s="21">
        <f t="shared" si="37"/>
        <v>2.179940946390408</v>
      </c>
      <c r="N124" s="21">
        <f t="shared" si="37"/>
        <v>2.2257197062646066</v>
      </c>
      <c r="O124" s="21">
        <f t="shared" si="37"/>
        <v>2.272459820096163</v>
      </c>
      <c r="P124" s="21">
        <f t="shared" si="37"/>
        <v>2.3201814763181821</v>
      </c>
      <c r="Q124" s="21">
        <f t="shared" si="37"/>
        <v>2.3689052873208638</v>
      </c>
      <c r="R124" s="21">
        <f t="shared" si="37"/>
        <v>2.4186522983546017</v>
      </c>
      <c r="S124" s="21">
        <f t="shared" si="37"/>
        <v>2.4694439966200483</v>
      </c>
      <c r="T124" s="21">
        <f t="shared" si="37"/>
        <v>2.521302320549069</v>
      </c>
      <c r="U124" s="21">
        <f t="shared" si="37"/>
        <v>2.5742496692805994</v>
      </c>
      <c r="V124" s="21">
        <f t="shared" si="37"/>
        <v>2.6283089123354917</v>
      </c>
      <c r="W124" s="21">
        <f t="shared" si="37"/>
        <v>2.683503399494537</v>
      </c>
      <c r="X124" s="21">
        <f t="shared" si="37"/>
        <v>2.7398569708839222</v>
      </c>
      <c r="Y124" s="21">
        <f t="shared" si="37"/>
        <v>2.7973939672724843</v>
      </c>
      <c r="Z124" s="21">
        <f t="shared" si="37"/>
        <v>2.8561392405852062</v>
      </c>
      <c r="AA124" s="21">
        <f t="shared" si="37"/>
        <v>2.9161181646374952</v>
      </c>
    </row>
    <row r="125" spans="1:27" x14ac:dyDescent="0.25">
      <c r="C125" s="1"/>
      <c r="D125" s="1"/>
      <c r="E125" t="s">
        <v>68</v>
      </c>
      <c r="F125" t="s">
        <v>143</v>
      </c>
      <c r="G125" s="20"/>
      <c r="H125" s="21">
        <f>G125*(1+$G$14)*(1+H122)</f>
        <v>0</v>
      </c>
      <c r="I125" s="21">
        <f t="shared" ref="I125:AA125" si="38">H125*(1+$G$14)*(1+I122)</f>
        <v>0</v>
      </c>
      <c r="J125" s="21">
        <f t="shared" si="38"/>
        <v>0</v>
      </c>
      <c r="K125" s="21">
        <f t="shared" si="38"/>
        <v>0</v>
      </c>
      <c r="L125" s="21">
        <f t="shared" si="38"/>
        <v>0</v>
      </c>
      <c r="M125" s="21">
        <f t="shared" si="38"/>
        <v>0</v>
      </c>
      <c r="N125" s="21">
        <f t="shared" si="38"/>
        <v>0</v>
      </c>
      <c r="O125" s="21">
        <f t="shared" si="38"/>
        <v>0</v>
      </c>
      <c r="P125" s="21">
        <f t="shared" si="38"/>
        <v>0</v>
      </c>
      <c r="Q125" s="21">
        <f t="shared" si="38"/>
        <v>0</v>
      </c>
      <c r="R125" s="21">
        <f t="shared" si="38"/>
        <v>0</v>
      </c>
      <c r="S125" s="21">
        <f t="shared" si="38"/>
        <v>0</v>
      </c>
      <c r="T125" s="21">
        <f t="shared" si="38"/>
        <v>0</v>
      </c>
      <c r="U125" s="21">
        <f t="shared" si="38"/>
        <v>0</v>
      </c>
      <c r="V125" s="21">
        <f t="shared" si="38"/>
        <v>0</v>
      </c>
      <c r="W125" s="21">
        <f t="shared" si="38"/>
        <v>0</v>
      </c>
      <c r="X125" s="21">
        <f t="shared" si="38"/>
        <v>0</v>
      </c>
      <c r="Y125" s="21">
        <f t="shared" si="38"/>
        <v>0</v>
      </c>
      <c r="Z125" s="21">
        <f t="shared" si="38"/>
        <v>0</v>
      </c>
      <c r="AA125" s="21">
        <f t="shared" si="38"/>
        <v>0</v>
      </c>
    </row>
    <row r="126" spans="1:27" x14ac:dyDescent="0.25">
      <c r="C126" s="1"/>
      <c r="D126" s="1"/>
      <c r="E126" t="s">
        <v>142</v>
      </c>
      <c r="F126" t="s">
        <v>143</v>
      </c>
      <c r="G126" s="20"/>
      <c r="H126" s="21">
        <f>G126*(1+$G$14)*(1+H122)</f>
        <v>0</v>
      </c>
      <c r="I126" s="21">
        <f t="shared" ref="I126:AA126" si="39">H126*(1+$G$14)*(1+I122)</f>
        <v>0</v>
      </c>
      <c r="J126" s="21">
        <f t="shared" si="39"/>
        <v>0</v>
      </c>
      <c r="K126" s="21">
        <f t="shared" si="39"/>
        <v>0</v>
      </c>
      <c r="L126" s="21">
        <f t="shared" si="39"/>
        <v>0</v>
      </c>
      <c r="M126" s="21">
        <f t="shared" si="39"/>
        <v>0</v>
      </c>
      <c r="N126" s="21">
        <f t="shared" si="39"/>
        <v>0</v>
      </c>
      <c r="O126" s="21">
        <f t="shared" si="39"/>
        <v>0</v>
      </c>
      <c r="P126" s="21">
        <f t="shared" si="39"/>
        <v>0</v>
      </c>
      <c r="Q126" s="21">
        <f t="shared" si="39"/>
        <v>0</v>
      </c>
      <c r="R126" s="21">
        <f t="shared" si="39"/>
        <v>0</v>
      </c>
      <c r="S126" s="21">
        <f t="shared" si="39"/>
        <v>0</v>
      </c>
      <c r="T126" s="21">
        <f t="shared" si="39"/>
        <v>0</v>
      </c>
      <c r="U126" s="21">
        <f t="shared" si="39"/>
        <v>0</v>
      </c>
      <c r="V126" s="21">
        <f t="shared" si="39"/>
        <v>0</v>
      </c>
      <c r="W126" s="21">
        <f t="shared" si="39"/>
        <v>0</v>
      </c>
      <c r="X126" s="21">
        <f t="shared" si="39"/>
        <v>0</v>
      </c>
      <c r="Y126" s="21">
        <f t="shared" si="39"/>
        <v>0</v>
      </c>
      <c r="Z126" s="21">
        <f t="shared" si="39"/>
        <v>0</v>
      </c>
      <c r="AA126" s="21">
        <f t="shared" si="39"/>
        <v>0</v>
      </c>
    </row>
    <row r="127" spans="1:27" x14ac:dyDescent="0.25">
      <c r="C127" s="1"/>
      <c r="D127" s="1"/>
    </row>
    <row r="128" spans="1:27" x14ac:dyDescent="0.25">
      <c r="C128" s="1"/>
      <c r="D128" s="1"/>
      <c r="E128" t="s">
        <v>72</v>
      </c>
      <c r="F128" t="s">
        <v>58</v>
      </c>
      <c r="H128" s="2">
        <f>SUM(H119:H121)/1000</f>
        <v>184.184</v>
      </c>
      <c r="I128" s="2">
        <f t="shared" ref="I128:AA128" si="40">SUM(I119:I121)/1000</f>
        <v>368.36799999999999</v>
      </c>
      <c r="J128" s="2">
        <f t="shared" si="40"/>
        <v>556.55600000000004</v>
      </c>
      <c r="K128" s="2">
        <f t="shared" si="40"/>
        <v>736.73599999999999</v>
      </c>
      <c r="L128" s="2">
        <f t="shared" si="40"/>
        <v>910.91</v>
      </c>
      <c r="M128" s="2">
        <f t="shared" si="40"/>
        <v>1077.076</v>
      </c>
      <c r="N128" s="2">
        <f t="shared" si="40"/>
        <v>1237.2360000000001</v>
      </c>
      <c r="O128" s="2">
        <f t="shared" si="40"/>
        <v>1391.39</v>
      </c>
      <c r="P128" s="2">
        <f t="shared" si="40"/>
        <v>1553.5519999999999</v>
      </c>
      <c r="Q128" s="2">
        <f t="shared" si="40"/>
        <v>1725.7239999999999</v>
      </c>
      <c r="R128" s="2">
        <f t="shared" si="40"/>
        <v>1907.9059999999999</v>
      </c>
      <c r="S128" s="2">
        <f t="shared" si="40"/>
        <v>2102.1</v>
      </c>
      <c r="T128" s="2">
        <f t="shared" si="40"/>
        <v>2306.3040000000001</v>
      </c>
      <c r="U128" s="2">
        <f t="shared" si="40"/>
        <v>2508.5059999999999</v>
      </c>
      <c r="V128" s="2">
        <f t="shared" si="40"/>
        <v>2710.7080000000001</v>
      </c>
      <c r="W128" s="2">
        <f t="shared" si="40"/>
        <v>2710.7080000000001</v>
      </c>
      <c r="X128" s="2">
        <f t="shared" si="40"/>
        <v>2710.7080000000001</v>
      </c>
      <c r="Y128" s="2">
        <f t="shared" si="40"/>
        <v>2710.7080000000001</v>
      </c>
      <c r="Z128" s="2">
        <f t="shared" si="40"/>
        <v>2710.7080000000001</v>
      </c>
      <c r="AA128" s="2">
        <f t="shared" si="40"/>
        <v>2710.7080000000001</v>
      </c>
    </row>
    <row r="129" spans="1:27" x14ac:dyDescent="0.25">
      <c r="C129" s="1"/>
      <c r="D129" s="1"/>
      <c r="E129" t="s">
        <v>73</v>
      </c>
      <c r="F129" t="s">
        <v>7</v>
      </c>
      <c r="H129" s="2">
        <f>H112*H123+H119*H124+H120*H125+H121*H126</f>
        <v>730193.49474066065</v>
      </c>
      <c r="I129" s="2">
        <f t="shared" ref="I129:AA129" si="41">I112*I123+I119*I124+I120*I125+I121*I126</f>
        <v>1450200.206074893</v>
      </c>
      <c r="J129" s="2">
        <f t="shared" si="41"/>
        <v>2237075.6852819864</v>
      </c>
      <c r="K129" s="2">
        <f t="shared" si="41"/>
        <v>3023496.3060418344</v>
      </c>
      <c r="L129" s="2">
        <f t="shared" si="41"/>
        <v>3816794.365362131</v>
      </c>
      <c r="M129" s="2">
        <f t="shared" si="41"/>
        <v>4607818.7061641486</v>
      </c>
      <c r="N129" s="2">
        <f t="shared" si="41"/>
        <v>5404149.1293272153</v>
      </c>
      <c r="O129" s="2">
        <f t="shared" si="41"/>
        <v>6205108.7401698139</v>
      </c>
      <c r="P129" s="2">
        <f t="shared" si="41"/>
        <v>7073788.2509375289</v>
      </c>
      <c r="Q129" s="2">
        <f t="shared" si="41"/>
        <v>8022751.5299312118</v>
      </c>
      <c r="R129" s="2">
        <f t="shared" si="41"/>
        <v>9055964.6570683978</v>
      </c>
      <c r="S129" s="2">
        <f t="shared" si="41"/>
        <v>10187247.545236278</v>
      </c>
      <c r="T129" s="2">
        <f t="shared" si="41"/>
        <v>11411580.061644331</v>
      </c>
      <c r="U129" s="2">
        <f t="shared" si="41"/>
        <v>12672728.058509022</v>
      </c>
      <c r="V129" s="2">
        <f t="shared" si="41"/>
        <v>13981811.764434846</v>
      </c>
      <c r="W129" s="2">
        <f t="shared" si="41"/>
        <v>14275429.811487976</v>
      </c>
      <c r="X129" s="2">
        <f t="shared" si="41"/>
        <v>14575213.837529223</v>
      </c>
      <c r="Y129" s="2">
        <f t="shared" si="41"/>
        <v>14881293.328117335</v>
      </c>
      <c r="Z129" s="2">
        <f t="shared" si="41"/>
        <v>15193800.488007799</v>
      </c>
      <c r="AA129" s="2">
        <f t="shared" si="41"/>
        <v>15512870.298255961</v>
      </c>
    </row>
    <row r="130" spans="1:27" x14ac:dyDescent="0.25">
      <c r="C130" s="1"/>
      <c r="D130" s="1"/>
    </row>
    <row r="131" spans="1:27" x14ac:dyDescent="0.25">
      <c r="C131" s="1"/>
      <c r="D131" t="s">
        <v>74</v>
      </c>
    </row>
    <row r="132" spans="1:27" x14ac:dyDescent="0.25">
      <c r="A132" s="14">
        <f>'Notes &amp; Assumptions'!A38</f>
        <v>25</v>
      </c>
      <c r="C132" s="1"/>
      <c r="D132" s="1"/>
      <c r="E132" t="s">
        <v>87</v>
      </c>
      <c r="F132" t="s">
        <v>3</v>
      </c>
      <c r="H132" s="10">
        <v>0</v>
      </c>
      <c r="I132" s="10">
        <v>0</v>
      </c>
      <c r="J132" s="10">
        <v>0</v>
      </c>
      <c r="K132" s="10">
        <v>0</v>
      </c>
      <c r="L132" s="10">
        <v>0</v>
      </c>
      <c r="M132" s="10">
        <v>0</v>
      </c>
      <c r="N132" s="10">
        <v>0</v>
      </c>
      <c r="O132" s="10">
        <v>0</v>
      </c>
      <c r="P132" s="10">
        <v>0</v>
      </c>
      <c r="Q132" s="10">
        <v>0</v>
      </c>
      <c r="R132" s="10">
        <f>AVERAGE($O132:$Q132)</f>
        <v>0</v>
      </c>
      <c r="S132" s="10">
        <f t="shared" ref="S132:V132" si="42">AVERAGE($O132:$Q132)</f>
        <v>0</v>
      </c>
      <c r="T132" s="10">
        <f t="shared" si="42"/>
        <v>0</v>
      </c>
      <c r="U132" s="10">
        <f t="shared" si="42"/>
        <v>0</v>
      </c>
      <c r="V132" s="10">
        <f t="shared" si="42"/>
        <v>0</v>
      </c>
    </row>
    <row r="133" spans="1:27" x14ac:dyDescent="0.25">
      <c r="C133" s="1"/>
      <c r="D133" s="1"/>
      <c r="E133" t="s">
        <v>60</v>
      </c>
      <c r="F133" t="s">
        <v>3</v>
      </c>
      <c r="H133" s="2">
        <f>G133+H132</f>
        <v>0</v>
      </c>
      <c r="I133" s="2">
        <f t="shared" ref="I133:AA133" si="43">H133+I132</f>
        <v>0</v>
      </c>
      <c r="J133" s="2">
        <f t="shared" si="43"/>
        <v>0</v>
      </c>
      <c r="K133" s="2">
        <f t="shared" si="43"/>
        <v>0</v>
      </c>
      <c r="L133" s="2">
        <f t="shared" si="43"/>
        <v>0</v>
      </c>
      <c r="M133" s="2">
        <f t="shared" si="43"/>
        <v>0</v>
      </c>
      <c r="N133" s="2">
        <f t="shared" si="43"/>
        <v>0</v>
      </c>
      <c r="O133" s="2">
        <f t="shared" si="43"/>
        <v>0</v>
      </c>
      <c r="P133" s="2">
        <f t="shared" si="43"/>
        <v>0</v>
      </c>
      <c r="Q133" s="2">
        <f t="shared" si="43"/>
        <v>0</v>
      </c>
      <c r="R133" s="2">
        <f t="shared" si="43"/>
        <v>0</v>
      </c>
      <c r="S133" s="2">
        <f t="shared" si="43"/>
        <v>0</v>
      </c>
      <c r="T133" s="2">
        <f t="shared" si="43"/>
        <v>0</v>
      </c>
      <c r="U133" s="2">
        <f t="shared" si="43"/>
        <v>0</v>
      </c>
      <c r="V133" s="2">
        <f t="shared" si="43"/>
        <v>0</v>
      </c>
      <c r="W133" s="2">
        <f t="shared" si="43"/>
        <v>0</v>
      </c>
      <c r="X133" s="2">
        <f t="shared" si="43"/>
        <v>0</v>
      </c>
      <c r="Y133" s="2">
        <f t="shared" si="43"/>
        <v>0</v>
      </c>
      <c r="Z133" s="2">
        <f t="shared" si="43"/>
        <v>0</v>
      </c>
      <c r="AA133" s="2">
        <f t="shared" si="43"/>
        <v>0</v>
      </c>
    </row>
    <row r="134" spans="1:27" x14ac:dyDescent="0.25">
      <c r="A134" s="14">
        <f>'Notes &amp; Assumptions'!A39</f>
        <v>26</v>
      </c>
      <c r="C134" s="1"/>
      <c r="D134" s="1"/>
      <c r="E134" t="s">
        <v>61</v>
      </c>
      <c r="F134" t="s">
        <v>3</v>
      </c>
      <c r="G134" s="10">
        <v>1</v>
      </c>
    </row>
    <row r="135" spans="1:27" x14ac:dyDescent="0.25">
      <c r="C135" s="1"/>
      <c r="D135" s="1"/>
      <c r="E135" t="s">
        <v>88</v>
      </c>
      <c r="F135" t="s">
        <v>3</v>
      </c>
      <c r="H135">
        <f>H132*$G134</f>
        <v>0</v>
      </c>
      <c r="I135">
        <f t="shared" ref="I135:AA135" si="44">I132*$G134</f>
        <v>0</v>
      </c>
      <c r="J135">
        <f t="shared" si="44"/>
        <v>0</v>
      </c>
      <c r="K135">
        <f t="shared" si="44"/>
        <v>0</v>
      </c>
      <c r="L135">
        <f t="shared" si="44"/>
        <v>0</v>
      </c>
      <c r="M135">
        <f t="shared" si="44"/>
        <v>0</v>
      </c>
      <c r="N135">
        <f t="shared" si="44"/>
        <v>0</v>
      </c>
      <c r="O135">
        <f t="shared" si="44"/>
        <v>0</v>
      </c>
      <c r="P135">
        <f t="shared" si="44"/>
        <v>0</v>
      </c>
      <c r="Q135">
        <f t="shared" si="44"/>
        <v>0</v>
      </c>
      <c r="R135">
        <f t="shared" si="44"/>
        <v>0</v>
      </c>
      <c r="S135">
        <f t="shared" si="44"/>
        <v>0</v>
      </c>
      <c r="T135">
        <f t="shared" si="44"/>
        <v>0</v>
      </c>
      <c r="U135">
        <f t="shared" si="44"/>
        <v>0</v>
      </c>
      <c r="V135">
        <f t="shared" si="44"/>
        <v>0</v>
      </c>
      <c r="W135">
        <f t="shared" si="44"/>
        <v>0</v>
      </c>
      <c r="X135">
        <f t="shared" si="44"/>
        <v>0</v>
      </c>
      <c r="Y135">
        <f t="shared" si="44"/>
        <v>0</v>
      </c>
      <c r="Z135">
        <f t="shared" si="44"/>
        <v>0</v>
      </c>
      <c r="AA135">
        <f t="shared" si="44"/>
        <v>0</v>
      </c>
    </row>
    <row r="136" spans="1:27" x14ac:dyDescent="0.25">
      <c r="C136" s="1"/>
      <c r="D136" s="1"/>
      <c r="E136" t="s">
        <v>89</v>
      </c>
      <c r="F136" t="s">
        <v>3</v>
      </c>
      <c r="H136">
        <f>H133*$G134</f>
        <v>0</v>
      </c>
      <c r="I136">
        <f t="shared" ref="I136:AA136" si="45">I133*$G134</f>
        <v>0</v>
      </c>
      <c r="J136">
        <f t="shared" si="45"/>
        <v>0</v>
      </c>
      <c r="K136">
        <f t="shared" si="45"/>
        <v>0</v>
      </c>
      <c r="L136">
        <f t="shared" si="45"/>
        <v>0</v>
      </c>
      <c r="M136">
        <f t="shared" si="45"/>
        <v>0</v>
      </c>
      <c r="N136">
        <f t="shared" si="45"/>
        <v>0</v>
      </c>
      <c r="O136">
        <f t="shared" si="45"/>
        <v>0</v>
      </c>
      <c r="P136">
        <f t="shared" si="45"/>
        <v>0</v>
      </c>
      <c r="Q136">
        <f t="shared" si="45"/>
        <v>0</v>
      </c>
      <c r="R136">
        <f t="shared" si="45"/>
        <v>0</v>
      </c>
      <c r="S136">
        <f t="shared" si="45"/>
        <v>0</v>
      </c>
      <c r="T136">
        <f t="shared" si="45"/>
        <v>0</v>
      </c>
      <c r="U136">
        <f t="shared" si="45"/>
        <v>0</v>
      </c>
      <c r="V136">
        <f t="shared" si="45"/>
        <v>0</v>
      </c>
      <c r="W136">
        <f t="shared" si="45"/>
        <v>0</v>
      </c>
      <c r="X136">
        <f t="shared" si="45"/>
        <v>0</v>
      </c>
      <c r="Y136">
        <f t="shared" si="45"/>
        <v>0</v>
      </c>
      <c r="Z136">
        <f t="shared" si="45"/>
        <v>0</v>
      </c>
      <c r="AA136">
        <f t="shared" si="45"/>
        <v>0</v>
      </c>
    </row>
    <row r="137" spans="1:27" x14ac:dyDescent="0.25">
      <c r="A137" s="14">
        <f>'Notes &amp; Assumptions'!A40</f>
        <v>27</v>
      </c>
      <c r="C137" s="1"/>
      <c r="D137" s="1"/>
      <c r="E137" t="s">
        <v>62</v>
      </c>
      <c r="F137" t="s">
        <v>43</v>
      </c>
      <c r="H137" s="10"/>
      <c r="I137" s="10"/>
      <c r="J137" s="10"/>
      <c r="K137" s="10"/>
      <c r="L137" s="10"/>
      <c r="M137" s="10"/>
      <c r="N137" s="10"/>
      <c r="O137" s="10"/>
      <c r="P137" s="10"/>
      <c r="Q137" s="10"/>
      <c r="R137" s="10"/>
      <c r="S137" s="10"/>
      <c r="T137" s="10"/>
      <c r="U137" s="10"/>
      <c r="V137" s="10"/>
      <c r="W137" s="10"/>
      <c r="X137" s="10"/>
      <c r="Y137" s="10"/>
      <c r="Z137" s="10"/>
      <c r="AA137" s="10"/>
    </row>
    <row r="138" spans="1:27" x14ac:dyDescent="0.25">
      <c r="C138" s="1"/>
      <c r="D138" s="1"/>
      <c r="E138" t="s">
        <v>63</v>
      </c>
      <c r="F138" t="s">
        <v>43</v>
      </c>
      <c r="H138" s="10"/>
      <c r="I138" s="10"/>
      <c r="J138" s="10"/>
      <c r="K138" s="10"/>
      <c r="L138" s="10"/>
      <c r="M138" s="10"/>
      <c r="N138" s="10"/>
      <c r="O138" s="10"/>
      <c r="P138" s="10"/>
      <c r="Q138" s="10"/>
      <c r="R138" s="10"/>
      <c r="S138" s="10"/>
      <c r="T138" s="10"/>
      <c r="U138" s="10"/>
      <c r="V138" s="10"/>
      <c r="W138" s="10"/>
      <c r="X138" s="10"/>
      <c r="Y138" s="10"/>
      <c r="Z138" s="10"/>
      <c r="AA138" s="10"/>
    </row>
    <row r="139" spans="1:27" x14ac:dyDescent="0.25">
      <c r="A139" s="14">
        <f>'Notes &amp; Assumptions'!A41</f>
        <v>28</v>
      </c>
      <c r="C139" s="1"/>
      <c r="D139" s="1"/>
      <c r="E139" t="s">
        <v>140</v>
      </c>
      <c r="F139" t="s">
        <v>43</v>
      </c>
      <c r="H139" s="10"/>
      <c r="I139" s="10"/>
      <c r="J139" s="10"/>
      <c r="K139" s="10"/>
      <c r="L139" s="10"/>
      <c r="M139" s="10"/>
      <c r="N139" s="10"/>
      <c r="O139" s="10"/>
      <c r="P139" s="10"/>
      <c r="Q139" s="10"/>
      <c r="R139" s="10"/>
      <c r="S139" s="10"/>
      <c r="T139" s="10"/>
      <c r="U139" s="10"/>
      <c r="V139" s="10"/>
      <c r="W139" s="10"/>
      <c r="X139" s="10"/>
      <c r="Y139" s="10"/>
      <c r="Z139" s="10"/>
      <c r="AA139" s="10"/>
    </row>
    <row r="140" spans="1:27" x14ac:dyDescent="0.25">
      <c r="C140" s="1"/>
      <c r="D140" s="1"/>
      <c r="E140" t="s">
        <v>64</v>
      </c>
      <c r="F140" t="s">
        <v>144</v>
      </c>
      <c r="H140" s="2">
        <f>H133*H137</f>
        <v>0</v>
      </c>
      <c r="I140" s="2">
        <f t="shared" ref="I140:AA140" si="46">I133*I137</f>
        <v>0</v>
      </c>
      <c r="J140" s="2">
        <f t="shared" si="46"/>
        <v>0</v>
      </c>
      <c r="K140" s="2">
        <f t="shared" si="46"/>
        <v>0</v>
      </c>
      <c r="L140" s="2">
        <f t="shared" si="46"/>
        <v>0</v>
      </c>
      <c r="M140" s="2">
        <f t="shared" si="46"/>
        <v>0</v>
      </c>
      <c r="N140" s="2">
        <f t="shared" si="46"/>
        <v>0</v>
      </c>
      <c r="O140" s="2">
        <f t="shared" si="46"/>
        <v>0</v>
      </c>
      <c r="P140" s="2">
        <f t="shared" si="46"/>
        <v>0</v>
      </c>
      <c r="Q140" s="2">
        <f t="shared" si="46"/>
        <v>0</v>
      </c>
      <c r="R140" s="2">
        <f t="shared" si="46"/>
        <v>0</v>
      </c>
      <c r="S140" s="2">
        <f t="shared" si="46"/>
        <v>0</v>
      </c>
      <c r="T140" s="2">
        <f t="shared" si="46"/>
        <v>0</v>
      </c>
      <c r="U140" s="2">
        <f t="shared" si="46"/>
        <v>0</v>
      </c>
      <c r="V140" s="2">
        <f t="shared" si="46"/>
        <v>0</v>
      </c>
      <c r="W140" s="2">
        <f t="shared" si="46"/>
        <v>0</v>
      </c>
      <c r="X140" s="2">
        <f t="shared" si="46"/>
        <v>0</v>
      </c>
      <c r="Y140" s="2">
        <f t="shared" si="46"/>
        <v>0</v>
      </c>
      <c r="Z140" s="2">
        <f t="shared" si="46"/>
        <v>0</v>
      </c>
      <c r="AA140" s="2">
        <f t="shared" si="46"/>
        <v>0</v>
      </c>
    </row>
    <row r="141" spans="1:27" x14ac:dyDescent="0.25">
      <c r="C141" s="1"/>
      <c r="D141" s="1"/>
      <c r="E141" t="s">
        <v>65</v>
      </c>
      <c r="F141" t="s">
        <v>144</v>
      </c>
      <c r="H141" s="2">
        <f>H133*H138</f>
        <v>0</v>
      </c>
      <c r="I141" s="2">
        <f t="shared" ref="I141:AA141" si="47">I133*I138</f>
        <v>0</v>
      </c>
      <c r="J141" s="2">
        <f t="shared" si="47"/>
        <v>0</v>
      </c>
      <c r="K141" s="2">
        <f t="shared" si="47"/>
        <v>0</v>
      </c>
      <c r="L141" s="2">
        <f t="shared" si="47"/>
        <v>0</v>
      </c>
      <c r="M141" s="2">
        <f t="shared" si="47"/>
        <v>0</v>
      </c>
      <c r="N141" s="2">
        <f t="shared" si="47"/>
        <v>0</v>
      </c>
      <c r="O141" s="2">
        <f t="shared" si="47"/>
        <v>0</v>
      </c>
      <c r="P141" s="2">
        <f t="shared" si="47"/>
        <v>0</v>
      </c>
      <c r="Q141" s="2">
        <f t="shared" si="47"/>
        <v>0</v>
      </c>
      <c r="R141" s="2">
        <f t="shared" si="47"/>
        <v>0</v>
      </c>
      <c r="S141" s="2">
        <f t="shared" si="47"/>
        <v>0</v>
      </c>
      <c r="T141" s="2">
        <f t="shared" si="47"/>
        <v>0</v>
      </c>
      <c r="U141" s="2">
        <f t="shared" si="47"/>
        <v>0</v>
      </c>
      <c r="V141" s="2">
        <f t="shared" si="47"/>
        <v>0</v>
      </c>
      <c r="W141" s="2">
        <f t="shared" si="47"/>
        <v>0</v>
      </c>
      <c r="X141" s="2">
        <f t="shared" si="47"/>
        <v>0</v>
      </c>
      <c r="Y141" s="2">
        <f t="shared" si="47"/>
        <v>0</v>
      </c>
      <c r="Z141" s="2">
        <f t="shared" si="47"/>
        <v>0</v>
      </c>
      <c r="AA141" s="2">
        <f t="shared" si="47"/>
        <v>0</v>
      </c>
    </row>
    <row r="142" spans="1:27" x14ac:dyDescent="0.25">
      <c r="C142" s="1"/>
      <c r="D142" s="1"/>
      <c r="E142" t="s">
        <v>141</v>
      </c>
      <c r="F142" t="s">
        <v>144</v>
      </c>
      <c r="H142" s="2">
        <f>H133*H139</f>
        <v>0</v>
      </c>
      <c r="I142" s="2">
        <f t="shared" ref="I142:AA142" si="48">I133*I139</f>
        <v>0</v>
      </c>
      <c r="J142" s="2">
        <f t="shared" si="48"/>
        <v>0</v>
      </c>
      <c r="K142" s="2">
        <f t="shared" si="48"/>
        <v>0</v>
      </c>
      <c r="L142" s="2">
        <f t="shared" si="48"/>
        <v>0</v>
      </c>
      <c r="M142" s="2">
        <f t="shared" si="48"/>
        <v>0</v>
      </c>
      <c r="N142" s="2">
        <f t="shared" si="48"/>
        <v>0</v>
      </c>
      <c r="O142" s="2">
        <f t="shared" si="48"/>
        <v>0</v>
      </c>
      <c r="P142" s="2">
        <f t="shared" si="48"/>
        <v>0</v>
      </c>
      <c r="Q142" s="2">
        <f t="shared" si="48"/>
        <v>0</v>
      </c>
      <c r="R142" s="2">
        <f t="shared" si="48"/>
        <v>0</v>
      </c>
      <c r="S142" s="2">
        <f t="shared" si="48"/>
        <v>0</v>
      </c>
      <c r="T142" s="2">
        <f t="shared" si="48"/>
        <v>0</v>
      </c>
      <c r="U142" s="2">
        <f t="shared" si="48"/>
        <v>0</v>
      </c>
      <c r="V142" s="2">
        <f t="shared" si="48"/>
        <v>0</v>
      </c>
      <c r="W142" s="2">
        <f t="shared" si="48"/>
        <v>0</v>
      </c>
      <c r="X142" s="2">
        <f t="shared" si="48"/>
        <v>0</v>
      </c>
      <c r="Y142" s="2">
        <f t="shared" si="48"/>
        <v>0</v>
      </c>
      <c r="Z142" s="2">
        <f t="shared" si="48"/>
        <v>0</v>
      </c>
      <c r="AA142" s="2">
        <f t="shared" si="48"/>
        <v>0</v>
      </c>
    </row>
    <row r="143" spans="1:27" x14ac:dyDescent="0.25">
      <c r="A143" s="14">
        <f>'Notes &amp; Assumptions'!A42</f>
        <v>29</v>
      </c>
      <c r="C143" s="1"/>
      <c r="D143" s="1"/>
      <c r="E143" t="s">
        <v>66</v>
      </c>
      <c r="F143" t="s">
        <v>8</v>
      </c>
      <c r="H143" s="11"/>
      <c r="I143" s="11"/>
      <c r="J143" s="11"/>
      <c r="K143" s="11"/>
      <c r="L143" s="11"/>
      <c r="M143" s="11"/>
      <c r="N143" s="11"/>
      <c r="O143" s="11"/>
      <c r="P143" s="11"/>
      <c r="Q143" s="11"/>
      <c r="R143" s="11"/>
      <c r="S143" s="11"/>
      <c r="T143" s="11"/>
      <c r="U143" s="11"/>
      <c r="V143" s="11"/>
      <c r="W143" s="11"/>
      <c r="X143" s="11"/>
      <c r="Y143" s="11"/>
      <c r="Z143" s="11"/>
      <c r="AA143" s="11"/>
    </row>
    <row r="144" spans="1:27" x14ac:dyDescent="0.25">
      <c r="A144" s="14">
        <f>'Notes &amp; Assumptions'!A43</f>
        <v>30</v>
      </c>
      <c r="C144" s="1"/>
      <c r="D144" s="1"/>
      <c r="E144" t="s">
        <v>40</v>
      </c>
      <c r="F144" t="s">
        <v>41</v>
      </c>
      <c r="G144" s="10"/>
      <c r="H144" s="2">
        <f>G144*(1+$G$14)*(1+H143)</f>
        <v>0</v>
      </c>
      <c r="I144" s="2">
        <f t="shared" ref="I144:AA144" si="49">H144*(1+$G$14)*(1+I143)</f>
        <v>0</v>
      </c>
      <c r="J144" s="2">
        <f t="shared" si="49"/>
        <v>0</v>
      </c>
      <c r="K144" s="2">
        <f t="shared" si="49"/>
        <v>0</v>
      </c>
      <c r="L144" s="2">
        <f t="shared" si="49"/>
        <v>0</v>
      </c>
      <c r="M144" s="2">
        <f t="shared" si="49"/>
        <v>0</v>
      </c>
      <c r="N144" s="2">
        <f t="shared" si="49"/>
        <v>0</v>
      </c>
      <c r="O144" s="2">
        <f t="shared" si="49"/>
        <v>0</v>
      </c>
      <c r="P144" s="2">
        <f t="shared" si="49"/>
        <v>0</v>
      </c>
      <c r="Q144" s="2">
        <f t="shared" si="49"/>
        <v>0</v>
      </c>
      <c r="R144" s="2">
        <f t="shared" si="49"/>
        <v>0</v>
      </c>
      <c r="S144" s="2">
        <f t="shared" si="49"/>
        <v>0</v>
      </c>
      <c r="T144" s="2">
        <f t="shared" si="49"/>
        <v>0</v>
      </c>
      <c r="U144" s="2">
        <f t="shared" si="49"/>
        <v>0</v>
      </c>
      <c r="V144" s="2">
        <f t="shared" si="49"/>
        <v>0</v>
      </c>
      <c r="W144" s="2">
        <f t="shared" si="49"/>
        <v>0</v>
      </c>
      <c r="X144" s="2">
        <f t="shared" si="49"/>
        <v>0</v>
      </c>
      <c r="Y144" s="2">
        <f t="shared" si="49"/>
        <v>0</v>
      </c>
      <c r="Z144" s="2">
        <f t="shared" si="49"/>
        <v>0</v>
      </c>
      <c r="AA144" s="2">
        <f t="shared" si="49"/>
        <v>0</v>
      </c>
    </row>
    <row r="145" spans="1:27" x14ac:dyDescent="0.25">
      <c r="C145" s="1"/>
      <c r="D145" s="1"/>
      <c r="E145" t="s">
        <v>67</v>
      </c>
      <c r="F145" t="s">
        <v>143</v>
      </c>
      <c r="G145" s="20"/>
      <c r="H145" s="21">
        <f>G145*(1+$G$14)*(1+H143)</f>
        <v>0</v>
      </c>
      <c r="I145" s="21">
        <f t="shared" ref="I145:AA145" si="50">H145*(1+$G$14)*(1+I143)</f>
        <v>0</v>
      </c>
      <c r="J145" s="21">
        <f t="shared" si="50"/>
        <v>0</v>
      </c>
      <c r="K145" s="21">
        <f t="shared" si="50"/>
        <v>0</v>
      </c>
      <c r="L145" s="21">
        <f t="shared" si="50"/>
        <v>0</v>
      </c>
      <c r="M145" s="21">
        <f t="shared" si="50"/>
        <v>0</v>
      </c>
      <c r="N145" s="21">
        <f t="shared" si="50"/>
        <v>0</v>
      </c>
      <c r="O145" s="21">
        <f t="shared" si="50"/>
        <v>0</v>
      </c>
      <c r="P145" s="21">
        <f t="shared" si="50"/>
        <v>0</v>
      </c>
      <c r="Q145" s="21">
        <f t="shared" si="50"/>
        <v>0</v>
      </c>
      <c r="R145" s="21">
        <f t="shared" si="50"/>
        <v>0</v>
      </c>
      <c r="S145" s="21">
        <f t="shared" si="50"/>
        <v>0</v>
      </c>
      <c r="T145" s="21">
        <f t="shared" si="50"/>
        <v>0</v>
      </c>
      <c r="U145" s="21">
        <f t="shared" si="50"/>
        <v>0</v>
      </c>
      <c r="V145" s="21">
        <f t="shared" si="50"/>
        <v>0</v>
      </c>
      <c r="W145" s="21">
        <f t="shared" si="50"/>
        <v>0</v>
      </c>
      <c r="X145" s="21">
        <f t="shared" si="50"/>
        <v>0</v>
      </c>
      <c r="Y145" s="21">
        <f t="shared" si="50"/>
        <v>0</v>
      </c>
      <c r="Z145" s="21">
        <f t="shared" si="50"/>
        <v>0</v>
      </c>
      <c r="AA145" s="21">
        <f t="shared" si="50"/>
        <v>0</v>
      </c>
    </row>
    <row r="146" spans="1:27" x14ac:dyDescent="0.25">
      <c r="C146" s="1"/>
      <c r="D146" s="1"/>
      <c r="E146" t="s">
        <v>68</v>
      </c>
      <c r="F146" t="s">
        <v>143</v>
      </c>
      <c r="G146" s="20"/>
      <c r="H146" s="21">
        <f>G146*(1+$G$14)*(1+H143)</f>
        <v>0</v>
      </c>
      <c r="I146" s="21">
        <f t="shared" ref="I146:AA146" si="51">H146*(1+$G$14)*(1+I143)</f>
        <v>0</v>
      </c>
      <c r="J146" s="21">
        <f t="shared" si="51"/>
        <v>0</v>
      </c>
      <c r="K146" s="21">
        <f t="shared" si="51"/>
        <v>0</v>
      </c>
      <c r="L146" s="21">
        <f t="shared" si="51"/>
        <v>0</v>
      </c>
      <c r="M146" s="21">
        <f t="shared" si="51"/>
        <v>0</v>
      </c>
      <c r="N146" s="21">
        <f t="shared" si="51"/>
        <v>0</v>
      </c>
      <c r="O146" s="21">
        <f t="shared" si="51"/>
        <v>0</v>
      </c>
      <c r="P146" s="21">
        <f t="shared" si="51"/>
        <v>0</v>
      </c>
      <c r="Q146" s="21">
        <f t="shared" si="51"/>
        <v>0</v>
      </c>
      <c r="R146" s="21">
        <f t="shared" si="51"/>
        <v>0</v>
      </c>
      <c r="S146" s="21">
        <f t="shared" si="51"/>
        <v>0</v>
      </c>
      <c r="T146" s="21">
        <f t="shared" si="51"/>
        <v>0</v>
      </c>
      <c r="U146" s="21">
        <f t="shared" si="51"/>
        <v>0</v>
      </c>
      <c r="V146" s="21">
        <f t="shared" si="51"/>
        <v>0</v>
      </c>
      <c r="W146" s="21">
        <f t="shared" si="51"/>
        <v>0</v>
      </c>
      <c r="X146" s="21">
        <f t="shared" si="51"/>
        <v>0</v>
      </c>
      <c r="Y146" s="21">
        <f t="shared" si="51"/>
        <v>0</v>
      </c>
      <c r="Z146" s="21">
        <f t="shared" si="51"/>
        <v>0</v>
      </c>
      <c r="AA146" s="21">
        <f t="shared" si="51"/>
        <v>0</v>
      </c>
    </row>
    <row r="147" spans="1:27" x14ac:dyDescent="0.25">
      <c r="C147" s="1"/>
      <c r="D147" s="1"/>
      <c r="E147" t="s">
        <v>142</v>
      </c>
      <c r="F147" t="s">
        <v>143</v>
      </c>
      <c r="G147" s="20"/>
      <c r="H147" s="21">
        <f>G147*(1+$G$14)*(1+H143)</f>
        <v>0</v>
      </c>
      <c r="I147" s="21">
        <f t="shared" ref="I147:AA147" si="52">H147*(1+$G$14)*(1+I143)</f>
        <v>0</v>
      </c>
      <c r="J147" s="21">
        <f t="shared" si="52"/>
        <v>0</v>
      </c>
      <c r="K147" s="21">
        <f t="shared" si="52"/>
        <v>0</v>
      </c>
      <c r="L147" s="21">
        <f t="shared" si="52"/>
        <v>0</v>
      </c>
      <c r="M147" s="21">
        <f t="shared" si="52"/>
        <v>0</v>
      </c>
      <c r="N147" s="21">
        <f t="shared" si="52"/>
        <v>0</v>
      </c>
      <c r="O147" s="21">
        <f t="shared" si="52"/>
        <v>0</v>
      </c>
      <c r="P147" s="21">
        <f t="shared" si="52"/>
        <v>0</v>
      </c>
      <c r="Q147" s="21">
        <f t="shared" si="52"/>
        <v>0</v>
      </c>
      <c r="R147" s="21">
        <f t="shared" si="52"/>
        <v>0</v>
      </c>
      <c r="S147" s="21">
        <f t="shared" si="52"/>
        <v>0</v>
      </c>
      <c r="T147" s="21">
        <f t="shared" si="52"/>
        <v>0</v>
      </c>
      <c r="U147" s="21">
        <f t="shared" si="52"/>
        <v>0</v>
      </c>
      <c r="V147" s="21">
        <f t="shared" si="52"/>
        <v>0</v>
      </c>
      <c r="W147" s="21">
        <f t="shared" si="52"/>
        <v>0</v>
      </c>
      <c r="X147" s="21">
        <f t="shared" si="52"/>
        <v>0</v>
      </c>
      <c r="Y147" s="21">
        <f t="shared" si="52"/>
        <v>0</v>
      </c>
      <c r="Z147" s="21">
        <f t="shared" si="52"/>
        <v>0</v>
      </c>
      <c r="AA147" s="21">
        <f t="shared" si="52"/>
        <v>0</v>
      </c>
    </row>
    <row r="148" spans="1:27" x14ac:dyDescent="0.25">
      <c r="C148" s="1"/>
      <c r="D148" s="1"/>
    </row>
    <row r="149" spans="1:27" x14ac:dyDescent="0.25">
      <c r="C149" s="1"/>
      <c r="D149" s="1"/>
      <c r="E149" t="s">
        <v>75</v>
      </c>
      <c r="F149" t="s">
        <v>58</v>
      </c>
      <c r="H149" s="2">
        <f>SUM(H140:H142)/1000</f>
        <v>0</v>
      </c>
      <c r="I149" s="2">
        <f t="shared" ref="I149:AA149" si="53">SUM(I140:I142)/1000</f>
        <v>0</v>
      </c>
      <c r="J149" s="2">
        <f t="shared" si="53"/>
        <v>0</v>
      </c>
      <c r="K149" s="2">
        <f t="shared" si="53"/>
        <v>0</v>
      </c>
      <c r="L149" s="2">
        <f t="shared" si="53"/>
        <v>0</v>
      </c>
      <c r="M149" s="2">
        <f t="shared" si="53"/>
        <v>0</v>
      </c>
      <c r="N149" s="2">
        <f t="shared" si="53"/>
        <v>0</v>
      </c>
      <c r="O149" s="2">
        <f t="shared" si="53"/>
        <v>0</v>
      </c>
      <c r="P149" s="2">
        <f t="shared" si="53"/>
        <v>0</v>
      </c>
      <c r="Q149" s="2">
        <f t="shared" si="53"/>
        <v>0</v>
      </c>
      <c r="R149" s="2">
        <f t="shared" si="53"/>
        <v>0</v>
      </c>
      <c r="S149" s="2">
        <f t="shared" si="53"/>
        <v>0</v>
      </c>
      <c r="T149" s="2">
        <f t="shared" si="53"/>
        <v>0</v>
      </c>
      <c r="U149" s="2">
        <f t="shared" si="53"/>
        <v>0</v>
      </c>
      <c r="V149" s="2">
        <f t="shared" si="53"/>
        <v>0</v>
      </c>
      <c r="W149" s="2">
        <f t="shared" si="53"/>
        <v>0</v>
      </c>
      <c r="X149" s="2">
        <f t="shared" si="53"/>
        <v>0</v>
      </c>
      <c r="Y149" s="2">
        <f t="shared" si="53"/>
        <v>0</v>
      </c>
      <c r="Z149" s="2">
        <f t="shared" si="53"/>
        <v>0</v>
      </c>
      <c r="AA149" s="2">
        <f t="shared" si="53"/>
        <v>0</v>
      </c>
    </row>
    <row r="150" spans="1:27" x14ac:dyDescent="0.25">
      <c r="C150" s="1"/>
      <c r="D150" s="1"/>
      <c r="E150" t="s">
        <v>76</v>
      </c>
      <c r="F150" t="s">
        <v>7</v>
      </c>
      <c r="H150" s="2">
        <f>H133*H144+H140*H145+H141*H146+H142*H147</f>
        <v>0</v>
      </c>
      <c r="I150" s="2">
        <f t="shared" ref="I150:AA150" si="54">I133*I144+I140*I145+I141*I146+I142*I147</f>
        <v>0</v>
      </c>
      <c r="J150" s="2">
        <f t="shared" si="54"/>
        <v>0</v>
      </c>
      <c r="K150" s="2">
        <f t="shared" si="54"/>
        <v>0</v>
      </c>
      <c r="L150" s="2">
        <f t="shared" si="54"/>
        <v>0</v>
      </c>
      <c r="M150" s="2">
        <f t="shared" si="54"/>
        <v>0</v>
      </c>
      <c r="N150" s="2">
        <f t="shared" si="54"/>
        <v>0</v>
      </c>
      <c r="O150" s="2">
        <f t="shared" si="54"/>
        <v>0</v>
      </c>
      <c r="P150" s="2">
        <f t="shared" si="54"/>
        <v>0</v>
      </c>
      <c r="Q150" s="2">
        <f t="shared" si="54"/>
        <v>0</v>
      </c>
      <c r="R150" s="2">
        <f t="shared" si="54"/>
        <v>0</v>
      </c>
      <c r="S150" s="2">
        <f t="shared" si="54"/>
        <v>0</v>
      </c>
      <c r="T150" s="2">
        <f t="shared" si="54"/>
        <v>0</v>
      </c>
      <c r="U150" s="2">
        <f t="shared" si="54"/>
        <v>0</v>
      </c>
      <c r="V150" s="2">
        <f t="shared" si="54"/>
        <v>0</v>
      </c>
      <c r="W150" s="2">
        <f t="shared" si="54"/>
        <v>0</v>
      </c>
      <c r="X150" s="2">
        <f t="shared" si="54"/>
        <v>0</v>
      </c>
      <c r="Y150" s="2">
        <f t="shared" si="54"/>
        <v>0</v>
      </c>
      <c r="Z150" s="2">
        <f t="shared" si="54"/>
        <v>0</v>
      </c>
      <c r="AA150" s="2">
        <f t="shared" si="54"/>
        <v>0</v>
      </c>
    </row>
    <row r="151" spans="1:27" x14ac:dyDescent="0.25">
      <c r="C151" s="1"/>
      <c r="D151" s="1"/>
    </row>
    <row r="152" spans="1:27" x14ac:dyDescent="0.25">
      <c r="C152" s="1"/>
      <c r="D152" t="s">
        <v>77</v>
      </c>
    </row>
    <row r="153" spans="1:27" x14ac:dyDescent="0.25">
      <c r="A153" s="14">
        <f>'Notes &amp; Assumptions'!A44</f>
        <v>31</v>
      </c>
      <c r="C153" s="1"/>
      <c r="D153" s="1"/>
      <c r="E153" t="s">
        <v>87</v>
      </c>
      <c r="F153" t="s">
        <v>3</v>
      </c>
      <c r="H153" s="10">
        <v>0</v>
      </c>
      <c r="I153" s="10">
        <v>0</v>
      </c>
      <c r="J153" s="10">
        <v>0</v>
      </c>
      <c r="K153" s="10">
        <v>0</v>
      </c>
      <c r="L153" s="10">
        <v>0</v>
      </c>
      <c r="M153" s="10">
        <v>0</v>
      </c>
      <c r="N153" s="10">
        <v>0</v>
      </c>
      <c r="O153" s="10">
        <v>0</v>
      </c>
      <c r="P153" s="10">
        <v>0</v>
      </c>
      <c r="Q153" s="10">
        <v>0</v>
      </c>
      <c r="R153" s="10">
        <f>AVERAGE($O153:$Q153)</f>
        <v>0</v>
      </c>
      <c r="S153" s="10">
        <f t="shared" ref="S153:V153" si="55">AVERAGE($O153:$Q153)</f>
        <v>0</v>
      </c>
      <c r="T153" s="10">
        <f t="shared" si="55"/>
        <v>0</v>
      </c>
      <c r="U153" s="10">
        <f t="shared" si="55"/>
        <v>0</v>
      </c>
      <c r="V153" s="10">
        <f t="shared" si="55"/>
        <v>0</v>
      </c>
    </row>
    <row r="154" spans="1:27" x14ac:dyDescent="0.25">
      <c r="C154" s="1"/>
      <c r="D154" s="1"/>
      <c r="E154" t="s">
        <v>60</v>
      </c>
      <c r="F154" t="s">
        <v>3</v>
      </c>
      <c r="H154" s="2">
        <f>G154+H153</f>
        <v>0</v>
      </c>
      <c r="I154" s="2">
        <f t="shared" ref="I154:AA154" si="56">H154+I153</f>
        <v>0</v>
      </c>
      <c r="J154" s="2">
        <f t="shared" si="56"/>
        <v>0</v>
      </c>
      <c r="K154" s="2">
        <f t="shared" si="56"/>
        <v>0</v>
      </c>
      <c r="L154" s="2">
        <f t="shared" si="56"/>
        <v>0</v>
      </c>
      <c r="M154" s="2">
        <f t="shared" si="56"/>
        <v>0</v>
      </c>
      <c r="N154" s="2">
        <f t="shared" si="56"/>
        <v>0</v>
      </c>
      <c r="O154" s="2">
        <f t="shared" si="56"/>
        <v>0</v>
      </c>
      <c r="P154" s="2">
        <f t="shared" si="56"/>
        <v>0</v>
      </c>
      <c r="Q154" s="2">
        <f t="shared" si="56"/>
        <v>0</v>
      </c>
      <c r="R154" s="2">
        <f t="shared" si="56"/>
        <v>0</v>
      </c>
      <c r="S154" s="2">
        <f t="shared" si="56"/>
        <v>0</v>
      </c>
      <c r="T154" s="2">
        <f t="shared" si="56"/>
        <v>0</v>
      </c>
      <c r="U154" s="2">
        <f t="shared" si="56"/>
        <v>0</v>
      </c>
      <c r="V154" s="2">
        <f t="shared" si="56"/>
        <v>0</v>
      </c>
      <c r="W154" s="2">
        <f t="shared" si="56"/>
        <v>0</v>
      </c>
      <c r="X154" s="2">
        <f t="shared" si="56"/>
        <v>0</v>
      </c>
      <c r="Y154" s="2">
        <f t="shared" si="56"/>
        <v>0</v>
      </c>
      <c r="Z154" s="2">
        <f t="shared" si="56"/>
        <v>0</v>
      </c>
      <c r="AA154" s="2">
        <f t="shared" si="56"/>
        <v>0</v>
      </c>
    </row>
    <row r="155" spans="1:27" x14ac:dyDescent="0.25">
      <c r="A155" s="14">
        <f>'Notes &amp; Assumptions'!A45</f>
        <v>32</v>
      </c>
      <c r="C155" s="1"/>
      <c r="D155" s="1"/>
      <c r="E155" t="s">
        <v>61</v>
      </c>
      <c r="F155" t="s">
        <v>3</v>
      </c>
      <c r="G155" s="10">
        <v>1</v>
      </c>
    </row>
    <row r="156" spans="1:27" x14ac:dyDescent="0.25">
      <c r="C156" s="1"/>
      <c r="D156" s="1"/>
      <c r="E156" t="s">
        <v>88</v>
      </c>
      <c r="F156" t="s">
        <v>3</v>
      </c>
      <c r="H156">
        <f>H153*$G155</f>
        <v>0</v>
      </c>
      <c r="I156">
        <f t="shared" ref="I156:AA156" si="57">I153*$G155</f>
        <v>0</v>
      </c>
      <c r="J156">
        <f t="shared" si="57"/>
        <v>0</v>
      </c>
      <c r="K156">
        <f t="shared" si="57"/>
        <v>0</v>
      </c>
      <c r="L156">
        <f t="shared" si="57"/>
        <v>0</v>
      </c>
      <c r="M156">
        <f t="shared" si="57"/>
        <v>0</v>
      </c>
      <c r="N156">
        <f t="shared" si="57"/>
        <v>0</v>
      </c>
      <c r="O156">
        <f t="shared" si="57"/>
        <v>0</v>
      </c>
      <c r="P156">
        <f t="shared" si="57"/>
        <v>0</v>
      </c>
      <c r="Q156">
        <f t="shared" si="57"/>
        <v>0</v>
      </c>
      <c r="R156">
        <f t="shared" si="57"/>
        <v>0</v>
      </c>
      <c r="S156">
        <f t="shared" si="57"/>
        <v>0</v>
      </c>
      <c r="T156">
        <f t="shared" si="57"/>
        <v>0</v>
      </c>
      <c r="U156">
        <f t="shared" si="57"/>
        <v>0</v>
      </c>
      <c r="V156">
        <f t="shared" si="57"/>
        <v>0</v>
      </c>
      <c r="W156">
        <f t="shared" si="57"/>
        <v>0</v>
      </c>
      <c r="X156">
        <f t="shared" si="57"/>
        <v>0</v>
      </c>
      <c r="Y156">
        <f t="shared" si="57"/>
        <v>0</v>
      </c>
      <c r="Z156">
        <f t="shared" si="57"/>
        <v>0</v>
      </c>
      <c r="AA156">
        <f t="shared" si="57"/>
        <v>0</v>
      </c>
    </row>
    <row r="157" spans="1:27" x14ac:dyDescent="0.25">
      <c r="C157" s="1"/>
      <c r="D157" s="1"/>
      <c r="E157" t="s">
        <v>89</v>
      </c>
      <c r="F157" t="s">
        <v>3</v>
      </c>
      <c r="H157">
        <f>H154*$G155</f>
        <v>0</v>
      </c>
      <c r="I157">
        <f t="shared" ref="I157:AA157" si="58">I154*$G155</f>
        <v>0</v>
      </c>
      <c r="J157">
        <f t="shared" si="58"/>
        <v>0</v>
      </c>
      <c r="K157">
        <f t="shared" si="58"/>
        <v>0</v>
      </c>
      <c r="L157">
        <f t="shared" si="58"/>
        <v>0</v>
      </c>
      <c r="M157">
        <f t="shared" si="58"/>
        <v>0</v>
      </c>
      <c r="N157">
        <f t="shared" si="58"/>
        <v>0</v>
      </c>
      <c r="O157">
        <f t="shared" si="58"/>
        <v>0</v>
      </c>
      <c r="P157">
        <f t="shared" si="58"/>
        <v>0</v>
      </c>
      <c r="Q157">
        <f t="shared" si="58"/>
        <v>0</v>
      </c>
      <c r="R157">
        <f t="shared" si="58"/>
        <v>0</v>
      </c>
      <c r="S157">
        <f t="shared" si="58"/>
        <v>0</v>
      </c>
      <c r="T157">
        <f t="shared" si="58"/>
        <v>0</v>
      </c>
      <c r="U157">
        <f t="shared" si="58"/>
        <v>0</v>
      </c>
      <c r="V157">
        <f t="shared" si="58"/>
        <v>0</v>
      </c>
      <c r="W157">
        <f t="shared" si="58"/>
        <v>0</v>
      </c>
      <c r="X157">
        <f t="shared" si="58"/>
        <v>0</v>
      </c>
      <c r="Y157">
        <f t="shared" si="58"/>
        <v>0</v>
      </c>
      <c r="Z157">
        <f t="shared" si="58"/>
        <v>0</v>
      </c>
      <c r="AA157">
        <f t="shared" si="58"/>
        <v>0</v>
      </c>
    </row>
    <row r="158" spans="1:27" x14ac:dyDescent="0.25">
      <c r="A158" s="14">
        <f>'Notes &amp; Assumptions'!A46</f>
        <v>33</v>
      </c>
      <c r="C158" s="1"/>
      <c r="D158" s="1"/>
      <c r="E158" t="s">
        <v>62</v>
      </c>
      <c r="F158" t="s">
        <v>43</v>
      </c>
      <c r="H158" s="10"/>
      <c r="I158" s="10"/>
      <c r="J158" s="10"/>
      <c r="K158" s="10"/>
      <c r="L158" s="10"/>
      <c r="M158" s="10"/>
      <c r="N158" s="10"/>
      <c r="O158" s="10"/>
      <c r="P158" s="10"/>
      <c r="Q158" s="10"/>
      <c r="R158" s="10"/>
      <c r="S158" s="10"/>
      <c r="T158" s="10"/>
      <c r="U158" s="10"/>
      <c r="V158" s="10"/>
      <c r="W158" s="10"/>
      <c r="X158" s="10"/>
      <c r="Y158" s="10"/>
      <c r="Z158" s="10"/>
      <c r="AA158" s="10"/>
    </row>
    <row r="159" spans="1:27" x14ac:dyDescent="0.25">
      <c r="C159" s="1"/>
      <c r="D159" s="1"/>
      <c r="E159" t="s">
        <v>63</v>
      </c>
      <c r="F159" t="s">
        <v>43</v>
      </c>
      <c r="H159" s="10"/>
      <c r="I159" s="10"/>
      <c r="J159" s="10"/>
      <c r="K159" s="10"/>
      <c r="L159" s="10"/>
      <c r="M159" s="10"/>
      <c r="N159" s="10"/>
      <c r="O159" s="10"/>
      <c r="P159" s="10"/>
      <c r="Q159" s="10"/>
      <c r="R159" s="10"/>
      <c r="S159" s="10"/>
      <c r="T159" s="10"/>
      <c r="U159" s="10"/>
      <c r="V159" s="10"/>
      <c r="W159" s="10"/>
      <c r="X159" s="10"/>
      <c r="Y159" s="10"/>
      <c r="Z159" s="10"/>
      <c r="AA159" s="10"/>
    </row>
    <row r="160" spans="1:27" x14ac:dyDescent="0.25">
      <c r="A160" s="14">
        <f>'Notes &amp; Assumptions'!A47</f>
        <v>34</v>
      </c>
      <c r="C160" s="1"/>
      <c r="D160" s="1"/>
      <c r="E160" t="s">
        <v>140</v>
      </c>
      <c r="F160" t="s">
        <v>43</v>
      </c>
      <c r="H160" s="10"/>
      <c r="I160" s="10"/>
      <c r="J160" s="10"/>
      <c r="K160" s="10"/>
      <c r="L160" s="10"/>
      <c r="M160" s="10"/>
      <c r="N160" s="10"/>
      <c r="O160" s="10"/>
      <c r="P160" s="10"/>
      <c r="Q160" s="10"/>
      <c r="R160" s="10"/>
      <c r="S160" s="10"/>
      <c r="T160" s="10"/>
      <c r="U160" s="10"/>
      <c r="V160" s="10"/>
      <c r="W160" s="10"/>
      <c r="X160" s="10"/>
      <c r="Y160" s="10"/>
      <c r="Z160" s="10"/>
      <c r="AA160" s="10"/>
    </row>
    <row r="161" spans="1:27" x14ac:dyDescent="0.25">
      <c r="C161" s="1"/>
      <c r="D161" s="1"/>
      <c r="E161" t="s">
        <v>64</v>
      </c>
      <c r="F161" t="s">
        <v>144</v>
      </c>
      <c r="H161" s="2">
        <f>H154*H158</f>
        <v>0</v>
      </c>
      <c r="I161" s="2">
        <f t="shared" ref="I161:AA161" si="59">I154*I158</f>
        <v>0</v>
      </c>
      <c r="J161" s="2">
        <f t="shared" si="59"/>
        <v>0</v>
      </c>
      <c r="K161" s="2">
        <f t="shared" si="59"/>
        <v>0</v>
      </c>
      <c r="L161" s="2">
        <f t="shared" si="59"/>
        <v>0</v>
      </c>
      <c r="M161" s="2">
        <f t="shared" si="59"/>
        <v>0</v>
      </c>
      <c r="N161" s="2">
        <f t="shared" si="59"/>
        <v>0</v>
      </c>
      <c r="O161" s="2">
        <f t="shared" si="59"/>
        <v>0</v>
      </c>
      <c r="P161" s="2">
        <f t="shared" si="59"/>
        <v>0</v>
      </c>
      <c r="Q161" s="2">
        <f t="shared" si="59"/>
        <v>0</v>
      </c>
      <c r="R161" s="2">
        <f t="shared" si="59"/>
        <v>0</v>
      </c>
      <c r="S161" s="2">
        <f t="shared" si="59"/>
        <v>0</v>
      </c>
      <c r="T161" s="2">
        <f t="shared" si="59"/>
        <v>0</v>
      </c>
      <c r="U161" s="2">
        <f t="shared" si="59"/>
        <v>0</v>
      </c>
      <c r="V161" s="2">
        <f t="shared" si="59"/>
        <v>0</v>
      </c>
      <c r="W161" s="2">
        <f t="shared" si="59"/>
        <v>0</v>
      </c>
      <c r="X161" s="2">
        <f t="shared" si="59"/>
        <v>0</v>
      </c>
      <c r="Y161" s="2">
        <f t="shared" si="59"/>
        <v>0</v>
      </c>
      <c r="Z161" s="2">
        <f t="shared" si="59"/>
        <v>0</v>
      </c>
      <c r="AA161" s="2">
        <f t="shared" si="59"/>
        <v>0</v>
      </c>
    </row>
    <row r="162" spans="1:27" x14ac:dyDescent="0.25">
      <c r="C162" s="1"/>
      <c r="D162" s="1"/>
      <c r="E162" t="s">
        <v>65</v>
      </c>
      <c r="F162" t="s">
        <v>144</v>
      </c>
      <c r="H162" s="2">
        <f>H154*H159</f>
        <v>0</v>
      </c>
      <c r="I162" s="2">
        <f t="shared" ref="I162:AA162" si="60">I154*I159</f>
        <v>0</v>
      </c>
      <c r="J162" s="2">
        <f t="shared" si="60"/>
        <v>0</v>
      </c>
      <c r="K162" s="2">
        <f t="shared" si="60"/>
        <v>0</v>
      </c>
      <c r="L162" s="2">
        <f t="shared" si="60"/>
        <v>0</v>
      </c>
      <c r="M162" s="2">
        <f t="shared" si="60"/>
        <v>0</v>
      </c>
      <c r="N162" s="2">
        <f t="shared" si="60"/>
        <v>0</v>
      </c>
      <c r="O162" s="2">
        <f t="shared" si="60"/>
        <v>0</v>
      </c>
      <c r="P162" s="2">
        <f t="shared" si="60"/>
        <v>0</v>
      </c>
      <c r="Q162" s="2">
        <f t="shared" si="60"/>
        <v>0</v>
      </c>
      <c r="R162" s="2">
        <f t="shared" si="60"/>
        <v>0</v>
      </c>
      <c r="S162" s="2">
        <f t="shared" si="60"/>
        <v>0</v>
      </c>
      <c r="T162" s="2">
        <f t="shared" si="60"/>
        <v>0</v>
      </c>
      <c r="U162" s="2">
        <f t="shared" si="60"/>
        <v>0</v>
      </c>
      <c r="V162" s="2">
        <f t="shared" si="60"/>
        <v>0</v>
      </c>
      <c r="W162" s="2">
        <f t="shared" si="60"/>
        <v>0</v>
      </c>
      <c r="X162" s="2">
        <f t="shared" si="60"/>
        <v>0</v>
      </c>
      <c r="Y162" s="2">
        <f t="shared" si="60"/>
        <v>0</v>
      </c>
      <c r="Z162" s="2">
        <f t="shared" si="60"/>
        <v>0</v>
      </c>
      <c r="AA162" s="2">
        <f t="shared" si="60"/>
        <v>0</v>
      </c>
    </row>
    <row r="163" spans="1:27" x14ac:dyDescent="0.25">
      <c r="C163" s="1"/>
      <c r="D163" s="1"/>
      <c r="E163" t="s">
        <v>141</v>
      </c>
      <c r="F163" t="s">
        <v>144</v>
      </c>
      <c r="H163" s="2">
        <f>H154*H160</f>
        <v>0</v>
      </c>
      <c r="I163" s="2">
        <f t="shared" ref="I163:AA163" si="61">I154*I160</f>
        <v>0</v>
      </c>
      <c r="J163" s="2">
        <f t="shared" si="61"/>
        <v>0</v>
      </c>
      <c r="K163" s="2">
        <f t="shared" si="61"/>
        <v>0</v>
      </c>
      <c r="L163" s="2">
        <f t="shared" si="61"/>
        <v>0</v>
      </c>
      <c r="M163" s="2">
        <f t="shared" si="61"/>
        <v>0</v>
      </c>
      <c r="N163" s="2">
        <f t="shared" si="61"/>
        <v>0</v>
      </c>
      <c r="O163" s="2">
        <f t="shared" si="61"/>
        <v>0</v>
      </c>
      <c r="P163" s="2">
        <f t="shared" si="61"/>
        <v>0</v>
      </c>
      <c r="Q163" s="2">
        <f t="shared" si="61"/>
        <v>0</v>
      </c>
      <c r="R163" s="2">
        <f t="shared" si="61"/>
        <v>0</v>
      </c>
      <c r="S163" s="2">
        <f t="shared" si="61"/>
        <v>0</v>
      </c>
      <c r="T163" s="2">
        <f t="shared" si="61"/>
        <v>0</v>
      </c>
      <c r="U163" s="2">
        <f t="shared" si="61"/>
        <v>0</v>
      </c>
      <c r="V163" s="2">
        <f t="shared" si="61"/>
        <v>0</v>
      </c>
      <c r="W163" s="2">
        <f t="shared" si="61"/>
        <v>0</v>
      </c>
      <c r="X163" s="2">
        <f t="shared" si="61"/>
        <v>0</v>
      </c>
      <c r="Y163" s="2">
        <f t="shared" si="61"/>
        <v>0</v>
      </c>
      <c r="Z163" s="2">
        <f t="shared" si="61"/>
        <v>0</v>
      </c>
      <c r="AA163" s="2">
        <f t="shared" si="61"/>
        <v>0</v>
      </c>
    </row>
    <row r="164" spans="1:27" x14ac:dyDescent="0.25">
      <c r="A164" s="14">
        <f>'Notes &amp; Assumptions'!A48</f>
        <v>35</v>
      </c>
      <c r="C164" s="1"/>
      <c r="D164" s="1"/>
      <c r="E164" t="s">
        <v>66</v>
      </c>
      <c r="F164" t="s">
        <v>8</v>
      </c>
      <c r="H164" s="11"/>
      <c r="I164" s="11"/>
      <c r="J164" s="11"/>
      <c r="K164" s="11"/>
      <c r="L164" s="11"/>
      <c r="M164" s="11"/>
      <c r="N164" s="11"/>
      <c r="O164" s="11"/>
      <c r="P164" s="11"/>
      <c r="Q164" s="11"/>
      <c r="R164" s="11"/>
      <c r="S164" s="11"/>
      <c r="T164" s="11"/>
      <c r="U164" s="11"/>
      <c r="V164" s="11"/>
      <c r="W164" s="11"/>
      <c r="X164" s="11"/>
      <c r="Y164" s="11"/>
      <c r="Z164" s="11"/>
      <c r="AA164" s="11"/>
    </row>
    <row r="165" spans="1:27" x14ac:dyDescent="0.25">
      <c r="A165" s="14">
        <f>'Notes &amp; Assumptions'!A49</f>
        <v>36</v>
      </c>
      <c r="C165" s="1"/>
      <c r="D165" s="1"/>
      <c r="E165" t="s">
        <v>40</v>
      </c>
      <c r="F165" t="s">
        <v>41</v>
      </c>
      <c r="G165" s="10"/>
      <c r="H165" s="2">
        <f>G165*(1+$G$14)*(1+H164)</f>
        <v>0</v>
      </c>
      <c r="I165" s="2">
        <f t="shared" ref="I165:AA165" si="62">H165*(1+$G$14)*(1+I164)</f>
        <v>0</v>
      </c>
      <c r="J165" s="2">
        <f t="shared" si="62"/>
        <v>0</v>
      </c>
      <c r="K165" s="2">
        <f t="shared" si="62"/>
        <v>0</v>
      </c>
      <c r="L165" s="2">
        <f t="shared" si="62"/>
        <v>0</v>
      </c>
      <c r="M165" s="2">
        <f t="shared" si="62"/>
        <v>0</v>
      </c>
      <c r="N165" s="2">
        <f t="shared" si="62"/>
        <v>0</v>
      </c>
      <c r="O165" s="2">
        <f t="shared" si="62"/>
        <v>0</v>
      </c>
      <c r="P165" s="2">
        <f t="shared" si="62"/>
        <v>0</v>
      </c>
      <c r="Q165" s="2">
        <f t="shared" si="62"/>
        <v>0</v>
      </c>
      <c r="R165" s="2">
        <f t="shared" si="62"/>
        <v>0</v>
      </c>
      <c r="S165" s="2">
        <f t="shared" si="62"/>
        <v>0</v>
      </c>
      <c r="T165" s="2">
        <f t="shared" si="62"/>
        <v>0</v>
      </c>
      <c r="U165" s="2">
        <f t="shared" si="62"/>
        <v>0</v>
      </c>
      <c r="V165" s="2">
        <f t="shared" si="62"/>
        <v>0</v>
      </c>
      <c r="W165" s="2">
        <f t="shared" si="62"/>
        <v>0</v>
      </c>
      <c r="X165" s="2">
        <f t="shared" si="62"/>
        <v>0</v>
      </c>
      <c r="Y165" s="2">
        <f t="shared" si="62"/>
        <v>0</v>
      </c>
      <c r="Z165" s="2">
        <f t="shared" si="62"/>
        <v>0</v>
      </c>
      <c r="AA165" s="2">
        <f t="shared" si="62"/>
        <v>0</v>
      </c>
    </row>
    <row r="166" spans="1:27" x14ac:dyDescent="0.25">
      <c r="C166" s="1"/>
      <c r="D166" s="1"/>
      <c r="E166" t="s">
        <v>67</v>
      </c>
      <c r="F166" t="s">
        <v>143</v>
      </c>
      <c r="G166" s="20"/>
      <c r="H166" s="21">
        <f>G166*(1+$G$14)*(1+H164)</f>
        <v>0</v>
      </c>
      <c r="I166" s="21">
        <f t="shared" ref="I166:AA166" si="63">H166*(1+$G$14)*(1+I164)</f>
        <v>0</v>
      </c>
      <c r="J166" s="21">
        <f t="shared" si="63"/>
        <v>0</v>
      </c>
      <c r="K166" s="21">
        <f t="shared" si="63"/>
        <v>0</v>
      </c>
      <c r="L166" s="21">
        <f t="shared" si="63"/>
        <v>0</v>
      </c>
      <c r="M166" s="21">
        <f t="shared" si="63"/>
        <v>0</v>
      </c>
      <c r="N166" s="21">
        <f t="shared" si="63"/>
        <v>0</v>
      </c>
      <c r="O166" s="21">
        <f t="shared" si="63"/>
        <v>0</v>
      </c>
      <c r="P166" s="21">
        <f t="shared" si="63"/>
        <v>0</v>
      </c>
      <c r="Q166" s="21">
        <f t="shared" si="63"/>
        <v>0</v>
      </c>
      <c r="R166" s="21">
        <f t="shared" si="63"/>
        <v>0</v>
      </c>
      <c r="S166" s="21">
        <f t="shared" si="63"/>
        <v>0</v>
      </c>
      <c r="T166" s="21">
        <f t="shared" si="63"/>
        <v>0</v>
      </c>
      <c r="U166" s="21">
        <f t="shared" si="63"/>
        <v>0</v>
      </c>
      <c r="V166" s="21">
        <f t="shared" si="63"/>
        <v>0</v>
      </c>
      <c r="W166" s="21">
        <f t="shared" si="63"/>
        <v>0</v>
      </c>
      <c r="X166" s="21">
        <f t="shared" si="63"/>
        <v>0</v>
      </c>
      <c r="Y166" s="21">
        <f t="shared" si="63"/>
        <v>0</v>
      </c>
      <c r="Z166" s="21">
        <f t="shared" si="63"/>
        <v>0</v>
      </c>
      <c r="AA166" s="21">
        <f t="shared" si="63"/>
        <v>0</v>
      </c>
    </row>
    <row r="167" spans="1:27" x14ac:dyDescent="0.25">
      <c r="C167" s="1"/>
      <c r="D167" s="1"/>
      <c r="E167" t="s">
        <v>68</v>
      </c>
      <c r="F167" t="s">
        <v>143</v>
      </c>
      <c r="G167" s="20"/>
      <c r="H167" s="21">
        <f>G167*(1+$G$14)*(1+H164)</f>
        <v>0</v>
      </c>
      <c r="I167" s="21">
        <f t="shared" ref="I167:AA167" si="64">H167*(1+$G$14)*(1+I164)</f>
        <v>0</v>
      </c>
      <c r="J167" s="21">
        <f t="shared" si="64"/>
        <v>0</v>
      </c>
      <c r="K167" s="21">
        <f t="shared" si="64"/>
        <v>0</v>
      </c>
      <c r="L167" s="21">
        <f t="shared" si="64"/>
        <v>0</v>
      </c>
      <c r="M167" s="21">
        <f t="shared" si="64"/>
        <v>0</v>
      </c>
      <c r="N167" s="21">
        <f t="shared" si="64"/>
        <v>0</v>
      </c>
      <c r="O167" s="21">
        <f t="shared" si="64"/>
        <v>0</v>
      </c>
      <c r="P167" s="21">
        <f t="shared" si="64"/>
        <v>0</v>
      </c>
      <c r="Q167" s="21">
        <f t="shared" si="64"/>
        <v>0</v>
      </c>
      <c r="R167" s="21">
        <f t="shared" si="64"/>
        <v>0</v>
      </c>
      <c r="S167" s="21">
        <f t="shared" si="64"/>
        <v>0</v>
      </c>
      <c r="T167" s="21">
        <f t="shared" si="64"/>
        <v>0</v>
      </c>
      <c r="U167" s="21">
        <f t="shared" si="64"/>
        <v>0</v>
      </c>
      <c r="V167" s="21">
        <f t="shared" si="64"/>
        <v>0</v>
      </c>
      <c r="W167" s="21">
        <f t="shared" si="64"/>
        <v>0</v>
      </c>
      <c r="X167" s="21">
        <f t="shared" si="64"/>
        <v>0</v>
      </c>
      <c r="Y167" s="21">
        <f t="shared" si="64"/>
        <v>0</v>
      </c>
      <c r="Z167" s="21">
        <f t="shared" si="64"/>
        <v>0</v>
      </c>
      <c r="AA167" s="21">
        <f t="shared" si="64"/>
        <v>0</v>
      </c>
    </row>
    <row r="168" spans="1:27" x14ac:dyDescent="0.25">
      <c r="C168" s="1"/>
      <c r="D168" s="1"/>
      <c r="E168" t="s">
        <v>142</v>
      </c>
      <c r="F168" t="s">
        <v>143</v>
      </c>
      <c r="G168" s="20"/>
      <c r="H168" s="21">
        <f>G168*(1+$G$14)*(1+H164)</f>
        <v>0</v>
      </c>
      <c r="I168" s="21">
        <f t="shared" ref="I168:AA168" si="65">H168*(1+$G$14)*(1+I164)</f>
        <v>0</v>
      </c>
      <c r="J168" s="21">
        <f t="shared" si="65"/>
        <v>0</v>
      </c>
      <c r="K168" s="21">
        <f t="shared" si="65"/>
        <v>0</v>
      </c>
      <c r="L168" s="21">
        <f t="shared" si="65"/>
        <v>0</v>
      </c>
      <c r="M168" s="21">
        <f t="shared" si="65"/>
        <v>0</v>
      </c>
      <c r="N168" s="21">
        <f t="shared" si="65"/>
        <v>0</v>
      </c>
      <c r="O168" s="21">
        <f t="shared" si="65"/>
        <v>0</v>
      </c>
      <c r="P168" s="21">
        <f t="shared" si="65"/>
        <v>0</v>
      </c>
      <c r="Q168" s="21">
        <f t="shared" si="65"/>
        <v>0</v>
      </c>
      <c r="R168" s="21">
        <f t="shared" si="65"/>
        <v>0</v>
      </c>
      <c r="S168" s="21">
        <f t="shared" si="65"/>
        <v>0</v>
      </c>
      <c r="T168" s="21">
        <f t="shared" si="65"/>
        <v>0</v>
      </c>
      <c r="U168" s="21">
        <f t="shared" si="65"/>
        <v>0</v>
      </c>
      <c r="V168" s="21">
        <f t="shared" si="65"/>
        <v>0</v>
      </c>
      <c r="W168" s="21">
        <f t="shared" si="65"/>
        <v>0</v>
      </c>
      <c r="X168" s="21">
        <f t="shared" si="65"/>
        <v>0</v>
      </c>
      <c r="Y168" s="21">
        <f t="shared" si="65"/>
        <v>0</v>
      </c>
      <c r="Z168" s="21">
        <f t="shared" si="65"/>
        <v>0</v>
      </c>
      <c r="AA168" s="21">
        <f t="shared" si="65"/>
        <v>0</v>
      </c>
    </row>
    <row r="169" spans="1:27" x14ac:dyDescent="0.25">
      <c r="C169" s="1"/>
      <c r="D169" s="1"/>
    </row>
    <row r="170" spans="1:27" x14ac:dyDescent="0.25">
      <c r="C170" s="1"/>
      <c r="D170" s="1"/>
      <c r="E170" t="s">
        <v>78</v>
      </c>
      <c r="F170" t="s">
        <v>58</v>
      </c>
      <c r="H170" s="2">
        <f>SUM(H161:H163)/1000</f>
        <v>0</v>
      </c>
      <c r="I170" s="2">
        <f t="shared" ref="I170:AA170" si="66">SUM(I161:I163)/1000</f>
        <v>0</v>
      </c>
      <c r="J170" s="2">
        <f t="shared" si="66"/>
        <v>0</v>
      </c>
      <c r="K170" s="2">
        <f t="shared" si="66"/>
        <v>0</v>
      </c>
      <c r="L170" s="2">
        <f t="shared" si="66"/>
        <v>0</v>
      </c>
      <c r="M170" s="2">
        <f t="shared" si="66"/>
        <v>0</v>
      </c>
      <c r="N170" s="2">
        <f t="shared" si="66"/>
        <v>0</v>
      </c>
      <c r="O170" s="2">
        <f t="shared" si="66"/>
        <v>0</v>
      </c>
      <c r="P170" s="2">
        <f t="shared" si="66"/>
        <v>0</v>
      </c>
      <c r="Q170" s="2">
        <f t="shared" si="66"/>
        <v>0</v>
      </c>
      <c r="R170" s="2">
        <f t="shared" si="66"/>
        <v>0</v>
      </c>
      <c r="S170" s="2">
        <f t="shared" si="66"/>
        <v>0</v>
      </c>
      <c r="T170" s="2">
        <f t="shared" si="66"/>
        <v>0</v>
      </c>
      <c r="U170" s="2">
        <f t="shared" si="66"/>
        <v>0</v>
      </c>
      <c r="V170" s="2">
        <f t="shared" si="66"/>
        <v>0</v>
      </c>
      <c r="W170" s="2">
        <f t="shared" si="66"/>
        <v>0</v>
      </c>
      <c r="X170" s="2">
        <f t="shared" si="66"/>
        <v>0</v>
      </c>
      <c r="Y170" s="2">
        <f t="shared" si="66"/>
        <v>0</v>
      </c>
      <c r="Z170" s="2">
        <f t="shared" si="66"/>
        <v>0</v>
      </c>
      <c r="AA170" s="2">
        <f t="shared" si="66"/>
        <v>0</v>
      </c>
    </row>
    <row r="171" spans="1:27" x14ac:dyDescent="0.25">
      <c r="C171" s="1"/>
      <c r="D171" s="1"/>
      <c r="E171" t="s">
        <v>79</v>
      </c>
      <c r="F171" t="s">
        <v>7</v>
      </c>
      <c r="H171" s="2">
        <f>H154*H165+H161*H166+H162*H167+H163*H168</f>
        <v>0</v>
      </c>
      <c r="I171" s="2">
        <f t="shared" ref="I171:AA171" si="67">I154*I165+I161*I166+I162*I167+I163*I168</f>
        <v>0</v>
      </c>
      <c r="J171" s="2">
        <f t="shared" si="67"/>
        <v>0</v>
      </c>
      <c r="K171" s="2">
        <f t="shared" si="67"/>
        <v>0</v>
      </c>
      <c r="L171" s="2">
        <f t="shared" si="67"/>
        <v>0</v>
      </c>
      <c r="M171" s="2">
        <f t="shared" si="67"/>
        <v>0</v>
      </c>
      <c r="N171" s="2">
        <f t="shared" si="67"/>
        <v>0</v>
      </c>
      <c r="O171" s="2">
        <f t="shared" si="67"/>
        <v>0</v>
      </c>
      <c r="P171" s="2">
        <f t="shared" si="67"/>
        <v>0</v>
      </c>
      <c r="Q171" s="2">
        <f t="shared" si="67"/>
        <v>0</v>
      </c>
      <c r="R171" s="2">
        <f t="shared" si="67"/>
        <v>0</v>
      </c>
      <c r="S171" s="2">
        <f t="shared" si="67"/>
        <v>0</v>
      </c>
      <c r="T171" s="2">
        <f t="shared" si="67"/>
        <v>0</v>
      </c>
      <c r="U171" s="2">
        <f t="shared" si="67"/>
        <v>0</v>
      </c>
      <c r="V171" s="2">
        <f t="shared" si="67"/>
        <v>0</v>
      </c>
      <c r="W171" s="2">
        <f t="shared" si="67"/>
        <v>0</v>
      </c>
      <c r="X171" s="2">
        <f t="shared" si="67"/>
        <v>0</v>
      </c>
      <c r="Y171" s="2">
        <f t="shared" si="67"/>
        <v>0</v>
      </c>
      <c r="Z171" s="2">
        <f t="shared" si="67"/>
        <v>0</v>
      </c>
      <c r="AA171" s="2">
        <f t="shared" si="67"/>
        <v>0</v>
      </c>
    </row>
    <row r="172" spans="1:27" x14ac:dyDescent="0.25">
      <c r="C172" s="1"/>
      <c r="D172" s="1"/>
    </row>
    <row r="173" spans="1:27" x14ac:dyDescent="0.25">
      <c r="C173" s="1"/>
      <c r="D173" t="s">
        <v>80</v>
      </c>
    </row>
    <row r="174" spans="1:27" x14ac:dyDescent="0.25">
      <c r="C174" s="1"/>
      <c r="E174" t="s">
        <v>91</v>
      </c>
      <c r="F174" t="s">
        <v>3</v>
      </c>
      <c r="H174">
        <f t="shared" ref="H174:AA175" si="68">SUM(H93,H114,H135,H156)</f>
        <v>10109</v>
      </c>
      <c r="I174">
        <f t="shared" si="68"/>
        <v>9590</v>
      </c>
      <c r="J174">
        <f t="shared" si="68"/>
        <v>9240.6999999999989</v>
      </c>
      <c r="K174">
        <f t="shared" si="68"/>
        <v>8454.5999999999985</v>
      </c>
      <c r="L174">
        <f t="shared" si="68"/>
        <v>7688.9999999999982</v>
      </c>
      <c r="M174">
        <f t="shared" si="68"/>
        <v>6960.9999999999982</v>
      </c>
      <c r="N174">
        <f t="shared" si="68"/>
        <v>6271.9999999999973</v>
      </c>
      <c r="O174">
        <f t="shared" si="68"/>
        <v>5619.699999999998</v>
      </c>
      <c r="P174">
        <f t="shared" si="68"/>
        <v>5468.9999999999982</v>
      </c>
      <c r="Q174">
        <f t="shared" si="68"/>
        <v>5297.5999999999985</v>
      </c>
      <c r="R174">
        <f t="shared" si="68"/>
        <v>5589.9999999999982</v>
      </c>
      <c r="S174">
        <f t="shared" si="68"/>
        <v>5916.699999999998</v>
      </c>
      <c r="T174">
        <f t="shared" si="68"/>
        <v>6251.9999999999982</v>
      </c>
      <c r="U174">
        <f t="shared" si="68"/>
        <v>6221.5999999999976</v>
      </c>
      <c r="V174">
        <f t="shared" si="68"/>
        <v>6194.2999999999975</v>
      </c>
      <c r="W174">
        <f t="shared" si="68"/>
        <v>0</v>
      </c>
      <c r="X174">
        <f t="shared" si="68"/>
        <v>0</v>
      </c>
      <c r="Y174">
        <f t="shared" si="68"/>
        <v>0</v>
      </c>
      <c r="Z174">
        <f t="shared" si="68"/>
        <v>0</v>
      </c>
      <c r="AA174">
        <f t="shared" si="68"/>
        <v>0</v>
      </c>
    </row>
    <row r="175" spans="1:27" x14ac:dyDescent="0.25">
      <c r="C175" s="1"/>
      <c r="D175" s="1"/>
      <c r="E175" t="s">
        <v>90</v>
      </c>
      <c r="F175" t="s">
        <v>3</v>
      </c>
      <c r="H175">
        <f t="shared" si="68"/>
        <v>10109</v>
      </c>
      <c r="I175">
        <f t="shared" si="68"/>
        <v>19699</v>
      </c>
      <c r="J175">
        <f t="shared" si="68"/>
        <v>28939.699999999997</v>
      </c>
      <c r="K175">
        <f t="shared" si="68"/>
        <v>37394.299999999996</v>
      </c>
      <c r="L175">
        <f t="shared" si="68"/>
        <v>45083.299999999996</v>
      </c>
      <c r="M175">
        <f t="shared" si="68"/>
        <v>52044.299999999996</v>
      </c>
      <c r="N175">
        <f t="shared" si="68"/>
        <v>58316.299999999996</v>
      </c>
      <c r="O175">
        <f t="shared" si="68"/>
        <v>63935.999999999993</v>
      </c>
      <c r="P175">
        <f t="shared" si="68"/>
        <v>69405</v>
      </c>
      <c r="Q175">
        <f t="shared" si="68"/>
        <v>74702.599999999991</v>
      </c>
      <c r="R175">
        <f t="shared" si="68"/>
        <v>80292.599999999991</v>
      </c>
      <c r="S175">
        <f t="shared" si="68"/>
        <v>86209.299999999988</v>
      </c>
      <c r="T175">
        <f t="shared" si="68"/>
        <v>92461.299999999988</v>
      </c>
      <c r="U175">
        <f t="shared" si="68"/>
        <v>98682.89999999998</v>
      </c>
      <c r="V175">
        <f t="shared" si="68"/>
        <v>104877.19999999998</v>
      </c>
      <c r="W175">
        <f t="shared" si="68"/>
        <v>104877.19999999998</v>
      </c>
      <c r="X175">
        <f t="shared" si="68"/>
        <v>104877.19999999998</v>
      </c>
      <c r="Y175">
        <f t="shared" si="68"/>
        <v>104877.19999999998</v>
      </c>
      <c r="Z175">
        <f t="shared" si="68"/>
        <v>104877.19999999998</v>
      </c>
      <c r="AA175">
        <f t="shared" si="68"/>
        <v>104877.19999999998</v>
      </c>
    </row>
    <row r="176" spans="1:27" x14ac:dyDescent="0.25">
      <c r="C176" s="1"/>
      <c r="D176" s="1"/>
      <c r="E176" t="s">
        <v>81</v>
      </c>
      <c r="F176" t="s">
        <v>58</v>
      </c>
      <c r="H176" s="2">
        <f>SUM(H107,H128,H149,H170)</f>
        <v>1248.9965</v>
      </c>
      <c r="I176" s="2">
        <f t="shared" ref="H176:AA177" si="69">SUM(I107,I128,I149,I170)</f>
        <v>2439.6055000000001</v>
      </c>
      <c r="J176" s="2">
        <f t="shared" si="69"/>
        <v>3593.3472499999993</v>
      </c>
      <c r="K176" s="2">
        <f t="shared" si="69"/>
        <v>4653.79475</v>
      </c>
      <c r="L176" s="2">
        <f t="shared" si="69"/>
        <v>5624.4687499999991</v>
      </c>
      <c r="M176" s="2">
        <f t="shared" si="69"/>
        <v>6508.3847499999993</v>
      </c>
      <c r="N176" s="2">
        <f t="shared" si="69"/>
        <v>7311.1447499999986</v>
      </c>
      <c r="O176" s="2">
        <f t="shared" si="69"/>
        <v>8036.8774999999996</v>
      </c>
      <c r="P176" s="2">
        <f t="shared" si="69"/>
        <v>8750.5144999999993</v>
      </c>
      <c r="Q176" s="2">
        <f t="shared" si="69"/>
        <v>9450.941499999999</v>
      </c>
      <c r="R176" s="2">
        <f t="shared" si="69"/>
        <v>10190.335999999999</v>
      </c>
      <c r="S176" s="2">
        <f t="shared" si="69"/>
        <v>10973.771249999998</v>
      </c>
      <c r="T176" s="2">
        <f t="shared" si="69"/>
        <v>11801.000249999997</v>
      </c>
      <c r="U176" s="2">
        <f t="shared" si="69"/>
        <v>12623.594749999998</v>
      </c>
      <c r="V176" s="2">
        <f t="shared" si="69"/>
        <v>13443.117999999999</v>
      </c>
      <c r="W176" s="2">
        <f t="shared" si="69"/>
        <v>13443.117999999999</v>
      </c>
      <c r="X176" s="2">
        <f t="shared" si="69"/>
        <v>13443.117999999999</v>
      </c>
      <c r="Y176" s="2">
        <f t="shared" si="69"/>
        <v>13443.117999999999</v>
      </c>
      <c r="Z176" s="2">
        <f t="shared" si="69"/>
        <v>13443.117999999999</v>
      </c>
      <c r="AA176" s="2">
        <f t="shared" si="69"/>
        <v>13443.117999999999</v>
      </c>
    </row>
    <row r="177" spans="1:27" x14ac:dyDescent="0.25">
      <c r="C177" s="1"/>
      <c r="D177" s="1"/>
      <c r="E177" t="s">
        <v>82</v>
      </c>
      <c r="F177" t="s">
        <v>7</v>
      </c>
      <c r="H177" s="2">
        <f t="shared" si="69"/>
        <v>5059997.0294428989</v>
      </c>
      <c r="I177" s="2">
        <f t="shared" si="69"/>
        <v>9813640.4386346266</v>
      </c>
      <c r="J177" s="2">
        <f t="shared" si="69"/>
        <v>14756828.047150774</v>
      </c>
      <c r="K177" s="2">
        <f t="shared" si="69"/>
        <v>19511444.976588752</v>
      </c>
      <c r="L177" s="2">
        <f t="shared" si="69"/>
        <v>24074077.954699419</v>
      </c>
      <c r="M177" s="2">
        <f t="shared" si="69"/>
        <v>28439929.932911668</v>
      </c>
      <c r="N177" s="2">
        <f t="shared" si="69"/>
        <v>32615620.831842452</v>
      </c>
      <c r="O177" s="2">
        <f t="shared" si="69"/>
        <v>36602502.914364107</v>
      </c>
      <c r="P177" s="2">
        <f t="shared" si="69"/>
        <v>40685024.897572123</v>
      </c>
      <c r="Q177" s="2">
        <f t="shared" si="69"/>
        <v>44858687.51313892</v>
      </c>
      <c r="R177" s="2">
        <f t="shared" si="69"/>
        <v>49378191.643165857</v>
      </c>
      <c r="S177" s="2">
        <f t="shared" si="69"/>
        <v>54285148.555953443</v>
      </c>
      <c r="T177" s="2">
        <f t="shared" si="69"/>
        <v>59597404.693263024</v>
      </c>
      <c r="U177" s="2">
        <f t="shared" si="69"/>
        <v>65085081.36430487</v>
      </c>
      <c r="V177" s="2">
        <f t="shared" si="69"/>
        <v>70760709.81436567</v>
      </c>
      <c r="W177" s="2">
        <f t="shared" si="69"/>
        <v>72246684.720467344</v>
      </c>
      <c r="X177" s="2">
        <f t="shared" si="69"/>
        <v>73763865.099597141</v>
      </c>
      <c r="Y177" s="2">
        <f t="shared" si="69"/>
        <v>75312906.266688675</v>
      </c>
      <c r="Z177" s="2">
        <f t="shared" si="69"/>
        <v>76894477.29828915</v>
      </c>
      <c r="AA177" s="2">
        <f t="shared" si="69"/>
        <v>78509261.3215532</v>
      </c>
    </row>
    <row r="178" spans="1:27" x14ac:dyDescent="0.25">
      <c r="C178" s="1"/>
      <c r="D178" s="1"/>
    </row>
    <row r="179" spans="1:27" x14ac:dyDescent="0.25">
      <c r="C179" s="1"/>
      <c r="D179" s="1"/>
      <c r="E179" s="3" t="s">
        <v>84</v>
      </c>
      <c r="F179" s="3" t="s">
        <v>85</v>
      </c>
      <c r="G179" s="3"/>
      <c r="H179" s="9">
        <f>H176*1000/H175</f>
        <v>123.552923137798</v>
      </c>
      <c r="I179" s="9">
        <f t="shared" ref="I179:AA179" si="70">I176*1000/I175</f>
        <v>123.84412914361135</v>
      </c>
      <c r="J179" s="9">
        <f t="shared" si="70"/>
        <v>124.16670698037643</v>
      </c>
      <c r="K179" s="9">
        <f t="shared" si="70"/>
        <v>124.45198198655946</v>
      </c>
      <c r="L179" s="9">
        <f t="shared" si="70"/>
        <v>124.75725490370047</v>
      </c>
      <c r="M179" s="9">
        <f t="shared" si="70"/>
        <v>125.05470820051379</v>
      </c>
      <c r="N179" s="9">
        <f t="shared" si="70"/>
        <v>125.37051819131185</v>
      </c>
      <c r="O179" s="9">
        <f t="shared" si="70"/>
        <v>125.70191285035037</v>
      </c>
      <c r="P179" s="9">
        <f t="shared" si="70"/>
        <v>126.07902168431669</v>
      </c>
      <c r="Q179" s="9">
        <f t="shared" si="70"/>
        <v>126.51422440450533</v>
      </c>
      <c r="R179" s="9">
        <f t="shared" si="70"/>
        <v>126.91500835693452</v>
      </c>
      <c r="S179" s="9">
        <f t="shared" si="70"/>
        <v>127.29219759353109</v>
      </c>
      <c r="T179" s="9">
        <f t="shared" si="70"/>
        <v>127.63177945800027</v>
      </c>
      <c r="U179" s="9">
        <f t="shared" si="70"/>
        <v>127.92079225478781</v>
      </c>
      <c r="V179" s="9">
        <f t="shared" si="70"/>
        <v>128.17960433726302</v>
      </c>
      <c r="W179" s="9">
        <f t="shared" si="70"/>
        <v>128.17960433726302</v>
      </c>
      <c r="X179" s="9">
        <f t="shared" si="70"/>
        <v>128.17960433726302</v>
      </c>
      <c r="Y179" s="9">
        <f t="shared" si="70"/>
        <v>128.17960433726302</v>
      </c>
      <c r="Z179" s="9">
        <f t="shared" si="70"/>
        <v>128.17960433726302</v>
      </c>
      <c r="AA179" s="9">
        <f t="shared" si="70"/>
        <v>128.17960433726302</v>
      </c>
    </row>
    <row r="180" spans="1:27" x14ac:dyDescent="0.25">
      <c r="C180" s="1"/>
      <c r="D180" s="1"/>
      <c r="E180" s="3" t="s">
        <v>83</v>
      </c>
      <c r="F180" s="3" t="s">
        <v>22</v>
      </c>
      <c r="G180" s="3"/>
      <c r="H180" s="9">
        <f>H177/H175</f>
        <v>500.5437757881985</v>
      </c>
      <c r="I180" s="9">
        <f t="shared" ref="I180:AA180" si="71">I177/I175</f>
        <v>498.17962529238167</v>
      </c>
      <c r="J180" s="9">
        <f t="shared" si="71"/>
        <v>509.91641403161663</v>
      </c>
      <c r="K180" s="9">
        <f t="shared" si="71"/>
        <v>521.77591174560712</v>
      </c>
      <c r="L180" s="9">
        <f t="shared" si="71"/>
        <v>533.99103336932797</v>
      </c>
      <c r="M180" s="9">
        <f t="shared" si="71"/>
        <v>546.45619083956683</v>
      </c>
      <c r="N180" s="9">
        <f t="shared" si="71"/>
        <v>559.28824071215865</v>
      </c>
      <c r="O180" s="9">
        <f t="shared" si="71"/>
        <v>572.48659463157082</v>
      </c>
      <c r="P180" s="9">
        <f t="shared" si="71"/>
        <v>586.19731860200454</v>
      </c>
      <c r="Q180" s="9">
        <f t="shared" si="71"/>
        <v>600.49700429622158</v>
      </c>
      <c r="R180" s="9">
        <f t="shared" si="71"/>
        <v>614.97811309094311</v>
      </c>
      <c r="S180" s="9">
        <f t="shared" si="71"/>
        <v>629.69016748719048</v>
      </c>
      <c r="T180" s="9">
        <f t="shared" si="71"/>
        <v>644.56593940668188</v>
      </c>
      <c r="U180" s="9">
        <f t="shared" si="71"/>
        <v>659.53758315072707</v>
      </c>
      <c r="V180" s="9">
        <f t="shared" si="71"/>
        <v>674.70060045811374</v>
      </c>
      <c r="W180" s="9">
        <f t="shared" si="71"/>
        <v>688.86931306773408</v>
      </c>
      <c r="X180" s="9">
        <f t="shared" si="71"/>
        <v>703.33556864215632</v>
      </c>
      <c r="Y180" s="9">
        <f t="shared" si="71"/>
        <v>718.10561558364145</v>
      </c>
      <c r="Z180" s="9">
        <f t="shared" si="71"/>
        <v>733.18583351089808</v>
      </c>
      <c r="AA180" s="9">
        <f t="shared" si="71"/>
        <v>748.58273601462679</v>
      </c>
    </row>
    <row r="181" spans="1:27" x14ac:dyDescent="0.25">
      <c r="C181" s="1"/>
      <c r="D181" s="1"/>
      <c r="E181" s="3" t="s">
        <v>86</v>
      </c>
      <c r="F181" s="3" t="s">
        <v>4</v>
      </c>
      <c r="G181" s="3"/>
      <c r="H181" s="9">
        <f>H177/H176</f>
        <v>4051.2499670278494</v>
      </c>
      <c r="I181" s="9">
        <f t="shared" ref="I181:AA181" si="72">I177/I176</f>
        <v>4022.6341671367054</v>
      </c>
      <c r="J181" s="9">
        <f t="shared" si="72"/>
        <v>4106.7080414092397</v>
      </c>
      <c r="K181" s="9">
        <f t="shared" si="72"/>
        <v>4192.5882048383746</v>
      </c>
      <c r="L181" s="9">
        <f t="shared" si="72"/>
        <v>4280.2403257551077</v>
      </c>
      <c r="M181" s="9">
        <f t="shared" si="72"/>
        <v>4369.737043113757</v>
      </c>
      <c r="N181" s="9">
        <f t="shared" si="72"/>
        <v>4461.0826275656027</v>
      </c>
      <c r="O181" s="9">
        <f t="shared" si="72"/>
        <v>4554.3188774949112</v>
      </c>
      <c r="P181" s="9">
        <f t="shared" si="72"/>
        <v>4649.4437438589612</v>
      </c>
      <c r="Q181" s="9">
        <f t="shared" si="72"/>
        <v>4746.4781697293256</v>
      </c>
      <c r="R181" s="9">
        <f t="shared" si="72"/>
        <v>4845.5901398310971</v>
      </c>
      <c r="S181" s="9">
        <f t="shared" si="72"/>
        <v>4946.8088334676604</v>
      </c>
      <c r="T181" s="9">
        <f t="shared" si="72"/>
        <v>5050.1994263802371</v>
      </c>
      <c r="U181" s="9">
        <f t="shared" si="72"/>
        <v>5155.8278488229253</v>
      </c>
      <c r="V181" s="9">
        <f t="shared" si="72"/>
        <v>5263.7126159545487</v>
      </c>
      <c r="W181" s="9">
        <f t="shared" si="72"/>
        <v>5374.2505808895939</v>
      </c>
      <c r="X181" s="9">
        <f t="shared" si="72"/>
        <v>5487.1098430882739</v>
      </c>
      <c r="Y181" s="9">
        <f t="shared" si="72"/>
        <v>5602.339149793127</v>
      </c>
      <c r="Z181" s="9">
        <f t="shared" si="72"/>
        <v>5719.9882719387833</v>
      </c>
      <c r="AA181" s="9">
        <f t="shared" si="72"/>
        <v>5840.108025649497</v>
      </c>
    </row>
    <row r="182" spans="1:27" x14ac:dyDescent="0.25">
      <c r="C182" s="1"/>
      <c r="D182" s="1"/>
    </row>
    <row r="183" spans="1:27" x14ac:dyDescent="0.25">
      <c r="C183" s="1" t="str">
        <f>"Incremental "&amp;VLOOKUP(G4,E320:F322,2,FALSE)&amp;" Charges"</f>
        <v>Incremental Bulk Wastewater Charges</v>
      </c>
      <c r="G183" t="s">
        <v>323</v>
      </c>
      <c r="H183" s="53">
        <v>1</v>
      </c>
      <c r="I183" s="2"/>
      <c r="J183" s="2"/>
      <c r="K183" s="2"/>
      <c r="L183" s="2"/>
      <c r="M183" s="2"/>
      <c r="N183" s="2"/>
      <c r="O183" s="2"/>
      <c r="P183" s="2"/>
      <c r="Q183" s="2"/>
      <c r="R183" s="2"/>
      <c r="S183" s="2"/>
      <c r="T183" s="2"/>
      <c r="U183" s="2"/>
      <c r="V183" s="2"/>
      <c r="W183" s="2"/>
      <c r="X183" s="2"/>
      <c r="Y183" s="2"/>
      <c r="Z183" s="2"/>
      <c r="AA183" s="2"/>
    </row>
    <row r="184" spans="1:27" x14ac:dyDescent="0.25">
      <c r="A184" s="14">
        <f>'Notes &amp; Assumptions'!A50</f>
        <v>37</v>
      </c>
      <c r="E184" t="s">
        <v>118</v>
      </c>
      <c r="F184" t="s">
        <v>8</v>
      </c>
      <c r="H184" s="11">
        <f>'Bulk charges'!E29</f>
        <v>3.2399999999999998E-2</v>
      </c>
      <c r="I184" s="11">
        <f>'Bulk charges'!F29</f>
        <v>3.2399999999999998E-2</v>
      </c>
      <c r="J184" s="11">
        <f>'Bulk charges'!G29</f>
        <v>3.2399999999999998E-2</v>
      </c>
      <c r="K184" s="11"/>
      <c r="L184" s="11"/>
      <c r="M184" s="11"/>
      <c r="N184" s="11"/>
      <c r="O184" s="11"/>
      <c r="P184" s="11"/>
      <c r="Q184" s="11"/>
      <c r="R184" s="11"/>
      <c r="S184" s="11"/>
      <c r="T184" s="11"/>
      <c r="U184" s="11"/>
      <c r="V184" s="11"/>
      <c r="W184" s="11"/>
      <c r="X184" s="11"/>
      <c r="Y184" s="11"/>
      <c r="Z184" s="11"/>
      <c r="AA184" s="11"/>
    </row>
    <row r="185" spans="1:27" x14ac:dyDescent="0.25">
      <c r="A185" s="14">
        <f>'Notes &amp; Assumptions'!A51</f>
        <v>38</v>
      </c>
      <c r="E185" t="s">
        <v>122</v>
      </c>
      <c r="F185" t="s">
        <v>4</v>
      </c>
      <c r="G185" s="10">
        <f>AVERAGE('Bulk charges'!D34:D35)</f>
        <v>74.83235719999999</v>
      </c>
      <c r="H185" s="2">
        <f>G185*(1+$G$14)</f>
        <v>76.403836701199978</v>
      </c>
      <c r="I185" s="2">
        <f t="shared" ref="I185:K185" si="73">H185*(1+$G$14)</f>
        <v>78.008317271925165</v>
      </c>
      <c r="J185" s="2">
        <f t="shared" si="73"/>
        <v>79.646491934635591</v>
      </c>
      <c r="K185" s="2">
        <f t="shared" si="73"/>
        <v>81.319068265262928</v>
      </c>
      <c r="L185" s="2">
        <f t="shared" ref="L185:AA185" si="74">K185*(1+$G$14)*(1+L184)</f>
        <v>83.026768698833436</v>
      </c>
      <c r="M185" s="2">
        <f t="shared" si="74"/>
        <v>84.770330841508937</v>
      </c>
      <c r="N185" s="2">
        <f t="shared" si="74"/>
        <v>86.550507789180614</v>
      </c>
      <c r="O185" s="2">
        <f t="shared" si="74"/>
        <v>88.368068452753405</v>
      </c>
      <c r="P185" s="2">
        <f t="shared" si="74"/>
        <v>90.223797890261224</v>
      </c>
      <c r="Q185" s="2">
        <f t="shared" si="74"/>
        <v>92.118497645956708</v>
      </c>
      <c r="R185" s="2">
        <f t="shared" si="74"/>
        <v>94.052986096521792</v>
      </c>
      <c r="S185" s="2">
        <f t="shared" si="74"/>
        <v>96.028098804548748</v>
      </c>
      <c r="T185" s="2">
        <f t="shared" si="74"/>
        <v>98.044688879444266</v>
      </c>
      <c r="U185" s="2">
        <f t="shared" si="74"/>
        <v>100.10362734591259</v>
      </c>
      <c r="V185" s="2">
        <f t="shared" si="74"/>
        <v>102.20580352017674</v>
      </c>
      <c r="W185" s="2">
        <f t="shared" si="74"/>
        <v>104.35212539410044</v>
      </c>
      <c r="X185" s="2">
        <f t="shared" si="74"/>
        <v>106.54352002737654</v>
      </c>
      <c r="Y185" s="2">
        <f t="shared" si="74"/>
        <v>108.78093394795144</v>
      </c>
      <c r="Z185" s="2">
        <f t="shared" si="74"/>
        <v>111.06533356085841</v>
      </c>
      <c r="AA185" s="2">
        <f t="shared" si="74"/>
        <v>113.39770556563643</v>
      </c>
    </row>
    <row r="186" spans="1:27" x14ac:dyDescent="0.25">
      <c r="A186" s="14">
        <f>'Notes &amp; Assumptions'!A52</f>
        <v>39</v>
      </c>
      <c r="E186" t="s">
        <v>123</v>
      </c>
      <c r="F186" t="s">
        <v>7</v>
      </c>
      <c r="G186" s="23">
        <f>'Bulk charges'!D32*H183</f>
        <v>190.24571706250899</v>
      </c>
      <c r="H186" s="10">
        <f>G186*(1+$G$14)*(1+H184)*(H154+H133+H112+H91)</f>
        <v>2027201.0520831724</v>
      </c>
      <c r="I186" s="10">
        <f>H186/(H154+H133+H112+H91)*(1+$G$14)*(1+I184)*(I154+I133+I112+I91)</f>
        <v>4163959.9580127695</v>
      </c>
      <c r="J186" s="10">
        <f>I186/(I154+I133+I112+I91)*(1+$G$14)*(1+J184)*(J154+J133+J112+J91)</f>
        <v>6448075.6945223305</v>
      </c>
      <c r="K186" s="10">
        <f t="shared" ref="K186:AA186" si="75">J186/(J154+J133+J112+J91)*(1+$G$14)*(1+K184)*(K154+K133+K112+K91)</f>
        <v>8506820.1729628704</v>
      </c>
      <c r="L186" s="10">
        <f t="shared" si="75"/>
        <v>10471364.671827402</v>
      </c>
      <c r="M186" s="10">
        <f t="shared" si="75"/>
        <v>12342027.22786878</v>
      </c>
      <c r="N186" s="10">
        <f t="shared" si="75"/>
        <v>14119815.830735816</v>
      </c>
      <c r="O186" s="10">
        <f t="shared" si="75"/>
        <v>15805574.091599731</v>
      </c>
      <c r="P186" s="10">
        <f t="shared" si="75"/>
        <v>17517870.575166672</v>
      </c>
      <c r="Q186" s="10">
        <f t="shared" si="75"/>
        <v>19250943.28183046</v>
      </c>
      <c r="R186" s="10">
        <f t="shared" si="75"/>
        <v>21126013.855076864</v>
      </c>
      <c r="S186" s="10">
        <f t="shared" si="75"/>
        <v>23159111.828829102</v>
      </c>
      <c r="T186" s="10">
        <f t="shared" si="75"/>
        <v>25360249.298581861</v>
      </c>
      <c r="U186" s="10">
        <f t="shared" si="75"/>
        <v>27635108.17350255</v>
      </c>
      <c r="V186" s="10">
        <f t="shared" si="75"/>
        <v>29986521.626742598</v>
      </c>
      <c r="W186" s="10">
        <f t="shared" si="75"/>
        <v>30616238.580904189</v>
      </c>
      <c r="X186" s="10">
        <f t="shared" si="75"/>
        <v>31259179.591103174</v>
      </c>
      <c r="Y186" s="10">
        <f t="shared" si="75"/>
        <v>31915622.362516336</v>
      </c>
      <c r="Z186" s="10">
        <f t="shared" si="75"/>
        <v>32585850.432129178</v>
      </c>
      <c r="AA186" s="10">
        <f t="shared" si="75"/>
        <v>33270153.291203886</v>
      </c>
    </row>
    <row r="187" spans="1:27" x14ac:dyDescent="0.25">
      <c r="E187" t="s">
        <v>57</v>
      </c>
      <c r="F187" t="s">
        <v>7</v>
      </c>
      <c r="H187" s="2">
        <f>H185*H176+H186</f>
        <v>2122629.1767095425</v>
      </c>
      <c r="I187" s="2">
        <f t="shared" ref="I187:AA187" si="76">I185*I176+I186</f>
        <v>4354269.4778751032</v>
      </c>
      <c r="J187" s="2">
        <f t="shared" si="76"/>
        <v>6734273.1972878007</v>
      </c>
      <c r="K187" s="2">
        <f t="shared" si="76"/>
        <v>8885262.4259306435</v>
      </c>
      <c r="L187" s="2">
        <f t="shared" si="76"/>
        <v>10938346.137787469</v>
      </c>
      <c r="M187" s="2">
        <f t="shared" si="76"/>
        <v>12893745.156370113</v>
      </c>
      <c r="N187" s="2">
        <f t="shared" si="76"/>
        <v>14752599.121368518</v>
      </c>
      <c r="O187" s="2">
        <f t="shared" si="76"/>
        <v>16515777.432666125</v>
      </c>
      <c r="P187" s="2">
        <f t="shared" si="76"/>
        <v>18307375.226850472</v>
      </c>
      <c r="Q187" s="2">
        <f t="shared" si="76"/>
        <v>20121549.814150285</v>
      </c>
      <c r="R187" s="2">
        <f t="shared" si="76"/>
        <v>22084445.385203749</v>
      </c>
      <c r="S187" s="2">
        <f t="shared" si="76"/>
        <v>24212902.218682617</v>
      </c>
      <c r="T187" s="2">
        <f t="shared" si="76"/>
        <v>26517274.696559355</v>
      </c>
      <c r="U187" s="2">
        <f t="shared" si="76"/>
        <v>28898775.798122369</v>
      </c>
      <c r="V187" s="2">
        <f t="shared" si="76"/>
        <v>31360486.303749148</v>
      </c>
      <c r="W187" s="2">
        <f t="shared" si="76"/>
        <v>32019056.516127877</v>
      </c>
      <c r="X187" s="2">
        <f t="shared" si="76"/>
        <v>32691456.70296656</v>
      </c>
      <c r="Y187" s="2">
        <f t="shared" si="76"/>
        <v>33377977.293728855</v>
      </c>
      <c r="Z187" s="2">
        <f t="shared" si="76"/>
        <v>34078914.816897161</v>
      </c>
      <c r="AA187" s="2">
        <f t="shared" si="76"/>
        <v>34794572.028051995</v>
      </c>
    </row>
    <row r="188" spans="1:27" x14ac:dyDescent="0.25">
      <c r="H188" s="2"/>
      <c r="I188" s="2"/>
      <c r="J188" s="2"/>
      <c r="K188" s="2"/>
      <c r="L188" s="2"/>
      <c r="M188" s="2"/>
      <c r="N188" s="2"/>
      <c r="O188" s="2"/>
      <c r="P188" s="2"/>
      <c r="Q188" s="2"/>
      <c r="R188" s="2"/>
      <c r="S188" s="2"/>
      <c r="T188" s="2"/>
      <c r="U188" s="2"/>
      <c r="V188" s="2"/>
      <c r="W188" s="2"/>
      <c r="X188" s="2"/>
      <c r="Y188" s="2"/>
      <c r="Z188" s="2"/>
      <c r="AA188" s="2"/>
    </row>
    <row r="189" spans="1:27" x14ac:dyDescent="0.25">
      <c r="C189" s="1" t="s">
        <v>10</v>
      </c>
      <c r="G189" s="2"/>
    </row>
    <row r="190" spans="1:27" x14ac:dyDescent="0.25">
      <c r="C190" s="1"/>
      <c r="D190" t="s">
        <v>149</v>
      </c>
      <c r="G190" s="2"/>
    </row>
    <row r="191" spans="1:27" x14ac:dyDescent="0.25">
      <c r="A191" s="14">
        <f>'Notes &amp; Assumptions'!A53</f>
        <v>40</v>
      </c>
      <c r="C191" s="1"/>
      <c r="E191" t="s">
        <v>125</v>
      </c>
      <c r="G191" s="2"/>
      <c r="H191" s="11"/>
      <c r="I191" s="11"/>
      <c r="J191" s="11"/>
      <c r="K191" s="11"/>
      <c r="L191" s="11"/>
      <c r="M191" s="11"/>
      <c r="N191" s="11"/>
      <c r="O191" s="11"/>
      <c r="P191" s="11"/>
      <c r="Q191" s="11"/>
      <c r="R191" s="11"/>
      <c r="S191" s="11"/>
      <c r="T191" s="11"/>
      <c r="U191" s="11"/>
      <c r="V191" s="11"/>
      <c r="W191" s="11"/>
      <c r="X191" s="11"/>
      <c r="Y191" s="11"/>
      <c r="Z191" s="11"/>
      <c r="AA191" s="11"/>
    </row>
    <row r="192" spans="1:27" x14ac:dyDescent="0.25">
      <c r="A192" s="14">
        <f>'Notes &amp; Assumptions'!A54</f>
        <v>41</v>
      </c>
      <c r="E192" t="s">
        <v>26</v>
      </c>
      <c r="F192" t="s">
        <v>22</v>
      </c>
      <c r="G192" s="10">
        <f>'Key assumptions'!B13</f>
        <v>72</v>
      </c>
      <c r="H192" s="2">
        <f t="shared" ref="H192:W193" si="77">G192*(1+$G$14)*(1+H$191)</f>
        <v>73.512</v>
      </c>
      <c r="I192" s="2">
        <f t="shared" si="77"/>
        <v>75.055751999999998</v>
      </c>
      <c r="J192" s="2">
        <f t="shared" si="77"/>
        <v>76.631922791999997</v>
      </c>
      <c r="K192" s="2">
        <f t="shared" si="77"/>
        <v>78.241193170631988</v>
      </c>
      <c r="L192" s="2">
        <f t="shared" si="77"/>
        <v>79.884258227215255</v>
      </c>
      <c r="M192" s="2">
        <f t="shared" si="77"/>
        <v>81.561827649986768</v>
      </c>
      <c r="N192" s="2">
        <f t="shared" si="77"/>
        <v>83.274626030636483</v>
      </c>
      <c r="O192" s="2">
        <f t="shared" si="77"/>
        <v>85.023393177279843</v>
      </c>
      <c r="P192" s="2">
        <f t="shared" si="77"/>
        <v>86.808884434002707</v>
      </c>
      <c r="Q192" s="2">
        <f t="shared" si="77"/>
        <v>88.631871007116757</v>
      </c>
      <c r="R192" s="2">
        <f t="shared" si="77"/>
        <v>90.493140298266198</v>
      </c>
      <c r="S192" s="2">
        <f t="shared" si="77"/>
        <v>92.393496244529786</v>
      </c>
      <c r="T192" s="2">
        <f t="shared" si="77"/>
        <v>94.3337596656649</v>
      </c>
      <c r="U192" s="2">
        <f t="shared" si="77"/>
        <v>96.314768618643853</v>
      </c>
      <c r="V192" s="2">
        <f t="shared" si="77"/>
        <v>98.337378759635371</v>
      </c>
      <c r="W192" s="2">
        <f t="shared" si="77"/>
        <v>100.40246371358771</v>
      </c>
      <c r="X192" s="2">
        <f t="shared" ref="X192:AA193" si="78">W192*(1+$G$14)*(1+X$191)</f>
        <v>102.51091545157304</v>
      </c>
      <c r="Y192" s="2">
        <f t="shared" si="78"/>
        <v>104.66364467605607</v>
      </c>
      <c r="Z192" s="2">
        <f t="shared" si="78"/>
        <v>106.86158121425323</v>
      </c>
      <c r="AA192" s="2">
        <f t="shared" si="78"/>
        <v>109.10567441975255</v>
      </c>
    </row>
    <row r="193" spans="1:29" x14ac:dyDescent="0.25">
      <c r="A193" s="14">
        <f>'Notes &amp; Assumptions'!A55</f>
        <v>42</v>
      </c>
      <c r="E193" t="s">
        <v>27</v>
      </c>
      <c r="F193" t="s">
        <v>4</v>
      </c>
      <c r="G193" s="10"/>
      <c r="H193" s="2">
        <f t="shared" si="77"/>
        <v>0</v>
      </c>
      <c r="I193" s="2">
        <f t="shared" si="77"/>
        <v>0</v>
      </c>
      <c r="J193" s="2">
        <f t="shared" si="77"/>
        <v>0</v>
      </c>
      <c r="K193" s="2">
        <f t="shared" si="77"/>
        <v>0</v>
      </c>
      <c r="L193" s="2">
        <f t="shared" si="77"/>
        <v>0</v>
      </c>
      <c r="M193" s="2">
        <f t="shared" si="77"/>
        <v>0</v>
      </c>
      <c r="N193" s="2">
        <f t="shared" si="77"/>
        <v>0</v>
      </c>
      <c r="O193" s="2">
        <f t="shared" si="77"/>
        <v>0</v>
      </c>
      <c r="P193" s="2">
        <f t="shared" si="77"/>
        <v>0</v>
      </c>
      <c r="Q193" s="2">
        <f t="shared" si="77"/>
        <v>0</v>
      </c>
      <c r="R193" s="2">
        <f t="shared" si="77"/>
        <v>0</v>
      </c>
      <c r="S193" s="2">
        <f t="shared" si="77"/>
        <v>0</v>
      </c>
      <c r="T193" s="2">
        <f t="shared" si="77"/>
        <v>0</v>
      </c>
      <c r="U193" s="2">
        <f t="shared" si="77"/>
        <v>0</v>
      </c>
      <c r="V193" s="2">
        <f t="shared" si="77"/>
        <v>0</v>
      </c>
      <c r="W193" s="2">
        <f t="shared" si="77"/>
        <v>0</v>
      </c>
      <c r="X193" s="2">
        <f t="shared" si="78"/>
        <v>0</v>
      </c>
      <c r="Y193" s="2">
        <f t="shared" si="78"/>
        <v>0</v>
      </c>
      <c r="Z193" s="2">
        <f t="shared" si="78"/>
        <v>0</v>
      </c>
      <c r="AA193" s="2">
        <f t="shared" si="78"/>
        <v>0</v>
      </c>
    </row>
    <row r="194" spans="1:29" x14ac:dyDescent="0.25">
      <c r="A194" s="14">
        <f>'Notes &amp; Assumptions'!A56</f>
        <v>43</v>
      </c>
      <c r="E194" t="s">
        <v>39</v>
      </c>
      <c r="F194" t="s">
        <v>7</v>
      </c>
      <c r="G194" s="2"/>
      <c r="H194" s="10"/>
      <c r="I194" s="10"/>
      <c r="J194" s="10"/>
      <c r="K194" s="10"/>
      <c r="L194" s="10"/>
      <c r="M194" s="10"/>
      <c r="N194" s="10"/>
      <c r="O194" s="10"/>
      <c r="P194" s="10"/>
      <c r="Q194" s="10"/>
      <c r="R194" s="10"/>
      <c r="S194" s="10"/>
      <c r="T194" s="10"/>
      <c r="U194" s="10"/>
      <c r="V194" s="10"/>
      <c r="W194" s="10"/>
      <c r="X194" s="10"/>
      <c r="Y194" s="10"/>
      <c r="Z194" s="10"/>
      <c r="AA194" s="10"/>
    </row>
    <row r="195" spans="1:29" x14ac:dyDescent="0.25">
      <c r="B195" s="14"/>
      <c r="C195" s="14"/>
      <c r="D195" s="14"/>
      <c r="E195" s="14"/>
      <c r="F195" s="14"/>
      <c r="G195" s="14"/>
      <c r="H195" s="14"/>
      <c r="I195" s="14"/>
      <c r="J195" s="14"/>
      <c r="K195" s="14"/>
      <c r="L195" s="14"/>
      <c r="M195" s="14"/>
      <c r="N195" s="14"/>
      <c r="O195" s="14"/>
      <c r="P195" s="14"/>
      <c r="Q195" s="14"/>
      <c r="R195" s="14"/>
      <c r="S195" s="14"/>
      <c r="T195" s="14"/>
      <c r="U195" s="14"/>
      <c r="V195" s="14"/>
      <c r="W195" s="14"/>
      <c r="X195" s="14"/>
      <c r="Y195" s="14"/>
      <c r="Z195" s="14"/>
      <c r="AA195" s="14"/>
      <c r="AB195" s="14"/>
      <c r="AC195" s="14"/>
    </row>
    <row r="196" spans="1:29" x14ac:dyDescent="0.25">
      <c r="D196" t="s">
        <v>124</v>
      </c>
      <c r="G196" s="14"/>
      <c r="H196" s="14"/>
      <c r="I196" s="14"/>
      <c r="J196" s="14"/>
      <c r="K196" s="14"/>
      <c r="L196" s="14"/>
      <c r="M196" s="14"/>
      <c r="N196" s="14"/>
      <c r="O196" s="14"/>
      <c r="P196" s="14"/>
      <c r="Q196" s="14"/>
      <c r="R196" s="14"/>
      <c r="S196" s="14"/>
      <c r="T196" s="14"/>
      <c r="U196" s="14"/>
      <c r="V196" s="14"/>
      <c r="W196" s="14"/>
      <c r="X196" s="14"/>
      <c r="Y196" s="14"/>
      <c r="Z196" s="14"/>
      <c r="AA196" s="14"/>
    </row>
    <row r="197" spans="1:29" x14ac:dyDescent="0.25">
      <c r="A197" s="14">
        <f>'Notes &amp; Assumptions'!A57</f>
        <v>44</v>
      </c>
      <c r="E197" t="s">
        <v>27</v>
      </c>
      <c r="F197" t="s">
        <v>4</v>
      </c>
      <c r="G197" s="14"/>
      <c r="H197" s="10"/>
      <c r="I197" s="10"/>
      <c r="J197" s="10"/>
      <c r="K197" s="10"/>
      <c r="L197" s="10"/>
      <c r="M197" s="10"/>
      <c r="N197" s="10"/>
      <c r="O197" s="10"/>
      <c r="P197" s="10"/>
      <c r="Q197" s="10"/>
      <c r="R197" s="10"/>
      <c r="S197" s="10"/>
      <c r="T197" s="10"/>
      <c r="U197" s="10"/>
      <c r="V197" s="10"/>
      <c r="W197" s="10"/>
      <c r="X197" s="10"/>
      <c r="Y197" s="10"/>
      <c r="Z197" s="10"/>
      <c r="AA197" s="10"/>
    </row>
    <row r="198" spans="1:29" x14ac:dyDescent="0.25">
      <c r="A198" s="14">
        <f>'Notes &amp; Assumptions'!A58</f>
        <v>45</v>
      </c>
      <c r="E198" t="s">
        <v>39</v>
      </c>
      <c r="F198" t="s">
        <v>7</v>
      </c>
      <c r="G198" s="2"/>
      <c r="H198" s="10"/>
      <c r="I198" s="10"/>
      <c r="J198" s="10"/>
      <c r="K198" s="10"/>
      <c r="L198" s="10"/>
      <c r="M198" s="10"/>
      <c r="N198" s="10"/>
      <c r="O198" s="10"/>
      <c r="P198" s="10"/>
      <c r="Q198" s="10"/>
      <c r="R198" s="10"/>
      <c r="S198" s="10"/>
      <c r="T198" s="10"/>
      <c r="U198" s="10"/>
      <c r="V198" s="10"/>
      <c r="W198" s="10"/>
      <c r="X198" s="10"/>
      <c r="Y198" s="10"/>
      <c r="Z198" s="10"/>
      <c r="AA198" s="10"/>
    </row>
    <row r="199" spans="1:29" x14ac:dyDescent="0.25">
      <c r="G199" s="2"/>
    </row>
    <row r="200" spans="1:29" x14ac:dyDescent="0.25">
      <c r="E200" t="s">
        <v>10</v>
      </c>
      <c r="F200" t="s">
        <v>7</v>
      </c>
      <c r="G200" s="2"/>
      <c r="H200" s="2">
        <f>H192*H175+(H193+H197)*H176+H194+H198</f>
        <v>743132.80799999996</v>
      </c>
      <c r="I200" s="2">
        <f t="shared" ref="I200:AA200" si="79">I192*I175+(I193+I197)*I176+I194+I198</f>
        <v>1478523.258648</v>
      </c>
      <c r="J200" s="2">
        <f t="shared" si="79"/>
        <v>2217704.8560236422</v>
      </c>
      <c r="K200" s="2">
        <f t="shared" si="79"/>
        <v>2925774.6497805635</v>
      </c>
      <c r="L200" s="2">
        <f t="shared" si="79"/>
        <v>3601445.9789350131</v>
      </c>
      <c r="M200" s="2">
        <f t="shared" si="79"/>
        <v>4244828.2267642058</v>
      </c>
      <c r="N200" s="2">
        <f t="shared" si="79"/>
        <v>4856268.0739904055</v>
      </c>
      <c r="O200" s="2">
        <f t="shared" si="79"/>
        <v>5436055.6661825636</v>
      </c>
      <c r="P200" s="2">
        <f t="shared" si="79"/>
        <v>6024970.6241419576</v>
      </c>
      <c r="Q200" s="2">
        <f t="shared" si="79"/>
        <v>6621031.2070962396</v>
      </c>
      <c r="R200" s="2">
        <f t="shared" si="79"/>
        <v>7265929.5167125678</v>
      </c>
      <c r="S200" s="2">
        <f t="shared" si="79"/>
        <v>7965178.6357935406</v>
      </c>
      <c r="T200" s="2">
        <f t="shared" si="79"/>
        <v>8722222.05257494</v>
      </c>
      <c r="U200" s="2">
        <f t="shared" si="79"/>
        <v>9504620.6801167671</v>
      </c>
      <c r="V200" s="2">
        <f t="shared" si="79"/>
        <v>10313348.939650029</v>
      </c>
      <c r="W200" s="2">
        <f t="shared" si="79"/>
        <v>10529929.26738268</v>
      </c>
      <c r="X200" s="2">
        <f t="shared" si="79"/>
        <v>10751057.781997714</v>
      </c>
      <c r="Y200" s="2">
        <f t="shared" si="79"/>
        <v>10976829.995419666</v>
      </c>
      <c r="Z200" s="2">
        <f t="shared" si="79"/>
        <v>11207343.425323477</v>
      </c>
      <c r="AA200" s="2">
        <f t="shared" si="79"/>
        <v>11442697.63725527</v>
      </c>
    </row>
    <row r="201" spans="1:29" x14ac:dyDescent="0.25">
      <c r="G201" s="2"/>
      <c r="H201" s="2"/>
      <c r="I201" s="2"/>
      <c r="J201" s="2"/>
      <c r="K201" s="2"/>
      <c r="L201" s="2"/>
      <c r="M201" s="2"/>
      <c r="N201" s="2"/>
      <c r="O201" s="2"/>
      <c r="P201" s="2"/>
      <c r="Q201" s="2"/>
      <c r="R201" s="2"/>
      <c r="S201" s="2"/>
      <c r="T201" s="2"/>
      <c r="U201" s="2"/>
      <c r="V201" s="2"/>
      <c r="W201" s="2"/>
      <c r="X201" s="2"/>
      <c r="Y201" s="2"/>
      <c r="Z201" s="2"/>
      <c r="AA201" s="2"/>
    </row>
    <row r="202" spans="1:29" x14ac:dyDescent="0.25">
      <c r="C202" s="1" t="s">
        <v>48</v>
      </c>
      <c r="G202" s="2"/>
      <c r="H202" s="2"/>
      <c r="I202" s="2"/>
      <c r="J202" s="2"/>
      <c r="K202" s="2"/>
      <c r="L202" s="2"/>
      <c r="M202" s="2"/>
      <c r="N202" s="2"/>
      <c r="O202" s="2"/>
      <c r="P202" s="2"/>
      <c r="Q202" s="2"/>
      <c r="R202" s="2"/>
      <c r="S202" s="2"/>
      <c r="T202" s="2"/>
      <c r="U202" s="2"/>
      <c r="V202" s="2"/>
      <c r="W202" s="2"/>
      <c r="X202" s="2"/>
      <c r="Y202" s="2"/>
      <c r="Z202" s="2"/>
      <c r="AA202" s="2"/>
    </row>
    <row r="203" spans="1:29" x14ac:dyDescent="0.25">
      <c r="A203" s="14">
        <f>'Notes &amp; Assumptions'!A59</f>
        <v>46</v>
      </c>
      <c r="E203" s="10" t="s">
        <v>44</v>
      </c>
      <c r="F203" t="s">
        <v>7</v>
      </c>
      <c r="G203" s="2"/>
      <c r="H203" s="10"/>
      <c r="I203" s="10"/>
      <c r="J203" s="10"/>
      <c r="K203" s="10"/>
      <c r="L203" s="10"/>
      <c r="M203" s="10"/>
      <c r="N203" s="10"/>
      <c r="O203" s="10"/>
      <c r="P203" s="10"/>
      <c r="Q203" s="10"/>
      <c r="R203" s="10"/>
      <c r="S203" s="10"/>
      <c r="T203" s="10"/>
      <c r="U203" s="10"/>
      <c r="V203" s="10"/>
      <c r="W203" s="10"/>
      <c r="X203" s="10"/>
      <c r="Y203" s="10"/>
      <c r="Z203" s="10"/>
      <c r="AA203" s="10"/>
    </row>
    <row r="204" spans="1:29" x14ac:dyDescent="0.25">
      <c r="A204" s="14">
        <f>'Notes &amp; Assumptions'!A60</f>
        <v>47</v>
      </c>
      <c r="E204" s="10" t="s">
        <v>45</v>
      </c>
      <c r="F204" t="s">
        <v>7</v>
      </c>
      <c r="G204" s="2"/>
      <c r="H204" s="10"/>
      <c r="I204" s="10"/>
      <c r="J204" s="10"/>
      <c r="K204" s="10"/>
      <c r="L204" s="10"/>
      <c r="M204" s="10"/>
      <c r="N204" s="10"/>
      <c r="O204" s="10"/>
      <c r="P204" s="10"/>
      <c r="Q204" s="10"/>
      <c r="R204" s="10"/>
      <c r="S204" s="10"/>
      <c r="T204" s="10"/>
      <c r="U204" s="10"/>
      <c r="V204" s="10"/>
      <c r="W204" s="10"/>
      <c r="X204" s="10"/>
      <c r="Y204" s="10"/>
      <c r="Z204" s="10"/>
      <c r="AA204" s="10"/>
    </row>
    <row r="205" spans="1:29" x14ac:dyDescent="0.25">
      <c r="A205" s="14">
        <f>'Notes &amp; Assumptions'!A61</f>
        <v>48</v>
      </c>
      <c r="E205" s="10" t="s">
        <v>46</v>
      </c>
      <c r="F205" t="s">
        <v>7</v>
      </c>
      <c r="G205" s="2"/>
      <c r="H205" s="10"/>
      <c r="I205" s="10"/>
      <c r="J205" s="10"/>
      <c r="K205" s="10"/>
      <c r="L205" s="10"/>
      <c r="M205" s="10"/>
      <c r="N205" s="10"/>
      <c r="O205" s="10"/>
      <c r="P205" s="10"/>
      <c r="Q205" s="10"/>
      <c r="R205" s="10"/>
      <c r="S205" s="10"/>
      <c r="T205" s="10"/>
      <c r="U205" s="10"/>
      <c r="V205" s="10"/>
      <c r="W205" s="10"/>
      <c r="X205" s="10"/>
      <c r="Y205" s="10"/>
      <c r="Z205" s="10"/>
      <c r="AA205" s="10"/>
    </row>
    <row r="206" spans="1:29" x14ac:dyDescent="0.25">
      <c r="A206" s="14">
        <f>'Notes &amp; Assumptions'!A62</f>
        <v>49</v>
      </c>
      <c r="E206" s="10" t="s">
        <v>47</v>
      </c>
      <c r="F206" t="s">
        <v>7</v>
      </c>
      <c r="G206" s="2"/>
      <c r="H206" s="10"/>
      <c r="I206" s="10"/>
      <c r="J206" s="10"/>
      <c r="K206" s="10"/>
      <c r="L206" s="10"/>
      <c r="M206" s="10"/>
      <c r="N206" s="10"/>
      <c r="O206" s="10"/>
      <c r="P206" s="10"/>
      <c r="Q206" s="10"/>
      <c r="R206" s="10"/>
      <c r="S206" s="10"/>
      <c r="T206" s="10"/>
      <c r="U206" s="10"/>
      <c r="V206" s="10"/>
      <c r="W206" s="10"/>
      <c r="X206" s="10"/>
      <c r="Y206" s="10"/>
      <c r="Z206" s="10"/>
      <c r="AA206" s="10"/>
    </row>
    <row r="207" spans="1:29" x14ac:dyDescent="0.25">
      <c r="E207" t="s">
        <v>17</v>
      </c>
      <c r="G207" s="2"/>
      <c r="H207" s="2">
        <f>SUM(H203:H206)</f>
        <v>0</v>
      </c>
      <c r="I207" s="2">
        <f t="shared" ref="I207:AA207" si="80">SUM(I203:I206)</f>
        <v>0</v>
      </c>
      <c r="J207" s="2">
        <f t="shared" si="80"/>
        <v>0</v>
      </c>
      <c r="K207" s="2">
        <f t="shared" si="80"/>
        <v>0</v>
      </c>
      <c r="L207" s="2">
        <f t="shared" si="80"/>
        <v>0</v>
      </c>
      <c r="M207" s="2">
        <f t="shared" si="80"/>
        <v>0</v>
      </c>
      <c r="N207" s="2">
        <f t="shared" si="80"/>
        <v>0</v>
      </c>
      <c r="O207" s="2">
        <f t="shared" si="80"/>
        <v>0</v>
      </c>
      <c r="P207" s="2">
        <f t="shared" si="80"/>
        <v>0</v>
      </c>
      <c r="Q207" s="2">
        <f t="shared" si="80"/>
        <v>0</v>
      </c>
      <c r="R207" s="2">
        <f t="shared" si="80"/>
        <v>0</v>
      </c>
      <c r="S207" s="2">
        <f t="shared" si="80"/>
        <v>0</v>
      </c>
      <c r="T207" s="2">
        <f t="shared" si="80"/>
        <v>0</v>
      </c>
      <c r="U207" s="2">
        <f t="shared" si="80"/>
        <v>0</v>
      </c>
      <c r="V207" s="2">
        <f t="shared" si="80"/>
        <v>0</v>
      </c>
      <c r="W207" s="2">
        <f t="shared" si="80"/>
        <v>0</v>
      </c>
      <c r="X207" s="2">
        <f t="shared" si="80"/>
        <v>0</v>
      </c>
      <c r="Y207" s="2">
        <f t="shared" si="80"/>
        <v>0</v>
      </c>
      <c r="Z207" s="2">
        <f t="shared" si="80"/>
        <v>0</v>
      </c>
      <c r="AA207" s="2">
        <f t="shared" si="80"/>
        <v>0</v>
      </c>
    </row>
    <row r="208" spans="1:29" x14ac:dyDescent="0.25">
      <c r="G208" s="2"/>
      <c r="H208" s="2"/>
      <c r="I208" s="2"/>
      <c r="J208" s="2"/>
      <c r="K208" s="2"/>
      <c r="L208" s="2"/>
      <c r="M208" s="2"/>
      <c r="N208" s="2"/>
      <c r="O208" s="2"/>
      <c r="P208" s="2"/>
      <c r="Q208" s="2"/>
      <c r="R208" s="2"/>
      <c r="S208" s="2"/>
      <c r="T208" s="2"/>
      <c r="U208" s="2"/>
      <c r="V208" s="2"/>
      <c r="W208" s="2"/>
      <c r="X208" s="2"/>
      <c r="Y208" s="2"/>
      <c r="Z208" s="2"/>
      <c r="AA208" s="2"/>
    </row>
    <row r="209" spans="1:27" x14ac:dyDescent="0.25">
      <c r="C209" s="1" t="s">
        <v>49</v>
      </c>
      <c r="G209" s="2"/>
      <c r="H209" s="2"/>
      <c r="I209" s="2"/>
      <c r="J209" s="2"/>
      <c r="K209" s="2"/>
      <c r="L209" s="2"/>
      <c r="M209" s="2"/>
      <c r="N209" s="2"/>
      <c r="O209" s="2"/>
      <c r="P209" s="2"/>
      <c r="Q209" s="2"/>
      <c r="R209" s="2"/>
      <c r="S209" s="2"/>
      <c r="T209" s="2"/>
      <c r="U209" s="2"/>
      <c r="V209" s="2"/>
      <c r="W209" s="2"/>
      <c r="X209" s="2"/>
      <c r="Y209" s="2"/>
      <c r="Z209" s="2"/>
      <c r="AA209" s="2"/>
    </row>
    <row r="210" spans="1:27" x14ac:dyDescent="0.25">
      <c r="A210" s="14">
        <f>'Notes &amp; Assumptions'!A63</f>
        <v>50</v>
      </c>
      <c r="E210" s="10" t="s">
        <v>174</v>
      </c>
      <c r="F210" t="s">
        <v>7</v>
      </c>
      <c r="G210" s="24">
        <v>0</v>
      </c>
      <c r="H210" s="10">
        <f>H107*($G$210*(1+$G$14)^(H2))</f>
        <v>0</v>
      </c>
      <c r="I210" s="10">
        <f>I107*($G$210*(1+$G$14)^(I2))</f>
        <v>0</v>
      </c>
      <c r="J210" s="10">
        <f t="shared" ref="J210:AA210" si="81">J107*($G$210*(1+$G$14)^(J2))</f>
        <v>0</v>
      </c>
      <c r="K210" s="10">
        <f t="shared" si="81"/>
        <v>0</v>
      </c>
      <c r="L210" s="10">
        <f t="shared" si="81"/>
        <v>0</v>
      </c>
      <c r="M210" s="10">
        <f t="shared" si="81"/>
        <v>0</v>
      </c>
      <c r="N210" s="10">
        <f t="shared" si="81"/>
        <v>0</v>
      </c>
      <c r="O210" s="10">
        <f t="shared" si="81"/>
        <v>0</v>
      </c>
      <c r="P210" s="10">
        <f t="shared" si="81"/>
        <v>0</v>
      </c>
      <c r="Q210" s="10">
        <f t="shared" si="81"/>
        <v>0</v>
      </c>
      <c r="R210" s="10">
        <f t="shared" si="81"/>
        <v>0</v>
      </c>
      <c r="S210" s="10">
        <f t="shared" si="81"/>
        <v>0</v>
      </c>
      <c r="T210" s="10">
        <f t="shared" si="81"/>
        <v>0</v>
      </c>
      <c r="U210" s="10">
        <f t="shared" si="81"/>
        <v>0</v>
      </c>
      <c r="V210" s="10">
        <f t="shared" si="81"/>
        <v>0</v>
      </c>
      <c r="W210" s="10">
        <f t="shared" si="81"/>
        <v>0</v>
      </c>
      <c r="X210" s="10">
        <f t="shared" si="81"/>
        <v>0</v>
      </c>
      <c r="Y210" s="10">
        <f t="shared" si="81"/>
        <v>0</v>
      </c>
      <c r="Z210" s="10">
        <f t="shared" si="81"/>
        <v>0</v>
      </c>
      <c r="AA210" s="10">
        <f t="shared" si="81"/>
        <v>0</v>
      </c>
    </row>
    <row r="211" spans="1:27" x14ac:dyDescent="0.25">
      <c r="A211" s="14">
        <f>'Notes &amp; Assumptions'!A64</f>
        <v>51</v>
      </c>
      <c r="E211" s="10" t="s">
        <v>50</v>
      </c>
      <c r="F211" t="s">
        <v>7</v>
      </c>
      <c r="G211" s="2"/>
      <c r="H211" s="10"/>
      <c r="I211" s="10"/>
      <c r="J211" s="10"/>
      <c r="K211" s="10"/>
      <c r="L211" s="10"/>
      <c r="M211" s="10"/>
      <c r="N211" s="10"/>
      <c r="O211" s="10"/>
      <c r="P211" s="10"/>
      <c r="Q211" s="10"/>
      <c r="R211" s="10"/>
      <c r="S211" s="10"/>
      <c r="T211" s="10"/>
      <c r="U211" s="10"/>
      <c r="V211" s="10"/>
      <c r="W211" s="10"/>
      <c r="X211" s="10"/>
      <c r="Y211" s="10"/>
      <c r="Z211" s="10"/>
      <c r="AA211" s="10"/>
    </row>
    <row r="212" spans="1:27" x14ac:dyDescent="0.25">
      <c r="A212" s="14">
        <f>'Notes &amp; Assumptions'!A65</f>
        <v>52</v>
      </c>
      <c r="E212" s="10" t="s">
        <v>51</v>
      </c>
      <c r="F212" t="s">
        <v>7</v>
      </c>
      <c r="G212" s="2"/>
      <c r="H212" s="10"/>
      <c r="I212" s="10"/>
      <c r="J212" s="10"/>
      <c r="K212" s="10"/>
      <c r="L212" s="10"/>
      <c r="M212" s="10"/>
      <c r="N212" s="10"/>
      <c r="O212" s="10"/>
      <c r="P212" s="10"/>
      <c r="Q212" s="10"/>
      <c r="R212" s="10"/>
      <c r="S212" s="10"/>
      <c r="T212" s="10"/>
      <c r="U212" s="10"/>
      <c r="V212" s="10"/>
      <c r="W212" s="10"/>
      <c r="X212" s="10"/>
      <c r="Y212" s="10"/>
      <c r="Z212" s="10"/>
      <c r="AA212" s="10"/>
    </row>
    <row r="213" spans="1:27" x14ac:dyDescent="0.25">
      <c r="A213" s="14">
        <f>'Notes &amp; Assumptions'!A66</f>
        <v>53</v>
      </c>
      <c r="E213" s="10" t="s">
        <v>52</v>
      </c>
      <c r="F213" t="s">
        <v>7</v>
      </c>
      <c r="G213" s="2"/>
      <c r="H213" s="10"/>
      <c r="I213" s="10"/>
      <c r="J213" s="10"/>
      <c r="K213" s="10"/>
      <c r="L213" s="10"/>
      <c r="M213" s="10"/>
      <c r="N213" s="10"/>
      <c r="O213" s="10"/>
      <c r="P213" s="10"/>
      <c r="Q213" s="10"/>
      <c r="R213" s="10"/>
      <c r="S213" s="10"/>
      <c r="T213" s="10"/>
      <c r="U213" s="10"/>
      <c r="V213" s="10"/>
      <c r="W213" s="10"/>
      <c r="X213" s="10"/>
      <c r="Y213" s="10"/>
      <c r="Z213" s="10"/>
      <c r="AA213" s="10"/>
    </row>
    <row r="214" spans="1:27" x14ac:dyDescent="0.25">
      <c r="E214" t="s">
        <v>17</v>
      </c>
      <c r="G214" s="2"/>
      <c r="H214" s="2">
        <f>SUM(H210:H213)</f>
        <v>0</v>
      </c>
      <c r="I214" s="2">
        <f t="shared" ref="I214:AA214" si="82">SUM(I210:I213)</f>
        <v>0</v>
      </c>
      <c r="J214" s="2">
        <f t="shared" si="82"/>
        <v>0</v>
      </c>
      <c r="K214" s="2">
        <f t="shared" si="82"/>
        <v>0</v>
      </c>
      <c r="L214" s="2">
        <f t="shared" si="82"/>
        <v>0</v>
      </c>
      <c r="M214" s="2">
        <f t="shared" si="82"/>
        <v>0</v>
      </c>
      <c r="N214" s="2">
        <f t="shared" si="82"/>
        <v>0</v>
      </c>
      <c r="O214" s="2">
        <f t="shared" si="82"/>
        <v>0</v>
      </c>
      <c r="P214" s="2">
        <f t="shared" si="82"/>
        <v>0</v>
      </c>
      <c r="Q214" s="2">
        <f t="shared" si="82"/>
        <v>0</v>
      </c>
      <c r="R214" s="2">
        <f t="shared" si="82"/>
        <v>0</v>
      </c>
      <c r="S214" s="2">
        <f t="shared" si="82"/>
        <v>0</v>
      </c>
      <c r="T214" s="2">
        <f t="shared" si="82"/>
        <v>0</v>
      </c>
      <c r="U214" s="2">
        <f t="shared" si="82"/>
        <v>0</v>
      </c>
      <c r="V214" s="2">
        <f t="shared" si="82"/>
        <v>0</v>
      </c>
      <c r="W214" s="2">
        <f t="shared" si="82"/>
        <v>0</v>
      </c>
      <c r="X214" s="2">
        <f t="shared" si="82"/>
        <v>0</v>
      </c>
      <c r="Y214" s="2">
        <f t="shared" si="82"/>
        <v>0</v>
      </c>
      <c r="Z214" s="2">
        <f t="shared" si="82"/>
        <v>0</v>
      </c>
      <c r="AA214" s="2">
        <f t="shared" si="82"/>
        <v>0</v>
      </c>
    </row>
    <row r="215" spans="1:27" x14ac:dyDescent="0.25">
      <c r="G215" s="2"/>
      <c r="H215" s="2"/>
      <c r="I215" s="2"/>
      <c r="J215" s="2"/>
      <c r="K215" s="2"/>
      <c r="L215" s="2"/>
      <c r="M215" s="2"/>
      <c r="N215" s="2"/>
      <c r="O215" s="2"/>
      <c r="P215" s="2"/>
      <c r="Q215" s="2"/>
      <c r="R215" s="2"/>
      <c r="S215" s="2"/>
      <c r="T215" s="2"/>
      <c r="U215" s="2"/>
      <c r="V215" s="2"/>
      <c r="W215" s="2"/>
      <c r="X215" s="2"/>
      <c r="Y215" s="2"/>
      <c r="Z215" s="2"/>
      <c r="AA215" s="2"/>
    </row>
    <row r="216" spans="1:27" x14ac:dyDescent="0.25">
      <c r="C216" s="1" t="s">
        <v>33</v>
      </c>
      <c r="G216" s="2"/>
      <c r="H216" s="2"/>
      <c r="I216" s="2"/>
      <c r="J216" s="2"/>
      <c r="K216" s="2"/>
      <c r="L216" s="2"/>
      <c r="M216" s="2"/>
      <c r="N216" s="2"/>
      <c r="O216" s="2"/>
      <c r="P216" s="2"/>
      <c r="Q216" s="2"/>
      <c r="R216" s="2"/>
      <c r="S216" s="2"/>
      <c r="T216" s="2"/>
      <c r="U216" s="2"/>
      <c r="V216" s="2"/>
      <c r="W216" s="2"/>
      <c r="X216" s="2"/>
      <c r="Y216" s="2"/>
      <c r="Z216" s="2"/>
      <c r="AA216" s="2"/>
    </row>
    <row r="217" spans="1:27" x14ac:dyDescent="0.25">
      <c r="C217" s="1"/>
      <c r="D217" s="1"/>
      <c r="E217" t="s">
        <v>29</v>
      </c>
      <c r="F217" t="s">
        <v>3</v>
      </c>
      <c r="G217" s="44"/>
      <c r="H217" s="2">
        <f t="shared" ref="H217:AA217" si="83">H174</f>
        <v>10109</v>
      </c>
      <c r="I217" s="2">
        <f t="shared" si="83"/>
        <v>9590</v>
      </c>
      <c r="J217" s="2">
        <f t="shared" si="83"/>
        <v>9240.6999999999989</v>
      </c>
      <c r="K217" s="2">
        <f t="shared" si="83"/>
        <v>8454.5999999999985</v>
      </c>
      <c r="L217" s="2">
        <f t="shared" si="83"/>
        <v>7688.9999999999982</v>
      </c>
      <c r="M217" s="2">
        <f t="shared" si="83"/>
        <v>6960.9999999999982</v>
      </c>
      <c r="N217" s="2">
        <f t="shared" si="83"/>
        <v>6271.9999999999973</v>
      </c>
      <c r="O217" s="2">
        <f t="shared" si="83"/>
        <v>5619.699999999998</v>
      </c>
      <c r="P217" s="2">
        <f t="shared" si="83"/>
        <v>5468.9999999999982</v>
      </c>
      <c r="Q217" s="2">
        <f t="shared" si="83"/>
        <v>5297.5999999999985</v>
      </c>
      <c r="R217" s="2">
        <f t="shared" si="83"/>
        <v>5589.9999999999982</v>
      </c>
      <c r="S217" s="2">
        <f t="shared" si="83"/>
        <v>5916.699999999998</v>
      </c>
      <c r="T217" s="2">
        <f t="shared" si="83"/>
        <v>6251.9999999999982</v>
      </c>
      <c r="U217" s="2">
        <f t="shared" si="83"/>
        <v>6221.5999999999976</v>
      </c>
      <c r="V217" s="2">
        <f t="shared" si="83"/>
        <v>6194.2999999999975</v>
      </c>
      <c r="W217" s="2">
        <f t="shared" si="83"/>
        <v>0</v>
      </c>
      <c r="X217" s="2">
        <f t="shared" si="83"/>
        <v>0</v>
      </c>
      <c r="Y217" s="2">
        <f t="shared" si="83"/>
        <v>0</v>
      </c>
      <c r="Z217" s="2">
        <f t="shared" si="83"/>
        <v>0</v>
      </c>
      <c r="AA217" s="2">
        <f t="shared" si="83"/>
        <v>0</v>
      </c>
    </row>
    <row r="218" spans="1:27" x14ac:dyDescent="0.25">
      <c r="E218" t="s">
        <v>18</v>
      </c>
      <c r="F218" t="s">
        <v>22</v>
      </c>
      <c r="G218" s="8">
        <f ca="1">MAX(0,-G245/(NPV($G$16,H217:AA217)))</f>
        <v>1578.7255743600178</v>
      </c>
      <c r="H218" s="2">
        <f t="shared" ref="H218:AA218" ca="1" si="84">G218*(1+$G$14)</f>
        <v>1611.8788114215781</v>
      </c>
      <c r="I218" s="2">
        <f t="shared" ca="1" si="84"/>
        <v>1645.7282664614311</v>
      </c>
      <c r="J218" s="2">
        <f t="shared" ca="1" si="84"/>
        <v>1680.288560057121</v>
      </c>
      <c r="K218" s="2">
        <f t="shared" ca="1" si="84"/>
        <v>1715.5746198183203</v>
      </c>
      <c r="L218" s="2">
        <f t="shared" ca="1" si="84"/>
        <v>1751.601686834505</v>
      </c>
      <c r="M218" s="2">
        <f t="shared" ca="1" si="84"/>
        <v>1788.3853222580294</v>
      </c>
      <c r="N218" s="2">
        <f t="shared" ca="1" si="84"/>
        <v>1825.9414140254478</v>
      </c>
      <c r="O218" s="2">
        <f t="shared" ca="1" si="84"/>
        <v>1864.2861837199821</v>
      </c>
      <c r="P218" s="2">
        <f t="shared" ca="1" si="84"/>
        <v>1903.4361935781014</v>
      </c>
      <c r="Q218" s="2">
        <f t="shared" ca="1" si="84"/>
        <v>1943.4083536432413</v>
      </c>
      <c r="R218" s="2">
        <f t="shared" ca="1" si="84"/>
        <v>1984.2199290697492</v>
      </c>
      <c r="S218" s="2">
        <f t="shared" ca="1" si="84"/>
        <v>2025.8885475802138</v>
      </c>
      <c r="T218" s="2">
        <f t="shared" ca="1" si="84"/>
        <v>2068.4322070793983</v>
      </c>
      <c r="U218" s="2">
        <f t="shared" ca="1" si="84"/>
        <v>2111.8692834280655</v>
      </c>
      <c r="V218" s="2">
        <f t="shared" ca="1" si="84"/>
        <v>2156.2185383800547</v>
      </c>
      <c r="W218" s="2">
        <f t="shared" ca="1" si="84"/>
        <v>2201.4991276860355</v>
      </c>
      <c r="X218" s="2">
        <f t="shared" ca="1" si="84"/>
        <v>2247.730609367442</v>
      </c>
      <c r="Y218" s="2">
        <f t="shared" ca="1" si="84"/>
        <v>2294.932952164158</v>
      </c>
      <c r="Z218" s="2">
        <f t="shared" ca="1" si="84"/>
        <v>2343.1265441596051</v>
      </c>
      <c r="AA218" s="2">
        <f t="shared" ca="1" si="84"/>
        <v>2392.3322015869567</v>
      </c>
    </row>
    <row r="219" spans="1:27" x14ac:dyDescent="0.25">
      <c r="E219" t="s">
        <v>21</v>
      </c>
      <c r="F219" t="s">
        <v>7</v>
      </c>
      <c r="H219" s="2">
        <f ca="1">H218*H217</f>
        <v>16294482.904660733</v>
      </c>
      <c r="I219" s="2">
        <f t="shared" ref="I219:AA219" ca="1" si="85">I218*I217</f>
        <v>15782534.075365124</v>
      </c>
      <c r="J219" s="2">
        <f t="shared" ca="1" si="85"/>
        <v>15527042.496919837</v>
      </c>
      <c r="K219" s="2">
        <f t="shared" ca="1" si="85"/>
        <v>14504497.180715969</v>
      </c>
      <c r="L219" s="2">
        <f t="shared" ca="1" si="85"/>
        <v>13468065.370070506</v>
      </c>
      <c r="M219" s="2">
        <f t="shared" ca="1" si="85"/>
        <v>12448950.228238139</v>
      </c>
      <c r="N219" s="2">
        <f t="shared" ca="1" si="85"/>
        <v>11452304.548767604</v>
      </c>
      <c r="O219" s="2">
        <f t="shared" ca="1" si="85"/>
        <v>10476729.06665118</v>
      </c>
      <c r="P219" s="2">
        <f t="shared" ca="1" si="85"/>
        <v>10409892.542678634</v>
      </c>
      <c r="Q219" s="2">
        <f t="shared" ca="1" si="85"/>
        <v>10295400.094260432</v>
      </c>
      <c r="R219" s="2">
        <f t="shared" ca="1" si="85"/>
        <v>11091789.403499894</v>
      </c>
      <c r="S219" s="2">
        <f t="shared" ca="1" si="85"/>
        <v>11986574.769467847</v>
      </c>
      <c r="T219" s="2">
        <f t="shared" ca="1" si="85"/>
        <v>12931838.158660395</v>
      </c>
      <c r="U219" s="2">
        <f t="shared" ca="1" si="85"/>
        <v>13139205.933776047</v>
      </c>
      <c r="V219" s="2">
        <f t="shared" ca="1" si="85"/>
        <v>13356264.492287567</v>
      </c>
      <c r="W219" s="2">
        <f t="shared" ca="1" si="85"/>
        <v>0</v>
      </c>
      <c r="X219" s="2">
        <f t="shared" ca="1" si="85"/>
        <v>0</v>
      </c>
      <c r="Y219" s="2">
        <f t="shared" ca="1" si="85"/>
        <v>0</v>
      </c>
      <c r="Z219" s="2">
        <f t="shared" ca="1" si="85"/>
        <v>0</v>
      </c>
      <c r="AA219" s="2">
        <f t="shared" ca="1" si="85"/>
        <v>0</v>
      </c>
    </row>
    <row r="220" spans="1:27" x14ac:dyDescent="0.25">
      <c r="G220" s="8">
        <f ca="1">-G245/(NPV($G$16,H217:AA217))</f>
        <v>1578.7255743600178</v>
      </c>
    </row>
    <row r="221" spans="1:27" x14ac:dyDescent="0.25">
      <c r="D221" t="s">
        <v>9</v>
      </c>
    </row>
    <row r="222" spans="1:27" x14ac:dyDescent="0.25">
      <c r="E222" t="s">
        <v>107</v>
      </c>
      <c r="F222" t="s">
        <v>7</v>
      </c>
      <c r="G222" s="2">
        <f t="shared" ref="G222:AA222" si="86">G42</f>
        <v>0</v>
      </c>
      <c r="H222" s="2">
        <f t="shared" si="86"/>
        <v>72249022.999999985</v>
      </c>
      <c r="I222" s="2">
        <f t="shared" si="86"/>
        <v>69979064.329999983</v>
      </c>
      <c r="J222" s="2">
        <f t="shared" si="86"/>
        <v>68846225.869558871</v>
      </c>
      <c r="K222" s="2">
        <f t="shared" si="86"/>
        <v>64312304.756430194</v>
      </c>
      <c r="L222" s="2">
        <f t="shared" si="86"/>
        <v>59716811.53560283</v>
      </c>
      <c r="M222" s="2">
        <f t="shared" si="86"/>
        <v>55198099.665290311</v>
      </c>
      <c r="N222" s="2">
        <f t="shared" si="86"/>
        <v>50779016.406236961</v>
      </c>
      <c r="O222" s="2">
        <f t="shared" si="86"/>
        <v>46453357.47872936</v>
      </c>
      <c r="P222" s="2">
        <f t="shared" si="86"/>
        <v>46157007.26092948</v>
      </c>
      <c r="Q222" s="2">
        <f t="shared" si="86"/>
        <v>45649352.76293207</v>
      </c>
      <c r="R222" s="2">
        <f t="shared" si="86"/>
        <v>49180508.053766027</v>
      </c>
      <c r="S222" s="2">
        <f t="shared" si="86"/>
        <v>53147947.147361971</v>
      </c>
      <c r="T222" s="2">
        <f t="shared" si="86"/>
        <v>57339203.583446585</v>
      </c>
      <c r="U222" s="2">
        <f t="shared" si="86"/>
        <v>58258663.209226079</v>
      </c>
      <c r="V222" s="2">
        <f t="shared" si="86"/>
        <v>59221091.343828619</v>
      </c>
      <c r="W222" s="2">
        <f t="shared" si="86"/>
        <v>0</v>
      </c>
      <c r="X222" s="2">
        <f t="shared" si="86"/>
        <v>0</v>
      </c>
      <c r="Y222" s="2">
        <f t="shared" si="86"/>
        <v>0</v>
      </c>
      <c r="Z222" s="2">
        <f t="shared" si="86"/>
        <v>0</v>
      </c>
      <c r="AA222" s="2">
        <f t="shared" si="86"/>
        <v>0</v>
      </c>
    </row>
    <row r="223" spans="1:27" x14ac:dyDescent="0.25">
      <c r="E223" t="s">
        <v>11</v>
      </c>
      <c r="F223" t="s">
        <v>7</v>
      </c>
      <c r="G223" s="2">
        <f t="shared" ref="G223:AA223" si="87">G177</f>
        <v>0</v>
      </c>
      <c r="H223" s="2">
        <f t="shared" si="87"/>
        <v>5059997.0294428989</v>
      </c>
      <c r="I223" s="2">
        <f t="shared" si="87"/>
        <v>9813640.4386346266</v>
      </c>
      <c r="J223" s="2">
        <f t="shared" si="87"/>
        <v>14756828.047150774</v>
      </c>
      <c r="K223" s="2">
        <f t="shared" si="87"/>
        <v>19511444.976588752</v>
      </c>
      <c r="L223" s="2">
        <f t="shared" si="87"/>
        <v>24074077.954699419</v>
      </c>
      <c r="M223" s="2">
        <f t="shared" si="87"/>
        <v>28439929.932911668</v>
      </c>
      <c r="N223" s="2">
        <f t="shared" si="87"/>
        <v>32615620.831842452</v>
      </c>
      <c r="O223" s="2">
        <f t="shared" si="87"/>
        <v>36602502.914364107</v>
      </c>
      <c r="P223" s="2">
        <f t="shared" si="87"/>
        <v>40685024.897572123</v>
      </c>
      <c r="Q223" s="2">
        <f t="shared" si="87"/>
        <v>44858687.51313892</v>
      </c>
      <c r="R223" s="2">
        <f t="shared" si="87"/>
        <v>49378191.643165857</v>
      </c>
      <c r="S223" s="2">
        <f t="shared" si="87"/>
        <v>54285148.555953443</v>
      </c>
      <c r="T223" s="2">
        <f t="shared" si="87"/>
        <v>59597404.693263024</v>
      </c>
      <c r="U223" s="2">
        <f t="shared" si="87"/>
        <v>65085081.36430487</v>
      </c>
      <c r="V223" s="2">
        <f t="shared" si="87"/>
        <v>70760709.81436567</v>
      </c>
      <c r="W223" s="2">
        <f t="shared" si="87"/>
        <v>72246684.720467344</v>
      </c>
      <c r="X223" s="2">
        <f t="shared" si="87"/>
        <v>73763865.099597141</v>
      </c>
      <c r="Y223" s="2">
        <f t="shared" si="87"/>
        <v>75312906.266688675</v>
      </c>
      <c r="Z223" s="2">
        <f t="shared" si="87"/>
        <v>76894477.29828915</v>
      </c>
      <c r="AA223" s="2">
        <f t="shared" si="87"/>
        <v>78509261.3215532</v>
      </c>
    </row>
    <row r="224" spans="1:27" x14ac:dyDescent="0.25">
      <c r="E224" t="s">
        <v>57</v>
      </c>
      <c r="F224" t="s">
        <v>7</v>
      </c>
      <c r="G224" s="2">
        <f t="shared" ref="G224:AA224" si="88">-G187</f>
        <v>0</v>
      </c>
      <c r="H224" s="2">
        <f t="shared" si="88"/>
        <v>-2122629.1767095425</v>
      </c>
      <c r="I224" s="2">
        <f t="shared" si="88"/>
        <v>-4354269.4778751032</v>
      </c>
      <c r="J224" s="2">
        <f t="shared" si="88"/>
        <v>-6734273.1972878007</v>
      </c>
      <c r="K224" s="2">
        <f t="shared" si="88"/>
        <v>-8885262.4259306435</v>
      </c>
      <c r="L224" s="2">
        <f t="shared" si="88"/>
        <v>-10938346.137787469</v>
      </c>
      <c r="M224" s="2">
        <f t="shared" si="88"/>
        <v>-12893745.156370113</v>
      </c>
      <c r="N224" s="2">
        <f t="shared" si="88"/>
        <v>-14752599.121368518</v>
      </c>
      <c r="O224" s="2">
        <f t="shared" si="88"/>
        <v>-16515777.432666125</v>
      </c>
      <c r="P224" s="2">
        <f t="shared" si="88"/>
        <v>-18307375.226850472</v>
      </c>
      <c r="Q224" s="2">
        <f t="shared" si="88"/>
        <v>-20121549.814150285</v>
      </c>
      <c r="R224" s="2">
        <f t="shared" si="88"/>
        <v>-22084445.385203749</v>
      </c>
      <c r="S224" s="2">
        <f t="shared" si="88"/>
        <v>-24212902.218682617</v>
      </c>
      <c r="T224" s="2">
        <f t="shared" si="88"/>
        <v>-26517274.696559355</v>
      </c>
      <c r="U224" s="2">
        <f t="shared" si="88"/>
        <v>-28898775.798122369</v>
      </c>
      <c r="V224" s="2">
        <f t="shared" si="88"/>
        <v>-31360486.303749148</v>
      </c>
      <c r="W224" s="2">
        <f t="shared" si="88"/>
        <v>-32019056.516127877</v>
      </c>
      <c r="X224" s="2">
        <f t="shared" si="88"/>
        <v>-32691456.70296656</v>
      </c>
      <c r="Y224" s="2">
        <f t="shared" si="88"/>
        <v>-33377977.293728855</v>
      </c>
      <c r="Z224" s="2">
        <f t="shared" si="88"/>
        <v>-34078914.816897161</v>
      </c>
      <c r="AA224" s="2">
        <f t="shared" si="88"/>
        <v>-34794572.028051995</v>
      </c>
    </row>
    <row r="225" spans="4:28" customFormat="1" x14ac:dyDescent="0.25">
      <c r="E225" t="s">
        <v>10</v>
      </c>
      <c r="F225" t="s">
        <v>7</v>
      </c>
      <c r="G225" s="2">
        <f t="shared" ref="G225:AA225" si="89">-G200</f>
        <v>0</v>
      </c>
      <c r="H225" s="2">
        <f t="shared" si="89"/>
        <v>-743132.80799999996</v>
      </c>
      <c r="I225" s="2">
        <f t="shared" si="89"/>
        <v>-1478523.258648</v>
      </c>
      <c r="J225" s="2">
        <f t="shared" si="89"/>
        <v>-2217704.8560236422</v>
      </c>
      <c r="K225" s="2">
        <f t="shared" si="89"/>
        <v>-2925774.6497805635</v>
      </c>
      <c r="L225" s="2">
        <f t="shared" si="89"/>
        <v>-3601445.9789350131</v>
      </c>
      <c r="M225" s="2">
        <f t="shared" si="89"/>
        <v>-4244828.2267642058</v>
      </c>
      <c r="N225" s="2">
        <f t="shared" si="89"/>
        <v>-4856268.0739904055</v>
      </c>
      <c r="O225" s="2">
        <f t="shared" si="89"/>
        <v>-5436055.6661825636</v>
      </c>
      <c r="P225" s="2">
        <f t="shared" si="89"/>
        <v>-6024970.6241419576</v>
      </c>
      <c r="Q225" s="2">
        <f t="shared" si="89"/>
        <v>-6621031.2070962396</v>
      </c>
      <c r="R225" s="2">
        <f t="shared" si="89"/>
        <v>-7265929.5167125678</v>
      </c>
      <c r="S225" s="2">
        <f t="shared" si="89"/>
        <v>-7965178.6357935406</v>
      </c>
      <c r="T225" s="2">
        <f t="shared" si="89"/>
        <v>-8722222.05257494</v>
      </c>
      <c r="U225" s="2">
        <f t="shared" si="89"/>
        <v>-9504620.6801167671</v>
      </c>
      <c r="V225" s="2">
        <f t="shared" si="89"/>
        <v>-10313348.939650029</v>
      </c>
      <c r="W225" s="2">
        <f t="shared" si="89"/>
        <v>-10529929.26738268</v>
      </c>
      <c r="X225" s="2">
        <f t="shared" si="89"/>
        <v>-10751057.781997714</v>
      </c>
      <c r="Y225" s="2">
        <f t="shared" si="89"/>
        <v>-10976829.995419666</v>
      </c>
      <c r="Z225" s="2">
        <f t="shared" si="89"/>
        <v>-11207343.425323477</v>
      </c>
      <c r="AA225" s="2">
        <f t="shared" si="89"/>
        <v>-11442697.63725527</v>
      </c>
    </row>
    <row r="226" spans="4:28" customFormat="1" x14ac:dyDescent="0.25">
      <c r="E226" t="s">
        <v>12</v>
      </c>
      <c r="F226" t="s">
        <v>7</v>
      </c>
      <c r="G226" s="2">
        <f t="shared" ref="G226:AA226" si="90">-G34-G50-G85</f>
        <v>-1572099.4106117547</v>
      </c>
      <c r="H226" s="2">
        <f t="shared" si="90"/>
        <v>-2896893.1122579933</v>
      </c>
      <c r="I226" s="2">
        <f t="shared" si="90"/>
        <v>-4159886.9143932029</v>
      </c>
      <c r="J226" s="2">
        <f t="shared" si="90"/>
        <v>-5334913.4148228969</v>
      </c>
      <c r="K226" s="2">
        <f t="shared" si="90"/>
        <v>-6477898.4718068987</v>
      </c>
      <c r="L226" s="2">
        <f t="shared" si="90"/>
        <v>-7558505.9902862627</v>
      </c>
      <c r="M226" s="2">
        <f t="shared" si="90"/>
        <v>-8585650.9184409268</v>
      </c>
      <c r="N226" s="2">
        <f t="shared" si="90"/>
        <v>-9578372.1217767503</v>
      </c>
      <c r="O226" s="2">
        <f t="shared" si="90"/>
        <v>-10529798.484403722</v>
      </c>
      <c r="P226" s="2">
        <f t="shared" si="90"/>
        <v>-11481551.590409642</v>
      </c>
      <c r="Q226" s="2">
        <f t="shared" si="90"/>
        <v>-12438420.774803482</v>
      </c>
      <c r="R226" s="2">
        <f t="shared" si="90"/>
        <v>-13445811.940502029</v>
      </c>
      <c r="S226" s="2">
        <f t="shared" si="90"/>
        <v>-14507133.808332291</v>
      </c>
      <c r="T226" s="2">
        <f t="shared" si="90"/>
        <v>-15624004.793121897</v>
      </c>
      <c r="U226" s="2">
        <f t="shared" si="90"/>
        <v>-16760493.110658394</v>
      </c>
      <c r="V226" s="2">
        <f t="shared" si="90"/>
        <v>-17918553.078771289</v>
      </c>
      <c r="W226" s="2">
        <f t="shared" si="90"/>
        <v>-18054876.053345144</v>
      </c>
      <c r="X226" s="2">
        <f t="shared" si="90"/>
        <v>-18193941.267420616</v>
      </c>
      <c r="Y226" s="2">
        <f t="shared" si="90"/>
        <v>-18335741.035463311</v>
      </c>
      <c r="Z226" s="2">
        <f t="shared" si="90"/>
        <v>-18480496.421271771</v>
      </c>
      <c r="AA226" s="2">
        <f t="shared" si="90"/>
        <v>-18628417.206798986</v>
      </c>
    </row>
    <row r="227" spans="4:28" customFormat="1" x14ac:dyDescent="0.25">
      <c r="E227" t="s">
        <v>48</v>
      </c>
      <c r="F227" t="s">
        <v>7</v>
      </c>
      <c r="G227" s="2">
        <f t="shared" ref="G227:AA227" si="91">G207</f>
        <v>0</v>
      </c>
      <c r="H227" s="2">
        <f t="shared" si="91"/>
        <v>0</v>
      </c>
      <c r="I227" s="2">
        <f t="shared" si="91"/>
        <v>0</v>
      </c>
      <c r="J227" s="2">
        <f t="shared" si="91"/>
        <v>0</v>
      </c>
      <c r="K227" s="2">
        <f t="shared" si="91"/>
        <v>0</v>
      </c>
      <c r="L227" s="2">
        <f t="shared" si="91"/>
        <v>0</v>
      </c>
      <c r="M227" s="2">
        <f t="shared" si="91"/>
        <v>0</v>
      </c>
      <c r="N227" s="2">
        <f t="shared" si="91"/>
        <v>0</v>
      </c>
      <c r="O227" s="2">
        <f t="shared" si="91"/>
        <v>0</v>
      </c>
      <c r="P227" s="2">
        <f t="shared" si="91"/>
        <v>0</v>
      </c>
      <c r="Q227" s="2">
        <f t="shared" si="91"/>
        <v>0</v>
      </c>
      <c r="R227" s="2">
        <f t="shared" si="91"/>
        <v>0</v>
      </c>
      <c r="S227" s="2">
        <f t="shared" si="91"/>
        <v>0</v>
      </c>
      <c r="T227" s="2">
        <f t="shared" si="91"/>
        <v>0</v>
      </c>
      <c r="U227" s="2">
        <f t="shared" si="91"/>
        <v>0</v>
      </c>
      <c r="V227" s="2">
        <f t="shared" si="91"/>
        <v>0</v>
      </c>
      <c r="W227" s="2">
        <f t="shared" si="91"/>
        <v>0</v>
      </c>
      <c r="X227" s="2">
        <f t="shared" si="91"/>
        <v>0</v>
      </c>
      <c r="Y227" s="2">
        <f t="shared" si="91"/>
        <v>0</v>
      </c>
      <c r="Z227" s="2">
        <f t="shared" si="91"/>
        <v>0</v>
      </c>
      <c r="AA227" s="2">
        <f t="shared" si="91"/>
        <v>0</v>
      </c>
    </row>
    <row r="228" spans="4:28" customFormat="1" x14ac:dyDescent="0.25">
      <c r="E228" t="s">
        <v>13</v>
      </c>
      <c r="F228" t="s">
        <v>7</v>
      </c>
      <c r="H228" s="2">
        <f t="shared" ref="H228:AA228" ca="1" si="92">H219</f>
        <v>16294482.904660733</v>
      </c>
      <c r="I228" s="2">
        <f t="shared" ca="1" si="92"/>
        <v>15782534.075365124</v>
      </c>
      <c r="J228" s="2">
        <f t="shared" ca="1" si="92"/>
        <v>15527042.496919837</v>
      </c>
      <c r="K228" s="2">
        <f t="shared" ca="1" si="92"/>
        <v>14504497.180715969</v>
      </c>
      <c r="L228" s="2">
        <f t="shared" ca="1" si="92"/>
        <v>13468065.370070506</v>
      </c>
      <c r="M228" s="2">
        <f t="shared" ca="1" si="92"/>
        <v>12448950.228238139</v>
      </c>
      <c r="N228" s="2">
        <f t="shared" ca="1" si="92"/>
        <v>11452304.548767604</v>
      </c>
      <c r="O228" s="2">
        <f t="shared" ca="1" si="92"/>
        <v>10476729.06665118</v>
      </c>
      <c r="P228" s="2">
        <f t="shared" ca="1" si="92"/>
        <v>10409892.542678634</v>
      </c>
      <c r="Q228" s="2">
        <f t="shared" ca="1" si="92"/>
        <v>10295400.094260432</v>
      </c>
      <c r="R228" s="2">
        <f t="shared" ca="1" si="92"/>
        <v>11091789.403499894</v>
      </c>
      <c r="S228" s="2">
        <f t="shared" ca="1" si="92"/>
        <v>11986574.769467847</v>
      </c>
      <c r="T228" s="2">
        <f t="shared" ca="1" si="92"/>
        <v>12931838.158660395</v>
      </c>
      <c r="U228" s="2">
        <f t="shared" ca="1" si="92"/>
        <v>13139205.933776047</v>
      </c>
      <c r="V228" s="2">
        <f t="shared" ca="1" si="92"/>
        <v>13356264.492287567</v>
      </c>
      <c r="W228" s="2">
        <f t="shared" ca="1" si="92"/>
        <v>0</v>
      </c>
      <c r="X228" s="2">
        <f t="shared" ca="1" si="92"/>
        <v>0</v>
      </c>
      <c r="Y228" s="2">
        <f t="shared" ca="1" si="92"/>
        <v>0</v>
      </c>
      <c r="Z228" s="2">
        <f t="shared" ca="1" si="92"/>
        <v>0</v>
      </c>
      <c r="AA228" s="2">
        <f t="shared" ca="1" si="92"/>
        <v>0</v>
      </c>
    </row>
    <row r="229" spans="4:28" customFormat="1" x14ac:dyDescent="0.25"/>
    <row r="230" spans="4:28" customFormat="1" x14ac:dyDescent="0.25">
      <c r="E230" t="s">
        <v>14</v>
      </c>
      <c r="F230" t="s">
        <v>7</v>
      </c>
      <c r="G230" s="2">
        <f t="shared" ref="G230:AA230" si="93">SUM(G222:G228)</f>
        <v>-1572099.4106117547</v>
      </c>
      <c r="H230" s="2">
        <f t="shared" ca="1" si="93"/>
        <v>87840847.837136075</v>
      </c>
      <c r="I230" s="2">
        <f t="shared" ca="1" si="93"/>
        <v>85582559.19308345</v>
      </c>
      <c r="J230" s="2">
        <f t="shared" ca="1" si="93"/>
        <v>84843204.945495158</v>
      </c>
      <c r="K230" s="2">
        <f t="shared" ca="1" si="93"/>
        <v>80039311.366216809</v>
      </c>
      <c r="L230" s="2">
        <f t="shared" ca="1" si="93"/>
        <v>75160656.753363997</v>
      </c>
      <c r="M230" s="2">
        <f t="shared" ca="1" si="93"/>
        <v>70362755.524864867</v>
      </c>
      <c r="N230" s="2">
        <f t="shared" ca="1" si="93"/>
        <v>65659702.469711348</v>
      </c>
      <c r="O230" s="2">
        <f t="shared" ca="1" si="93"/>
        <v>61050957.87649224</v>
      </c>
      <c r="P230" s="2">
        <f t="shared" ca="1" si="93"/>
        <v>61438027.259778142</v>
      </c>
      <c r="Q230" s="2">
        <f t="shared" ca="1" si="93"/>
        <v>61622438.574281402</v>
      </c>
      <c r="R230" s="2">
        <f t="shared" ca="1" si="93"/>
        <v>66854302.258013435</v>
      </c>
      <c r="S230" s="2">
        <f t="shared" ca="1" si="93"/>
        <v>72734455.809974805</v>
      </c>
      <c r="T230" s="2">
        <f t="shared" ca="1" si="93"/>
        <v>79004944.893113807</v>
      </c>
      <c r="U230" s="2">
        <f t="shared" ca="1" si="93"/>
        <v>81319060.918409452</v>
      </c>
      <c r="V230" s="2">
        <f t="shared" ca="1" si="93"/>
        <v>83745677.328311384</v>
      </c>
      <c r="W230" s="2">
        <f t="shared" ca="1" si="93"/>
        <v>11642822.883611642</v>
      </c>
      <c r="X230" s="2">
        <f t="shared" ca="1" si="93"/>
        <v>12127409.347212255</v>
      </c>
      <c r="Y230" s="2">
        <f t="shared" ca="1" si="93"/>
        <v>12622357.94207684</v>
      </c>
      <c r="Z230" s="2">
        <f t="shared" ca="1" si="93"/>
        <v>13127722.634796739</v>
      </c>
      <c r="AA230" s="2">
        <f t="shared" ca="1" si="93"/>
        <v>13643574.44944695</v>
      </c>
    </row>
    <row r="231" spans="4:28" customFormat="1" x14ac:dyDescent="0.25">
      <c r="E231" t="s">
        <v>15</v>
      </c>
      <c r="F231" t="s">
        <v>7</v>
      </c>
      <c r="G231" s="2">
        <f>-G230*G$18</f>
        <v>471629.8231835264</v>
      </c>
      <c r="H231" s="2">
        <f t="shared" ref="H231:AA231" ca="1" si="94">-H230*H$18</f>
        <v>-26352254.351140823</v>
      </c>
      <c r="I231" s="2">
        <f t="shared" ca="1" si="94"/>
        <v>-25674767.757925034</v>
      </c>
      <c r="J231" s="2">
        <f t="shared" ca="1" si="94"/>
        <v>-25452961.483648546</v>
      </c>
      <c r="K231" s="2">
        <f t="shared" ca="1" si="94"/>
        <v>-24011793.40986504</v>
      </c>
      <c r="L231" s="2">
        <f t="shared" ca="1" si="94"/>
        <v>-22548197.026009198</v>
      </c>
      <c r="M231" s="2">
        <f t="shared" ca="1" si="94"/>
        <v>-21108826.65745946</v>
      </c>
      <c r="N231" s="2">
        <f t="shared" ca="1" si="94"/>
        <v>-19697910.740913402</v>
      </c>
      <c r="O231" s="2">
        <f t="shared" ca="1" si="94"/>
        <v>-18315287.362947673</v>
      </c>
      <c r="P231" s="2">
        <f t="shared" ca="1" si="94"/>
        <v>-18431408.177933443</v>
      </c>
      <c r="Q231" s="2">
        <f t="shared" ca="1" si="94"/>
        <v>-18486731.572284419</v>
      </c>
      <c r="R231" s="2">
        <f t="shared" ca="1" si="94"/>
        <v>-20056290.677404031</v>
      </c>
      <c r="S231" s="2">
        <f t="shared" ca="1" si="94"/>
        <v>-21820336.742992442</v>
      </c>
      <c r="T231" s="2">
        <f t="shared" ca="1" si="94"/>
        <v>-23701483.467934143</v>
      </c>
      <c r="U231" s="2">
        <f t="shared" ca="1" si="94"/>
        <v>-24395718.275522836</v>
      </c>
      <c r="V231" s="2">
        <f t="shared" ca="1" si="94"/>
        <v>-25123703.198493414</v>
      </c>
      <c r="W231" s="2">
        <f t="shared" ca="1" si="94"/>
        <v>-3492846.8650834924</v>
      </c>
      <c r="X231" s="2">
        <f t="shared" ca="1" si="94"/>
        <v>-3638222.8041636762</v>
      </c>
      <c r="Y231" s="2">
        <f t="shared" ca="1" si="94"/>
        <v>-3786707.3826230518</v>
      </c>
      <c r="Z231" s="2">
        <f t="shared" ca="1" si="94"/>
        <v>-3938316.7904390213</v>
      </c>
      <c r="AA231" s="2">
        <f t="shared" ca="1" si="94"/>
        <v>-4093072.3348340848</v>
      </c>
    </row>
    <row r="232" spans="4:28" customFormat="1" x14ac:dyDescent="0.25"/>
    <row r="233" spans="4:28" customFormat="1" x14ac:dyDescent="0.25">
      <c r="D233" t="s">
        <v>28</v>
      </c>
    </row>
    <row r="234" spans="4:28" customFormat="1" x14ac:dyDescent="0.25">
      <c r="E234" t="s">
        <v>1</v>
      </c>
      <c r="F234" t="s">
        <v>7</v>
      </c>
      <c r="G234" s="2">
        <f t="shared" ref="G234:AA234" si="95">-G26</f>
        <v>-141488946.95505792</v>
      </c>
      <c r="H234" s="2">
        <f t="shared" si="95"/>
        <v>-46982410.148161471</v>
      </c>
      <c r="I234" s="2">
        <f t="shared" si="95"/>
        <v>-43690377.862168886</v>
      </c>
      <c r="J234" s="2">
        <f t="shared" si="95"/>
        <v>-36906159.169113621</v>
      </c>
      <c r="K234" s="2">
        <f t="shared" si="95"/>
        <v>-38556350.372129947</v>
      </c>
      <c r="L234" s="2">
        <f t="shared" si="95"/>
        <v>-37537865.127539843</v>
      </c>
      <c r="M234" s="2">
        <f t="shared" si="95"/>
        <v>-37244943.86862956</v>
      </c>
      <c r="N234" s="2">
        <f t="shared" si="95"/>
        <v>-38565891.893987045</v>
      </c>
      <c r="O234" s="2">
        <f t="shared" si="95"/>
        <v>-39175015.157698087</v>
      </c>
      <c r="P234" s="2">
        <f t="shared" si="95"/>
        <v>-39500772.279603362</v>
      </c>
      <c r="Q234" s="2">
        <f t="shared" si="95"/>
        <v>-40468873.832513496</v>
      </c>
      <c r="R234" s="2">
        <f t="shared" si="95"/>
        <v>-41484696.859103203</v>
      </c>
      <c r="S234" s="2">
        <f t="shared" si="95"/>
        <v>-42371020.957361422</v>
      </c>
      <c r="T234" s="2">
        <f t="shared" si="95"/>
        <v>-43179185.047618181</v>
      </c>
      <c r="U234" s="2">
        <f t="shared" si="95"/>
        <v>-44025285.369058631</v>
      </c>
      <c r="V234" s="2">
        <f t="shared" si="95"/>
        <v>-45004305.786332041</v>
      </c>
      <c r="W234" s="2">
        <f t="shared" si="95"/>
        <v>-12269067.711646918</v>
      </c>
      <c r="X234" s="2">
        <f t="shared" si="95"/>
        <v>-12515869.266792528</v>
      </c>
      <c r="Y234" s="2">
        <f t="shared" si="95"/>
        <v>-12761979.123842647</v>
      </c>
      <c r="Z234" s="2">
        <f t="shared" si="95"/>
        <v>-13027984.722761476</v>
      </c>
      <c r="AA234" s="2">
        <f t="shared" si="95"/>
        <v>-13312870.697448894</v>
      </c>
    </row>
    <row r="235" spans="4:28" customFormat="1" x14ac:dyDescent="0.25">
      <c r="E235" t="s">
        <v>19</v>
      </c>
      <c r="F235" t="s">
        <v>7</v>
      </c>
      <c r="G235" s="2">
        <f t="shared" ref="G235:AA235" si="96">G84</f>
        <v>0</v>
      </c>
      <c r="H235" s="2">
        <f t="shared" si="96"/>
        <v>0</v>
      </c>
      <c r="I235" s="2">
        <f t="shared" si="96"/>
        <v>0</v>
      </c>
      <c r="J235" s="2">
        <f t="shared" si="96"/>
        <v>0</v>
      </c>
      <c r="K235" s="2">
        <f t="shared" si="96"/>
        <v>0</v>
      </c>
      <c r="L235" s="2">
        <f t="shared" si="96"/>
        <v>0</v>
      </c>
      <c r="M235" s="2">
        <f t="shared" si="96"/>
        <v>0</v>
      </c>
      <c r="N235" s="2">
        <f t="shared" si="96"/>
        <v>0</v>
      </c>
      <c r="O235" s="2">
        <f t="shared" si="96"/>
        <v>0</v>
      </c>
      <c r="P235" s="2">
        <f t="shared" si="96"/>
        <v>0</v>
      </c>
      <c r="Q235" s="2">
        <f t="shared" si="96"/>
        <v>0</v>
      </c>
      <c r="R235" s="2">
        <f t="shared" si="96"/>
        <v>0</v>
      </c>
      <c r="S235" s="2">
        <f t="shared" si="96"/>
        <v>0</v>
      </c>
      <c r="T235" s="2">
        <f t="shared" si="96"/>
        <v>0</v>
      </c>
      <c r="U235" s="2">
        <f t="shared" si="96"/>
        <v>0</v>
      </c>
      <c r="V235" s="2">
        <f t="shared" si="96"/>
        <v>0</v>
      </c>
      <c r="W235" s="2">
        <f t="shared" si="96"/>
        <v>0</v>
      </c>
      <c r="X235" s="2">
        <f t="shared" si="96"/>
        <v>0</v>
      </c>
      <c r="Y235" s="2">
        <f t="shared" si="96"/>
        <v>0</v>
      </c>
      <c r="Z235" s="2">
        <f t="shared" si="96"/>
        <v>0</v>
      </c>
      <c r="AA235" s="2">
        <f t="shared" si="96"/>
        <v>0</v>
      </c>
    </row>
    <row r="236" spans="4:28" customFormat="1" x14ac:dyDescent="0.25">
      <c r="E236" t="s">
        <v>109</v>
      </c>
      <c r="F236" t="s">
        <v>7</v>
      </c>
      <c r="G236" s="2">
        <f t="shared" ref="G236:AA236" si="97">G53</f>
        <v>0</v>
      </c>
      <c r="H236" s="2">
        <f t="shared" si="97"/>
        <v>0</v>
      </c>
      <c r="I236" s="2">
        <f t="shared" si="97"/>
        <v>0</v>
      </c>
      <c r="J236" s="2">
        <f t="shared" si="97"/>
        <v>0</v>
      </c>
      <c r="K236" s="2">
        <f t="shared" si="97"/>
        <v>0</v>
      </c>
      <c r="L236" s="2">
        <f t="shared" si="97"/>
        <v>0</v>
      </c>
      <c r="M236" s="2">
        <f t="shared" si="97"/>
        <v>0</v>
      </c>
      <c r="N236" s="2">
        <f t="shared" si="97"/>
        <v>0</v>
      </c>
      <c r="O236" s="2">
        <f t="shared" si="97"/>
        <v>0</v>
      </c>
      <c r="P236" s="2">
        <f t="shared" si="97"/>
        <v>0</v>
      </c>
      <c r="Q236" s="2">
        <f t="shared" si="97"/>
        <v>0</v>
      </c>
      <c r="R236" s="2">
        <f t="shared" si="97"/>
        <v>0</v>
      </c>
      <c r="S236" s="2">
        <f t="shared" si="97"/>
        <v>0</v>
      </c>
      <c r="T236" s="2">
        <f t="shared" si="97"/>
        <v>0</v>
      </c>
      <c r="U236" s="2">
        <f t="shared" si="97"/>
        <v>0</v>
      </c>
      <c r="V236" s="2">
        <f t="shared" si="97"/>
        <v>0</v>
      </c>
      <c r="W236" s="2">
        <f t="shared" si="97"/>
        <v>0</v>
      </c>
      <c r="X236" s="2">
        <f t="shared" si="97"/>
        <v>0</v>
      </c>
      <c r="Y236" s="2">
        <f t="shared" si="97"/>
        <v>0</v>
      </c>
      <c r="Z236" s="2">
        <f t="shared" si="97"/>
        <v>0</v>
      </c>
      <c r="AA236" s="2">
        <f t="shared" si="97"/>
        <v>0</v>
      </c>
    </row>
    <row r="237" spans="4:28" customFormat="1" x14ac:dyDescent="0.25">
      <c r="E237" t="s">
        <v>11</v>
      </c>
      <c r="F237" t="s">
        <v>7</v>
      </c>
      <c r="G237" s="2">
        <f t="shared" ref="G237:AA237" si="98">G177</f>
        <v>0</v>
      </c>
      <c r="H237" s="2">
        <f t="shared" si="98"/>
        <v>5059997.0294428989</v>
      </c>
      <c r="I237" s="2">
        <f t="shared" si="98"/>
        <v>9813640.4386346266</v>
      </c>
      <c r="J237" s="2">
        <f t="shared" si="98"/>
        <v>14756828.047150774</v>
      </c>
      <c r="K237" s="2">
        <f t="shared" si="98"/>
        <v>19511444.976588752</v>
      </c>
      <c r="L237" s="2">
        <f t="shared" si="98"/>
        <v>24074077.954699419</v>
      </c>
      <c r="M237" s="2">
        <f t="shared" si="98"/>
        <v>28439929.932911668</v>
      </c>
      <c r="N237" s="2">
        <f t="shared" si="98"/>
        <v>32615620.831842452</v>
      </c>
      <c r="O237" s="2">
        <f t="shared" si="98"/>
        <v>36602502.914364107</v>
      </c>
      <c r="P237" s="2">
        <f t="shared" si="98"/>
        <v>40685024.897572123</v>
      </c>
      <c r="Q237" s="2">
        <f t="shared" si="98"/>
        <v>44858687.51313892</v>
      </c>
      <c r="R237" s="2">
        <f t="shared" si="98"/>
        <v>49378191.643165857</v>
      </c>
      <c r="S237" s="2">
        <f t="shared" si="98"/>
        <v>54285148.555953443</v>
      </c>
      <c r="T237" s="2">
        <f t="shared" si="98"/>
        <v>59597404.693263024</v>
      </c>
      <c r="U237" s="2">
        <f t="shared" si="98"/>
        <v>65085081.36430487</v>
      </c>
      <c r="V237" s="2">
        <f t="shared" si="98"/>
        <v>70760709.81436567</v>
      </c>
      <c r="W237" s="2">
        <f t="shared" si="98"/>
        <v>72246684.720467344</v>
      </c>
      <c r="X237" s="2">
        <f t="shared" si="98"/>
        <v>73763865.099597141</v>
      </c>
      <c r="Y237" s="2">
        <f t="shared" si="98"/>
        <v>75312906.266688675</v>
      </c>
      <c r="Z237" s="2">
        <f t="shared" si="98"/>
        <v>76894477.29828915</v>
      </c>
      <c r="AA237" s="2">
        <f t="shared" si="98"/>
        <v>78509261.3215532</v>
      </c>
      <c r="AB237" s="2">
        <f t="shared" ref="AB237:AB241" si="99">IF(V237=0,0,IF($G$15&gt;(AA237/V237)^(1/5)-1+2%,AA237*(AA237/V237)^(1/5)/($G$15-((AA237/V237)^(1/5)-1)),AA237*(1+$G$14)/$G$16))</f>
        <v>2616975377.3851123</v>
      </c>
    </row>
    <row r="238" spans="4:28" customFormat="1" x14ac:dyDescent="0.25">
      <c r="E238" t="s">
        <v>57</v>
      </c>
      <c r="F238" t="s">
        <v>7</v>
      </c>
      <c r="G238" s="2">
        <f t="shared" ref="G238:AA238" si="100">G224</f>
        <v>0</v>
      </c>
      <c r="H238" s="2">
        <f t="shared" si="100"/>
        <v>-2122629.1767095425</v>
      </c>
      <c r="I238" s="2">
        <f t="shared" si="100"/>
        <v>-4354269.4778751032</v>
      </c>
      <c r="J238" s="2">
        <f t="shared" si="100"/>
        <v>-6734273.1972878007</v>
      </c>
      <c r="K238" s="2">
        <f t="shared" si="100"/>
        <v>-8885262.4259306435</v>
      </c>
      <c r="L238" s="2">
        <f t="shared" si="100"/>
        <v>-10938346.137787469</v>
      </c>
      <c r="M238" s="2">
        <f t="shared" si="100"/>
        <v>-12893745.156370113</v>
      </c>
      <c r="N238" s="2">
        <f t="shared" si="100"/>
        <v>-14752599.121368518</v>
      </c>
      <c r="O238" s="2">
        <f t="shared" si="100"/>
        <v>-16515777.432666125</v>
      </c>
      <c r="P238" s="2">
        <f t="shared" si="100"/>
        <v>-18307375.226850472</v>
      </c>
      <c r="Q238" s="2">
        <f t="shared" si="100"/>
        <v>-20121549.814150285</v>
      </c>
      <c r="R238" s="2">
        <f t="shared" si="100"/>
        <v>-22084445.385203749</v>
      </c>
      <c r="S238" s="2">
        <f t="shared" si="100"/>
        <v>-24212902.218682617</v>
      </c>
      <c r="T238" s="2">
        <f t="shared" si="100"/>
        <v>-26517274.696559355</v>
      </c>
      <c r="U238" s="2">
        <f t="shared" si="100"/>
        <v>-28898775.798122369</v>
      </c>
      <c r="V238" s="2">
        <f t="shared" si="100"/>
        <v>-31360486.303749148</v>
      </c>
      <c r="W238" s="2">
        <f t="shared" si="100"/>
        <v>-32019056.516127877</v>
      </c>
      <c r="X238" s="2">
        <f t="shared" si="100"/>
        <v>-32691456.70296656</v>
      </c>
      <c r="Y238" s="2">
        <f t="shared" si="100"/>
        <v>-33377977.293728855</v>
      </c>
      <c r="Z238" s="2">
        <f t="shared" si="100"/>
        <v>-34078914.816897161</v>
      </c>
      <c r="AA238" s="2">
        <f t="shared" si="100"/>
        <v>-34794572.028051995</v>
      </c>
      <c r="AB238" s="2">
        <f t="shared" si="99"/>
        <v>-1159819067.6017356</v>
      </c>
    </row>
    <row r="239" spans="4:28" customFormat="1" x14ac:dyDescent="0.25">
      <c r="E239" t="s">
        <v>10</v>
      </c>
      <c r="F239" t="s">
        <v>7</v>
      </c>
      <c r="G239" s="2">
        <f t="shared" ref="G239:AA239" si="101">-G200</f>
        <v>0</v>
      </c>
      <c r="H239" s="2">
        <f t="shared" si="101"/>
        <v>-743132.80799999996</v>
      </c>
      <c r="I239" s="2">
        <f t="shared" si="101"/>
        <v>-1478523.258648</v>
      </c>
      <c r="J239" s="2">
        <f t="shared" si="101"/>
        <v>-2217704.8560236422</v>
      </c>
      <c r="K239" s="2">
        <f t="shared" si="101"/>
        <v>-2925774.6497805635</v>
      </c>
      <c r="L239" s="2">
        <f t="shared" si="101"/>
        <v>-3601445.9789350131</v>
      </c>
      <c r="M239" s="2">
        <f t="shared" si="101"/>
        <v>-4244828.2267642058</v>
      </c>
      <c r="N239" s="2">
        <f t="shared" si="101"/>
        <v>-4856268.0739904055</v>
      </c>
      <c r="O239" s="2">
        <f t="shared" si="101"/>
        <v>-5436055.6661825636</v>
      </c>
      <c r="P239" s="2">
        <f t="shared" si="101"/>
        <v>-6024970.6241419576</v>
      </c>
      <c r="Q239" s="2">
        <f t="shared" si="101"/>
        <v>-6621031.2070962396</v>
      </c>
      <c r="R239" s="2">
        <f t="shared" si="101"/>
        <v>-7265929.5167125678</v>
      </c>
      <c r="S239" s="2">
        <f t="shared" si="101"/>
        <v>-7965178.6357935406</v>
      </c>
      <c r="T239" s="2">
        <f t="shared" si="101"/>
        <v>-8722222.05257494</v>
      </c>
      <c r="U239" s="2">
        <f t="shared" si="101"/>
        <v>-9504620.6801167671</v>
      </c>
      <c r="V239" s="2">
        <f t="shared" si="101"/>
        <v>-10313348.939650029</v>
      </c>
      <c r="W239" s="2">
        <f t="shared" si="101"/>
        <v>-10529929.26738268</v>
      </c>
      <c r="X239" s="2">
        <f t="shared" si="101"/>
        <v>-10751057.781997714</v>
      </c>
      <c r="Y239" s="2">
        <f t="shared" si="101"/>
        <v>-10976829.995419666</v>
      </c>
      <c r="Z239" s="2">
        <f t="shared" si="101"/>
        <v>-11207343.425323477</v>
      </c>
      <c r="AA239" s="2">
        <f t="shared" si="101"/>
        <v>-11442697.63725527</v>
      </c>
      <c r="AB239" s="2">
        <f t="shared" si="99"/>
        <v>-381423254.57517648</v>
      </c>
    </row>
    <row r="240" spans="4:28" customFormat="1" x14ac:dyDescent="0.25">
      <c r="E240" t="s">
        <v>48</v>
      </c>
      <c r="F240" t="s">
        <v>7</v>
      </c>
      <c r="G240" s="2">
        <f t="shared" ref="G240:AA240" si="102">G207</f>
        <v>0</v>
      </c>
      <c r="H240" s="2">
        <f t="shared" si="102"/>
        <v>0</v>
      </c>
      <c r="I240" s="2">
        <f t="shared" si="102"/>
        <v>0</v>
      </c>
      <c r="J240" s="2">
        <f t="shared" si="102"/>
        <v>0</v>
      </c>
      <c r="K240" s="2">
        <f t="shared" si="102"/>
        <v>0</v>
      </c>
      <c r="L240" s="2">
        <f t="shared" si="102"/>
        <v>0</v>
      </c>
      <c r="M240" s="2">
        <f t="shared" si="102"/>
        <v>0</v>
      </c>
      <c r="N240" s="2">
        <f t="shared" si="102"/>
        <v>0</v>
      </c>
      <c r="O240" s="2">
        <f t="shared" si="102"/>
        <v>0</v>
      </c>
      <c r="P240" s="2">
        <f t="shared" si="102"/>
        <v>0</v>
      </c>
      <c r="Q240" s="2">
        <f t="shared" si="102"/>
        <v>0</v>
      </c>
      <c r="R240" s="2">
        <f t="shared" si="102"/>
        <v>0</v>
      </c>
      <c r="S240" s="2">
        <f t="shared" si="102"/>
        <v>0</v>
      </c>
      <c r="T240" s="2">
        <f t="shared" si="102"/>
        <v>0</v>
      </c>
      <c r="U240" s="2">
        <f t="shared" si="102"/>
        <v>0</v>
      </c>
      <c r="V240" s="2">
        <f t="shared" si="102"/>
        <v>0</v>
      </c>
      <c r="W240" s="2">
        <f t="shared" si="102"/>
        <v>0</v>
      </c>
      <c r="X240" s="2">
        <f t="shared" si="102"/>
        <v>0</v>
      </c>
      <c r="Y240" s="2">
        <f t="shared" si="102"/>
        <v>0</v>
      </c>
      <c r="Z240" s="2">
        <f t="shared" si="102"/>
        <v>0</v>
      </c>
      <c r="AA240" s="2">
        <f t="shared" si="102"/>
        <v>0</v>
      </c>
      <c r="AB240" s="2">
        <f t="shared" si="99"/>
        <v>0</v>
      </c>
    </row>
    <row r="241" spans="1:28" x14ac:dyDescent="0.25">
      <c r="A241"/>
      <c r="E241" t="s">
        <v>49</v>
      </c>
      <c r="F241" t="s">
        <v>7</v>
      </c>
      <c r="G241" s="2">
        <f t="shared" ref="G241:AA241" si="103">G214</f>
        <v>0</v>
      </c>
      <c r="H241" s="2">
        <f t="shared" si="103"/>
        <v>0</v>
      </c>
      <c r="I241" s="2">
        <f t="shared" si="103"/>
        <v>0</v>
      </c>
      <c r="J241" s="2">
        <f t="shared" si="103"/>
        <v>0</v>
      </c>
      <c r="K241" s="2">
        <f t="shared" si="103"/>
        <v>0</v>
      </c>
      <c r="L241" s="2">
        <f t="shared" si="103"/>
        <v>0</v>
      </c>
      <c r="M241" s="2">
        <f t="shared" si="103"/>
        <v>0</v>
      </c>
      <c r="N241" s="2">
        <f t="shared" si="103"/>
        <v>0</v>
      </c>
      <c r="O241" s="2">
        <f t="shared" si="103"/>
        <v>0</v>
      </c>
      <c r="P241" s="2">
        <f t="shared" si="103"/>
        <v>0</v>
      </c>
      <c r="Q241" s="2">
        <f t="shared" si="103"/>
        <v>0</v>
      </c>
      <c r="R241" s="2">
        <f t="shared" si="103"/>
        <v>0</v>
      </c>
      <c r="S241" s="2">
        <f t="shared" si="103"/>
        <v>0</v>
      </c>
      <c r="T241" s="2">
        <f t="shared" si="103"/>
        <v>0</v>
      </c>
      <c r="U241" s="2">
        <f t="shared" si="103"/>
        <v>0</v>
      </c>
      <c r="V241" s="2">
        <f t="shared" si="103"/>
        <v>0</v>
      </c>
      <c r="W241" s="2">
        <f t="shared" si="103"/>
        <v>0</v>
      </c>
      <c r="X241" s="2">
        <f t="shared" si="103"/>
        <v>0</v>
      </c>
      <c r="Y241" s="2">
        <f t="shared" si="103"/>
        <v>0</v>
      </c>
      <c r="Z241" s="2">
        <f t="shared" si="103"/>
        <v>0</v>
      </c>
      <c r="AA241" s="2">
        <f t="shared" si="103"/>
        <v>0</v>
      </c>
      <c r="AB241" s="2">
        <f t="shared" si="99"/>
        <v>0</v>
      </c>
    </row>
    <row r="242" spans="1:28" x14ac:dyDescent="0.25">
      <c r="A242"/>
      <c r="E242" t="s">
        <v>20</v>
      </c>
      <c r="F242" t="s">
        <v>7</v>
      </c>
      <c r="G242" s="2">
        <f t="shared" ref="G242:AA242" si="104">G231</f>
        <v>471629.8231835264</v>
      </c>
      <c r="H242" s="2">
        <f t="shared" ca="1" si="104"/>
        <v>-26352254.351140823</v>
      </c>
      <c r="I242" s="2">
        <f t="shared" ca="1" si="104"/>
        <v>-25674767.757925034</v>
      </c>
      <c r="J242" s="2">
        <f t="shared" ca="1" si="104"/>
        <v>-25452961.483648546</v>
      </c>
      <c r="K242" s="2">
        <f t="shared" ca="1" si="104"/>
        <v>-24011793.40986504</v>
      </c>
      <c r="L242" s="2">
        <f t="shared" ca="1" si="104"/>
        <v>-22548197.026009198</v>
      </c>
      <c r="M242" s="2">
        <f t="shared" ca="1" si="104"/>
        <v>-21108826.65745946</v>
      </c>
      <c r="N242" s="2">
        <f t="shared" ca="1" si="104"/>
        <v>-19697910.740913402</v>
      </c>
      <c r="O242" s="2">
        <f t="shared" ca="1" si="104"/>
        <v>-18315287.362947673</v>
      </c>
      <c r="P242" s="2">
        <f t="shared" ca="1" si="104"/>
        <v>-18431408.177933443</v>
      </c>
      <c r="Q242" s="2">
        <f t="shared" ca="1" si="104"/>
        <v>-18486731.572284419</v>
      </c>
      <c r="R242" s="2">
        <f t="shared" ca="1" si="104"/>
        <v>-20056290.677404031</v>
      </c>
      <c r="S242" s="2">
        <f t="shared" ca="1" si="104"/>
        <v>-21820336.742992442</v>
      </c>
      <c r="T242" s="2">
        <f t="shared" ca="1" si="104"/>
        <v>-23701483.467934143</v>
      </c>
      <c r="U242" s="2">
        <f t="shared" ca="1" si="104"/>
        <v>-24395718.275522836</v>
      </c>
      <c r="V242" s="2">
        <f t="shared" ca="1" si="104"/>
        <v>-25123703.198493414</v>
      </c>
      <c r="W242" s="2">
        <f t="shared" ca="1" si="104"/>
        <v>-3492846.8650834924</v>
      </c>
      <c r="X242" s="2">
        <f t="shared" ca="1" si="104"/>
        <v>-3638222.8041636762</v>
      </c>
      <c r="Y242" s="2">
        <f t="shared" ca="1" si="104"/>
        <v>-3786707.3826230518</v>
      </c>
      <c r="Z242" s="2">
        <f t="shared" ca="1" si="104"/>
        <v>-3938316.7904390213</v>
      </c>
      <c r="AA242" s="2">
        <f t="shared" ca="1" si="104"/>
        <v>-4093072.3348340848</v>
      </c>
      <c r="AB242" s="2">
        <f ca="1">IF(V242=0,0,IF($G$15&gt;(AA242/V242)^(1/5)-1+2%,AA242*(AA242/V242)^(1/5)/($G$15-((AA242/V242)^(1/5)-1)),AA242*(1+$G$14)/$G$16))</f>
        <v>-7998740.2396317217</v>
      </c>
    </row>
    <row r="243" spans="1:28" x14ac:dyDescent="0.25">
      <c r="A243"/>
      <c r="E243" t="s">
        <v>173</v>
      </c>
      <c r="F243" t="s">
        <v>7</v>
      </c>
      <c r="G243" s="2">
        <f>-$G$17*G242</f>
        <v>-235814.9115917632</v>
      </c>
      <c r="H243" s="2">
        <f t="shared" ref="H243:AA243" ca="1" si="105">-$G$17*H242</f>
        <v>13176127.175570412</v>
      </c>
      <c r="I243" s="2">
        <f t="shared" ca="1" si="105"/>
        <v>12837383.878962517</v>
      </c>
      <c r="J243" s="2">
        <f t="shared" ca="1" si="105"/>
        <v>12726480.741824273</v>
      </c>
      <c r="K243" s="2">
        <f t="shared" ca="1" si="105"/>
        <v>12005896.70493252</v>
      </c>
      <c r="L243" s="2">
        <f t="shared" ca="1" si="105"/>
        <v>11274098.513004599</v>
      </c>
      <c r="M243" s="2">
        <f t="shared" ca="1" si="105"/>
        <v>10554413.32872973</v>
      </c>
      <c r="N243" s="2">
        <f t="shared" ca="1" si="105"/>
        <v>9848955.3704567011</v>
      </c>
      <c r="O243" s="2">
        <f t="shared" ca="1" si="105"/>
        <v>9157643.6814738363</v>
      </c>
      <c r="P243" s="2">
        <f t="shared" ca="1" si="105"/>
        <v>9215704.0889667217</v>
      </c>
      <c r="Q243" s="2">
        <f t="shared" ca="1" si="105"/>
        <v>9243365.7861422095</v>
      </c>
      <c r="R243" s="2">
        <f t="shared" ca="1" si="105"/>
        <v>10028145.338702016</v>
      </c>
      <c r="S243" s="2">
        <f t="shared" ca="1" si="105"/>
        <v>10910168.371496221</v>
      </c>
      <c r="T243" s="2">
        <f t="shared" ca="1" si="105"/>
        <v>11850741.733967071</v>
      </c>
      <c r="U243" s="2">
        <f t="shared" ca="1" si="105"/>
        <v>12197859.137761418</v>
      </c>
      <c r="V243" s="2">
        <f t="shared" ca="1" si="105"/>
        <v>12561851.599246707</v>
      </c>
      <c r="W243" s="2">
        <f t="shared" ca="1" si="105"/>
        <v>1746423.4325417462</v>
      </c>
      <c r="X243" s="2">
        <f t="shared" ca="1" si="105"/>
        <v>1819111.4020818381</v>
      </c>
      <c r="Y243" s="2">
        <f t="shared" ca="1" si="105"/>
        <v>1893353.6913115259</v>
      </c>
      <c r="Z243" s="2">
        <f t="shared" ca="1" si="105"/>
        <v>1969158.3952195107</v>
      </c>
      <c r="AA243" s="2">
        <f t="shared" ca="1" si="105"/>
        <v>2046536.1674170424</v>
      </c>
      <c r="AB243" s="2">
        <f t="shared" ref="AB243" ca="1" si="106">IF(V243=0,0,IF($G$15&gt;(AA243/V243)^(1/5)-1+2%,AA243*(AA243/V243)^(1/5)/($G$15-((AA243/V243)^(1/5)-1)),AA243*(1+$G$14)/$G$16))</f>
        <v>3999370.1198158609</v>
      </c>
    </row>
    <row r="244" spans="1:28" x14ac:dyDescent="0.25">
      <c r="A244"/>
      <c r="E244" t="s">
        <v>23</v>
      </c>
      <c r="F244" t="s">
        <v>7</v>
      </c>
      <c r="G244" s="2">
        <f>SUM(G234:G243)</f>
        <v>-141253132.04346615</v>
      </c>
      <c r="H244" s="2">
        <f t="shared" ref="H244:AB244" ca="1" si="107">SUM(H234:H243)</f>
        <v>-57964302.278998524</v>
      </c>
      <c r="I244" s="2">
        <f t="shared" ca="1" si="107"/>
        <v>-52546914.039019883</v>
      </c>
      <c r="J244" s="2">
        <f t="shared" ca="1" si="107"/>
        <v>-43827789.917098567</v>
      </c>
      <c r="K244" s="2">
        <f t="shared" ca="1" si="107"/>
        <v>-42861839.17618493</v>
      </c>
      <c r="L244" s="2">
        <f t="shared" ca="1" si="107"/>
        <v>-39277677.802567504</v>
      </c>
      <c r="M244" s="2">
        <f t="shared" ca="1" si="107"/>
        <v>-36498000.647581935</v>
      </c>
      <c r="N244" s="2">
        <f t="shared" ca="1" si="107"/>
        <v>-35408093.627960213</v>
      </c>
      <c r="O244" s="2">
        <f t="shared" ca="1" si="107"/>
        <v>-33681989.023656502</v>
      </c>
      <c r="P244" s="2">
        <f t="shared" ca="1" si="107"/>
        <v>-32363797.321990393</v>
      </c>
      <c r="Q244" s="2">
        <f t="shared" ca="1" si="107"/>
        <v>-31596133.126763307</v>
      </c>
      <c r="R244" s="2">
        <f t="shared" ca="1" si="107"/>
        <v>-31485025.456555679</v>
      </c>
      <c r="S244" s="2">
        <f t="shared" ca="1" si="107"/>
        <v>-31174121.627380356</v>
      </c>
      <c r="T244" s="2">
        <f t="shared" ca="1" si="107"/>
        <v>-30672018.837456517</v>
      </c>
      <c r="U244" s="2">
        <f t="shared" ca="1" si="107"/>
        <v>-29541459.620754313</v>
      </c>
      <c r="V244" s="2">
        <f t="shared" ca="1" si="107"/>
        <v>-28479282.814612258</v>
      </c>
      <c r="W244" s="2">
        <f t="shared" ca="1" si="107"/>
        <v>15682207.792768124</v>
      </c>
      <c r="X244" s="2">
        <f t="shared" ca="1" si="107"/>
        <v>15986369.945758501</v>
      </c>
      <c r="Y244" s="2">
        <f t="shared" ca="1" si="107"/>
        <v>16302766.162385978</v>
      </c>
      <c r="Z244" s="2">
        <f t="shared" ca="1" si="107"/>
        <v>16611075.938087525</v>
      </c>
      <c r="AA244" s="2">
        <f t="shared" ca="1" si="107"/>
        <v>16912584.791379999</v>
      </c>
      <c r="AB244" s="2">
        <f t="shared" ca="1" si="107"/>
        <v>1071733685.0883843</v>
      </c>
    </row>
    <row r="245" spans="1:28" x14ac:dyDescent="0.25">
      <c r="A245"/>
      <c r="E245" t="s">
        <v>31</v>
      </c>
      <c r="F245" t="s">
        <v>7</v>
      </c>
      <c r="G245" s="2">
        <f ca="1">NPV($G$15,H244:AB244)+G244</f>
        <v>-134963241.17293319</v>
      </c>
    </row>
    <row r="247" spans="1:28" x14ac:dyDescent="0.25">
      <c r="A247"/>
      <c r="E247" t="s">
        <v>13</v>
      </c>
      <c r="F247" t="s">
        <v>7</v>
      </c>
      <c r="H247" s="2">
        <f t="shared" ref="H247:AA247" ca="1" si="108">H219</f>
        <v>16294482.904660733</v>
      </c>
      <c r="I247" s="2">
        <f t="shared" ca="1" si="108"/>
        <v>15782534.075365124</v>
      </c>
      <c r="J247" s="2">
        <f t="shared" ca="1" si="108"/>
        <v>15527042.496919837</v>
      </c>
      <c r="K247" s="2">
        <f t="shared" ca="1" si="108"/>
        <v>14504497.180715969</v>
      </c>
      <c r="L247" s="2">
        <f t="shared" ca="1" si="108"/>
        <v>13468065.370070506</v>
      </c>
      <c r="M247" s="2">
        <f t="shared" ca="1" si="108"/>
        <v>12448950.228238139</v>
      </c>
      <c r="N247" s="2">
        <f t="shared" ca="1" si="108"/>
        <v>11452304.548767604</v>
      </c>
      <c r="O247" s="2">
        <f t="shared" ca="1" si="108"/>
        <v>10476729.06665118</v>
      </c>
      <c r="P247" s="2">
        <f t="shared" ca="1" si="108"/>
        <v>10409892.542678634</v>
      </c>
      <c r="Q247" s="2">
        <f t="shared" ca="1" si="108"/>
        <v>10295400.094260432</v>
      </c>
      <c r="R247" s="2">
        <f t="shared" ca="1" si="108"/>
        <v>11091789.403499894</v>
      </c>
      <c r="S247" s="2">
        <f t="shared" ca="1" si="108"/>
        <v>11986574.769467847</v>
      </c>
      <c r="T247" s="2">
        <f t="shared" ca="1" si="108"/>
        <v>12931838.158660395</v>
      </c>
      <c r="U247" s="2">
        <f t="shared" ca="1" si="108"/>
        <v>13139205.933776047</v>
      </c>
      <c r="V247" s="2">
        <f t="shared" ca="1" si="108"/>
        <v>13356264.492287567</v>
      </c>
      <c r="W247" s="2">
        <f t="shared" ca="1" si="108"/>
        <v>0</v>
      </c>
      <c r="X247" s="2">
        <f t="shared" ca="1" si="108"/>
        <v>0</v>
      </c>
      <c r="Y247" s="2">
        <f t="shared" ca="1" si="108"/>
        <v>0</v>
      </c>
      <c r="Z247" s="2">
        <f t="shared" ca="1" si="108"/>
        <v>0</v>
      </c>
      <c r="AA247" s="2">
        <f t="shared" ca="1" si="108"/>
        <v>0</v>
      </c>
    </row>
    <row r="248" spans="1:28" x14ac:dyDescent="0.25">
      <c r="A248"/>
      <c r="E248" t="s">
        <v>24</v>
      </c>
      <c r="F248" t="s">
        <v>7</v>
      </c>
      <c r="G248" s="2">
        <f ca="1">NPV($G$15,H247:AA247)+G247</f>
        <v>134963241.17293325</v>
      </c>
    </row>
    <row r="249" spans="1:28" x14ac:dyDescent="0.25">
      <c r="A249"/>
      <c r="E249" s="3" t="s">
        <v>34</v>
      </c>
      <c r="F249" s="3"/>
      <c r="G249" s="4" t="str">
        <f ca="1">IF(G245&gt;0,"N/A",IF(ABS(G245+G248)&gt;1,"Error","OK"))</f>
        <v>OK</v>
      </c>
    </row>
    <row r="251" spans="1:28" x14ac:dyDescent="0.25">
      <c r="A251"/>
      <c r="C251" s="1" t="s">
        <v>35</v>
      </c>
      <c r="D251" s="1"/>
    </row>
    <row r="252" spans="1:28" x14ac:dyDescent="0.25">
      <c r="A252"/>
      <c r="C252" s="1"/>
      <c r="D252" s="1"/>
      <c r="G252" s="44"/>
    </row>
    <row r="253" spans="1:28" x14ac:dyDescent="0.25">
      <c r="A253"/>
      <c r="C253" s="1"/>
      <c r="D253" t="s">
        <v>35</v>
      </c>
      <c r="F253" t="s">
        <v>7</v>
      </c>
      <c r="G253" s="8">
        <f ca="1">MAX(0,-G279)</f>
        <v>135146679.62794548</v>
      </c>
    </row>
    <row r="255" spans="1:28" x14ac:dyDescent="0.25">
      <c r="A255"/>
      <c r="D255" t="s">
        <v>9</v>
      </c>
    </row>
    <row r="256" spans="1:28" x14ac:dyDescent="0.25">
      <c r="A256"/>
      <c r="E256" t="s">
        <v>107</v>
      </c>
      <c r="F256" t="s">
        <v>7</v>
      </c>
      <c r="G256" s="2">
        <f t="shared" ref="G256:AA261" si="109">G222</f>
        <v>0</v>
      </c>
      <c r="H256" s="2">
        <f t="shared" si="109"/>
        <v>72249022.999999985</v>
      </c>
      <c r="I256" s="2">
        <f t="shared" si="109"/>
        <v>69979064.329999983</v>
      </c>
      <c r="J256" s="2">
        <f t="shared" si="109"/>
        <v>68846225.869558871</v>
      </c>
      <c r="K256" s="2">
        <f t="shared" si="109"/>
        <v>64312304.756430194</v>
      </c>
      <c r="L256" s="2">
        <f t="shared" si="109"/>
        <v>59716811.53560283</v>
      </c>
      <c r="M256" s="2">
        <f t="shared" si="109"/>
        <v>55198099.665290311</v>
      </c>
      <c r="N256" s="2">
        <f t="shared" si="109"/>
        <v>50779016.406236961</v>
      </c>
      <c r="O256" s="2">
        <f t="shared" si="109"/>
        <v>46453357.47872936</v>
      </c>
      <c r="P256" s="2">
        <f t="shared" si="109"/>
        <v>46157007.26092948</v>
      </c>
      <c r="Q256" s="2">
        <f t="shared" si="109"/>
        <v>45649352.76293207</v>
      </c>
      <c r="R256" s="2">
        <f t="shared" si="109"/>
        <v>49180508.053766027</v>
      </c>
      <c r="S256" s="2">
        <f t="shared" si="109"/>
        <v>53147947.147361971</v>
      </c>
      <c r="T256" s="2">
        <f t="shared" si="109"/>
        <v>57339203.583446585</v>
      </c>
      <c r="U256" s="2">
        <f t="shared" si="109"/>
        <v>58258663.209226079</v>
      </c>
      <c r="V256" s="2">
        <f t="shared" si="109"/>
        <v>59221091.343828619</v>
      </c>
      <c r="W256" s="2">
        <f t="shared" si="109"/>
        <v>0</v>
      </c>
      <c r="X256" s="2">
        <f t="shared" si="109"/>
        <v>0</v>
      </c>
      <c r="Y256" s="2">
        <f t="shared" si="109"/>
        <v>0</v>
      </c>
      <c r="Z256" s="2">
        <f t="shared" si="109"/>
        <v>0</v>
      </c>
      <c r="AA256" s="2">
        <f t="shared" si="109"/>
        <v>0</v>
      </c>
    </row>
    <row r="257" spans="4:28" customFormat="1" x14ac:dyDescent="0.25">
      <c r="E257" t="s">
        <v>11</v>
      </c>
      <c r="F257" t="s">
        <v>7</v>
      </c>
      <c r="G257" s="2">
        <f t="shared" si="109"/>
        <v>0</v>
      </c>
      <c r="H257" s="2">
        <f t="shared" si="109"/>
        <v>5059997.0294428989</v>
      </c>
      <c r="I257" s="2">
        <f t="shared" si="109"/>
        <v>9813640.4386346266</v>
      </c>
      <c r="J257" s="2">
        <f t="shared" si="109"/>
        <v>14756828.047150774</v>
      </c>
      <c r="K257" s="2">
        <f t="shared" si="109"/>
        <v>19511444.976588752</v>
      </c>
      <c r="L257" s="2">
        <f t="shared" si="109"/>
        <v>24074077.954699419</v>
      </c>
      <c r="M257" s="2">
        <f t="shared" si="109"/>
        <v>28439929.932911668</v>
      </c>
      <c r="N257" s="2">
        <f t="shared" si="109"/>
        <v>32615620.831842452</v>
      </c>
      <c r="O257" s="2">
        <f t="shared" si="109"/>
        <v>36602502.914364107</v>
      </c>
      <c r="P257" s="2">
        <f t="shared" si="109"/>
        <v>40685024.897572123</v>
      </c>
      <c r="Q257" s="2">
        <f t="shared" si="109"/>
        <v>44858687.51313892</v>
      </c>
      <c r="R257" s="2">
        <f t="shared" si="109"/>
        <v>49378191.643165857</v>
      </c>
      <c r="S257" s="2">
        <f t="shared" si="109"/>
        <v>54285148.555953443</v>
      </c>
      <c r="T257" s="2">
        <f t="shared" si="109"/>
        <v>59597404.693263024</v>
      </c>
      <c r="U257" s="2">
        <f t="shared" si="109"/>
        <v>65085081.36430487</v>
      </c>
      <c r="V257" s="2">
        <f t="shared" si="109"/>
        <v>70760709.81436567</v>
      </c>
      <c r="W257" s="2">
        <f t="shared" si="109"/>
        <v>72246684.720467344</v>
      </c>
      <c r="X257" s="2">
        <f t="shared" si="109"/>
        <v>73763865.099597141</v>
      </c>
      <c r="Y257" s="2">
        <f t="shared" si="109"/>
        <v>75312906.266688675</v>
      </c>
      <c r="Z257" s="2">
        <f t="shared" si="109"/>
        <v>76894477.29828915</v>
      </c>
      <c r="AA257" s="2">
        <f t="shared" si="109"/>
        <v>78509261.3215532</v>
      </c>
    </row>
    <row r="258" spans="4:28" customFormat="1" x14ac:dyDescent="0.25">
      <c r="E258" t="s">
        <v>57</v>
      </c>
      <c r="F258" t="s">
        <v>7</v>
      </c>
      <c r="G258" s="2">
        <f t="shared" si="109"/>
        <v>0</v>
      </c>
      <c r="H258" s="2">
        <f t="shared" si="109"/>
        <v>-2122629.1767095425</v>
      </c>
      <c r="I258" s="2">
        <f t="shared" si="109"/>
        <v>-4354269.4778751032</v>
      </c>
      <c r="J258" s="2">
        <f t="shared" si="109"/>
        <v>-6734273.1972878007</v>
      </c>
      <c r="K258" s="2">
        <f t="shared" si="109"/>
        <v>-8885262.4259306435</v>
      </c>
      <c r="L258" s="2">
        <f t="shared" si="109"/>
        <v>-10938346.137787469</v>
      </c>
      <c r="M258" s="2">
        <f t="shared" si="109"/>
        <v>-12893745.156370113</v>
      </c>
      <c r="N258" s="2">
        <f t="shared" si="109"/>
        <v>-14752599.121368518</v>
      </c>
      <c r="O258" s="2">
        <f t="shared" si="109"/>
        <v>-16515777.432666125</v>
      </c>
      <c r="P258" s="2">
        <f t="shared" si="109"/>
        <v>-18307375.226850472</v>
      </c>
      <c r="Q258" s="2">
        <f t="shared" si="109"/>
        <v>-20121549.814150285</v>
      </c>
      <c r="R258" s="2">
        <f t="shared" si="109"/>
        <v>-22084445.385203749</v>
      </c>
      <c r="S258" s="2">
        <f t="shared" si="109"/>
        <v>-24212902.218682617</v>
      </c>
      <c r="T258" s="2">
        <f t="shared" si="109"/>
        <v>-26517274.696559355</v>
      </c>
      <c r="U258" s="2">
        <f t="shared" si="109"/>
        <v>-28898775.798122369</v>
      </c>
      <c r="V258" s="2">
        <f t="shared" si="109"/>
        <v>-31360486.303749148</v>
      </c>
      <c r="W258" s="2">
        <f t="shared" si="109"/>
        <v>-32019056.516127877</v>
      </c>
      <c r="X258" s="2">
        <f t="shared" si="109"/>
        <v>-32691456.70296656</v>
      </c>
      <c r="Y258" s="2">
        <f t="shared" si="109"/>
        <v>-33377977.293728855</v>
      </c>
      <c r="Z258" s="2">
        <f t="shared" si="109"/>
        <v>-34078914.816897161</v>
      </c>
      <c r="AA258" s="2">
        <f t="shared" si="109"/>
        <v>-34794572.028051995</v>
      </c>
    </row>
    <row r="259" spans="4:28" customFormat="1" x14ac:dyDescent="0.25">
      <c r="E259" t="s">
        <v>10</v>
      </c>
      <c r="F259" t="s">
        <v>7</v>
      </c>
      <c r="G259" s="2">
        <f t="shared" si="109"/>
        <v>0</v>
      </c>
      <c r="H259" s="2">
        <f t="shared" si="109"/>
        <v>-743132.80799999996</v>
      </c>
      <c r="I259" s="2">
        <f t="shared" si="109"/>
        <v>-1478523.258648</v>
      </c>
      <c r="J259" s="2">
        <f t="shared" si="109"/>
        <v>-2217704.8560236422</v>
      </c>
      <c r="K259" s="2">
        <f t="shared" si="109"/>
        <v>-2925774.6497805635</v>
      </c>
      <c r="L259" s="2">
        <f t="shared" si="109"/>
        <v>-3601445.9789350131</v>
      </c>
      <c r="M259" s="2">
        <f t="shared" si="109"/>
        <v>-4244828.2267642058</v>
      </c>
      <c r="N259" s="2">
        <f t="shared" si="109"/>
        <v>-4856268.0739904055</v>
      </c>
      <c r="O259" s="2">
        <f t="shared" si="109"/>
        <v>-5436055.6661825636</v>
      </c>
      <c r="P259" s="2">
        <f t="shared" si="109"/>
        <v>-6024970.6241419576</v>
      </c>
      <c r="Q259" s="2">
        <f t="shared" si="109"/>
        <v>-6621031.2070962396</v>
      </c>
      <c r="R259" s="2">
        <f t="shared" si="109"/>
        <v>-7265929.5167125678</v>
      </c>
      <c r="S259" s="2">
        <f t="shared" si="109"/>
        <v>-7965178.6357935406</v>
      </c>
      <c r="T259" s="2">
        <f t="shared" si="109"/>
        <v>-8722222.05257494</v>
      </c>
      <c r="U259" s="2">
        <f t="shared" si="109"/>
        <v>-9504620.6801167671</v>
      </c>
      <c r="V259" s="2">
        <f t="shared" si="109"/>
        <v>-10313348.939650029</v>
      </c>
      <c r="W259" s="2">
        <f t="shared" si="109"/>
        <v>-10529929.26738268</v>
      </c>
      <c r="X259" s="2">
        <f t="shared" si="109"/>
        <v>-10751057.781997714</v>
      </c>
      <c r="Y259" s="2">
        <f t="shared" si="109"/>
        <v>-10976829.995419666</v>
      </c>
      <c r="Z259" s="2">
        <f t="shared" si="109"/>
        <v>-11207343.425323477</v>
      </c>
      <c r="AA259" s="2">
        <f t="shared" si="109"/>
        <v>-11442697.63725527</v>
      </c>
    </row>
    <row r="260" spans="4:28" customFormat="1" x14ac:dyDescent="0.25">
      <c r="E260" t="s">
        <v>12</v>
      </c>
      <c r="F260" t="s">
        <v>7</v>
      </c>
      <c r="G260" s="2">
        <f t="shared" si="109"/>
        <v>-1572099.4106117547</v>
      </c>
      <c r="H260" s="2">
        <f t="shared" si="109"/>
        <v>-2896893.1122579933</v>
      </c>
      <c r="I260" s="2">
        <f t="shared" si="109"/>
        <v>-4159886.9143932029</v>
      </c>
      <c r="J260" s="2">
        <f t="shared" si="109"/>
        <v>-5334913.4148228969</v>
      </c>
      <c r="K260" s="2">
        <f t="shared" si="109"/>
        <v>-6477898.4718068987</v>
      </c>
      <c r="L260" s="2">
        <f t="shared" si="109"/>
        <v>-7558505.9902862627</v>
      </c>
      <c r="M260" s="2">
        <f t="shared" si="109"/>
        <v>-8585650.9184409268</v>
      </c>
      <c r="N260" s="2">
        <f t="shared" si="109"/>
        <v>-9578372.1217767503</v>
      </c>
      <c r="O260" s="2">
        <f t="shared" si="109"/>
        <v>-10529798.484403722</v>
      </c>
      <c r="P260" s="2">
        <f t="shared" si="109"/>
        <v>-11481551.590409642</v>
      </c>
      <c r="Q260" s="2">
        <f t="shared" si="109"/>
        <v>-12438420.774803482</v>
      </c>
      <c r="R260" s="2">
        <f t="shared" si="109"/>
        <v>-13445811.940502029</v>
      </c>
      <c r="S260" s="2">
        <f t="shared" si="109"/>
        <v>-14507133.808332291</v>
      </c>
      <c r="T260" s="2">
        <f t="shared" si="109"/>
        <v>-15624004.793121897</v>
      </c>
      <c r="U260" s="2">
        <f t="shared" si="109"/>
        <v>-16760493.110658394</v>
      </c>
      <c r="V260" s="2">
        <f t="shared" si="109"/>
        <v>-17918553.078771289</v>
      </c>
      <c r="W260" s="2">
        <f t="shared" si="109"/>
        <v>-18054876.053345144</v>
      </c>
      <c r="X260" s="2">
        <f t="shared" si="109"/>
        <v>-18193941.267420616</v>
      </c>
      <c r="Y260" s="2">
        <f t="shared" si="109"/>
        <v>-18335741.035463311</v>
      </c>
      <c r="Z260" s="2">
        <f t="shared" si="109"/>
        <v>-18480496.421271771</v>
      </c>
      <c r="AA260" s="2">
        <f t="shared" si="109"/>
        <v>-18628417.206798986</v>
      </c>
    </row>
    <row r="261" spans="4:28" customFormat="1" x14ac:dyDescent="0.25">
      <c r="E261" t="s">
        <v>48</v>
      </c>
      <c r="F261" t="s">
        <v>7</v>
      </c>
      <c r="G261" s="2">
        <f t="shared" si="109"/>
        <v>0</v>
      </c>
      <c r="H261" s="2">
        <f t="shared" si="109"/>
        <v>0</v>
      </c>
      <c r="I261" s="2">
        <f t="shared" si="109"/>
        <v>0</v>
      </c>
      <c r="J261" s="2">
        <f t="shared" si="109"/>
        <v>0</v>
      </c>
      <c r="K261" s="2">
        <f t="shared" si="109"/>
        <v>0</v>
      </c>
      <c r="L261" s="2">
        <f t="shared" si="109"/>
        <v>0</v>
      </c>
      <c r="M261" s="2">
        <f t="shared" si="109"/>
        <v>0</v>
      </c>
      <c r="N261" s="2">
        <f t="shared" si="109"/>
        <v>0</v>
      </c>
      <c r="O261" s="2">
        <f t="shared" si="109"/>
        <v>0</v>
      </c>
      <c r="P261" s="2">
        <f t="shared" si="109"/>
        <v>0</v>
      </c>
      <c r="Q261" s="2">
        <f t="shared" si="109"/>
        <v>0</v>
      </c>
      <c r="R261" s="2">
        <f t="shared" si="109"/>
        <v>0</v>
      </c>
      <c r="S261" s="2">
        <f t="shared" si="109"/>
        <v>0</v>
      </c>
      <c r="T261" s="2">
        <f t="shared" si="109"/>
        <v>0</v>
      </c>
      <c r="U261" s="2">
        <f t="shared" si="109"/>
        <v>0</v>
      </c>
      <c r="V261" s="2">
        <f t="shared" si="109"/>
        <v>0</v>
      </c>
      <c r="W261" s="2">
        <f t="shared" si="109"/>
        <v>0</v>
      </c>
      <c r="X261" s="2">
        <f t="shared" si="109"/>
        <v>0</v>
      </c>
      <c r="Y261" s="2">
        <f t="shared" si="109"/>
        <v>0</v>
      </c>
      <c r="Z261" s="2">
        <f t="shared" si="109"/>
        <v>0</v>
      </c>
      <c r="AA261" s="2">
        <f t="shared" si="109"/>
        <v>0</v>
      </c>
    </row>
    <row r="262" spans="4:28" customFormat="1" x14ac:dyDescent="0.25">
      <c r="E262" t="s">
        <v>13</v>
      </c>
      <c r="F262" t="s">
        <v>7</v>
      </c>
      <c r="G262" s="2">
        <f ca="1">G253</f>
        <v>135146679.62794548</v>
      </c>
      <c r="H262" s="2"/>
      <c r="I262" s="2"/>
      <c r="J262" s="2"/>
      <c r="K262" s="2"/>
      <c r="L262" s="2"/>
      <c r="M262" s="2"/>
      <c r="N262" s="2"/>
      <c r="O262" s="2"/>
      <c r="P262" s="2"/>
      <c r="Q262" s="2"/>
      <c r="R262" s="2"/>
      <c r="S262" s="2"/>
      <c r="T262" s="2"/>
      <c r="U262" s="2"/>
      <c r="V262" s="2"/>
      <c r="W262" s="2"/>
      <c r="X262" s="2"/>
      <c r="Y262" s="2"/>
      <c r="Z262" s="2"/>
      <c r="AA262" s="2"/>
    </row>
    <row r="263" spans="4:28" customFormat="1" x14ac:dyDescent="0.25"/>
    <row r="264" spans="4:28" customFormat="1" x14ac:dyDescent="0.25">
      <c r="E264" t="s">
        <v>14</v>
      </c>
      <c r="F264" t="s">
        <v>7</v>
      </c>
      <c r="G264" s="2">
        <f t="shared" ref="G264:AA264" ca="1" si="110">SUM(G256:G262)</f>
        <v>133574580.21733373</v>
      </c>
      <c r="H264" s="2">
        <f t="shared" si="110"/>
        <v>71546364.932475343</v>
      </c>
      <c r="I264" s="2">
        <f t="shared" si="110"/>
        <v>69800025.117718324</v>
      </c>
      <c r="J264" s="2">
        <f t="shared" si="110"/>
        <v>69316162.448575318</v>
      </c>
      <c r="K264" s="2">
        <f t="shared" si="110"/>
        <v>65534814.185500845</v>
      </c>
      <c r="L264" s="2">
        <f t="shared" si="110"/>
        <v>61692591.383293495</v>
      </c>
      <c r="M264" s="2">
        <f t="shared" si="110"/>
        <v>57913805.296626732</v>
      </c>
      <c r="N264" s="2">
        <f t="shared" si="110"/>
        <v>54207397.920943744</v>
      </c>
      <c r="O264" s="2">
        <f t="shared" si="110"/>
        <v>50574228.809841059</v>
      </c>
      <c r="P264" s="2">
        <f t="shared" si="110"/>
        <v>51028134.71709951</v>
      </c>
      <c r="Q264" s="2">
        <f t="shared" si="110"/>
        <v>51327038.48002097</v>
      </c>
      <c r="R264" s="2">
        <f t="shared" si="110"/>
        <v>55762512.854513541</v>
      </c>
      <c r="S264" s="2">
        <f t="shared" si="110"/>
        <v>60747881.040506959</v>
      </c>
      <c r="T264" s="2">
        <f t="shared" si="110"/>
        <v>66073106.734453417</v>
      </c>
      <c r="U264" s="2">
        <f t="shared" si="110"/>
        <v>68179854.984633401</v>
      </c>
      <c r="V264" s="2">
        <f t="shared" si="110"/>
        <v>70389412.836023822</v>
      </c>
      <c r="W264" s="2">
        <f t="shared" si="110"/>
        <v>11642822.883611642</v>
      </c>
      <c r="X264" s="2">
        <f t="shared" si="110"/>
        <v>12127409.347212255</v>
      </c>
      <c r="Y264" s="2">
        <f t="shared" si="110"/>
        <v>12622357.94207684</v>
      </c>
      <c r="Z264" s="2">
        <f t="shared" si="110"/>
        <v>13127722.634796739</v>
      </c>
      <c r="AA264" s="2">
        <f t="shared" si="110"/>
        <v>13643574.44944695</v>
      </c>
    </row>
    <row r="265" spans="4:28" customFormat="1" x14ac:dyDescent="0.25">
      <c r="E265" t="s">
        <v>15</v>
      </c>
      <c r="F265" t="s">
        <v>7</v>
      </c>
      <c r="G265" s="2">
        <f ca="1">-G264*G$18</f>
        <v>-40072374.06520012</v>
      </c>
      <c r="H265" s="2">
        <f t="shared" ref="H265:AA265" si="111">-H264*H$18</f>
        <v>-21463909.479742602</v>
      </c>
      <c r="I265" s="2">
        <f t="shared" si="111"/>
        <v>-20940007.535315495</v>
      </c>
      <c r="J265" s="2">
        <f t="shared" si="111"/>
        <v>-20794848.734572593</v>
      </c>
      <c r="K265" s="2">
        <f t="shared" si="111"/>
        <v>-19660444.255650252</v>
      </c>
      <c r="L265" s="2">
        <f t="shared" si="111"/>
        <v>-18507777.414988048</v>
      </c>
      <c r="M265" s="2">
        <f t="shared" si="111"/>
        <v>-17374141.588988017</v>
      </c>
      <c r="N265" s="2">
        <f t="shared" si="111"/>
        <v>-16262219.376283122</v>
      </c>
      <c r="O265" s="2">
        <f t="shared" si="111"/>
        <v>-15172268.642952317</v>
      </c>
      <c r="P265" s="2">
        <f t="shared" si="111"/>
        <v>-15308440.415129852</v>
      </c>
      <c r="Q265" s="2">
        <f t="shared" si="111"/>
        <v>-15398111.54400629</v>
      </c>
      <c r="R265" s="2">
        <f t="shared" si="111"/>
        <v>-16728753.856354062</v>
      </c>
      <c r="S265" s="2">
        <f t="shared" si="111"/>
        <v>-18224364.312152088</v>
      </c>
      <c r="T265" s="2">
        <f t="shared" si="111"/>
        <v>-19821932.020336024</v>
      </c>
      <c r="U265" s="2">
        <f t="shared" si="111"/>
        <v>-20453956.49539002</v>
      </c>
      <c r="V265" s="2">
        <f t="shared" si="111"/>
        <v>-21116823.850807145</v>
      </c>
      <c r="W265" s="2">
        <f t="shared" si="111"/>
        <v>-3492846.8650834924</v>
      </c>
      <c r="X265" s="2">
        <f t="shared" si="111"/>
        <v>-3638222.8041636762</v>
      </c>
      <c r="Y265" s="2">
        <f t="shared" si="111"/>
        <v>-3786707.3826230518</v>
      </c>
      <c r="Z265" s="2">
        <f t="shared" si="111"/>
        <v>-3938316.7904390213</v>
      </c>
      <c r="AA265" s="2">
        <f t="shared" si="111"/>
        <v>-4093072.3348340848</v>
      </c>
    </row>
    <row r="266" spans="4:28" customFormat="1" x14ac:dyDescent="0.25"/>
    <row r="267" spans="4:28" customFormat="1" x14ac:dyDescent="0.25">
      <c r="D267" t="s">
        <v>28</v>
      </c>
    </row>
    <row r="268" spans="4:28" customFormat="1" x14ac:dyDescent="0.25">
      <c r="E268" t="s">
        <v>1</v>
      </c>
      <c r="F268" t="s">
        <v>7</v>
      </c>
      <c r="G268" s="2">
        <f t="shared" ref="G268:AA275" si="112">G234</f>
        <v>-141488946.95505792</v>
      </c>
      <c r="H268" s="2">
        <f t="shared" si="112"/>
        <v>-46982410.148161471</v>
      </c>
      <c r="I268" s="2">
        <f t="shared" si="112"/>
        <v>-43690377.862168886</v>
      </c>
      <c r="J268" s="2">
        <f t="shared" si="112"/>
        <v>-36906159.169113621</v>
      </c>
      <c r="K268" s="2">
        <f t="shared" si="112"/>
        <v>-38556350.372129947</v>
      </c>
      <c r="L268" s="2">
        <f t="shared" si="112"/>
        <v>-37537865.127539843</v>
      </c>
      <c r="M268" s="2">
        <f t="shared" si="112"/>
        <v>-37244943.86862956</v>
      </c>
      <c r="N268" s="2">
        <f t="shared" si="112"/>
        <v>-38565891.893987045</v>
      </c>
      <c r="O268" s="2">
        <f t="shared" si="112"/>
        <v>-39175015.157698087</v>
      </c>
      <c r="P268" s="2">
        <f t="shared" si="112"/>
        <v>-39500772.279603362</v>
      </c>
      <c r="Q268" s="2">
        <f t="shared" si="112"/>
        <v>-40468873.832513496</v>
      </c>
      <c r="R268" s="2">
        <f t="shared" si="112"/>
        <v>-41484696.859103203</v>
      </c>
      <c r="S268" s="2">
        <f t="shared" si="112"/>
        <v>-42371020.957361422</v>
      </c>
      <c r="T268" s="2">
        <f t="shared" si="112"/>
        <v>-43179185.047618181</v>
      </c>
      <c r="U268" s="2">
        <f t="shared" si="112"/>
        <v>-44025285.369058631</v>
      </c>
      <c r="V268" s="2">
        <f t="shared" si="112"/>
        <v>-45004305.786332041</v>
      </c>
      <c r="W268" s="2">
        <f t="shared" si="112"/>
        <v>-12269067.711646918</v>
      </c>
      <c r="X268" s="2">
        <f t="shared" si="112"/>
        <v>-12515869.266792528</v>
      </c>
      <c r="Y268" s="2">
        <f t="shared" si="112"/>
        <v>-12761979.123842647</v>
      </c>
      <c r="Z268" s="2">
        <f t="shared" si="112"/>
        <v>-13027984.722761476</v>
      </c>
      <c r="AA268" s="2">
        <f t="shared" si="112"/>
        <v>-13312870.697448894</v>
      </c>
    </row>
    <row r="269" spans="4:28" customFormat="1" x14ac:dyDescent="0.25">
      <c r="E269" t="s">
        <v>19</v>
      </c>
      <c r="F269" t="s">
        <v>7</v>
      </c>
      <c r="G269" s="2">
        <f t="shared" si="112"/>
        <v>0</v>
      </c>
      <c r="H269" s="2">
        <f t="shared" si="112"/>
        <v>0</v>
      </c>
      <c r="I269" s="2">
        <f t="shared" si="112"/>
        <v>0</v>
      </c>
      <c r="J269" s="2">
        <f t="shared" si="112"/>
        <v>0</v>
      </c>
      <c r="K269" s="2">
        <f t="shared" si="112"/>
        <v>0</v>
      </c>
      <c r="L269" s="2">
        <f t="shared" si="112"/>
        <v>0</v>
      </c>
      <c r="M269" s="2">
        <f t="shared" si="112"/>
        <v>0</v>
      </c>
      <c r="N269" s="2">
        <f t="shared" si="112"/>
        <v>0</v>
      </c>
      <c r="O269" s="2">
        <f t="shared" si="112"/>
        <v>0</v>
      </c>
      <c r="P269" s="2">
        <f t="shared" si="112"/>
        <v>0</v>
      </c>
      <c r="Q269" s="2">
        <f t="shared" si="112"/>
        <v>0</v>
      </c>
      <c r="R269" s="2">
        <f t="shared" si="112"/>
        <v>0</v>
      </c>
      <c r="S269" s="2">
        <f t="shared" si="112"/>
        <v>0</v>
      </c>
      <c r="T269" s="2">
        <f t="shared" si="112"/>
        <v>0</v>
      </c>
      <c r="U269" s="2">
        <f t="shared" si="112"/>
        <v>0</v>
      </c>
      <c r="V269" s="2">
        <f t="shared" si="112"/>
        <v>0</v>
      </c>
      <c r="W269" s="2">
        <f t="shared" si="112"/>
        <v>0</v>
      </c>
      <c r="X269" s="2">
        <f t="shared" si="112"/>
        <v>0</v>
      </c>
      <c r="Y269" s="2">
        <f t="shared" si="112"/>
        <v>0</v>
      </c>
      <c r="Z269" s="2">
        <f t="shared" si="112"/>
        <v>0</v>
      </c>
      <c r="AA269" s="2">
        <f t="shared" si="112"/>
        <v>0</v>
      </c>
    </row>
    <row r="270" spans="4:28" customFormat="1" x14ac:dyDescent="0.25">
      <c r="E270" t="s">
        <v>109</v>
      </c>
      <c r="F270" t="s">
        <v>7</v>
      </c>
      <c r="G270" s="2">
        <f t="shared" si="112"/>
        <v>0</v>
      </c>
      <c r="H270" s="2">
        <f t="shared" si="112"/>
        <v>0</v>
      </c>
      <c r="I270" s="2">
        <f t="shared" si="112"/>
        <v>0</v>
      </c>
      <c r="J270" s="2">
        <f t="shared" si="112"/>
        <v>0</v>
      </c>
      <c r="K270" s="2">
        <f t="shared" si="112"/>
        <v>0</v>
      </c>
      <c r="L270" s="2">
        <f t="shared" si="112"/>
        <v>0</v>
      </c>
      <c r="M270" s="2">
        <f t="shared" si="112"/>
        <v>0</v>
      </c>
      <c r="N270" s="2">
        <f t="shared" si="112"/>
        <v>0</v>
      </c>
      <c r="O270" s="2">
        <f t="shared" si="112"/>
        <v>0</v>
      </c>
      <c r="P270" s="2">
        <f t="shared" si="112"/>
        <v>0</v>
      </c>
      <c r="Q270" s="2">
        <f t="shared" si="112"/>
        <v>0</v>
      </c>
      <c r="R270" s="2">
        <f t="shared" si="112"/>
        <v>0</v>
      </c>
      <c r="S270" s="2">
        <f t="shared" si="112"/>
        <v>0</v>
      </c>
      <c r="T270" s="2">
        <f t="shared" si="112"/>
        <v>0</v>
      </c>
      <c r="U270" s="2">
        <f t="shared" si="112"/>
        <v>0</v>
      </c>
      <c r="V270" s="2">
        <f t="shared" si="112"/>
        <v>0</v>
      </c>
      <c r="W270" s="2">
        <f t="shared" si="112"/>
        <v>0</v>
      </c>
      <c r="X270" s="2">
        <f t="shared" si="112"/>
        <v>0</v>
      </c>
      <c r="Y270" s="2">
        <f t="shared" si="112"/>
        <v>0</v>
      </c>
      <c r="Z270" s="2">
        <f t="shared" si="112"/>
        <v>0</v>
      </c>
      <c r="AA270" s="2">
        <f t="shared" si="112"/>
        <v>0</v>
      </c>
    </row>
    <row r="271" spans="4:28" customFormat="1" x14ac:dyDescent="0.25">
      <c r="E271" t="s">
        <v>11</v>
      </c>
      <c r="F271" t="s">
        <v>7</v>
      </c>
      <c r="G271" s="2">
        <f t="shared" si="112"/>
        <v>0</v>
      </c>
      <c r="H271" s="2">
        <f t="shared" si="112"/>
        <v>5059997.0294428989</v>
      </c>
      <c r="I271" s="2">
        <f t="shared" si="112"/>
        <v>9813640.4386346266</v>
      </c>
      <c r="J271" s="2">
        <f t="shared" si="112"/>
        <v>14756828.047150774</v>
      </c>
      <c r="K271" s="2">
        <f t="shared" si="112"/>
        <v>19511444.976588752</v>
      </c>
      <c r="L271" s="2">
        <f t="shared" si="112"/>
        <v>24074077.954699419</v>
      </c>
      <c r="M271" s="2">
        <f t="shared" si="112"/>
        <v>28439929.932911668</v>
      </c>
      <c r="N271" s="2">
        <f t="shared" si="112"/>
        <v>32615620.831842452</v>
      </c>
      <c r="O271" s="2">
        <f t="shared" si="112"/>
        <v>36602502.914364107</v>
      </c>
      <c r="P271" s="2">
        <f t="shared" si="112"/>
        <v>40685024.897572123</v>
      </c>
      <c r="Q271" s="2">
        <f t="shared" si="112"/>
        <v>44858687.51313892</v>
      </c>
      <c r="R271" s="2">
        <f t="shared" si="112"/>
        <v>49378191.643165857</v>
      </c>
      <c r="S271" s="2">
        <f t="shared" si="112"/>
        <v>54285148.555953443</v>
      </c>
      <c r="T271" s="2">
        <f t="shared" si="112"/>
        <v>59597404.693263024</v>
      </c>
      <c r="U271" s="2">
        <f t="shared" si="112"/>
        <v>65085081.36430487</v>
      </c>
      <c r="V271" s="2">
        <f t="shared" si="112"/>
        <v>70760709.81436567</v>
      </c>
      <c r="W271" s="2">
        <f t="shared" si="112"/>
        <v>72246684.720467344</v>
      </c>
      <c r="X271" s="2">
        <f t="shared" si="112"/>
        <v>73763865.099597141</v>
      </c>
      <c r="Y271" s="2">
        <f t="shared" si="112"/>
        <v>75312906.266688675</v>
      </c>
      <c r="Z271" s="2">
        <f t="shared" si="112"/>
        <v>76894477.29828915</v>
      </c>
      <c r="AA271" s="2">
        <f t="shared" si="112"/>
        <v>78509261.3215532</v>
      </c>
      <c r="AB271" s="2">
        <f t="shared" ref="AB271:AB275" si="113">IF(V271=0,0,IF($G$15&gt;(AA271/V271)^(1/5)-1+2%,AA271*(AA271/V271)^(1/5)/($G$15-((AA271/V271)^(1/5)-1)),AA271*(1+$G$14)/$G$16))</f>
        <v>2616975377.3851123</v>
      </c>
    </row>
    <row r="272" spans="4:28" customFormat="1" x14ac:dyDescent="0.25">
      <c r="E272" t="s">
        <v>57</v>
      </c>
      <c r="F272" t="s">
        <v>7</v>
      </c>
      <c r="G272" s="2">
        <f t="shared" si="112"/>
        <v>0</v>
      </c>
      <c r="H272" s="2">
        <f t="shared" si="112"/>
        <v>-2122629.1767095425</v>
      </c>
      <c r="I272" s="2">
        <f t="shared" si="112"/>
        <v>-4354269.4778751032</v>
      </c>
      <c r="J272" s="2">
        <f t="shared" si="112"/>
        <v>-6734273.1972878007</v>
      </c>
      <c r="K272" s="2">
        <f t="shared" si="112"/>
        <v>-8885262.4259306435</v>
      </c>
      <c r="L272" s="2">
        <f t="shared" si="112"/>
        <v>-10938346.137787469</v>
      </c>
      <c r="M272" s="2">
        <f t="shared" si="112"/>
        <v>-12893745.156370113</v>
      </c>
      <c r="N272" s="2">
        <f t="shared" si="112"/>
        <v>-14752599.121368518</v>
      </c>
      <c r="O272" s="2">
        <f t="shared" si="112"/>
        <v>-16515777.432666125</v>
      </c>
      <c r="P272" s="2">
        <f t="shared" si="112"/>
        <v>-18307375.226850472</v>
      </c>
      <c r="Q272" s="2">
        <f t="shared" si="112"/>
        <v>-20121549.814150285</v>
      </c>
      <c r="R272" s="2">
        <f t="shared" si="112"/>
        <v>-22084445.385203749</v>
      </c>
      <c r="S272" s="2">
        <f t="shared" si="112"/>
        <v>-24212902.218682617</v>
      </c>
      <c r="T272" s="2">
        <f t="shared" si="112"/>
        <v>-26517274.696559355</v>
      </c>
      <c r="U272" s="2">
        <f t="shared" si="112"/>
        <v>-28898775.798122369</v>
      </c>
      <c r="V272" s="2">
        <f t="shared" si="112"/>
        <v>-31360486.303749148</v>
      </c>
      <c r="W272" s="2">
        <f t="shared" si="112"/>
        <v>-32019056.516127877</v>
      </c>
      <c r="X272" s="2">
        <f t="shared" si="112"/>
        <v>-32691456.70296656</v>
      </c>
      <c r="Y272" s="2">
        <f t="shared" si="112"/>
        <v>-33377977.293728855</v>
      </c>
      <c r="Z272" s="2">
        <f t="shared" si="112"/>
        <v>-34078914.816897161</v>
      </c>
      <c r="AA272" s="2">
        <f t="shared" si="112"/>
        <v>-34794572.028051995</v>
      </c>
      <c r="AB272" s="2">
        <f t="shared" si="113"/>
        <v>-1159819067.6017356</v>
      </c>
    </row>
    <row r="273" spans="1:28" x14ac:dyDescent="0.25">
      <c r="E273" t="s">
        <v>10</v>
      </c>
      <c r="F273" t="s">
        <v>7</v>
      </c>
      <c r="G273" s="2">
        <f t="shared" si="112"/>
        <v>0</v>
      </c>
      <c r="H273" s="2">
        <f t="shared" si="112"/>
        <v>-743132.80799999996</v>
      </c>
      <c r="I273" s="2">
        <f t="shared" si="112"/>
        <v>-1478523.258648</v>
      </c>
      <c r="J273" s="2">
        <f t="shared" si="112"/>
        <v>-2217704.8560236422</v>
      </c>
      <c r="K273" s="2">
        <f t="shared" si="112"/>
        <v>-2925774.6497805635</v>
      </c>
      <c r="L273" s="2">
        <f t="shared" si="112"/>
        <v>-3601445.9789350131</v>
      </c>
      <c r="M273" s="2">
        <f t="shared" si="112"/>
        <v>-4244828.2267642058</v>
      </c>
      <c r="N273" s="2">
        <f t="shared" si="112"/>
        <v>-4856268.0739904055</v>
      </c>
      <c r="O273" s="2">
        <f t="shared" si="112"/>
        <v>-5436055.6661825636</v>
      </c>
      <c r="P273" s="2">
        <f t="shared" si="112"/>
        <v>-6024970.6241419576</v>
      </c>
      <c r="Q273" s="2">
        <f t="shared" si="112"/>
        <v>-6621031.2070962396</v>
      </c>
      <c r="R273" s="2">
        <f t="shared" si="112"/>
        <v>-7265929.5167125678</v>
      </c>
      <c r="S273" s="2">
        <f t="shared" si="112"/>
        <v>-7965178.6357935406</v>
      </c>
      <c r="T273" s="2">
        <f t="shared" si="112"/>
        <v>-8722222.05257494</v>
      </c>
      <c r="U273" s="2">
        <f t="shared" si="112"/>
        <v>-9504620.6801167671</v>
      </c>
      <c r="V273" s="2">
        <f t="shared" si="112"/>
        <v>-10313348.939650029</v>
      </c>
      <c r="W273" s="2">
        <f t="shared" si="112"/>
        <v>-10529929.26738268</v>
      </c>
      <c r="X273" s="2">
        <f t="shared" si="112"/>
        <v>-10751057.781997714</v>
      </c>
      <c r="Y273" s="2">
        <f t="shared" si="112"/>
        <v>-10976829.995419666</v>
      </c>
      <c r="Z273" s="2">
        <f t="shared" si="112"/>
        <v>-11207343.425323477</v>
      </c>
      <c r="AA273" s="2">
        <f t="shared" si="112"/>
        <v>-11442697.63725527</v>
      </c>
      <c r="AB273" s="2">
        <f t="shared" si="113"/>
        <v>-381423254.57517648</v>
      </c>
    </row>
    <row r="274" spans="1:28" x14ac:dyDescent="0.25">
      <c r="E274" t="s">
        <v>48</v>
      </c>
      <c r="F274" t="s">
        <v>7</v>
      </c>
      <c r="G274" s="2">
        <f t="shared" si="112"/>
        <v>0</v>
      </c>
      <c r="H274" s="2">
        <f t="shared" si="112"/>
        <v>0</v>
      </c>
      <c r="I274" s="2">
        <f t="shared" si="112"/>
        <v>0</v>
      </c>
      <c r="J274" s="2">
        <f t="shared" si="112"/>
        <v>0</v>
      </c>
      <c r="K274" s="2">
        <f t="shared" si="112"/>
        <v>0</v>
      </c>
      <c r="L274" s="2">
        <f t="shared" si="112"/>
        <v>0</v>
      </c>
      <c r="M274" s="2">
        <f t="shared" si="112"/>
        <v>0</v>
      </c>
      <c r="N274" s="2">
        <f t="shared" si="112"/>
        <v>0</v>
      </c>
      <c r="O274" s="2">
        <f t="shared" si="112"/>
        <v>0</v>
      </c>
      <c r="P274" s="2">
        <f t="shared" si="112"/>
        <v>0</v>
      </c>
      <c r="Q274" s="2">
        <f t="shared" si="112"/>
        <v>0</v>
      </c>
      <c r="R274" s="2">
        <f t="shared" si="112"/>
        <v>0</v>
      </c>
      <c r="S274" s="2">
        <f t="shared" si="112"/>
        <v>0</v>
      </c>
      <c r="T274" s="2">
        <f t="shared" si="112"/>
        <v>0</v>
      </c>
      <c r="U274" s="2">
        <f t="shared" si="112"/>
        <v>0</v>
      </c>
      <c r="V274" s="2">
        <f t="shared" si="112"/>
        <v>0</v>
      </c>
      <c r="W274" s="2">
        <f t="shared" si="112"/>
        <v>0</v>
      </c>
      <c r="X274" s="2">
        <f t="shared" si="112"/>
        <v>0</v>
      </c>
      <c r="Y274" s="2">
        <f t="shared" si="112"/>
        <v>0</v>
      </c>
      <c r="Z274" s="2">
        <f t="shared" si="112"/>
        <v>0</v>
      </c>
      <c r="AA274" s="2">
        <f t="shared" si="112"/>
        <v>0</v>
      </c>
      <c r="AB274" s="2">
        <f t="shared" si="113"/>
        <v>0</v>
      </c>
    </row>
    <row r="275" spans="1:28" x14ac:dyDescent="0.25">
      <c r="E275" t="s">
        <v>49</v>
      </c>
      <c r="F275" t="s">
        <v>7</v>
      </c>
      <c r="G275" s="2">
        <f t="shared" si="112"/>
        <v>0</v>
      </c>
      <c r="H275" s="2">
        <f t="shared" si="112"/>
        <v>0</v>
      </c>
      <c r="I275" s="2">
        <f t="shared" si="112"/>
        <v>0</v>
      </c>
      <c r="J275" s="2">
        <f t="shared" si="112"/>
        <v>0</v>
      </c>
      <c r="K275" s="2">
        <f t="shared" si="112"/>
        <v>0</v>
      </c>
      <c r="L275" s="2">
        <f t="shared" si="112"/>
        <v>0</v>
      </c>
      <c r="M275" s="2">
        <f t="shared" si="112"/>
        <v>0</v>
      </c>
      <c r="N275" s="2">
        <f t="shared" si="112"/>
        <v>0</v>
      </c>
      <c r="O275" s="2">
        <f t="shared" si="112"/>
        <v>0</v>
      </c>
      <c r="P275" s="2">
        <f t="shared" si="112"/>
        <v>0</v>
      </c>
      <c r="Q275" s="2">
        <f t="shared" si="112"/>
        <v>0</v>
      </c>
      <c r="R275" s="2">
        <f t="shared" si="112"/>
        <v>0</v>
      </c>
      <c r="S275" s="2">
        <f t="shared" si="112"/>
        <v>0</v>
      </c>
      <c r="T275" s="2">
        <f t="shared" si="112"/>
        <v>0</v>
      </c>
      <c r="U275" s="2">
        <f t="shared" si="112"/>
        <v>0</v>
      </c>
      <c r="V275" s="2">
        <f t="shared" si="112"/>
        <v>0</v>
      </c>
      <c r="W275" s="2">
        <f t="shared" si="112"/>
        <v>0</v>
      </c>
      <c r="X275" s="2">
        <f t="shared" si="112"/>
        <v>0</v>
      </c>
      <c r="Y275" s="2">
        <f t="shared" si="112"/>
        <v>0</v>
      </c>
      <c r="Z275" s="2">
        <f t="shared" si="112"/>
        <v>0</v>
      </c>
      <c r="AA275" s="2">
        <f t="shared" si="112"/>
        <v>0</v>
      </c>
      <c r="AB275" s="2">
        <f t="shared" si="113"/>
        <v>0</v>
      </c>
    </row>
    <row r="276" spans="1:28" x14ac:dyDescent="0.25">
      <c r="E276" t="s">
        <v>20</v>
      </c>
      <c r="F276" t="s">
        <v>7</v>
      </c>
      <c r="G276" s="2">
        <f t="shared" ref="G276:AA276" ca="1" si="114">G265</f>
        <v>-40072374.06520012</v>
      </c>
      <c r="H276" s="2">
        <f t="shared" si="114"/>
        <v>-21463909.479742602</v>
      </c>
      <c r="I276" s="2">
        <f t="shared" si="114"/>
        <v>-20940007.535315495</v>
      </c>
      <c r="J276" s="2">
        <f t="shared" si="114"/>
        <v>-20794848.734572593</v>
      </c>
      <c r="K276" s="2">
        <f t="shared" si="114"/>
        <v>-19660444.255650252</v>
      </c>
      <c r="L276" s="2">
        <f t="shared" si="114"/>
        <v>-18507777.414988048</v>
      </c>
      <c r="M276" s="2">
        <f t="shared" si="114"/>
        <v>-17374141.588988017</v>
      </c>
      <c r="N276" s="2">
        <f t="shared" si="114"/>
        <v>-16262219.376283122</v>
      </c>
      <c r="O276" s="2">
        <f t="shared" si="114"/>
        <v>-15172268.642952317</v>
      </c>
      <c r="P276" s="2">
        <f t="shared" si="114"/>
        <v>-15308440.415129852</v>
      </c>
      <c r="Q276" s="2">
        <f t="shared" si="114"/>
        <v>-15398111.54400629</v>
      </c>
      <c r="R276" s="2">
        <f t="shared" si="114"/>
        <v>-16728753.856354062</v>
      </c>
      <c r="S276" s="2">
        <f t="shared" si="114"/>
        <v>-18224364.312152088</v>
      </c>
      <c r="T276" s="2">
        <f t="shared" si="114"/>
        <v>-19821932.020336024</v>
      </c>
      <c r="U276" s="2">
        <f t="shared" si="114"/>
        <v>-20453956.49539002</v>
      </c>
      <c r="V276" s="2">
        <f t="shared" si="114"/>
        <v>-21116823.850807145</v>
      </c>
      <c r="W276" s="2">
        <f t="shared" si="114"/>
        <v>-3492846.8650834924</v>
      </c>
      <c r="X276" s="2">
        <f t="shared" si="114"/>
        <v>-3638222.8041636762</v>
      </c>
      <c r="Y276" s="2">
        <f t="shared" si="114"/>
        <v>-3786707.3826230518</v>
      </c>
      <c r="Z276" s="2">
        <f t="shared" si="114"/>
        <v>-3938316.7904390213</v>
      </c>
      <c r="AA276" s="2">
        <f t="shared" si="114"/>
        <v>-4093072.3348340848</v>
      </c>
      <c r="AB276" s="2">
        <f>IF(V276=0,0,IF($G$15&gt;(AA276/V276)^(1/5)-1+2%,AA276*(AA276/V276)^(1/5)/($G$15-((AA276/V276)^(1/5)-1)),AA276*(1+$G$14)/$G$16))</f>
        <v>-8896296.3502256423</v>
      </c>
    </row>
    <row r="277" spans="1:28" x14ac:dyDescent="0.25">
      <c r="E277" t="s">
        <v>173</v>
      </c>
      <c r="F277" t="s">
        <v>7</v>
      </c>
      <c r="G277" s="2">
        <f ca="1">-$G$17*G276</f>
        <v>20036187.03260006</v>
      </c>
      <c r="H277" s="2">
        <f t="shared" ref="H277:AA277" si="115">-$G$17*H276</f>
        <v>10731954.739871301</v>
      </c>
      <c r="I277" s="2">
        <f t="shared" si="115"/>
        <v>10470003.767657747</v>
      </c>
      <c r="J277" s="2">
        <f t="shared" si="115"/>
        <v>10397424.367286297</v>
      </c>
      <c r="K277" s="2">
        <f t="shared" si="115"/>
        <v>9830222.1278251261</v>
      </c>
      <c r="L277" s="2">
        <f t="shared" si="115"/>
        <v>9253888.7074940242</v>
      </c>
      <c r="M277" s="2">
        <f t="shared" si="115"/>
        <v>8687070.7944940086</v>
      </c>
      <c r="N277" s="2">
        <f t="shared" si="115"/>
        <v>8131109.6881415611</v>
      </c>
      <c r="O277" s="2">
        <f t="shared" si="115"/>
        <v>7586134.3214761587</v>
      </c>
      <c r="P277" s="2">
        <f t="shared" si="115"/>
        <v>7654220.2075649258</v>
      </c>
      <c r="Q277" s="2">
        <f t="shared" si="115"/>
        <v>7699055.772003145</v>
      </c>
      <c r="R277" s="2">
        <f t="shared" si="115"/>
        <v>8364376.9281770308</v>
      </c>
      <c r="S277" s="2">
        <f t="shared" si="115"/>
        <v>9112182.1560760438</v>
      </c>
      <c r="T277" s="2">
        <f t="shared" si="115"/>
        <v>9910966.0101680122</v>
      </c>
      <c r="U277" s="2">
        <f t="shared" si="115"/>
        <v>10226978.24769501</v>
      </c>
      <c r="V277" s="2">
        <f t="shared" si="115"/>
        <v>10558411.925403573</v>
      </c>
      <c r="W277" s="2">
        <f t="shared" si="115"/>
        <v>1746423.4325417462</v>
      </c>
      <c r="X277" s="2">
        <f t="shared" si="115"/>
        <v>1819111.4020818381</v>
      </c>
      <c r="Y277" s="2">
        <f t="shared" si="115"/>
        <v>1893353.6913115259</v>
      </c>
      <c r="Z277" s="2">
        <f t="shared" si="115"/>
        <v>1969158.3952195107</v>
      </c>
      <c r="AA277" s="2">
        <f t="shared" si="115"/>
        <v>2046536.1674170424</v>
      </c>
      <c r="AB277" s="2">
        <f t="shared" ref="AB277" si="116">IF(V277=0,0,IF($G$15&gt;(AA277/V277)^(1/5)-1+2%,AA277*(AA277/V277)^(1/5)/($G$15-((AA277/V277)^(1/5)-1)),AA277*(1+$G$14)/$G$16))</f>
        <v>4448148.1751128212</v>
      </c>
    </row>
    <row r="278" spans="1:28" x14ac:dyDescent="0.25">
      <c r="E278" t="s">
        <v>23</v>
      </c>
      <c r="F278" t="s">
        <v>7</v>
      </c>
      <c r="G278" s="2">
        <f t="shared" ref="G278:AB278" ca="1" si="117">SUM(G268:G277)</f>
        <v>-161525133.98765796</v>
      </c>
      <c r="H278" s="2">
        <f t="shared" si="117"/>
        <v>-55520129.843299411</v>
      </c>
      <c r="I278" s="2">
        <f t="shared" si="117"/>
        <v>-50179533.927715115</v>
      </c>
      <c r="J278" s="2">
        <f t="shared" si="117"/>
        <v>-41498733.542560592</v>
      </c>
      <c r="K278" s="2">
        <f t="shared" si="117"/>
        <v>-40686164.59907753</v>
      </c>
      <c r="L278" s="2">
        <f t="shared" si="117"/>
        <v>-37257467.997056931</v>
      </c>
      <c r="M278" s="2">
        <f t="shared" si="117"/>
        <v>-34630658.113346219</v>
      </c>
      <c r="N278" s="2">
        <f t="shared" si="117"/>
        <v>-33690247.945645079</v>
      </c>
      <c r="O278" s="2">
        <f t="shared" si="117"/>
        <v>-32110479.663658824</v>
      </c>
      <c r="P278" s="2">
        <f t="shared" si="117"/>
        <v>-30802313.440588593</v>
      </c>
      <c r="Q278" s="2">
        <f t="shared" si="117"/>
        <v>-30051823.112624243</v>
      </c>
      <c r="R278" s="2">
        <f t="shared" si="117"/>
        <v>-29821257.0460307</v>
      </c>
      <c r="S278" s="2">
        <f t="shared" si="117"/>
        <v>-29376135.411960185</v>
      </c>
      <c r="T278" s="2">
        <f t="shared" si="117"/>
        <v>-28732243.113657463</v>
      </c>
      <c r="U278" s="2">
        <f t="shared" si="117"/>
        <v>-27570578.730687905</v>
      </c>
      <c r="V278" s="2">
        <f t="shared" si="117"/>
        <v>-26475843.140769117</v>
      </c>
      <c r="W278" s="2">
        <f t="shared" si="117"/>
        <v>15682207.792768124</v>
      </c>
      <c r="X278" s="2">
        <f t="shared" si="117"/>
        <v>15986369.945758501</v>
      </c>
      <c r="Y278" s="2">
        <f t="shared" si="117"/>
        <v>16302766.162385978</v>
      </c>
      <c r="Z278" s="2">
        <f t="shared" si="117"/>
        <v>16611075.938087525</v>
      </c>
      <c r="AA278" s="2">
        <f t="shared" si="117"/>
        <v>16912584.791379999</v>
      </c>
      <c r="AB278" s="2">
        <f t="shared" si="117"/>
        <v>1071284907.0330874</v>
      </c>
    </row>
    <row r="279" spans="1:28" x14ac:dyDescent="0.25">
      <c r="E279" t="s">
        <v>31</v>
      </c>
      <c r="F279" t="s">
        <v>7</v>
      </c>
      <c r="G279" s="2">
        <f ca="1">NPV($G$15,H278:AB278)+G278</f>
        <v>-135146679.62794545</v>
      </c>
    </row>
    <row r="280" spans="1:28" x14ac:dyDescent="0.25">
      <c r="E280" s="3" t="s">
        <v>34</v>
      </c>
      <c r="F280" s="3"/>
      <c r="G280" s="4" t="str">
        <f ca="1">IF(G279&gt;0,"N/A",IF(ABS(G279+G253)&gt;1,"Error","OK"))</f>
        <v>OK</v>
      </c>
    </row>
    <row r="282" spans="1:28" x14ac:dyDescent="0.25">
      <c r="C282" s="1" t="s">
        <v>36</v>
      </c>
      <c r="D282" s="1"/>
      <c r="G282" s="44"/>
    </row>
    <row r="283" spans="1:28" x14ac:dyDescent="0.25">
      <c r="A283" s="14">
        <f>'Notes &amp; Assumptions'!A67</f>
        <v>54</v>
      </c>
      <c r="C283" s="1"/>
      <c r="D283" s="1"/>
      <c r="E283" t="s">
        <v>42</v>
      </c>
      <c r="F283" t="s">
        <v>3</v>
      </c>
      <c r="G283" s="10"/>
      <c r="H283" s="10">
        <v>1</v>
      </c>
      <c r="I283" s="10">
        <v>1</v>
      </c>
      <c r="J283" s="10">
        <v>1</v>
      </c>
      <c r="K283" s="10">
        <v>1</v>
      </c>
      <c r="L283" s="10">
        <v>1</v>
      </c>
      <c r="M283" s="10">
        <v>1</v>
      </c>
      <c r="N283" s="10">
        <v>1</v>
      </c>
      <c r="O283" s="10">
        <v>1</v>
      </c>
      <c r="P283" s="10">
        <v>1</v>
      </c>
      <c r="Q283" s="10">
        <v>1</v>
      </c>
      <c r="R283" s="10">
        <v>1</v>
      </c>
      <c r="S283" s="10">
        <v>1</v>
      </c>
      <c r="T283" s="10">
        <v>1</v>
      </c>
      <c r="U283" s="10">
        <v>1</v>
      </c>
      <c r="V283" s="10">
        <v>1</v>
      </c>
      <c r="W283" s="10">
        <v>0</v>
      </c>
      <c r="X283" s="10">
        <v>0</v>
      </c>
      <c r="Y283" s="10">
        <v>0</v>
      </c>
      <c r="Z283" s="10">
        <v>0</v>
      </c>
      <c r="AA283" s="10">
        <v>0</v>
      </c>
    </row>
    <row r="284" spans="1:28" x14ac:dyDescent="0.25">
      <c r="E284" t="s">
        <v>37</v>
      </c>
      <c r="F284" t="s">
        <v>38</v>
      </c>
      <c r="G284" s="8">
        <f ca="1">MAX(0,-G311/(NPV($G$16,H283:AA283)+G283))</f>
        <v>11303446.053455349</v>
      </c>
      <c r="H284" s="2">
        <f t="shared" ref="H284:AA284" ca="1" si="118">G284*(1+$G$14)</f>
        <v>11540818.42057791</v>
      </c>
      <c r="I284" s="2">
        <f t="shared" ca="1" si="118"/>
        <v>11783175.607410045</v>
      </c>
      <c r="J284" s="2">
        <f t="shared" ca="1" si="118"/>
        <v>12030622.295165656</v>
      </c>
      <c r="K284" s="2">
        <f t="shared" ca="1" si="118"/>
        <v>12283265.363364134</v>
      </c>
      <c r="L284" s="2">
        <f t="shared" ca="1" si="118"/>
        <v>12541213.93599478</v>
      </c>
      <c r="M284" s="2">
        <f t="shared" ca="1" si="118"/>
        <v>12804579.42865067</v>
      </c>
      <c r="N284" s="2">
        <f t="shared" ca="1" si="118"/>
        <v>13073475.596652333</v>
      </c>
      <c r="O284" s="2">
        <f t="shared" ca="1" si="118"/>
        <v>13348018.58418203</v>
      </c>
      <c r="P284" s="2">
        <f t="shared" ca="1" si="118"/>
        <v>13628326.974449851</v>
      </c>
      <c r="Q284" s="2">
        <f t="shared" ca="1" si="118"/>
        <v>13914521.840913296</v>
      </c>
      <c r="R284" s="2">
        <f t="shared" ca="1" si="118"/>
        <v>14206726.799572473</v>
      </c>
      <c r="S284" s="2">
        <f t="shared" ca="1" si="118"/>
        <v>14505068.062363494</v>
      </c>
      <c r="T284" s="2">
        <f t="shared" ca="1" si="118"/>
        <v>14809674.491673127</v>
      </c>
      <c r="U284" s="2">
        <f t="shared" ca="1" si="118"/>
        <v>15120677.655998262</v>
      </c>
      <c r="V284" s="2">
        <f t="shared" ca="1" si="118"/>
        <v>15438211.886774223</v>
      </c>
      <c r="W284" s="2">
        <f t="shared" ca="1" si="118"/>
        <v>15762414.33639648</v>
      </c>
      <c r="X284" s="2">
        <f t="shared" ca="1" si="118"/>
        <v>16093425.037460804</v>
      </c>
      <c r="Y284" s="2">
        <f t="shared" ca="1" si="118"/>
        <v>16431386.96324748</v>
      </c>
      <c r="Z284" s="2">
        <f t="shared" ca="1" si="118"/>
        <v>16776446.089475675</v>
      </c>
      <c r="AA284" s="2">
        <f t="shared" ca="1" si="118"/>
        <v>17128751.457354661</v>
      </c>
    </row>
    <row r="285" spans="1:28" x14ac:dyDescent="0.25">
      <c r="E285" t="s">
        <v>21</v>
      </c>
      <c r="F285" t="s">
        <v>7</v>
      </c>
      <c r="G285" s="2">
        <f ca="1">G283*G284</f>
        <v>0</v>
      </c>
      <c r="H285" s="2">
        <f t="shared" ref="H285:AA285" ca="1" si="119">H283*H284</f>
        <v>11540818.42057791</v>
      </c>
      <c r="I285" s="2">
        <f t="shared" ca="1" si="119"/>
        <v>11783175.607410045</v>
      </c>
      <c r="J285" s="2">
        <f t="shared" ca="1" si="119"/>
        <v>12030622.295165656</v>
      </c>
      <c r="K285" s="2">
        <f t="shared" ca="1" si="119"/>
        <v>12283265.363364134</v>
      </c>
      <c r="L285" s="2">
        <f t="shared" ca="1" si="119"/>
        <v>12541213.93599478</v>
      </c>
      <c r="M285" s="2">
        <f t="shared" ca="1" si="119"/>
        <v>12804579.42865067</v>
      </c>
      <c r="N285" s="2">
        <f t="shared" ca="1" si="119"/>
        <v>13073475.596652333</v>
      </c>
      <c r="O285" s="2">
        <f t="shared" ca="1" si="119"/>
        <v>13348018.58418203</v>
      </c>
      <c r="P285" s="2">
        <f t="shared" ca="1" si="119"/>
        <v>13628326.974449851</v>
      </c>
      <c r="Q285" s="2">
        <f t="shared" ca="1" si="119"/>
        <v>13914521.840913296</v>
      </c>
      <c r="R285" s="2">
        <f t="shared" ca="1" si="119"/>
        <v>14206726.799572473</v>
      </c>
      <c r="S285" s="2">
        <f t="shared" ca="1" si="119"/>
        <v>14505068.062363494</v>
      </c>
      <c r="T285" s="2">
        <f t="shared" ca="1" si="119"/>
        <v>14809674.491673127</v>
      </c>
      <c r="U285" s="2">
        <f t="shared" ca="1" si="119"/>
        <v>15120677.655998262</v>
      </c>
      <c r="V285" s="2">
        <f t="shared" ca="1" si="119"/>
        <v>15438211.886774223</v>
      </c>
      <c r="W285" s="2">
        <f t="shared" ca="1" si="119"/>
        <v>0</v>
      </c>
      <c r="X285" s="2">
        <f t="shared" ca="1" si="119"/>
        <v>0</v>
      </c>
      <c r="Y285" s="2">
        <f t="shared" ca="1" si="119"/>
        <v>0</v>
      </c>
      <c r="Z285" s="2">
        <f t="shared" ca="1" si="119"/>
        <v>0</v>
      </c>
      <c r="AA285" s="2">
        <f t="shared" ca="1" si="119"/>
        <v>0</v>
      </c>
    </row>
    <row r="286" spans="1:28" x14ac:dyDescent="0.25">
      <c r="G286" s="8">
        <f ca="1">-G311/(NPV($G$16,H283:AA283)+G283)</f>
        <v>11303446.053455349</v>
      </c>
    </row>
    <row r="287" spans="1:28" x14ac:dyDescent="0.25">
      <c r="D287" t="s">
        <v>9</v>
      </c>
    </row>
    <row r="288" spans="1:28" x14ac:dyDescent="0.25">
      <c r="E288" t="s">
        <v>107</v>
      </c>
      <c r="F288" t="s">
        <v>7</v>
      </c>
      <c r="G288" s="2">
        <f t="shared" ref="G288:AA293" si="120">G222</f>
        <v>0</v>
      </c>
      <c r="H288" s="2">
        <f t="shared" si="120"/>
        <v>72249022.999999985</v>
      </c>
      <c r="I288" s="2">
        <f t="shared" si="120"/>
        <v>69979064.329999983</v>
      </c>
      <c r="J288" s="2">
        <f t="shared" si="120"/>
        <v>68846225.869558871</v>
      </c>
      <c r="K288" s="2">
        <f t="shared" si="120"/>
        <v>64312304.756430194</v>
      </c>
      <c r="L288" s="2">
        <f t="shared" si="120"/>
        <v>59716811.53560283</v>
      </c>
      <c r="M288" s="2">
        <f t="shared" si="120"/>
        <v>55198099.665290311</v>
      </c>
      <c r="N288" s="2">
        <f t="shared" si="120"/>
        <v>50779016.406236961</v>
      </c>
      <c r="O288" s="2">
        <f t="shared" si="120"/>
        <v>46453357.47872936</v>
      </c>
      <c r="P288" s="2">
        <f t="shared" si="120"/>
        <v>46157007.26092948</v>
      </c>
      <c r="Q288" s="2">
        <f t="shared" si="120"/>
        <v>45649352.76293207</v>
      </c>
      <c r="R288" s="2">
        <f t="shared" si="120"/>
        <v>49180508.053766027</v>
      </c>
      <c r="S288" s="2">
        <f t="shared" si="120"/>
        <v>53147947.147361971</v>
      </c>
      <c r="T288" s="2">
        <f t="shared" si="120"/>
        <v>57339203.583446585</v>
      </c>
      <c r="U288" s="2">
        <f t="shared" si="120"/>
        <v>58258663.209226079</v>
      </c>
      <c r="V288" s="2">
        <f t="shared" si="120"/>
        <v>59221091.343828619</v>
      </c>
      <c r="W288" s="2">
        <f t="shared" si="120"/>
        <v>0</v>
      </c>
      <c r="X288" s="2">
        <f t="shared" si="120"/>
        <v>0</v>
      </c>
      <c r="Y288" s="2">
        <f t="shared" si="120"/>
        <v>0</v>
      </c>
      <c r="Z288" s="2">
        <f t="shared" si="120"/>
        <v>0</v>
      </c>
      <c r="AA288" s="2">
        <f t="shared" si="120"/>
        <v>0</v>
      </c>
    </row>
    <row r="289" spans="4:28" customFormat="1" x14ac:dyDescent="0.25">
      <c r="E289" t="s">
        <v>11</v>
      </c>
      <c r="F289" t="s">
        <v>7</v>
      </c>
      <c r="G289" s="2">
        <f t="shared" si="120"/>
        <v>0</v>
      </c>
      <c r="H289" s="2">
        <f t="shared" si="120"/>
        <v>5059997.0294428989</v>
      </c>
      <c r="I289" s="2">
        <f t="shared" si="120"/>
        <v>9813640.4386346266</v>
      </c>
      <c r="J289" s="2">
        <f t="shared" si="120"/>
        <v>14756828.047150774</v>
      </c>
      <c r="K289" s="2">
        <f t="shared" si="120"/>
        <v>19511444.976588752</v>
      </c>
      <c r="L289" s="2">
        <f t="shared" si="120"/>
        <v>24074077.954699419</v>
      </c>
      <c r="M289" s="2">
        <f t="shared" si="120"/>
        <v>28439929.932911668</v>
      </c>
      <c r="N289" s="2">
        <f t="shared" si="120"/>
        <v>32615620.831842452</v>
      </c>
      <c r="O289" s="2">
        <f t="shared" si="120"/>
        <v>36602502.914364107</v>
      </c>
      <c r="P289" s="2">
        <f t="shared" si="120"/>
        <v>40685024.897572123</v>
      </c>
      <c r="Q289" s="2">
        <f t="shared" si="120"/>
        <v>44858687.51313892</v>
      </c>
      <c r="R289" s="2">
        <f t="shared" si="120"/>
        <v>49378191.643165857</v>
      </c>
      <c r="S289" s="2">
        <f t="shared" si="120"/>
        <v>54285148.555953443</v>
      </c>
      <c r="T289" s="2">
        <f t="shared" si="120"/>
        <v>59597404.693263024</v>
      </c>
      <c r="U289" s="2">
        <f t="shared" si="120"/>
        <v>65085081.36430487</v>
      </c>
      <c r="V289" s="2">
        <f t="shared" si="120"/>
        <v>70760709.81436567</v>
      </c>
      <c r="W289" s="2">
        <f t="shared" si="120"/>
        <v>72246684.720467344</v>
      </c>
      <c r="X289" s="2">
        <f t="shared" si="120"/>
        <v>73763865.099597141</v>
      </c>
      <c r="Y289" s="2">
        <f t="shared" si="120"/>
        <v>75312906.266688675</v>
      </c>
      <c r="Z289" s="2">
        <f t="shared" si="120"/>
        <v>76894477.29828915</v>
      </c>
      <c r="AA289" s="2">
        <f t="shared" si="120"/>
        <v>78509261.3215532</v>
      </c>
    </row>
    <row r="290" spans="4:28" customFormat="1" x14ac:dyDescent="0.25">
      <c r="E290" t="s">
        <v>57</v>
      </c>
      <c r="F290" t="s">
        <v>7</v>
      </c>
      <c r="G290" s="2">
        <f t="shared" si="120"/>
        <v>0</v>
      </c>
      <c r="H290" s="2">
        <f t="shared" si="120"/>
        <v>-2122629.1767095425</v>
      </c>
      <c r="I290" s="2">
        <f t="shared" si="120"/>
        <v>-4354269.4778751032</v>
      </c>
      <c r="J290" s="2">
        <f t="shared" si="120"/>
        <v>-6734273.1972878007</v>
      </c>
      <c r="K290" s="2">
        <f t="shared" si="120"/>
        <v>-8885262.4259306435</v>
      </c>
      <c r="L290" s="2">
        <f t="shared" si="120"/>
        <v>-10938346.137787469</v>
      </c>
      <c r="M290" s="2">
        <f t="shared" si="120"/>
        <v>-12893745.156370113</v>
      </c>
      <c r="N290" s="2">
        <f t="shared" si="120"/>
        <v>-14752599.121368518</v>
      </c>
      <c r="O290" s="2">
        <f t="shared" si="120"/>
        <v>-16515777.432666125</v>
      </c>
      <c r="P290" s="2">
        <f t="shared" si="120"/>
        <v>-18307375.226850472</v>
      </c>
      <c r="Q290" s="2">
        <f t="shared" si="120"/>
        <v>-20121549.814150285</v>
      </c>
      <c r="R290" s="2">
        <f t="shared" si="120"/>
        <v>-22084445.385203749</v>
      </c>
      <c r="S290" s="2">
        <f t="shared" si="120"/>
        <v>-24212902.218682617</v>
      </c>
      <c r="T290" s="2">
        <f t="shared" si="120"/>
        <v>-26517274.696559355</v>
      </c>
      <c r="U290" s="2">
        <f t="shared" si="120"/>
        <v>-28898775.798122369</v>
      </c>
      <c r="V290" s="2">
        <f t="shared" si="120"/>
        <v>-31360486.303749148</v>
      </c>
      <c r="W290" s="2">
        <f t="shared" si="120"/>
        <v>-32019056.516127877</v>
      </c>
      <c r="X290" s="2">
        <f t="shared" si="120"/>
        <v>-32691456.70296656</v>
      </c>
      <c r="Y290" s="2">
        <f t="shared" si="120"/>
        <v>-33377977.293728855</v>
      </c>
      <c r="Z290" s="2">
        <f t="shared" si="120"/>
        <v>-34078914.816897161</v>
      </c>
      <c r="AA290" s="2">
        <f t="shared" si="120"/>
        <v>-34794572.028051995</v>
      </c>
    </row>
    <row r="291" spans="4:28" customFormat="1" x14ac:dyDescent="0.25">
      <c r="E291" t="s">
        <v>10</v>
      </c>
      <c r="F291" t="s">
        <v>7</v>
      </c>
      <c r="G291" s="2">
        <f t="shared" si="120"/>
        <v>0</v>
      </c>
      <c r="H291" s="2">
        <f t="shared" si="120"/>
        <v>-743132.80799999996</v>
      </c>
      <c r="I291" s="2">
        <f t="shared" si="120"/>
        <v>-1478523.258648</v>
      </c>
      <c r="J291" s="2">
        <f t="shared" si="120"/>
        <v>-2217704.8560236422</v>
      </c>
      <c r="K291" s="2">
        <f t="shared" si="120"/>
        <v>-2925774.6497805635</v>
      </c>
      <c r="L291" s="2">
        <f t="shared" si="120"/>
        <v>-3601445.9789350131</v>
      </c>
      <c r="M291" s="2">
        <f t="shared" si="120"/>
        <v>-4244828.2267642058</v>
      </c>
      <c r="N291" s="2">
        <f t="shared" si="120"/>
        <v>-4856268.0739904055</v>
      </c>
      <c r="O291" s="2">
        <f t="shared" si="120"/>
        <v>-5436055.6661825636</v>
      </c>
      <c r="P291" s="2">
        <f t="shared" si="120"/>
        <v>-6024970.6241419576</v>
      </c>
      <c r="Q291" s="2">
        <f t="shared" si="120"/>
        <v>-6621031.2070962396</v>
      </c>
      <c r="R291" s="2">
        <f t="shared" si="120"/>
        <v>-7265929.5167125678</v>
      </c>
      <c r="S291" s="2">
        <f t="shared" si="120"/>
        <v>-7965178.6357935406</v>
      </c>
      <c r="T291" s="2">
        <f t="shared" si="120"/>
        <v>-8722222.05257494</v>
      </c>
      <c r="U291" s="2">
        <f t="shared" si="120"/>
        <v>-9504620.6801167671</v>
      </c>
      <c r="V291" s="2">
        <f t="shared" si="120"/>
        <v>-10313348.939650029</v>
      </c>
      <c r="W291" s="2">
        <f t="shared" si="120"/>
        <v>-10529929.26738268</v>
      </c>
      <c r="X291" s="2">
        <f t="shared" si="120"/>
        <v>-10751057.781997714</v>
      </c>
      <c r="Y291" s="2">
        <f t="shared" si="120"/>
        <v>-10976829.995419666</v>
      </c>
      <c r="Z291" s="2">
        <f t="shared" si="120"/>
        <v>-11207343.425323477</v>
      </c>
      <c r="AA291" s="2">
        <f t="shared" si="120"/>
        <v>-11442697.63725527</v>
      </c>
    </row>
    <row r="292" spans="4:28" customFormat="1" x14ac:dyDescent="0.25">
      <c r="E292" t="s">
        <v>12</v>
      </c>
      <c r="F292" t="s">
        <v>7</v>
      </c>
      <c r="G292" s="2">
        <f t="shared" si="120"/>
        <v>-1572099.4106117547</v>
      </c>
      <c r="H292" s="2">
        <f t="shared" si="120"/>
        <v>-2896893.1122579933</v>
      </c>
      <c r="I292" s="2">
        <f t="shared" si="120"/>
        <v>-4159886.9143932029</v>
      </c>
      <c r="J292" s="2">
        <f t="shared" si="120"/>
        <v>-5334913.4148228969</v>
      </c>
      <c r="K292" s="2">
        <f t="shared" si="120"/>
        <v>-6477898.4718068987</v>
      </c>
      <c r="L292" s="2">
        <f t="shared" si="120"/>
        <v>-7558505.9902862627</v>
      </c>
      <c r="M292" s="2">
        <f t="shared" si="120"/>
        <v>-8585650.9184409268</v>
      </c>
      <c r="N292" s="2">
        <f t="shared" si="120"/>
        <v>-9578372.1217767503</v>
      </c>
      <c r="O292" s="2">
        <f t="shared" si="120"/>
        <v>-10529798.484403722</v>
      </c>
      <c r="P292" s="2">
        <f t="shared" si="120"/>
        <v>-11481551.590409642</v>
      </c>
      <c r="Q292" s="2">
        <f t="shared" si="120"/>
        <v>-12438420.774803482</v>
      </c>
      <c r="R292" s="2">
        <f t="shared" si="120"/>
        <v>-13445811.940502029</v>
      </c>
      <c r="S292" s="2">
        <f t="shared" si="120"/>
        <v>-14507133.808332291</v>
      </c>
      <c r="T292" s="2">
        <f t="shared" si="120"/>
        <v>-15624004.793121897</v>
      </c>
      <c r="U292" s="2">
        <f t="shared" si="120"/>
        <v>-16760493.110658394</v>
      </c>
      <c r="V292" s="2">
        <f t="shared" si="120"/>
        <v>-17918553.078771289</v>
      </c>
      <c r="W292" s="2">
        <f t="shared" si="120"/>
        <v>-18054876.053345144</v>
      </c>
      <c r="X292" s="2">
        <f t="shared" si="120"/>
        <v>-18193941.267420616</v>
      </c>
      <c r="Y292" s="2">
        <f t="shared" si="120"/>
        <v>-18335741.035463311</v>
      </c>
      <c r="Z292" s="2">
        <f t="shared" si="120"/>
        <v>-18480496.421271771</v>
      </c>
      <c r="AA292" s="2">
        <f t="shared" si="120"/>
        <v>-18628417.206798986</v>
      </c>
    </row>
    <row r="293" spans="4:28" customFormat="1" x14ac:dyDescent="0.25">
      <c r="E293" t="s">
        <v>48</v>
      </c>
      <c r="F293" t="s">
        <v>7</v>
      </c>
      <c r="G293" s="2">
        <f t="shared" si="120"/>
        <v>0</v>
      </c>
      <c r="H293" s="2">
        <f t="shared" si="120"/>
        <v>0</v>
      </c>
      <c r="I293" s="2">
        <f t="shared" si="120"/>
        <v>0</v>
      </c>
      <c r="J293" s="2">
        <f t="shared" si="120"/>
        <v>0</v>
      </c>
      <c r="K293" s="2">
        <f t="shared" si="120"/>
        <v>0</v>
      </c>
      <c r="L293" s="2">
        <f t="shared" si="120"/>
        <v>0</v>
      </c>
      <c r="M293" s="2">
        <f t="shared" si="120"/>
        <v>0</v>
      </c>
      <c r="N293" s="2">
        <f t="shared" si="120"/>
        <v>0</v>
      </c>
      <c r="O293" s="2">
        <f t="shared" si="120"/>
        <v>0</v>
      </c>
      <c r="P293" s="2">
        <f t="shared" si="120"/>
        <v>0</v>
      </c>
      <c r="Q293" s="2">
        <f t="shared" si="120"/>
        <v>0</v>
      </c>
      <c r="R293" s="2">
        <f t="shared" si="120"/>
        <v>0</v>
      </c>
      <c r="S293" s="2">
        <f t="shared" si="120"/>
        <v>0</v>
      </c>
      <c r="T293" s="2">
        <f t="shared" si="120"/>
        <v>0</v>
      </c>
      <c r="U293" s="2">
        <f t="shared" si="120"/>
        <v>0</v>
      </c>
      <c r="V293" s="2">
        <f t="shared" si="120"/>
        <v>0</v>
      </c>
      <c r="W293" s="2">
        <f t="shared" si="120"/>
        <v>0</v>
      </c>
      <c r="X293" s="2">
        <f t="shared" si="120"/>
        <v>0</v>
      </c>
      <c r="Y293" s="2">
        <f t="shared" si="120"/>
        <v>0</v>
      </c>
      <c r="Z293" s="2">
        <f t="shared" si="120"/>
        <v>0</v>
      </c>
      <c r="AA293" s="2">
        <f t="shared" si="120"/>
        <v>0</v>
      </c>
    </row>
    <row r="294" spans="4:28" customFormat="1" x14ac:dyDescent="0.25">
      <c r="E294" t="s">
        <v>13</v>
      </c>
      <c r="F294" t="s">
        <v>7</v>
      </c>
      <c r="G294" s="2">
        <f t="shared" ref="G294:AA294" ca="1" si="121">G285</f>
        <v>0</v>
      </c>
      <c r="H294" s="2">
        <f t="shared" ca="1" si="121"/>
        <v>11540818.42057791</v>
      </c>
      <c r="I294" s="2">
        <f t="shared" ca="1" si="121"/>
        <v>11783175.607410045</v>
      </c>
      <c r="J294" s="2">
        <f t="shared" ca="1" si="121"/>
        <v>12030622.295165656</v>
      </c>
      <c r="K294" s="2">
        <f t="shared" ca="1" si="121"/>
        <v>12283265.363364134</v>
      </c>
      <c r="L294" s="2">
        <f t="shared" ca="1" si="121"/>
        <v>12541213.93599478</v>
      </c>
      <c r="M294" s="2">
        <f t="shared" ca="1" si="121"/>
        <v>12804579.42865067</v>
      </c>
      <c r="N294" s="2">
        <f t="shared" ca="1" si="121"/>
        <v>13073475.596652333</v>
      </c>
      <c r="O294" s="2">
        <f t="shared" ca="1" si="121"/>
        <v>13348018.58418203</v>
      </c>
      <c r="P294" s="2">
        <f t="shared" ca="1" si="121"/>
        <v>13628326.974449851</v>
      </c>
      <c r="Q294" s="2">
        <f t="shared" ca="1" si="121"/>
        <v>13914521.840913296</v>
      </c>
      <c r="R294" s="2">
        <f t="shared" ca="1" si="121"/>
        <v>14206726.799572473</v>
      </c>
      <c r="S294" s="2">
        <f t="shared" ca="1" si="121"/>
        <v>14505068.062363494</v>
      </c>
      <c r="T294" s="2">
        <f t="shared" ca="1" si="121"/>
        <v>14809674.491673127</v>
      </c>
      <c r="U294" s="2">
        <f t="shared" ca="1" si="121"/>
        <v>15120677.655998262</v>
      </c>
      <c r="V294" s="2">
        <f t="shared" ca="1" si="121"/>
        <v>15438211.886774223</v>
      </c>
      <c r="W294" s="2">
        <f t="shared" ca="1" si="121"/>
        <v>0</v>
      </c>
      <c r="X294" s="2">
        <f t="shared" ca="1" si="121"/>
        <v>0</v>
      </c>
      <c r="Y294" s="2">
        <f t="shared" ca="1" si="121"/>
        <v>0</v>
      </c>
      <c r="Z294" s="2">
        <f t="shared" ca="1" si="121"/>
        <v>0</v>
      </c>
      <c r="AA294" s="2">
        <f t="shared" ca="1" si="121"/>
        <v>0</v>
      </c>
    </row>
    <row r="295" spans="4:28" customFormat="1" x14ac:dyDescent="0.25"/>
    <row r="296" spans="4:28" customFormat="1" x14ac:dyDescent="0.25">
      <c r="E296" t="s">
        <v>14</v>
      </c>
      <c r="F296" t="s">
        <v>7</v>
      </c>
      <c r="G296" s="2">
        <f t="shared" ref="G296:AA296" ca="1" si="122">SUM(G288:G294)</f>
        <v>-1572099.4106117547</v>
      </c>
      <c r="H296" s="2">
        <f t="shared" ca="1" si="122"/>
        <v>83087183.353053257</v>
      </c>
      <c r="I296" s="2">
        <f t="shared" ca="1" si="122"/>
        <v>81583200.725128368</v>
      </c>
      <c r="J296" s="2">
        <f t="shared" ca="1" si="122"/>
        <v>81346784.743740976</v>
      </c>
      <c r="K296" s="2">
        <f t="shared" ca="1" si="122"/>
        <v>77818079.548864976</v>
      </c>
      <c r="L296" s="2">
        <f t="shared" ca="1" si="122"/>
        <v>74233805.319288269</v>
      </c>
      <c r="M296" s="2">
        <f t="shared" ca="1" si="122"/>
        <v>70718384.725277394</v>
      </c>
      <c r="N296" s="2">
        <f t="shared" ca="1" si="122"/>
        <v>67280873.517596081</v>
      </c>
      <c r="O296" s="2">
        <f t="shared" ca="1" si="122"/>
        <v>63922247.394023091</v>
      </c>
      <c r="P296" s="2">
        <f t="shared" ca="1" si="122"/>
        <v>64656461.691549361</v>
      </c>
      <c r="Q296" s="2">
        <f t="shared" ca="1" si="122"/>
        <v>65241560.320934266</v>
      </c>
      <c r="R296" s="2">
        <f t="shared" ca="1" si="122"/>
        <v>69969239.654086009</v>
      </c>
      <c r="S296" s="2">
        <f t="shared" ca="1" si="122"/>
        <v>75252949.102870449</v>
      </c>
      <c r="T296" s="2">
        <f t="shared" ca="1" si="122"/>
        <v>80882781.226126552</v>
      </c>
      <c r="U296" s="2">
        <f t="shared" ca="1" si="122"/>
        <v>83300532.640631661</v>
      </c>
      <c r="V296" s="2">
        <f t="shared" ca="1" si="122"/>
        <v>85827624.722798049</v>
      </c>
      <c r="W296" s="2">
        <f t="shared" ca="1" si="122"/>
        <v>11642822.883611642</v>
      </c>
      <c r="X296" s="2">
        <f t="shared" ca="1" si="122"/>
        <v>12127409.347212255</v>
      </c>
      <c r="Y296" s="2">
        <f t="shared" ca="1" si="122"/>
        <v>12622357.94207684</v>
      </c>
      <c r="Z296" s="2">
        <f t="shared" ca="1" si="122"/>
        <v>13127722.634796739</v>
      </c>
      <c r="AA296" s="2">
        <f t="shared" ca="1" si="122"/>
        <v>13643574.44944695</v>
      </c>
    </row>
    <row r="297" spans="4:28" customFormat="1" x14ac:dyDescent="0.25">
      <c r="E297" t="s">
        <v>15</v>
      </c>
      <c r="F297" t="s">
        <v>7</v>
      </c>
      <c r="G297" s="2">
        <f t="shared" ref="G297:AA297" ca="1" si="123">-G296*G$18</f>
        <v>471629.8231835264</v>
      </c>
      <c r="H297" s="2">
        <f t="shared" ca="1" si="123"/>
        <v>-24926155.005915977</v>
      </c>
      <c r="I297" s="2">
        <f t="shared" ca="1" si="123"/>
        <v>-24474960.21753851</v>
      </c>
      <c r="J297" s="2">
        <f t="shared" ca="1" si="123"/>
        <v>-24404035.423122291</v>
      </c>
      <c r="K297" s="2">
        <f t="shared" ca="1" si="123"/>
        <v>-23345423.864659492</v>
      </c>
      <c r="L297" s="2">
        <f t="shared" ca="1" si="123"/>
        <v>-22270141.595786478</v>
      </c>
      <c r="M297" s="2">
        <f t="shared" ca="1" si="123"/>
        <v>-21215515.417583216</v>
      </c>
      <c r="N297" s="2">
        <f t="shared" ca="1" si="123"/>
        <v>-20184262.055278823</v>
      </c>
      <c r="O297" s="2">
        <f t="shared" ca="1" si="123"/>
        <v>-19176674.218206927</v>
      </c>
      <c r="P297" s="2">
        <f t="shared" ca="1" si="123"/>
        <v>-19396938.507464807</v>
      </c>
      <c r="Q297" s="2">
        <f t="shared" ca="1" si="123"/>
        <v>-19572468.096280281</v>
      </c>
      <c r="R297" s="2">
        <f t="shared" ca="1" si="123"/>
        <v>-20990771.896225803</v>
      </c>
      <c r="S297" s="2">
        <f t="shared" ca="1" si="123"/>
        <v>-22575884.730861135</v>
      </c>
      <c r="T297" s="2">
        <f t="shared" ca="1" si="123"/>
        <v>-24264834.367837965</v>
      </c>
      <c r="U297" s="2">
        <f t="shared" ca="1" si="123"/>
        <v>-24990159.792189498</v>
      </c>
      <c r="V297" s="2">
        <f t="shared" ca="1" si="123"/>
        <v>-25748287.416839413</v>
      </c>
      <c r="W297" s="2">
        <f t="shared" ca="1" si="123"/>
        <v>-3492846.8650834924</v>
      </c>
      <c r="X297" s="2">
        <f t="shared" ca="1" si="123"/>
        <v>-3638222.8041636762</v>
      </c>
      <c r="Y297" s="2">
        <f t="shared" ca="1" si="123"/>
        <v>-3786707.3826230518</v>
      </c>
      <c r="Z297" s="2">
        <f t="shared" ca="1" si="123"/>
        <v>-3938316.7904390213</v>
      </c>
      <c r="AA297" s="2">
        <f t="shared" ca="1" si="123"/>
        <v>-4093072.3348340848</v>
      </c>
    </row>
    <row r="298" spans="4:28" customFormat="1" x14ac:dyDescent="0.25"/>
    <row r="299" spans="4:28" customFormat="1" x14ac:dyDescent="0.25">
      <c r="D299" t="s">
        <v>28</v>
      </c>
    </row>
    <row r="300" spans="4:28" customFormat="1" x14ac:dyDescent="0.25">
      <c r="E300" t="s">
        <v>1</v>
      </c>
      <c r="F300" t="s">
        <v>7</v>
      </c>
      <c r="G300" s="2">
        <f t="shared" ref="G300:AA307" si="124">G234</f>
        <v>-141488946.95505792</v>
      </c>
      <c r="H300" s="2">
        <f t="shared" si="124"/>
        <v>-46982410.148161471</v>
      </c>
      <c r="I300" s="2">
        <f t="shared" si="124"/>
        <v>-43690377.862168886</v>
      </c>
      <c r="J300" s="2">
        <f t="shared" si="124"/>
        <v>-36906159.169113621</v>
      </c>
      <c r="K300" s="2">
        <f t="shared" si="124"/>
        <v>-38556350.372129947</v>
      </c>
      <c r="L300" s="2">
        <f t="shared" si="124"/>
        <v>-37537865.127539843</v>
      </c>
      <c r="M300" s="2">
        <f t="shared" si="124"/>
        <v>-37244943.86862956</v>
      </c>
      <c r="N300" s="2">
        <f t="shared" si="124"/>
        <v>-38565891.893987045</v>
      </c>
      <c r="O300" s="2">
        <f t="shared" si="124"/>
        <v>-39175015.157698087</v>
      </c>
      <c r="P300" s="2">
        <f t="shared" si="124"/>
        <v>-39500772.279603362</v>
      </c>
      <c r="Q300" s="2">
        <f t="shared" si="124"/>
        <v>-40468873.832513496</v>
      </c>
      <c r="R300" s="2">
        <f t="shared" si="124"/>
        <v>-41484696.859103203</v>
      </c>
      <c r="S300" s="2">
        <f t="shared" si="124"/>
        <v>-42371020.957361422</v>
      </c>
      <c r="T300" s="2">
        <f t="shared" si="124"/>
        <v>-43179185.047618181</v>
      </c>
      <c r="U300" s="2">
        <f t="shared" si="124"/>
        <v>-44025285.369058631</v>
      </c>
      <c r="V300" s="2">
        <f t="shared" si="124"/>
        <v>-45004305.786332041</v>
      </c>
      <c r="W300" s="2">
        <f t="shared" si="124"/>
        <v>-12269067.711646918</v>
      </c>
      <c r="X300" s="2">
        <f t="shared" si="124"/>
        <v>-12515869.266792528</v>
      </c>
      <c r="Y300" s="2">
        <f t="shared" si="124"/>
        <v>-12761979.123842647</v>
      </c>
      <c r="Z300" s="2">
        <f t="shared" si="124"/>
        <v>-13027984.722761476</v>
      </c>
      <c r="AA300" s="2">
        <f t="shared" si="124"/>
        <v>-13312870.697448894</v>
      </c>
    </row>
    <row r="301" spans="4:28" customFormat="1" x14ac:dyDescent="0.25">
      <c r="E301" t="s">
        <v>19</v>
      </c>
      <c r="F301" t="s">
        <v>7</v>
      </c>
      <c r="G301" s="2">
        <f t="shared" si="124"/>
        <v>0</v>
      </c>
      <c r="H301" s="2">
        <f t="shared" si="124"/>
        <v>0</v>
      </c>
      <c r="I301" s="2">
        <f t="shared" si="124"/>
        <v>0</v>
      </c>
      <c r="J301" s="2">
        <f t="shared" si="124"/>
        <v>0</v>
      </c>
      <c r="K301" s="2">
        <f t="shared" si="124"/>
        <v>0</v>
      </c>
      <c r="L301" s="2">
        <f t="shared" si="124"/>
        <v>0</v>
      </c>
      <c r="M301" s="2">
        <f t="shared" si="124"/>
        <v>0</v>
      </c>
      <c r="N301" s="2">
        <f t="shared" si="124"/>
        <v>0</v>
      </c>
      <c r="O301" s="2">
        <f t="shared" si="124"/>
        <v>0</v>
      </c>
      <c r="P301" s="2">
        <f t="shared" si="124"/>
        <v>0</v>
      </c>
      <c r="Q301" s="2">
        <f t="shared" si="124"/>
        <v>0</v>
      </c>
      <c r="R301" s="2">
        <f t="shared" si="124"/>
        <v>0</v>
      </c>
      <c r="S301" s="2">
        <f t="shared" si="124"/>
        <v>0</v>
      </c>
      <c r="T301" s="2">
        <f t="shared" si="124"/>
        <v>0</v>
      </c>
      <c r="U301" s="2">
        <f t="shared" si="124"/>
        <v>0</v>
      </c>
      <c r="V301" s="2">
        <f t="shared" si="124"/>
        <v>0</v>
      </c>
      <c r="W301" s="2">
        <f t="shared" si="124"/>
        <v>0</v>
      </c>
      <c r="X301" s="2">
        <f t="shared" si="124"/>
        <v>0</v>
      </c>
      <c r="Y301" s="2">
        <f t="shared" si="124"/>
        <v>0</v>
      </c>
      <c r="Z301" s="2">
        <f t="shared" si="124"/>
        <v>0</v>
      </c>
      <c r="AA301" s="2">
        <f t="shared" si="124"/>
        <v>0</v>
      </c>
    </row>
    <row r="302" spans="4:28" customFormat="1" x14ac:dyDescent="0.25">
      <c r="E302" t="s">
        <v>109</v>
      </c>
      <c r="F302" t="s">
        <v>7</v>
      </c>
      <c r="G302" s="2">
        <f t="shared" si="124"/>
        <v>0</v>
      </c>
      <c r="H302" s="2">
        <f t="shared" si="124"/>
        <v>0</v>
      </c>
      <c r="I302" s="2">
        <f t="shared" si="124"/>
        <v>0</v>
      </c>
      <c r="J302" s="2">
        <f t="shared" si="124"/>
        <v>0</v>
      </c>
      <c r="K302" s="2">
        <f t="shared" si="124"/>
        <v>0</v>
      </c>
      <c r="L302" s="2">
        <f t="shared" si="124"/>
        <v>0</v>
      </c>
      <c r="M302" s="2">
        <f t="shared" si="124"/>
        <v>0</v>
      </c>
      <c r="N302" s="2">
        <f t="shared" si="124"/>
        <v>0</v>
      </c>
      <c r="O302" s="2">
        <f t="shared" si="124"/>
        <v>0</v>
      </c>
      <c r="P302" s="2">
        <f t="shared" si="124"/>
        <v>0</v>
      </c>
      <c r="Q302" s="2">
        <f t="shared" si="124"/>
        <v>0</v>
      </c>
      <c r="R302" s="2">
        <f t="shared" si="124"/>
        <v>0</v>
      </c>
      <c r="S302" s="2">
        <f t="shared" si="124"/>
        <v>0</v>
      </c>
      <c r="T302" s="2">
        <f t="shared" si="124"/>
        <v>0</v>
      </c>
      <c r="U302" s="2">
        <f t="shared" si="124"/>
        <v>0</v>
      </c>
      <c r="V302" s="2">
        <f t="shared" si="124"/>
        <v>0</v>
      </c>
      <c r="W302" s="2">
        <f t="shared" si="124"/>
        <v>0</v>
      </c>
      <c r="X302" s="2">
        <f t="shared" si="124"/>
        <v>0</v>
      </c>
      <c r="Y302" s="2">
        <f t="shared" si="124"/>
        <v>0</v>
      </c>
      <c r="Z302" s="2">
        <f t="shared" si="124"/>
        <v>0</v>
      </c>
      <c r="AA302" s="2">
        <f t="shared" si="124"/>
        <v>0</v>
      </c>
    </row>
    <row r="303" spans="4:28" customFormat="1" x14ac:dyDescent="0.25">
      <c r="E303" t="s">
        <v>11</v>
      </c>
      <c r="F303" t="s">
        <v>7</v>
      </c>
      <c r="G303" s="2">
        <f t="shared" si="124"/>
        <v>0</v>
      </c>
      <c r="H303" s="2">
        <f t="shared" si="124"/>
        <v>5059997.0294428989</v>
      </c>
      <c r="I303" s="2">
        <f t="shared" si="124"/>
        <v>9813640.4386346266</v>
      </c>
      <c r="J303" s="2">
        <f t="shared" si="124"/>
        <v>14756828.047150774</v>
      </c>
      <c r="K303" s="2">
        <f t="shared" si="124"/>
        <v>19511444.976588752</v>
      </c>
      <c r="L303" s="2">
        <f t="shared" si="124"/>
        <v>24074077.954699419</v>
      </c>
      <c r="M303" s="2">
        <f t="shared" si="124"/>
        <v>28439929.932911668</v>
      </c>
      <c r="N303" s="2">
        <f t="shared" si="124"/>
        <v>32615620.831842452</v>
      </c>
      <c r="O303" s="2">
        <f t="shared" si="124"/>
        <v>36602502.914364107</v>
      </c>
      <c r="P303" s="2">
        <f t="shared" si="124"/>
        <v>40685024.897572123</v>
      </c>
      <c r="Q303" s="2">
        <f t="shared" si="124"/>
        <v>44858687.51313892</v>
      </c>
      <c r="R303" s="2">
        <f t="shared" si="124"/>
        <v>49378191.643165857</v>
      </c>
      <c r="S303" s="2">
        <f t="shared" si="124"/>
        <v>54285148.555953443</v>
      </c>
      <c r="T303" s="2">
        <f t="shared" si="124"/>
        <v>59597404.693263024</v>
      </c>
      <c r="U303" s="2">
        <f t="shared" si="124"/>
        <v>65085081.36430487</v>
      </c>
      <c r="V303" s="2">
        <f t="shared" si="124"/>
        <v>70760709.81436567</v>
      </c>
      <c r="W303" s="2">
        <f t="shared" si="124"/>
        <v>72246684.720467344</v>
      </c>
      <c r="X303" s="2">
        <f t="shared" si="124"/>
        <v>73763865.099597141</v>
      </c>
      <c r="Y303" s="2">
        <f t="shared" si="124"/>
        <v>75312906.266688675</v>
      </c>
      <c r="Z303" s="2">
        <f t="shared" si="124"/>
        <v>76894477.29828915</v>
      </c>
      <c r="AA303" s="2">
        <f t="shared" si="124"/>
        <v>78509261.3215532</v>
      </c>
      <c r="AB303" s="2">
        <f t="shared" ref="AB303:AB307" si="125">IF(V303=0,0,IF($G$15&gt;(AA303/V303)^(1/5)-1+2%,AA303*(AA303/V303)^(1/5)/($G$15-((AA303/V303)^(1/5)-1)),AA303*(1+$G$14)/$G$16))</f>
        <v>2616975377.3851123</v>
      </c>
    </row>
    <row r="304" spans="4:28" customFormat="1" x14ac:dyDescent="0.25">
      <c r="E304" t="s">
        <v>57</v>
      </c>
      <c r="F304" t="s">
        <v>7</v>
      </c>
      <c r="G304" s="2">
        <f t="shared" si="124"/>
        <v>0</v>
      </c>
      <c r="H304" s="2">
        <f t="shared" si="124"/>
        <v>-2122629.1767095425</v>
      </c>
      <c r="I304" s="2">
        <f t="shared" si="124"/>
        <v>-4354269.4778751032</v>
      </c>
      <c r="J304" s="2">
        <f t="shared" si="124"/>
        <v>-6734273.1972878007</v>
      </c>
      <c r="K304" s="2">
        <f t="shared" si="124"/>
        <v>-8885262.4259306435</v>
      </c>
      <c r="L304" s="2">
        <f t="shared" si="124"/>
        <v>-10938346.137787469</v>
      </c>
      <c r="M304" s="2">
        <f t="shared" si="124"/>
        <v>-12893745.156370113</v>
      </c>
      <c r="N304" s="2">
        <f t="shared" si="124"/>
        <v>-14752599.121368518</v>
      </c>
      <c r="O304" s="2">
        <f t="shared" si="124"/>
        <v>-16515777.432666125</v>
      </c>
      <c r="P304" s="2">
        <f t="shared" si="124"/>
        <v>-18307375.226850472</v>
      </c>
      <c r="Q304" s="2">
        <f t="shared" si="124"/>
        <v>-20121549.814150285</v>
      </c>
      <c r="R304" s="2">
        <f t="shared" si="124"/>
        <v>-22084445.385203749</v>
      </c>
      <c r="S304" s="2">
        <f t="shared" si="124"/>
        <v>-24212902.218682617</v>
      </c>
      <c r="T304" s="2">
        <f t="shared" si="124"/>
        <v>-26517274.696559355</v>
      </c>
      <c r="U304" s="2">
        <f t="shared" si="124"/>
        <v>-28898775.798122369</v>
      </c>
      <c r="V304" s="2">
        <f t="shared" si="124"/>
        <v>-31360486.303749148</v>
      </c>
      <c r="W304" s="2">
        <f t="shared" si="124"/>
        <v>-32019056.516127877</v>
      </c>
      <c r="X304" s="2">
        <f t="shared" si="124"/>
        <v>-32691456.70296656</v>
      </c>
      <c r="Y304" s="2">
        <f t="shared" si="124"/>
        <v>-33377977.293728855</v>
      </c>
      <c r="Z304" s="2">
        <f t="shared" si="124"/>
        <v>-34078914.816897161</v>
      </c>
      <c r="AA304" s="2">
        <f t="shared" si="124"/>
        <v>-34794572.028051995</v>
      </c>
      <c r="AB304" s="2">
        <f t="shared" si="125"/>
        <v>-1159819067.6017356</v>
      </c>
    </row>
    <row r="305" spans="1:28" x14ac:dyDescent="0.25">
      <c r="E305" t="s">
        <v>10</v>
      </c>
      <c r="F305" t="s">
        <v>7</v>
      </c>
      <c r="G305" s="2">
        <f t="shared" si="124"/>
        <v>0</v>
      </c>
      <c r="H305" s="2">
        <f t="shared" si="124"/>
        <v>-743132.80799999996</v>
      </c>
      <c r="I305" s="2">
        <f t="shared" si="124"/>
        <v>-1478523.258648</v>
      </c>
      <c r="J305" s="2">
        <f t="shared" si="124"/>
        <v>-2217704.8560236422</v>
      </c>
      <c r="K305" s="2">
        <f t="shared" si="124"/>
        <v>-2925774.6497805635</v>
      </c>
      <c r="L305" s="2">
        <f t="shared" si="124"/>
        <v>-3601445.9789350131</v>
      </c>
      <c r="M305" s="2">
        <f t="shared" si="124"/>
        <v>-4244828.2267642058</v>
      </c>
      <c r="N305" s="2">
        <f t="shared" si="124"/>
        <v>-4856268.0739904055</v>
      </c>
      <c r="O305" s="2">
        <f t="shared" si="124"/>
        <v>-5436055.6661825636</v>
      </c>
      <c r="P305" s="2">
        <f t="shared" si="124"/>
        <v>-6024970.6241419576</v>
      </c>
      <c r="Q305" s="2">
        <f t="shared" si="124"/>
        <v>-6621031.2070962396</v>
      </c>
      <c r="R305" s="2">
        <f t="shared" si="124"/>
        <v>-7265929.5167125678</v>
      </c>
      <c r="S305" s="2">
        <f t="shared" si="124"/>
        <v>-7965178.6357935406</v>
      </c>
      <c r="T305" s="2">
        <f t="shared" si="124"/>
        <v>-8722222.05257494</v>
      </c>
      <c r="U305" s="2">
        <f t="shared" si="124"/>
        <v>-9504620.6801167671</v>
      </c>
      <c r="V305" s="2">
        <f t="shared" si="124"/>
        <v>-10313348.939650029</v>
      </c>
      <c r="W305" s="2">
        <f t="shared" si="124"/>
        <v>-10529929.26738268</v>
      </c>
      <c r="X305" s="2">
        <f t="shared" si="124"/>
        <v>-10751057.781997714</v>
      </c>
      <c r="Y305" s="2">
        <f t="shared" si="124"/>
        <v>-10976829.995419666</v>
      </c>
      <c r="Z305" s="2">
        <f t="shared" si="124"/>
        <v>-11207343.425323477</v>
      </c>
      <c r="AA305" s="2">
        <f t="shared" si="124"/>
        <v>-11442697.63725527</v>
      </c>
      <c r="AB305" s="2">
        <f t="shared" si="125"/>
        <v>-381423254.57517648</v>
      </c>
    </row>
    <row r="306" spans="1:28" x14ac:dyDescent="0.25">
      <c r="E306" t="s">
        <v>48</v>
      </c>
      <c r="F306" t="s">
        <v>7</v>
      </c>
      <c r="G306" s="2">
        <f t="shared" si="124"/>
        <v>0</v>
      </c>
      <c r="H306" s="2">
        <f t="shared" si="124"/>
        <v>0</v>
      </c>
      <c r="I306" s="2">
        <f t="shared" si="124"/>
        <v>0</v>
      </c>
      <c r="J306" s="2">
        <f t="shared" si="124"/>
        <v>0</v>
      </c>
      <c r="K306" s="2">
        <f t="shared" si="124"/>
        <v>0</v>
      </c>
      <c r="L306" s="2">
        <f t="shared" si="124"/>
        <v>0</v>
      </c>
      <c r="M306" s="2">
        <f t="shared" si="124"/>
        <v>0</v>
      </c>
      <c r="N306" s="2">
        <f t="shared" si="124"/>
        <v>0</v>
      </c>
      <c r="O306" s="2">
        <f t="shared" si="124"/>
        <v>0</v>
      </c>
      <c r="P306" s="2">
        <f t="shared" si="124"/>
        <v>0</v>
      </c>
      <c r="Q306" s="2">
        <f t="shared" si="124"/>
        <v>0</v>
      </c>
      <c r="R306" s="2">
        <f t="shared" si="124"/>
        <v>0</v>
      </c>
      <c r="S306" s="2">
        <f t="shared" si="124"/>
        <v>0</v>
      </c>
      <c r="T306" s="2">
        <f t="shared" si="124"/>
        <v>0</v>
      </c>
      <c r="U306" s="2">
        <f t="shared" si="124"/>
        <v>0</v>
      </c>
      <c r="V306" s="2">
        <f t="shared" si="124"/>
        <v>0</v>
      </c>
      <c r="W306" s="2">
        <f t="shared" si="124"/>
        <v>0</v>
      </c>
      <c r="X306" s="2">
        <f t="shared" si="124"/>
        <v>0</v>
      </c>
      <c r="Y306" s="2">
        <f t="shared" si="124"/>
        <v>0</v>
      </c>
      <c r="Z306" s="2">
        <f t="shared" si="124"/>
        <v>0</v>
      </c>
      <c r="AA306" s="2">
        <f t="shared" si="124"/>
        <v>0</v>
      </c>
      <c r="AB306" s="2">
        <f t="shared" si="125"/>
        <v>0</v>
      </c>
    </row>
    <row r="307" spans="1:28" x14ac:dyDescent="0.25">
      <c r="E307" t="s">
        <v>49</v>
      </c>
      <c r="F307" t="s">
        <v>7</v>
      </c>
      <c r="G307" s="2">
        <f t="shared" si="124"/>
        <v>0</v>
      </c>
      <c r="H307" s="2">
        <f t="shared" si="124"/>
        <v>0</v>
      </c>
      <c r="I307" s="2">
        <f t="shared" si="124"/>
        <v>0</v>
      </c>
      <c r="J307" s="2">
        <f t="shared" si="124"/>
        <v>0</v>
      </c>
      <c r="K307" s="2">
        <f t="shared" si="124"/>
        <v>0</v>
      </c>
      <c r="L307" s="2">
        <f t="shared" si="124"/>
        <v>0</v>
      </c>
      <c r="M307" s="2">
        <f t="shared" si="124"/>
        <v>0</v>
      </c>
      <c r="N307" s="2">
        <f t="shared" si="124"/>
        <v>0</v>
      </c>
      <c r="O307" s="2">
        <f t="shared" si="124"/>
        <v>0</v>
      </c>
      <c r="P307" s="2">
        <f t="shared" si="124"/>
        <v>0</v>
      </c>
      <c r="Q307" s="2">
        <f t="shared" si="124"/>
        <v>0</v>
      </c>
      <c r="R307" s="2">
        <f t="shared" si="124"/>
        <v>0</v>
      </c>
      <c r="S307" s="2">
        <f t="shared" si="124"/>
        <v>0</v>
      </c>
      <c r="T307" s="2">
        <f t="shared" si="124"/>
        <v>0</v>
      </c>
      <c r="U307" s="2">
        <f t="shared" si="124"/>
        <v>0</v>
      </c>
      <c r="V307" s="2">
        <f t="shared" si="124"/>
        <v>0</v>
      </c>
      <c r="W307" s="2">
        <f t="shared" si="124"/>
        <v>0</v>
      </c>
      <c r="X307" s="2">
        <f t="shared" si="124"/>
        <v>0</v>
      </c>
      <c r="Y307" s="2">
        <f t="shared" si="124"/>
        <v>0</v>
      </c>
      <c r="Z307" s="2">
        <f t="shared" si="124"/>
        <v>0</v>
      </c>
      <c r="AA307" s="2">
        <f t="shared" si="124"/>
        <v>0</v>
      </c>
      <c r="AB307" s="2">
        <f t="shared" si="125"/>
        <v>0</v>
      </c>
    </row>
    <row r="308" spans="1:28" x14ac:dyDescent="0.25">
      <c r="E308" t="s">
        <v>20</v>
      </c>
      <c r="F308" t="s">
        <v>7</v>
      </c>
      <c r="G308" s="2">
        <f t="shared" ref="G308:AA308" ca="1" si="126">G297</f>
        <v>471629.8231835264</v>
      </c>
      <c r="H308" s="2">
        <f t="shared" ca="1" si="126"/>
        <v>-24926155.005915977</v>
      </c>
      <c r="I308" s="2">
        <f t="shared" ca="1" si="126"/>
        <v>-24474960.21753851</v>
      </c>
      <c r="J308" s="2">
        <f t="shared" ca="1" si="126"/>
        <v>-24404035.423122291</v>
      </c>
      <c r="K308" s="2">
        <f t="shared" ca="1" si="126"/>
        <v>-23345423.864659492</v>
      </c>
      <c r="L308" s="2">
        <f t="shared" ca="1" si="126"/>
        <v>-22270141.595786478</v>
      </c>
      <c r="M308" s="2">
        <f t="shared" ca="1" si="126"/>
        <v>-21215515.417583216</v>
      </c>
      <c r="N308" s="2">
        <f t="shared" ca="1" si="126"/>
        <v>-20184262.055278823</v>
      </c>
      <c r="O308" s="2">
        <f t="shared" ca="1" si="126"/>
        <v>-19176674.218206927</v>
      </c>
      <c r="P308" s="2">
        <f t="shared" ca="1" si="126"/>
        <v>-19396938.507464807</v>
      </c>
      <c r="Q308" s="2">
        <f t="shared" ca="1" si="126"/>
        <v>-19572468.096280281</v>
      </c>
      <c r="R308" s="2">
        <f t="shared" ca="1" si="126"/>
        <v>-20990771.896225803</v>
      </c>
      <c r="S308" s="2">
        <f t="shared" ca="1" si="126"/>
        <v>-22575884.730861135</v>
      </c>
      <c r="T308" s="2">
        <f t="shared" ca="1" si="126"/>
        <v>-24264834.367837965</v>
      </c>
      <c r="U308" s="2">
        <f t="shared" ca="1" si="126"/>
        <v>-24990159.792189498</v>
      </c>
      <c r="V308" s="2">
        <f t="shared" ca="1" si="126"/>
        <v>-25748287.416839413</v>
      </c>
      <c r="W308" s="2">
        <f t="shared" ca="1" si="126"/>
        <v>-3492846.8650834924</v>
      </c>
      <c r="X308" s="2">
        <f t="shared" ca="1" si="126"/>
        <v>-3638222.8041636762</v>
      </c>
      <c r="Y308" s="2">
        <f t="shared" ca="1" si="126"/>
        <v>-3786707.3826230518</v>
      </c>
      <c r="Z308" s="2">
        <f t="shared" ca="1" si="126"/>
        <v>-3938316.7904390213</v>
      </c>
      <c r="AA308" s="2">
        <f t="shared" ca="1" si="126"/>
        <v>-4093072.3348340848</v>
      </c>
      <c r="AB308" s="2">
        <f ca="1">IF(V308=0,0,IF($G$15&gt;(AA308/V308)^(1/5)-1+2%,AA308*(AA308/V308)^(1/5)/($G$15-((AA308/V308)^(1/5)-1)),AA308*(1+$G$14)/$G$16))</f>
        <v>-7884069.2885761503</v>
      </c>
    </row>
    <row r="309" spans="1:28" x14ac:dyDescent="0.25">
      <c r="E309" t="s">
        <v>173</v>
      </c>
      <c r="F309" t="s">
        <v>7</v>
      </c>
      <c r="G309" s="2">
        <f ca="1">-$G$17*G308</f>
        <v>-235814.9115917632</v>
      </c>
      <c r="H309" s="2">
        <f t="shared" ref="H309:AA309" ca="1" si="127">-$G$17*H308</f>
        <v>12463077.502957989</v>
      </c>
      <c r="I309" s="2">
        <f t="shared" ca="1" si="127"/>
        <v>12237480.108769255</v>
      </c>
      <c r="J309" s="2">
        <f t="shared" ca="1" si="127"/>
        <v>12202017.711561145</v>
      </c>
      <c r="K309" s="2">
        <f t="shared" ca="1" si="127"/>
        <v>11672711.932329746</v>
      </c>
      <c r="L309" s="2">
        <f t="shared" ca="1" si="127"/>
        <v>11135070.797893239</v>
      </c>
      <c r="M309" s="2">
        <f t="shared" ca="1" si="127"/>
        <v>10607757.708791608</v>
      </c>
      <c r="N309" s="2">
        <f t="shared" ca="1" si="127"/>
        <v>10092131.027639411</v>
      </c>
      <c r="O309" s="2">
        <f t="shared" ca="1" si="127"/>
        <v>9588337.1091034636</v>
      </c>
      <c r="P309" s="2">
        <f t="shared" ca="1" si="127"/>
        <v>9698469.2537324037</v>
      </c>
      <c r="Q309" s="2">
        <f t="shared" ca="1" si="127"/>
        <v>9786234.0481401403</v>
      </c>
      <c r="R309" s="2">
        <f t="shared" ca="1" si="127"/>
        <v>10495385.948112901</v>
      </c>
      <c r="S309" s="2">
        <f t="shared" ca="1" si="127"/>
        <v>11287942.365430567</v>
      </c>
      <c r="T309" s="2">
        <f t="shared" ca="1" si="127"/>
        <v>12132417.183918983</v>
      </c>
      <c r="U309" s="2">
        <f t="shared" ca="1" si="127"/>
        <v>12495079.896094749</v>
      </c>
      <c r="V309" s="2">
        <f t="shared" ca="1" si="127"/>
        <v>12874143.708419707</v>
      </c>
      <c r="W309" s="2">
        <f t="shared" ca="1" si="127"/>
        <v>1746423.4325417462</v>
      </c>
      <c r="X309" s="2">
        <f t="shared" ca="1" si="127"/>
        <v>1819111.4020818381</v>
      </c>
      <c r="Y309" s="2">
        <f t="shared" ca="1" si="127"/>
        <v>1893353.6913115259</v>
      </c>
      <c r="Z309" s="2">
        <f t="shared" ca="1" si="127"/>
        <v>1969158.3952195107</v>
      </c>
      <c r="AA309" s="2">
        <f t="shared" ca="1" si="127"/>
        <v>2046536.1674170424</v>
      </c>
      <c r="AB309" s="2">
        <f t="shared" ref="AB309" ca="1" si="128">IF(V309=0,0,IF($G$15&gt;(AA309/V309)^(1/5)-1+2%,AA309*(AA309/V309)^(1/5)/($G$15-((AA309/V309)^(1/5)-1)),AA309*(1+$G$14)/$G$16))</f>
        <v>3942034.6442880752</v>
      </c>
    </row>
    <row r="310" spans="1:28" x14ac:dyDescent="0.25">
      <c r="E310" t="s">
        <v>23</v>
      </c>
      <c r="F310" t="s">
        <v>7</v>
      </c>
      <c r="G310" s="2">
        <f t="shared" ref="G310:AB310" ca="1" si="129">SUM(G300:G309)</f>
        <v>-141253132.04346615</v>
      </c>
      <c r="H310" s="2">
        <f t="shared" ca="1" si="129"/>
        <v>-57251252.60638611</v>
      </c>
      <c r="I310" s="2">
        <f t="shared" ca="1" si="129"/>
        <v>-51947010.268826619</v>
      </c>
      <c r="J310" s="2">
        <f t="shared" ca="1" si="129"/>
        <v>-43303326.886835441</v>
      </c>
      <c r="K310" s="2">
        <f t="shared" ca="1" si="129"/>
        <v>-42528654.403582156</v>
      </c>
      <c r="L310" s="2">
        <f t="shared" ca="1" si="129"/>
        <v>-39138650.087456144</v>
      </c>
      <c r="M310" s="2">
        <f t="shared" ca="1" si="129"/>
        <v>-36551345.027643822</v>
      </c>
      <c r="N310" s="2">
        <f t="shared" ca="1" si="129"/>
        <v>-35651269.285142928</v>
      </c>
      <c r="O310" s="2">
        <f t="shared" ca="1" si="129"/>
        <v>-34112682.45128613</v>
      </c>
      <c r="P310" s="2">
        <f t="shared" ca="1" si="129"/>
        <v>-32846562.486756071</v>
      </c>
      <c r="Q310" s="2">
        <f t="shared" ca="1" si="129"/>
        <v>-32139001.388761237</v>
      </c>
      <c r="R310" s="2">
        <f t="shared" ca="1" si="129"/>
        <v>-31952266.065966565</v>
      </c>
      <c r="S310" s="2">
        <f t="shared" ca="1" si="129"/>
        <v>-31551895.621314701</v>
      </c>
      <c r="T310" s="2">
        <f t="shared" ca="1" si="129"/>
        <v>-30953694.287408434</v>
      </c>
      <c r="U310" s="2">
        <f t="shared" ca="1" si="129"/>
        <v>-29838680.379087649</v>
      </c>
      <c r="V310" s="2">
        <f t="shared" ca="1" si="129"/>
        <v>-28791574.923785258</v>
      </c>
      <c r="W310" s="2">
        <f t="shared" ca="1" si="129"/>
        <v>15682207.792768124</v>
      </c>
      <c r="X310" s="2">
        <f t="shared" ca="1" si="129"/>
        <v>15986369.945758501</v>
      </c>
      <c r="Y310" s="2">
        <f t="shared" ca="1" si="129"/>
        <v>16302766.162385978</v>
      </c>
      <c r="Z310" s="2">
        <f t="shared" ca="1" si="129"/>
        <v>16611075.938087525</v>
      </c>
      <c r="AA310" s="2">
        <f t="shared" ca="1" si="129"/>
        <v>16912584.791379999</v>
      </c>
      <c r="AB310" s="2">
        <f t="shared" ca="1" si="129"/>
        <v>1071791020.5639122</v>
      </c>
    </row>
    <row r="311" spans="1:28" x14ac:dyDescent="0.25">
      <c r="E311" t="s">
        <v>31</v>
      </c>
      <c r="F311" t="s">
        <v>7</v>
      </c>
      <c r="G311" s="2">
        <f ca="1">NPV($G$15,H310:AB310)+G310</f>
        <v>-134939805.24302518</v>
      </c>
    </row>
    <row r="313" spans="1:28" x14ac:dyDescent="0.25">
      <c r="E313" t="s">
        <v>13</v>
      </c>
      <c r="F313" t="s">
        <v>7</v>
      </c>
      <c r="G313" s="2">
        <f t="shared" ref="G313:AA313" ca="1" si="130">G285</f>
        <v>0</v>
      </c>
      <c r="H313" s="2">
        <f t="shared" ca="1" si="130"/>
        <v>11540818.42057791</v>
      </c>
      <c r="I313" s="2">
        <f t="shared" ca="1" si="130"/>
        <v>11783175.607410045</v>
      </c>
      <c r="J313" s="2">
        <f t="shared" ca="1" si="130"/>
        <v>12030622.295165656</v>
      </c>
      <c r="K313" s="2">
        <f t="shared" ca="1" si="130"/>
        <v>12283265.363364134</v>
      </c>
      <c r="L313" s="2">
        <f t="shared" ca="1" si="130"/>
        <v>12541213.93599478</v>
      </c>
      <c r="M313" s="2">
        <f t="shared" ca="1" si="130"/>
        <v>12804579.42865067</v>
      </c>
      <c r="N313" s="2">
        <f t="shared" ca="1" si="130"/>
        <v>13073475.596652333</v>
      </c>
      <c r="O313" s="2">
        <f t="shared" ca="1" si="130"/>
        <v>13348018.58418203</v>
      </c>
      <c r="P313" s="2">
        <f t="shared" ca="1" si="130"/>
        <v>13628326.974449851</v>
      </c>
      <c r="Q313" s="2">
        <f t="shared" ca="1" si="130"/>
        <v>13914521.840913296</v>
      </c>
      <c r="R313" s="2">
        <f t="shared" ca="1" si="130"/>
        <v>14206726.799572473</v>
      </c>
      <c r="S313" s="2">
        <f t="shared" ca="1" si="130"/>
        <v>14505068.062363494</v>
      </c>
      <c r="T313" s="2">
        <f t="shared" ca="1" si="130"/>
        <v>14809674.491673127</v>
      </c>
      <c r="U313" s="2">
        <f t="shared" ca="1" si="130"/>
        <v>15120677.655998262</v>
      </c>
      <c r="V313" s="2">
        <f t="shared" ca="1" si="130"/>
        <v>15438211.886774223</v>
      </c>
      <c r="W313" s="2">
        <f t="shared" ca="1" si="130"/>
        <v>0</v>
      </c>
      <c r="X313" s="2">
        <f t="shared" ca="1" si="130"/>
        <v>0</v>
      </c>
      <c r="Y313" s="2">
        <f t="shared" ca="1" si="130"/>
        <v>0</v>
      </c>
      <c r="Z313" s="2">
        <f t="shared" ca="1" si="130"/>
        <v>0</v>
      </c>
      <c r="AA313" s="2">
        <f t="shared" ca="1" si="130"/>
        <v>0</v>
      </c>
    </row>
    <row r="314" spans="1:28" x14ac:dyDescent="0.25">
      <c r="E314" t="s">
        <v>24</v>
      </c>
      <c r="F314" t="s">
        <v>7</v>
      </c>
      <c r="G314" s="2">
        <f ca="1">NPV($G$15,H313:AA313)+G313</f>
        <v>134939805.24302527</v>
      </c>
    </row>
    <row r="315" spans="1:28" x14ac:dyDescent="0.25">
      <c r="E315" s="3" t="s">
        <v>34</v>
      </c>
      <c r="F315" s="3"/>
      <c r="G315" s="4" t="str">
        <f ca="1">IF(G311&gt;0,"N/A",IF(ABS(G311+G314)&gt;1,"Error","OK"))</f>
        <v>OK</v>
      </c>
    </row>
    <row r="318" spans="1:28" x14ac:dyDescent="0.25">
      <c r="C318" s="1" t="s">
        <v>110</v>
      </c>
    </row>
    <row r="319" spans="1:28" x14ac:dyDescent="0.25">
      <c r="E319" t="s">
        <v>116</v>
      </c>
      <c r="F319" t="s">
        <v>117</v>
      </c>
    </row>
    <row r="320" spans="1:28" x14ac:dyDescent="0.25">
      <c r="A320" s="14">
        <f>'Notes &amp; Assumptions'!A68</f>
        <v>55</v>
      </c>
      <c r="E320" s="19" t="s">
        <v>111</v>
      </c>
      <c r="F320" s="19" t="s">
        <v>119</v>
      </c>
    </row>
    <row r="321" spans="5:6" customFormat="1" x14ac:dyDescent="0.25">
      <c r="E321" s="19" t="s">
        <v>112</v>
      </c>
      <c r="F321" s="19" t="s">
        <v>120</v>
      </c>
    </row>
    <row r="322" spans="5:6" customFormat="1" x14ac:dyDescent="0.25">
      <c r="E322" s="19" t="s">
        <v>113</v>
      </c>
      <c r="F322" s="19" t="s">
        <v>121</v>
      </c>
    </row>
  </sheetData>
  <mergeCells count="1">
    <mergeCell ref="G4:H4"/>
  </mergeCells>
  <dataValidations count="1">
    <dataValidation type="list" showInputMessage="1" showErrorMessage="1" sqref="G4" xr:uid="{59709918-FD79-42C8-B8E0-984E92C488D0}">
      <formula1>$E$320:$E$322</formula1>
    </dataValidation>
  </dataValidation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811F9B-7923-4F29-8497-A54BB5949149}">
  <dimension ref="A2:AC322"/>
  <sheetViews>
    <sheetView topLeftCell="A22" workbookViewId="0">
      <selection activeCell="H37" sqref="H37"/>
    </sheetView>
  </sheetViews>
  <sheetFormatPr defaultColWidth="11" defaultRowHeight="15.75" x14ac:dyDescent="0.25"/>
  <cols>
    <col min="1" max="1" width="7.625" style="14" customWidth="1"/>
    <col min="2" max="2" width="3.125" customWidth="1"/>
    <col min="3" max="3" width="3.375" customWidth="1"/>
    <col min="4" max="4" width="2.875" customWidth="1"/>
    <col min="5" max="5" width="36.5" bestFit="1" customWidth="1"/>
    <col min="6" max="6" width="17.5" customWidth="1"/>
    <col min="7" max="27" width="15.625" customWidth="1"/>
    <col min="28" max="28" width="11.125" customWidth="1"/>
  </cols>
  <sheetData>
    <row r="2" spans="1:27" x14ac:dyDescent="0.25">
      <c r="C2" s="1" t="s">
        <v>0</v>
      </c>
      <c r="D2" s="1"/>
      <c r="G2">
        <v>0</v>
      </c>
      <c r="H2">
        <v>1</v>
      </c>
      <c r="I2">
        <v>2</v>
      </c>
      <c r="J2">
        <v>3</v>
      </c>
      <c r="K2">
        <v>4</v>
      </c>
      <c r="L2">
        <v>5</v>
      </c>
      <c r="M2">
        <v>6</v>
      </c>
      <c r="N2">
        <v>7</v>
      </c>
      <c r="O2">
        <v>8</v>
      </c>
      <c r="P2">
        <v>9</v>
      </c>
      <c r="Q2">
        <v>10</v>
      </c>
      <c r="R2">
        <v>11</v>
      </c>
      <c r="S2">
        <v>12</v>
      </c>
      <c r="T2">
        <v>13</v>
      </c>
      <c r="U2">
        <v>14</v>
      </c>
      <c r="V2">
        <v>15</v>
      </c>
      <c r="W2">
        <v>16</v>
      </c>
      <c r="X2">
        <v>17</v>
      </c>
      <c r="Y2">
        <v>18</v>
      </c>
      <c r="Z2">
        <v>19</v>
      </c>
      <c r="AA2">
        <v>20</v>
      </c>
    </row>
    <row r="4" spans="1:27" x14ac:dyDescent="0.25">
      <c r="A4" s="14">
        <f>'Notes &amp; Assumptions'!A14</f>
        <v>1</v>
      </c>
      <c r="C4" s="1" t="s">
        <v>114</v>
      </c>
      <c r="F4" t="s">
        <v>115</v>
      </c>
      <c r="G4" s="368" t="s">
        <v>111</v>
      </c>
      <c r="H4" s="368"/>
    </row>
    <row r="6" spans="1:27" x14ac:dyDescent="0.25">
      <c r="C6" s="1" t="s">
        <v>126</v>
      </c>
    </row>
    <row r="7" spans="1:27" x14ac:dyDescent="0.25">
      <c r="A7" s="14">
        <f>'Notes &amp; Assumptions'!A15</f>
        <v>2</v>
      </c>
      <c r="E7" s="10" t="s">
        <v>309</v>
      </c>
      <c r="F7" t="s">
        <v>145</v>
      </c>
      <c r="G7" s="10">
        <v>90</v>
      </c>
    </row>
    <row r="8" spans="1:27" x14ac:dyDescent="0.25">
      <c r="A8" s="14">
        <f>'Notes &amp; Assumptions'!A16</f>
        <v>3</v>
      </c>
      <c r="E8" s="10" t="s">
        <v>129</v>
      </c>
      <c r="F8" t="s">
        <v>145</v>
      </c>
      <c r="G8" s="10">
        <v>25</v>
      </c>
    </row>
    <row r="9" spans="1:27" x14ac:dyDescent="0.25">
      <c r="A9" s="14">
        <f>'Notes &amp; Assumptions'!A17</f>
        <v>4</v>
      </c>
      <c r="E9" s="10" t="s">
        <v>130</v>
      </c>
      <c r="F9" t="s">
        <v>145</v>
      </c>
      <c r="G9" s="10">
        <v>30</v>
      </c>
    </row>
    <row r="10" spans="1:27" x14ac:dyDescent="0.25">
      <c r="A10" s="14">
        <f>'Notes &amp; Assumptions'!A18</f>
        <v>5</v>
      </c>
      <c r="E10" t="s">
        <v>127</v>
      </c>
      <c r="F10" t="s">
        <v>145</v>
      </c>
      <c r="G10" s="10">
        <v>5</v>
      </c>
    </row>
    <row r="13" spans="1:27" x14ac:dyDescent="0.25">
      <c r="C13" s="1" t="s">
        <v>92</v>
      </c>
    </row>
    <row r="14" spans="1:27" x14ac:dyDescent="0.25">
      <c r="A14" s="14">
        <f>'Notes &amp; Assumptions'!A19</f>
        <v>6</v>
      </c>
      <c r="E14" t="s">
        <v>5</v>
      </c>
      <c r="F14" t="s">
        <v>8</v>
      </c>
      <c r="G14" s="17">
        <f>'Key assumptions'!B9</f>
        <v>2.1000000000000001E-2</v>
      </c>
    </row>
    <row r="15" spans="1:27" x14ac:dyDescent="0.25">
      <c r="A15" s="14">
        <f>'Notes &amp; Assumptions'!A20</f>
        <v>7</v>
      </c>
      <c r="E15" t="s">
        <v>32</v>
      </c>
      <c r="F15" t="s">
        <v>8</v>
      </c>
      <c r="G15" s="17">
        <f>'Key assumptions'!B8</f>
        <v>5.1629999999999843E-2</v>
      </c>
    </row>
    <row r="16" spans="1:27" x14ac:dyDescent="0.25">
      <c r="E16" t="s">
        <v>30</v>
      </c>
      <c r="F16" t="s">
        <v>8</v>
      </c>
      <c r="G16" s="18">
        <f>(1+G15)/(1+G14)-1</f>
        <v>3.0000000000000027E-2</v>
      </c>
    </row>
    <row r="17" spans="1:27" x14ac:dyDescent="0.25">
      <c r="E17" t="s">
        <v>171</v>
      </c>
      <c r="F17" t="s">
        <v>8</v>
      </c>
      <c r="G17" s="11">
        <v>0.5</v>
      </c>
    </row>
    <row r="18" spans="1:27" x14ac:dyDescent="0.25">
      <c r="A18" s="14">
        <f>'Notes &amp; Assumptions'!A22</f>
        <v>9</v>
      </c>
      <c r="E18" t="s">
        <v>16</v>
      </c>
      <c r="F18" t="s">
        <v>8</v>
      </c>
      <c r="G18" s="11">
        <v>0.3</v>
      </c>
      <c r="H18" s="11">
        <v>0.3</v>
      </c>
      <c r="I18" s="11">
        <v>0.3</v>
      </c>
      <c r="J18" s="11">
        <v>0.3</v>
      </c>
      <c r="K18" s="11">
        <v>0.3</v>
      </c>
      <c r="L18" s="11">
        <v>0.3</v>
      </c>
      <c r="M18" s="11">
        <v>0.3</v>
      </c>
      <c r="N18" s="11">
        <v>0.3</v>
      </c>
      <c r="O18" s="11">
        <v>0.3</v>
      </c>
      <c r="P18" s="11">
        <v>0.3</v>
      </c>
      <c r="Q18" s="11">
        <v>0.3</v>
      </c>
      <c r="R18" s="11">
        <v>0.3</v>
      </c>
      <c r="S18" s="11">
        <v>0.3</v>
      </c>
      <c r="T18" s="11">
        <v>0.3</v>
      </c>
      <c r="U18" s="11">
        <v>0.3</v>
      </c>
      <c r="V18" s="11">
        <v>0.3</v>
      </c>
      <c r="W18" s="11">
        <v>0.3</v>
      </c>
      <c r="X18" s="11">
        <v>0.3</v>
      </c>
      <c r="Y18" s="11">
        <v>0.3</v>
      </c>
      <c r="Z18" s="11">
        <v>0.3</v>
      </c>
      <c r="AA18" s="11">
        <v>0.3</v>
      </c>
    </row>
    <row r="20" spans="1:27" x14ac:dyDescent="0.25">
      <c r="A20" s="14">
        <f>'Notes &amp; Assumptions'!A23</f>
        <v>10</v>
      </c>
      <c r="C20" s="1" t="s">
        <v>1</v>
      </c>
      <c r="D20" s="1"/>
    </row>
    <row r="21" spans="1:27" x14ac:dyDescent="0.25">
      <c r="E21" s="2" t="str">
        <f>E7</f>
        <v>Average asset life for all growth assets</v>
      </c>
      <c r="F21" t="s">
        <v>7</v>
      </c>
      <c r="G21" s="43">
        <f>'Net infill capex water - 13-14'!W33*1000000++'20 Epping North Water'!G21+'20 Greenvale Water'!G21</f>
        <v>69562629.069783539</v>
      </c>
      <c r="H21" s="10">
        <f>'Forecast capex'!J76*1000*(1+$G$14)^H2+'Renewal capex'!H57+'20 Epping North Water'!H21+'20 Greenvale Water'!H21</f>
        <v>16844690.446553312</v>
      </c>
      <c r="I21" s="10">
        <f ca="1">'Forecast capex'!K76*1000*(1+$G$14)^I2+'Renewal capex'!I57+'20 Epping North Water'!I21+'20 Greenvale Water'!I21</f>
        <v>28341716.934704676</v>
      </c>
      <c r="J21" s="10">
        <f ca="1">'Forecast capex'!L76*1000*(1+$G$14)^J2+'Renewal capex'!J57+'20 Epping North Water'!J21+'20 Greenvale Water'!J21</f>
        <v>29428235.82516519</v>
      </c>
      <c r="K21" s="10">
        <f ca="1">'Forecast capex'!M76*1000*(1+$G$14)^K2+'Renewal capex'!K57+'20 Epping North Water'!K21+'20 Greenvale Water'!K21</f>
        <v>28523650.631986063</v>
      </c>
      <c r="L21" s="10">
        <f ca="1">'Forecast capex'!N76*1000*(1+$G$14)^L2+'Renewal capex'!L57+'20 Epping North Water'!L21+'20 Greenvale Water'!L21</f>
        <v>27757298.869013589</v>
      </c>
      <c r="M21" s="10">
        <f ca="1">'Forecast capex'!O76*1000*(1+$G$14)^M2+'Renewal capex'!M57+'20 Epping North Water'!M21+'20 Greenvale Water'!M21</f>
        <v>33173724.674259342</v>
      </c>
      <c r="N21" s="10">
        <f ca="1">'Forecast capex'!P76*1000*(1+$G$14)^N2+'Renewal capex'!N57+'20 Epping North Water'!N21+'20 Greenvale Water'!N21</f>
        <v>27254633.045682486</v>
      </c>
      <c r="O21" s="10">
        <f ca="1">'Forecast capex'!Q76*1000*(1+$G$14)^O2+'Renewal capex'!O57+'20 Epping North Water'!O21+'20 Greenvale Water'!O21</f>
        <v>27723766.875344969</v>
      </c>
      <c r="P21" s="10">
        <f ca="1">'Forecast capex'!R76*1000*(1+$G$14)^P2+'Renewal capex'!P57+'20 Epping North Water'!P21+'20 Greenvale Water'!P21</f>
        <v>27815790.945794858</v>
      </c>
      <c r="Q21" s="10">
        <f ca="1">'Forecast capex'!S76*1000*(1+$G$14)^Q2+'Renewal capex'!Q57+'20 Epping North Water'!Q21+'20 Greenvale Water'!Q21</f>
        <v>28607622.415160112</v>
      </c>
      <c r="R21" s="10">
        <f ca="1">'Renewal capex'!R57+'20 Epping North Water'!R21+'20 Greenvale Water'!R21</f>
        <v>29245805.87295869</v>
      </c>
      <c r="S21" s="10">
        <f ca="1">'Renewal capex'!S57+'20 Epping North Water'!S21+'20 Greenvale Water'!S21</f>
        <v>29873903.505322564</v>
      </c>
      <c r="T21" s="10">
        <f ca="1">'Renewal capex'!T57+'20 Epping North Water'!T21+'20 Greenvale Water'!T21</f>
        <v>30426148.174185529</v>
      </c>
      <c r="U21" s="10">
        <f ca="1">'Renewal capex'!U57+'20 Epping North Water'!U21+'20 Greenvale Water'!U21</f>
        <v>31009280.188611764</v>
      </c>
      <c r="V21" s="10">
        <f ca="1">'Renewal capex'!V57+'20 Epping North Water'!V21+'20 Greenvale Water'!V21</f>
        <v>31710612.11390594</v>
      </c>
      <c r="W21" s="10">
        <f ca="1">'Renewal capex'!W57+'20 Epping North Water'!W21+'20 Greenvale Water'!W21</f>
        <v>32399441.562038191</v>
      </c>
      <c r="X21" s="10">
        <f ca="1">'Renewal capex'!X57+'20 Epping North Water'!X21+'20 Greenvale Water'!X21</f>
        <v>33069847.529322453</v>
      </c>
      <c r="Y21" s="10">
        <f ca="1">'Renewal capex'!Y57+'20 Epping North Water'!Y21+'20 Greenvale Water'!Y21</f>
        <v>33748926.723666266</v>
      </c>
      <c r="Z21" s="10">
        <f ca="1">'Renewal capex'!Z57+'20 Epping North Water'!Z21+'20 Greenvale Water'!Z21</f>
        <v>34455817.651180692</v>
      </c>
      <c r="AA21" s="10">
        <f ca="1">'Renewal capex'!AA57+'20 Epping North Water'!AA21+'20 Greenvale Water'!AA21</f>
        <v>35189785.657632954</v>
      </c>
    </row>
    <row r="22" spans="1:27" x14ac:dyDescent="0.25">
      <c r="E22" s="2" t="str">
        <f>E8</f>
        <v>Pumps</v>
      </c>
      <c r="F22" t="s">
        <v>7</v>
      </c>
      <c r="G22" s="10"/>
      <c r="H22" s="10"/>
      <c r="I22" s="10"/>
      <c r="J22" s="10"/>
      <c r="K22" s="10"/>
      <c r="L22" s="10"/>
      <c r="M22" s="10"/>
      <c r="N22" s="10"/>
      <c r="O22" s="10"/>
      <c r="P22" s="10"/>
      <c r="Q22" s="10"/>
      <c r="R22" s="10"/>
      <c r="S22" s="10"/>
      <c r="T22" s="10"/>
      <c r="U22" s="10"/>
      <c r="V22" s="10"/>
      <c r="W22" s="10"/>
      <c r="X22" s="10"/>
      <c r="Y22" s="10"/>
      <c r="Z22" s="10"/>
      <c r="AA22" s="10"/>
    </row>
    <row r="23" spans="1:27" x14ac:dyDescent="0.25">
      <c r="E23" s="2" t="str">
        <f>E9</f>
        <v>Valves and Meters</v>
      </c>
      <c r="F23" t="s">
        <v>7</v>
      </c>
      <c r="G23" s="10"/>
      <c r="H23" s="10"/>
      <c r="I23" s="10"/>
      <c r="J23" s="10"/>
      <c r="K23" s="10"/>
      <c r="L23" s="10"/>
      <c r="M23" s="10"/>
      <c r="N23" s="10"/>
      <c r="O23" s="10"/>
      <c r="P23" s="10"/>
      <c r="Q23" s="10"/>
      <c r="R23" s="10"/>
      <c r="S23" s="10"/>
      <c r="T23" s="10"/>
      <c r="U23" s="10"/>
      <c r="V23" s="10"/>
      <c r="W23" s="10"/>
      <c r="X23" s="10"/>
      <c r="Y23" s="10"/>
      <c r="Z23" s="10"/>
      <c r="AA23" s="10"/>
    </row>
    <row r="24" spans="1:27" x14ac:dyDescent="0.25">
      <c r="E24" t="s">
        <v>127</v>
      </c>
      <c r="F24" t="s">
        <v>7</v>
      </c>
      <c r="G24" s="10"/>
      <c r="H24" s="10"/>
      <c r="I24" s="10"/>
      <c r="J24" s="10"/>
      <c r="K24" s="10"/>
      <c r="L24" s="10"/>
      <c r="M24" s="10"/>
      <c r="N24" s="10"/>
      <c r="O24" s="10"/>
      <c r="P24" s="10"/>
      <c r="Q24" s="10"/>
      <c r="R24" s="10"/>
      <c r="S24" s="10"/>
      <c r="T24" s="10"/>
      <c r="U24" s="10"/>
      <c r="V24" s="10"/>
      <c r="W24" s="10"/>
      <c r="X24" s="10"/>
      <c r="Y24" s="10"/>
      <c r="Z24" s="10"/>
      <c r="AA24" s="10"/>
    </row>
    <row r="25" spans="1:27" x14ac:dyDescent="0.25">
      <c r="E25" t="s">
        <v>131</v>
      </c>
      <c r="F25" t="s">
        <v>7</v>
      </c>
      <c r="G25" s="10"/>
      <c r="H25" s="10"/>
      <c r="I25" s="10"/>
      <c r="J25" s="10"/>
      <c r="K25" s="10"/>
      <c r="L25" s="10"/>
      <c r="M25" s="10"/>
      <c r="N25" s="10"/>
      <c r="O25" s="10"/>
      <c r="P25" s="10"/>
      <c r="Q25" s="10"/>
      <c r="R25" s="10"/>
      <c r="S25" s="10"/>
      <c r="T25" s="10"/>
      <c r="U25" s="10"/>
      <c r="V25" s="10"/>
      <c r="W25" s="10"/>
      <c r="X25" s="10"/>
      <c r="Y25" s="10"/>
      <c r="Z25" s="10"/>
      <c r="AA25" s="10"/>
    </row>
    <row r="26" spans="1:27" x14ac:dyDescent="0.25">
      <c r="G26" s="2">
        <f>SUM(G21:G25)</f>
        <v>69562629.069783539</v>
      </c>
      <c r="H26" s="2">
        <f t="shared" ref="H26:AA26" si="0">SUM(H21:H25)</f>
        <v>16844690.446553312</v>
      </c>
      <c r="I26" s="2">
        <f t="shared" ca="1" si="0"/>
        <v>28341716.934704676</v>
      </c>
      <c r="J26" s="2">
        <f t="shared" ca="1" si="0"/>
        <v>29428235.82516519</v>
      </c>
      <c r="K26" s="2">
        <f t="shared" ca="1" si="0"/>
        <v>28523650.631986063</v>
      </c>
      <c r="L26" s="2">
        <f t="shared" ca="1" si="0"/>
        <v>27757298.869013589</v>
      </c>
      <c r="M26" s="2">
        <f t="shared" ca="1" si="0"/>
        <v>33173724.674259342</v>
      </c>
      <c r="N26" s="2">
        <f t="shared" ca="1" si="0"/>
        <v>27254633.045682486</v>
      </c>
      <c r="O26" s="2">
        <f t="shared" ca="1" si="0"/>
        <v>27723766.875344969</v>
      </c>
      <c r="P26" s="2">
        <f t="shared" ca="1" si="0"/>
        <v>27815790.945794858</v>
      </c>
      <c r="Q26" s="2">
        <f t="shared" ca="1" si="0"/>
        <v>28607622.415160112</v>
      </c>
      <c r="R26" s="2">
        <f t="shared" ca="1" si="0"/>
        <v>29245805.87295869</v>
      </c>
      <c r="S26" s="2">
        <f t="shared" ca="1" si="0"/>
        <v>29873903.505322564</v>
      </c>
      <c r="T26" s="2">
        <f t="shared" ca="1" si="0"/>
        <v>30426148.174185529</v>
      </c>
      <c r="U26" s="2">
        <f t="shared" ca="1" si="0"/>
        <v>31009280.188611764</v>
      </c>
      <c r="V26" s="2">
        <f t="shared" ca="1" si="0"/>
        <v>31710612.11390594</v>
      </c>
      <c r="W26" s="2">
        <f t="shared" ca="1" si="0"/>
        <v>32399441.562038191</v>
      </c>
      <c r="X26" s="2">
        <f t="shared" ca="1" si="0"/>
        <v>33069847.529322453</v>
      </c>
      <c r="Y26" s="2">
        <f t="shared" ca="1" si="0"/>
        <v>33748926.723666266</v>
      </c>
      <c r="Z26" s="2">
        <f t="shared" ca="1" si="0"/>
        <v>34455817.651180692</v>
      </c>
      <c r="AA26" s="2">
        <f t="shared" ca="1" si="0"/>
        <v>35189785.657632954</v>
      </c>
    </row>
    <row r="27" spans="1:27" x14ac:dyDescent="0.25">
      <c r="G27" s="2"/>
      <c r="H27" s="2"/>
      <c r="I27" s="2"/>
      <c r="J27" s="2"/>
      <c r="K27" s="2"/>
      <c r="L27" s="2"/>
      <c r="M27" s="2"/>
      <c r="N27" s="2"/>
      <c r="O27" s="2"/>
      <c r="P27" s="2"/>
      <c r="Q27" s="2"/>
    </row>
    <row r="28" spans="1:27" x14ac:dyDescent="0.25">
      <c r="D28" t="s">
        <v>132</v>
      </c>
      <c r="G28" s="2"/>
      <c r="H28" s="2"/>
      <c r="I28" s="2"/>
      <c r="J28" s="2"/>
      <c r="K28" s="2"/>
      <c r="L28" s="2"/>
      <c r="M28" s="2"/>
      <c r="N28" s="2"/>
      <c r="O28" s="2"/>
      <c r="P28" s="2"/>
      <c r="Q28" s="2"/>
    </row>
    <row r="29" spans="1:27" x14ac:dyDescent="0.25">
      <c r="E29" s="2" t="str">
        <f>E21</f>
        <v>Average asset life for all growth assets</v>
      </c>
      <c r="F29" t="s">
        <v>7</v>
      </c>
      <c r="G29" s="2">
        <f t="shared" ref="G29:AA32" si="1">G21/$G7+IF((G$2-$G7+1)&gt;0,-INDEX($G21:$AA21,1,(G$2-$G7+1))/$G7,0)</f>
        <v>772918.1007753727</v>
      </c>
      <c r="H29" s="2">
        <f t="shared" si="1"/>
        <v>187163.22718392569</v>
      </c>
      <c r="I29" s="2">
        <f t="shared" ca="1" si="1"/>
        <v>314907.96594116307</v>
      </c>
      <c r="J29" s="2">
        <f t="shared" ca="1" si="1"/>
        <v>326980.39805739099</v>
      </c>
      <c r="K29" s="2">
        <f t="shared" ca="1" si="1"/>
        <v>316929.45146651182</v>
      </c>
      <c r="L29" s="2">
        <f t="shared" ca="1" si="1"/>
        <v>308414.43187792879</v>
      </c>
      <c r="M29" s="2">
        <f t="shared" ca="1" si="1"/>
        <v>368596.94082510378</v>
      </c>
      <c r="N29" s="2">
        <f t="shared" ca="1" si="1"/>
        <v>302829.25606313872</v>
      </c>
      <c r="O29" s="2">
        <f t="shared" ca="1" si="1"/>
        <v>308041.85417049966</v>
      </c>
      <c r="P29" s="2">
        <f t="shared" ca="1" si="1"/>
        <v>309064.34384216508</v>
      </c>
      <c r="Q29" s="2">
        <f t="shared" ca="1" si="1"/>
        <v>317862.4712795568</v>
      </c>
      <c r="R29" s="2">
        <f t="shared" ca="1" si="1"/>
        <v>324953.3985884299</v>
      </c>
      <c r="S29" s="2">
        <f t="shared" ca="1" si="1"/>
        <v>331932.26117025071</v>
      </c>
      <c r="T29" s="2">
        <f t="shared" ca="1" si="1"/>
        <v>338068.31304650591</v>
      </c>
      <c r="U29" s="2">
        <f t="shared" ca="1" si="1"/>
        <v>344547.55765124183</v>
      </c>
      <c r="V29" s="2">
        <f t="shared" ca="1" si="1"/>
        <v>352340.13459895487</v>
      </c>
      <c r="W29" s="2">
        <f t="shared" ca="1" si="1"/>
        <v>359993.7951337577</v>
      </c>
      <c r="X29" s="2">
        <f t="shared" ca="1" si="1"/>
        <v>367442.75032580504</v>
      </c>
      <c r="Y29" s="2">
        <f t="shared" ca="1" si="1"/>
        <v>374988.07470740296</v>
      </c>
      <c r="Z29" s="2">
        <f t="shared" ca="1" si="1"/>
        <v>382842.41834645212</v>
      </c>
      <c r="AA29" s="2">
        <f t="shared" ca="1" si="1"/>
        <v>390997.61841814395</v>
      </c>
    </row>
    <row r="30" spans="1:27" x14ac:dyDescent="0.25">
      <c r="E30" s="2" t="str">
        <f t="shared" ref="E30:E32" si="2">E22</f>
        <v>Pumps</v>
      </c>
      <c r="F30" t="s">
        <v>7</v>
      </c>
      <c r="G30" s="2">
        <f t="shared" si="1"/>
        <v>0</v>
      </c>
      <c r="H30" s="2">
        <f t="shared" si="1"/>
        <v>0</v>
      </c>
      <c r="I30" s="2">
        <f t="shared" si="1"/>
        <v>0</v>
      </c>
      <c r="J30" s="2">
        <f t="shared" si="1"/>
        <v>0</v>
      </c>
      <c r="K30" s="2">
        <f t="shared" si="1"/>
        <v>0</v>
      </c>
      <c r="L30" s="2">
        <f t="shared" si="1"/>
        <v>0</v>
      </c>
      <c r="M30" s="2">
        <f t="shared" si="1"/>
        <v>0</v>
      </c>
      <c r="N30" s="2">
        <f t="shared" si="1"/>
        <v>0</v>
      </c>
      <c r="O30" s="2">
        <f t="shared" si="1"/>
        <v>0</v>
      </c>
      <c r="P30" s="2">
        <f t="shared" si="1"/>
        <v>0</v>
      </c>
      <c r="Q30" s="2">
        <f t="shared" si="1"/>
        <v>0</v>
      </c>
      <c r="R30" s="2">
        <f t="shared" si="1"/>
        <v>0</v>
      </c>
      <c r="S30" s="2">
        <f t="shared" si="1"/>
        <v>0</v>
      </c>
      <c r="T30" s="2">
        <f t="shared" si="1"/>
        <v>0</v>
      </c>
      <c r="U30" s="2">
        <f t="shared" si="1"/>
        <v>0</v>
      </c>
      <c r="V30" s="2">
        <f t="shared" si="1"/>
        <v>0</v>
      </c>
      <c r="W30" s="2">
        <f t="shared" si="1"/>
        <v>0</v>
      </c>
      <c r="X30" s="2">
        <f t="shared" si="1"/>
        <v>0</v>
      </c>
      <c r="Y30" s="2">
        <f t="shared" si="1"/>
        <v>0</v>
      </c>
      <c r="Z30" s="2">
        <f t="shared" si="1"/>
        <v>0</v>
      </c>
      <c r="AA30" s="2">
        <f t="shared" si="1"/>
        <v>0</v>
      </c>
    </row>
    <row r="31" spans="1:27" x14ac:dyDescent="0.25">
      <c r="E31" s="2" t="str">
        <f t="shared" si="2"/>
        <v>Valves and Meters</v>
      </c>
      <c r="F31" t="s">
        <v>7</v>
      </c>
      <c r="G31" s="2">
        <f t="shared" si="1"/>
        <v>0</v>
      </c>
      <c r="H31" s="2">
        <f t="shared" si="1"/>
        <v>0</v>
      </c>
      <c r="I31" s="2">
        <f t="shared" si="1"/>
        <v>0</v>
      </c>
      <c r="J31" s="2">
        <f t="shared" si="1"/>
        <v>0</v>
      </c>
      <c r="K31" s="2">
        <f t="shared" si="1"/>
        <v>0</v>
      </c>
      <c r="L31" s="2">
        <f t="shared" si="1"/>
        <v>0</v>
      </c>
      <c r="M31" s="2">
        <f t="shared" si="1"/>
        <v>0</v>
      </c>
      <c r="N31" s="2">
        <f t="shared" si="1"/>
        <v>0</v>
      </c>
      <c r="O31" s="2">
        <f t="shared" si="1"/>
        <v>0</v>
      </c>
      <c r="P31" s="2">
        <f t="shared" si="1"/>
        <v>0</v>
      </c>
      <c r="Q31" s="2">
        <f t="shared" si="1"/>
        <v>0</v>
      </c>
      <c r="R31" s="2">
        <f t="shared" si="1"/>
        <v>0</v>
      </c>
      <c r="S31" s="2">
        <f t="shared" si="1"/>
        <v>0</v>
      </c>
      <c r="T31" s="2">
        <f t="shared" si="1"/>
        <v>0</v>
      </c>
      <c r="U31" s="2">
        <f t="shared" si="1"/>
        <v>0</v>
      </c>
      <c r="V31" s="2">
        <f t="shared" si="1"/>
        <v>0</v>
      </c>
      <c r="W31" s="2">
        <f t="shared" si="1"/>
        <v>0</v>
      </c>
      <c r="X31" s="2">
        <f t="shared" si="1"/>
        <v>0</v>
      </c>
      <c r="Y31" s="2">
        <f t="shared" si="1"/>
        <v>0</v>
      </c>
      <c r="Z31" s="2">
        <f t="shared" si="1"/>
        <v>0</v>
      </c>
      <c r="AA31" s="2">
        <f t="shared" si="1"/>
        <v>0</v>
      </c>
    </row>
    <row r="32" spans="1:27" x14ac:dyDescent="0.25">
      <c r="E32" s="2" t="str">
        <f t="shared" si="2"/>
        <v>Temporary Assets</v>
      </c>
      <c r="F32" t="s">
        <v>7</v>
      </c>
      <c r="G32" s="2">
        <f t="shared" si="1"/>
        <v>0</v>
      </c>
      <c r="H32" s="2">
        <f t="shared" si="1"/>
        <v>0</v>
      </c>
      <c r="I32" s="2">
        <f t="shared" si="1"/>
        <v>0</v>
      </c>
      <c r="J32" s="2">
        <f t="shared" si="1"/>
        <v>0</v>
      </c>
      <c r="K32" s="2">
        <f t="shared" si="1"/>
        <v>0</v>
      </c>
      <c r="L32" s="2">
        <f t="shared" si="1"/>
        <v>0</v>
      </c>
      <c r="M32" s="2">
        <f t="shared" si="1"/>
        <v>0</v>
      </c>
      <c r="N32" s="2">
        <f t="shared" si="1"/>
        <v>0</v>
      </c>
      <c r="O32" s="2">
        <f t="shared" si="1"/>
        <v>0</v>
      </c>
      <c r="P32" s="2">
        <f t="shared" si="1"/>
        <v>0</v>
      </c>
      <c r="Q32" s="2">
        <f t="shared" si="1"/>
        <v>0</v>
      </c>
      <c r="R32" s="2">
        <f t="shared" si="1"/>
        <v>0</v>
      </c>
      <c r="S32" s="2">
        <f t="shared" si="1"/>
        <v>0</v>
      </c>
      <c r="T32" s="2">
        <f t="shared" si="1"/>
        <v>0</v>
      </c>
      <c r="U32" s="2">
        <f t="shared" si="1"/>
        <v>0</v>
      </c>
      <c r="V32" s="2">
        <f t="shared" si="1"/>
        <v>0</v>
      </c>
      <c r="W32" s="2">
        <f t="shared" si="1"/>
        <v>0</v>
      </c>
      <c r="X32" s="2">
        <f t="shared" si="1"/>
        <v>0</v>
      </c>
      <c r="Y32" s="2">
        <f t="shared" si="1"/>
        <v>0</v>
      </c>
      <c r="Z32" s="2">
        <f t="shared" si="1"/>
        <v>0</v>
      </c>
      <c r="AA32" s="2">
        <f t="shared" si="1"/>
        <v>0</v>
      </c>
    </row>
    <row r="33" spans="1:27" x14ac:dyDescent="0.25">
      <c r="G33" s="2"/>
      <c r="H33" s="2"/>
      <c r="I33" s="2"/>
      <c r="J33" s="2"/>
      <c r="K33" s="2"/>
      <c r="L33" s="2"/>
      <c r="M33" s="2"/>
      <c r="N33" s="2"/>
      <c r="O33" s="2"/>
      <c r="P33" s="2"/>
      <c r="Q33" s="2"/>
    </row>
    <row r="34" spans="1:27" x14ac:dyDescent="0.25">
      <c r="D34" t="s">
        <v>133</v>
      </c>
      <c r="F34" t="s">
        <v>7</v>
      </c>
      <c r="G34" s="2">
        <f>SUM($G$29:G32)</f>
        <v>772918.1007753727</v>
      </c>
      <c r="H34" s="2">
        <f>SUM($G$29:H32)</f>
        <v>960081.32795929839</v>
      </c>
      <c r="I34" s="2">
        <f ca="1">SUM($G$29:I32)</f>
        <v>1274989.2939004614</v>
      </c>
      <c r="J34" s="2">
        <f ca="1">SUM($G$29:J32)</f>
        <v>1601969.6919578523</v>
      </c>
      <c r="K34" s="2">
        <f ca="1">SUM($G$29:K32)</f>
        <v>1918899.1434243643</v>
      </c>
      <c r="L34" s="2">
        <f ca="1">SUM($G$29:L32)</f>
        <v>2227313.5753022931</v>
      </c>
      <c r="M34" s="2">
        <f ca="1">SUM($G$29:M32)</f>
        <v>2595910.5161273968</v>
      </c>
      <c r="N34" s="2">
        <f ca="1">SUM($G$29:N32)</f>
        <v>2898739.7721905354</v>
      </c>
      <c r="O34" s="2">
        <f ca="1">SUM($G$29:O32)</f>
        <v>3206781.6263610353</v>
      </c>
      <c r="P34" s="2">
        <f ca="1">SUM($G$29:P32)</f>
        <v>3515845.9702032004</v>
      </c>
      <c r="Q34" s="2">
        <f ca="1">SUM($G$29:Q32)</f>
        <v>3833708.4414827572</v>
      </c>
      <c r="R34" s="2">
        <f ca="1">SUM($G$29:R32)</f>
        <v>4158661.8400711874</v>
      </c>
      <c r="S34" s="2">
        <f ca="1">SUM($G$29:S32)</f>
        <v>4490594.1012414377</v>
      </c>
      <c r="T34" s="2">
        <f ca="1">SUM($G$29:T32)</f>
        <v>4828662.4142879434</v>
      </c>
      <c r="U34" s="2">
        <f ca="1">SUM($G$29:U32)</f>
        <v>5173209.9719391856</v>
      </c>
      <c r="V34" s="2">
        <f ca="1">SUM($G$29:V32)</f>
        <v>5525550.1065381402</v>
      </c>
      <c r="W34" s="2">
        <f ca="1">SUM($G$29:W32)</f>
        <v>5885543.9016718976</v>
      </c>
      <c r="X34" s="2">
        <f ca="1">SUM($G$29:X32)</f>
        <v>6252986.6519977022</v>
      </c>
      <c r="Y34" s="2">
        <f ca="1">SUM($G$29:Y32)</f>
        <v>6627974.726705105</v>
      </c>
      <c r="Z34" s="2">
        <f ca="1">SUM($G$29:Z32)</f>
        <v>7010817.1450515576</v>
      </c>
      <c r="AA34" s="2">
        <f ca="1">SUM($G$29:AA32)</f>
        <v>7401814.7634697016</v>
      </c>
    </row>
    <row r="35" spans="1:27" x14ac:dyDescent="0.25">
      <c r="G35" s="2"/>
      <c r="H35" s="2"/>
      <c r="I35" s="2"/>
      <c r="J35" s="2"/>
      <c r="K35" s="2"/>
      <c r="L35" s="2"/>
      <c r="M35" s="2"/>
      <c r="N35" s="2"/>
      <c r="O35" s="2"/>
      <c r="P35" s="2"/>
      <c r="Q35" s="2"/>
      <c r="R35" s="2"/>
      <c r="S35" s="2"/>
      <c r="T35" s="2"/>
      <c r="U35" s="2"/>
      <c r="V35" s="2"/>
      <c r="W35" s="2"/>
      <c r="X35" s="2"/>
      <c r="Y35" s="2"/>
      <c r="Z35" s="2"/>
      <c r="AA35" s="2"/>
    </row>
    <row r="36" spans="1:27" x14ac:dyDescent="0.25">
      <c r="A36" s="14">
        <f>'Notes &amp; Assumptions'!A24</f>
        <v>11</v>
      </c>
      <c r="C36" s="1" t="s">
        <v>107</v>
      </c>
      <c r="D36" s="1"/>
    </row>
    <row r="37" spans="1:27" x14ac:dyDescent="0.25">
      <c r="E37" s="2" t="str">
        <f>E7</f>
        <v>Average asset life for all growth assets</v>
      </c>
      <c r="F37" t="s">
        <v>7</v>
      </c>
      <c r="G37" s="10"/>
      <c r="H37" s="10">
        <f>'Key assumptions'!$B31*(1+$G$14)^H2*(H90+H111+H132+H153)+'20 Epping North Water'!H37+'20 Greenvale Water'!H37</f>
        <v>45190480.999999993</v>
      </c>
      <c r="I37" s="10">
        <f>'Key assumptions'!$B31*(1+$G$14)^I2*(I90+I111+I132+I153)+'20 Epping North Water'!I37+'20 Greenvale Water'!I37</f>
        <v>44191158.871999979</v>
      </c>
      <c r="J37" s="10">
        <f>'Key assumptions'!$B31*(1+$G$14)^J2*(J90+J111+J132+J153)+'20 Epping North Water'!J37+'20 Greenvale Water'!J37</f>
        <v>43954314.765260532</v>
      </c>
      <c r="K37" s="10">
        <f>'Key assumptions'!$B31*(1+$G$14)^K2*(K90+K111+K132+K153)+'20 Epping North Water'!K37+'20 Greenvale Water'!K37</f>
        <v>41404478.74763149</v>
      </c>
      <c r="L37" s="10">
        <f>'Key assumptions'!$B31*(1+$G$14)^L2*(L90+L111+L132+L153)+'20 Epping North Water'!L37+'20 Greenvale Water'!L37</f>
        <v>38841557.030989744</v>
      </c>
      <c r="M37" s="10">
        <f>'Key assumptions'!$B31*(1+$G$14)^M2*(M90+M111+M132+M153)+'20 Epping North Water'!M37+'20 Greenvale Water'!M37</f>
        <v>36325598.989612833</v>
      </c>
      <c r="N37" s="10">
        <f>'Key assumptions'!$B31*(1+$G$14)^N2*(N90+N111+N132+N153)+'20 Epping North Water'!N37+'20 Greenvale Water'!N37</f>
        <v>33869004.828289449</v>
      </c>
      <c r="O37" s="10">
        <f>'Key assumptions'!$B31*(1+$G$14)^O2*(O90+O111+O132+O153)+'20 Epping North Water'!O37+'20 Greenvale Water'!O37</f>
        <v>31469696.707901951</v>
      </c>
      <c r="P37" s="10">
        <f>'Key assumptions'!$B31*(1+$G$14)^P2*(P90+P111+P132+P153)+'20 Epping North Water'!P37+'20 Greenvale Water'!P37</f>
        <v>32133936.239829212</v>
      </c>
      <c r="Q37" s="10">
        <f>'Key assumptions'!$B31*(1+$G$14)^Q2*(Q90+Q111+Q132+Q153)+'20 Epping North Water'!Q37+'20 Greenvale Water'!Q37</f>
        <v>32745844.892414737</v>
      </c>
      <c r="R37" s="10">
        <f>'Key assumptions'!$B31*(1+$G$14)^R2*(R90+R111+R132+R153)+'20 Epping North Water'!R37+'20 Greenvale Water'!R37</f>
        <v>35396328.985208258</v>
      </c>
      <c r="S37" s="10">
        <f>'Key assumptions'!$B31*(1+$G$14)^S2*(S90+S111+S132+S153)+'20 Epping North Water'!S37+'20 Greenvale Water'!S37</f>
        <v>38316609.487009183</v>
      </c>
      <c r="T37" s="10">
        <f>'Key assumptions'!$B31*(1+$G$14)^T2*(T90+T111+T132+T153)+'20 Epping North Water'!T37+'20 Greenvale Water'!T37</f>
        <v>41410882.754343763</v>
      </c>
      <c r="U37" s="10">
        <f>'Key assumptions'!$B31*(1+$G$14)^U2*(U90+U111+U132+U153)+'20 Epping North Water'!U37+'20 Greenvale Water'!U37</f>
        <v>41989761.084417455</v>
      </c>
      <c r="V37" s="10">
        <f>'Key assumptions'!$B31*(1+$G$14)^V2*(V90+V111+V132+V153)+'20 Epping North Water'!V37+'20 Greenvale Water'!V37</f>
        <v>42589509.00171987</v>
      </c>
      <c r="W37" s="10">
        <f>'Key assumptions'!$B31*(1+$G$14)^W2*(W90+W111+W132+W153)+'20 Epping North Water'!W37+'20 Greenvale Water'!W37</f>
        <v>0</v>
      </c>
      <c r="X37" s="10">
        <f>'Key assumptions'!$B31*(1+$G$14)^X2*(X90+X111+X132+X153)+'20 Epping North Water'!X37+'20 Greenvale Water'!X37</f>
        <v>0</v>
      </c>
      <c r="Y37" s="10">
        <f>'Key assumptions'!$B31*(1+$G$14)^Y2*(Y90+Y111+Y132+Y153)+'20 Epping North Water'!Y37+'20 Greenvale Water'!Y37</f>
        <v>0</v>
      </c>
      <c r="Z37" s="10">
        <f>'Key assumptions'!$B31*(1+$G$14)^Z2*(Z90+Z111+Z132+Z153)+'20 Epping North Water'!Z37+'20 Greenvale Water'!Z37</f>
        <v>0</v>
      </c>
      <c r="AA37" s="10">
        <f>'Key assumptions'!$B31*(1+$G$14)^AA2*(AA90+AA111+AA132+AA153)+'20 Epping North Water'!AA37+'20 Greenvale Water'!AA37</f>
        <v>0</v>
      </c>
    </row>
    <row r="38" spans="1:27" x14ac:dyDescent="0.25">
      <c r="E38" s="2" t="str">
        <f>E8</f>
        <v>Pumps</v>
      </c>
      <c r="F38" t="s">
        <v>7</v>
      </c>
      <c r="G38" s="10"/>
      <c r="H38" s="10"/>
      <c r="I38" s="10"/>
      <c r="J38" s="10"/>
      <c r="K38" s="10"/>
      <c r="L38" s="10"/>
      <c r="M38" s="10"/>
      <c r="N38" s="10"/>
      <c r="O38" s="10"/>
      <c r="P38" s="10"/>
      <c r="Q38" s="10"/>
      <c r="R38" s="10"/>
      <c r="S38" s="10"/>
      <c r="T38" s="10"/>
      <c r="U38" s="10"/>
      <c r="V38" s="10"/>
      <c r="W38" s="10"/>
      <c r="X38" s="10"/>
      <c r="Y38" s="10"/>
      <c r="Z38" s="10"/>
      <c r="AA38" s="10"/>
    </row>
    <row r="39" spans="1:27" x14ac:dyDescent="0.25">
      <c r="E39" s="2" t="str">
        <f>E9</f>
        <v>Valves and Meters</v>
      </c>
      <c r="F39" t="s">
        <v>7</v>
      </c>
      <c r="G39" s="10"/>
      <c r="H39" s="10"/>
      <c r="I39" s="10"/>
      <c r="J39" s="10"/>
      <c r="K39" s="10"/>
      <c r="L39" s="10"/>
      <c r="M39" s="10"/>
      <c r="N39" s="10"/>
      <c r="O39" s="10"/>
      <c r="P39" s="10"/>
      <c r="Q39" s="10"/>
      <c r="R39" s="10"/>
      <c r="S39" s="10"/>
      <c r="T39" s="10"/>
      <c r="U39" s="10"/>
      <c r="V39" s="10"/>
      <c r="W39" s="10"/>
      <c r="X39" s="10"/>
      <c r="Y39" s="10"/>
      <c r="Z39" s="10"/>
      <c r="AA39" s="10"/>
    </row>
    <row r="40" spans="1:27" x14ac:dyDescent="0.25">
      <c r="E40" s="2" t="str">
        <f>E10</f>
        <v>Temporary Assets</v>
      </c>
      <c r="F40" t="s">
        <v>7</v>
      </c>
      <c r="G40" s="10"/>
      <c r="H40" s="10"/>
      <c r="I40" s="10"/>
      <c r="J40" s="10"/>
      <c r="K40" s="10"/>
      <c r="L40" s="10"/>
      <c r="M40" s="10"/>
      <c r="N40" s="10"/>
      <c r="O40" s="10"/>
      <c r="P40" s="10"/>
      <c r="Q40" s="10"/>
      <c r="R40" s="10"/>
      <c r="S40" s="10"/>
      <c r="T40" s="10"/>
      <c r="U40" s="10"/>
      <c r="V40" s="10"/>
      <c r="W40" s="10"/>
      <c r="X40" s="10"/>
      <c r="Y40" s="10"/>
      <c r="Z40" s="10"/>
      <c r="AA40" s="10"/>
    </row>
    <row r="41" spans="1:27" x14ac:dyDescent="0.25">
      <c r="E41" t="s">
        <v>131</v>
      </c>
      <c r="F41" t="s">
        <v>7</v>
      </c>
      <c r="G41" s="10"/>
      <c r="H41" s="10"/>
      <c r="I41" s="10"/>
      <c r="J41" s="10"/>
      <c r="K41" s="10"/>
      <c r="L41" s="10"/>
      <c r="M41" s="10"/>
      <c r="N41" s="10"/>
      <c r="O41" s="10"/>
      <c r="P41" s="10"/>
      <c r="Q41" s="10"/>
      <c r="R41" s="10"/>
      <c r="S41" s="10"/>
      <c r="T41" s="10"/>
      <c r="U41" s="10"/>
      <c r="V41" s="10"/>
      <c r="W41" s="10"/>
      <c r="X41" s="10"/>
      <c r="Y41" s="10"/>
      <c r="Z41" s="10"/>
      <c r="AA41" s="10"/>
    </row>
    <row r="42" spans="1:27" x14ac:dyDescent="0.25">
      <c r="G42" s="2">
        <f>SUM(G37:G41)</f>
        <v>0</v>
      </c>
      <c r="H42" s="2">
        <f t="shared" ref="H42:AA42" si="3">SUM(H37:H41)</f>
        <v>45190480.999999993</v>
      </c>
      <c r="I42" s="2">
        <f t="shared" si="3"/>
        <v>44191158.871999979</v>
      </c>
      <c r="J42" s="2">
        <f t="shared" si="3"/>
        <v>43954314.765260532</v>
      </c>
      <c r="K42" s="2">
        <f t="shared" si="3"/>
        <v>41404478.74763149</v>
      </c>
      <c r="L42" s="2">
        <f t="shared" si="3"/>
        <v>38841557.030989744</v>
      </c>
      <c r="M42" s="2">
        <f t="shared" si="3"/>
        <v>36325598.989612833</v>
      </c>
      <c r="N42" s="2">
        <f t="shared" si="3"/>
        <v>33869004.828289449</v>
      </c>
      <c r="O42" s="2">
        <f t="shared" si="3"/>
        <v>31469696.707901951</v>
      </c>
      <c r="P42" s="2">
        <f t="shared" si="3"/>
        <v>32133936.239829212</v>
      </c>
      <c r="Q42" s="2">
        <f t="shared" si="3"/>
        <v>32745844.892414737</v>
      </c>
      <c r="R42" s="2">
        <f t="shared" si="3"/>
        <v>35396328.985208258</v>
      </c>
      <c r="S42" s="2">
        <f t="shared" si="3"/>
        <v>38316609.487009183</v>
      </c>
      <c r="T42" s="2">
        <f t="shared" si="3"/>
        <v>41410882.754343763</v>
      </c>
      <c r="U42" s="2">
        <f t="shared" si="3"/>
        <v>41989761.084417455</v>
      </c>
      <c r="V42" s="2">
        <f t="shared" si="3"/>
        <v>42589509.00171987</v>
      </c>
      <c r="W42" s="2">
        <f t="shared" si="3"/>
        <v>0</v>
      </c>
      <c r="X42" s="2">
        <f t="shared" si="3"/>
        <v>0</v>
      </c>
      <c r="Y42" s="2">
        <f t="shared" si="3"/>
        <v>0</v>
      </c>
      <c r="Z42" s="2">
        <f t="shared" si="3"/>
        <v>0</v>
      </c>
      <c r="AA42" s="2">
        <f t="shared" si="3"/>
        <v>0</v>
      </c>
    </row>
    <row r="43" spans="1:27" x14ac:dyDescent="0.25">
      <c r="G43" s="2"/>
      <c r="H43" s="2"/>
      <c r="I43" s="2"/>
      <c r="J43" s="2"/>
      <c r="K43" s="2"/>
      <c r="L43" s="2"/>
      <c r="M43" s="2"/>
      <c r="N43" s="2"/>
      <c r="O43" s="2"/>
      <c r="P43" s="2"/>
      <c r="Q43" s="2"/>
    </row>
    <row r="44" spans="1:27" x14ac:dyDescent="0.25">
      <c r="D44" t="s">
        <v>134</v>
      </c>
      <c r="G44" s="2"/>
      <c r="H44" s="2"/>
      <c r="I44" s="2"/>
      <c r="J44" s="2"/>
      <c r="K44" s="2"/>
      <c r="L44" s="2"/>
      <c r="M44" s="2"/>
      <c r="N44" s="2"/>
      <c r="O44" s="2"/>
      <c r="P44" s="2"/>
      <c r="Q44" s="2"/>
    </row>
    <row r="45" spans="1:27" x14ac:dyDescent="0.25">
      <c r="E45" s="2" t="str">
        <f>E37</f>
        <v>Average asset life for all growth assets</v>
      </c>
      <c r="F45" t="s">
        <v>7</v>
      </c>
      <c r="G45" s="2">
        <f t="shared" ref="G45:AA48" si="4">G37/$G7+IF((G$2-$G7+1)&gt;0,-INDEX($G37:$AA37,1,(G$2-$G7+1))/$G7,0)</f>
        <v>0</v>
      </c>
      <c r="H45" s="2">
        <f t="shared" si="4"/>
        <v>502116.45555555547</v>
      </c>
      <c r="I45" s="2">
        <f t="shared" si="4"/>
        <v>491012.87635555532</v>
      </c>
      <c r="J45" s="2">
        <f t="shared" si="4"/>
        <v>488381.2751695615</v>
      </c>
      <c r="K45" s="2">
        <f t="shared" si="4"/>
        <v>460049.76386257209</v>
      </c>
      <c r="L45" s="2">
        <f t="shared" si="4"/>
        <v>431572.85589988605</v>
      </c>
      <c r="M45" s="2">
        <f t="shared" si="4"/>
        <v>403617.76655125368</v>
      </c>
      <c r="N45" s="2">
        <f t="shared" si="4"/>
        <v>376322.27586988278</v>
      </c>
      <c r="O45" s="2">
        <f t="shared" si="4"/>
        <v>349663.29675446614</v>
      </c>
      <c r="P45" s="2">
        <f t="shared" si="4"/>
        <v>357043.73599810235</v>
      </c>
      <c r="Q45" s="2">
        <f t="shared" si="4"/>
        <v>363842.72102683043</v>
      </c>
      <c r="R45" s="2">
        <f t="shared" si="4"/>
        <v>393292.54428009177</v>
      </c>
      <c r="S45" s="2">
        <f t="shared" si="4"/>
        <v>425740.10541121312</v>
      </c>
      <c r="T45" s="2">
        <f t="shared" si="4"/>
        <v>460120.91949270846</v>
      </c>
      <c r="U45" s="2">
        <f t="shared" si="4"/>
        <v>466552.90093797172</v>
      </c>
      <c r="V45" s="2">
        <f t="shared" si="4"/>
        <v>473216.76668577635</v>
      </c>
      <c r="W45" s="2">
        <f t="shared" si="4"/>
        <v>0</v>
      </c>
      <c r="X45" s="2">
        <f t="shared" si="4"/>
        <v>0</v>
      </c>
      <c r="Y45" s="2">
        <f t="shared" si="4"/>
        <v>0</v>
      </c>
      <c r="Z45" s="2">
        <f t="shared" si="4"/>
        <v>0</v>
      </c>
      <c r="AA45" s="2">
        <f t="shared" si="4"/>
        <v>0</v>
      </c>
    </row>
    <row r="46" spans="1:27" x14ac:dyDescent="0.25">
      <c r="E46" s="2" t="str">
        <f t="shared" ref="E46:E48" si="5">E38</f>
        <v>Pumps</v>
      </c>
      <c r="F46" t="s">
        <v>7</v>
      </c>
      <c r="G46" s="2">
        <f t="shared" si="4"/>
        <v>0</v>
      </c>
      <c r="H46" s="2">
        <f t="shared" si="4"/>
        <v>0</v>
      </c>
      <c r="I46" s="2">
        <f t="shared" si="4"/>
        <v>0</v>
      </c>
      <c r="J46" s="2">
        <f t="shared" si="4"/>
        <v>0</v>
      </c>
      <c r="K46" s="2">
        <f t="shared" si="4"/>
        <v>0</v>
      </c>
      <c r="L46" s="2">
        <f t="shared" si="4"/>
        <v>0</v>
      </c>
      <c r="M46" s="2">
        <f t="shared" si="4"/>
        <v>0</v>
      </c>
      <c r="N46" s="2">
        <f t="shared" si="4"/>
        <v>0</v>
      </c>
      <c r="O46" s="2">
        <f t="shared" si="4"/>
        <v>0</v>
      </c>
      <c r="P46" s="2">
        <f t="shared" si="4"/>
        <v>0</v>
      </c>
      <c r="Q46" s="2">
        <f t="shared" si="4"/>
        <v>0</v>
      </c>
      <c r="R46" s="2">
        <f t="shared" si="4"/>
        <v>0</v>
      </c>
      <c r="S46" s="2">
        <f t="shared" si="4"/>
        <v>0</v>
      </c>
      <c r="T46" s="2">
        <f t="shared" si="4"/>
        <v>0</v>
      </c>
      <c r="U46" s="2">
        <f t="shared" si="4"/>
        <v>0</v>
      </c>
      <c r="V46" s="2">
        <f t="shared" si="4"/>
        <v>0</v>
      </c>
      <c r="W46" s="2">
        <f t="shared" si="4"/>
        <v>0</v>
      </c>
      <c r="X46" s="2">
        <f t="shared" si="4"/>
        <v>0</v>
      </c>
      <c r="Y46" s="2">
        <f t="shared" si="4"/>
        <v>0</v>
      </c>
      <c r="Z46" s="2">
        <f t="shared" si="4"/>
        <v>0</v>
      </c>
      <c r="AA46" s="2">
        <f t="shared" si="4"/>
        <v>0</v>
      </c>
    </row>
    <row r="47" spans="1:27" x14ac:dyDescent="0.25">
      <c r="E47" s="2" t="str">
        <f t="shared" si="5"/>
        <v>Valves and Meters</v>
      </c>
      <c r="F47" t="s">
        <v>7</v>
      </c>
      <c r="G47" s="2">
        <f t="shared" si="4"/>
        <v>0</v>
      </c>
      <c r="H47" s="2">
        <f t="shared" si="4"/>
        <v>0</v>
      </c>
      <c r="I47" s="2">
        <f t="shared" si="4"/>
        <v>0</v>
      </c>
      <c r="J47" s="2">
        <f t="shared" si="4"/>
        <v>0</v>
      </c>
      <c r="K47" s="2">
        <f t="shared" si="4"/>
        <v>0</v>
      </c>
      <c r="L47" s="2">
        <f t="shared" si="4"/>
        <v>0</v>
      </c>
      <c r="M47" s="2">
        <f t="shared" si="4"/>
        <v>0</v>
      </c>
      <c r="N47" s="2">
        <f t="shared" si="4"/>
        <v>0</v>
      </c>
      <c r="O47" s="2">
        <f t="shared" si="4"/>
        <v>0</v>
      </c>
      <c r="P47" s="2">
        <f t="shared" si="4"/>
        <v>0</v>
      </c>
      <c r="Q47" s="2">
        <f t="shared" si="4"/>
        <v>0</v>
      </c>
      <c r="R47" s="2">
        <f t="shared" si="4"/>
        <v>0</v>
      </c>
      <c r="S47" s="2">
        <f t="shared" si="4"/>
        <v>0</v>
      </c>
      <c r="T47" s="2">
        <f t="shared" si="4"/>
        <v>0</v>
      </c>
      <c r="U47" s="2">
        <f t="shared" si="4"/>
        <v>0</v>
      </c>
      <c r="V47" s="2">
        <f t="shared" si="4"/>
        <v>0</v>
      </c>
      <c r="W47" s="2">
        <f t="shared" si="4"/>
        <v>0</v>
      </c>
      <c r="X47" s="2">
        <f t="shared" si="4"/>
        <v>0</v>
      </c>
      <c r="Y47" s="2">
        <f t="shared" si="4"/>
        <v>0</v>
      </c>
      <c r="Z47" s="2">
        <f t="shared" si="4"/>
        <v>0</v>
      </c>
      <c r="AA47" s="2">
        <f t="shared" si="4"/>
        <v>0</v>
      </c>
    </row>
    <row r="48" spans="1:27" x14ac:dyDescent="0.25">
      <c r="E48" s="2" t="str">
        <f t="shared" si="5"/>
        <v>Temporary Assets</v>
      </c>
      <c r="F48" t="s">
        <v>7</v>
      </c>
      <c r="G48" s="2">
        <f t="shared" si="4"/>
        <v>0</v>
      </c>
      <c r="H48" s="2">
        <f t="shared" si="4"/>
        <v>0</v>
      </c>
      <c r="I48" s="2">
        <f t="shared" si="4"/>
        <v>0</v>
      </c>
      <c r="J48" s="2">
        <f t="shared" si="4"/>
        <v>0</v>
      </c>
      <c r="K48" s="2">
        <f t="shared" si="4"/>
        <v>0</v>
      </c>
      <c r="L48" s="2">
        <f t="shared" si="4"/>
        <v>0</v>
      </c>
      <c r="M48" s="2">
        <f t="shared" si="4"/>
        <v>0</v>
      </c>
      <c r="N48" s="2">
        <f t="shared" si="4"/>
        <v>0</v>
      </c>
      <c r="O48" s="2">
        <f t="shared" si="4"/>
        <v>0</v>
      </c>
      <c r="P48" s="2">
        <f t="shared" si="4"/>
        <v>0</v>
      </c>
      <c r="Q48" s="2">
        <f t="shared" si="4"/>
        <v>0</v>
      </c>
      <c r="R48" s="2">
        <f t="shared" si="4"/>
        <v>0</v>
      </c>
      <c r="S48" s="2">
        <f t="shared" si="4"/>
        <v>0</v>
      </c>
      <c r="T48" s="2">
        <f t="shared" si="4"/>
        <v>0</v>
      </c>
      <c r="U48" s="2">
        <f t="shared" si="4"/>
        <v>0</v>
      </c>
      <c r="V48" s="2">
        <f t="shared" si="4"/>
        <v>0</v>
      </c>
      <c r="W48" s="2">
        <f t="shared" si="4"/>
        <v>0</v>
      </c>
      <c r="X48" s="2">
        <f t="shared" si="4"/>
        <v>0</v>
      </c>
      <c r="Y48" s="2">
        <f t="shared" si="4"/>
        <v>0</v>
      </c>
      <c r="Z48" s="2">
        <f t="shared" si="4"/>
        <v>0</v>
      </c>
      <c r="AA48" s="2">
        <f t="shared" si="4"/>
        <v>0</v>
      </c>
    </row>
    <row r="49" spans="1:27" x14ac:dyDescent="0.25">
      <c r="G49" s="2"/>
      <c r="H49" s="2"/>
      <c r="I49" s="2"/>
      <c r="J49" s="2"/>
      <c r="K49" s="2"/>
      <c r="L49" s="2"/>
      <c r="M49" s="2"/>
      <c r="N49" s="2"/>
      <c r="O49" s="2"/>
      <c r="P49" s="2"/>
      <c r="Q49" s="2"/>
    </row>
    <row r="50" spans="1:27" x14ac:dyDescent="0.25">
      <c r="D50" t="s">
        <v>135</v>
      </c>
      <c r="F50" t="s">
        <v>7</v>
      </c>
      <c r="G50" s="2">
        <f>SUM($G$45:G48)</f>
        <v>0</v>
      </c>
      <c r="H50" s="2">
        <f>SUM($G$45:H48)</f>
        <v>502116.45555555547</v>
      </c>
      <c r="I50" s="2">
        <f>SUM($G$45:I48)</f>
        <v>993129.33191111078</v>
      </c>
      <c r="J50" s="2">
        <f>SUM($G$45:J48)</f>
        <v>1481510.6070806724</v>
      </c>
      <c r="K50" s="2">
        <f>SUM($G$45:K48)</f>
        <v>1941560.3709432445</v>
      </c>
      <c r="L50" s="2">
        <f>SUM($G$45:L48)</f>
        <v>2373133.2268431308</v>
      </c>
      <c r="M50" s="2">
        <f>SUM($G$45:M48)</f>
        <v>2776750.9933943846</v>
      </c>
      <c r="N50" s="2">
        <f>SUM($G$45:N48)</f>
        <v>3153073.2692642673</v>
      </c>
      <c r="O50" s="2">
        <f>SUM($G$45:O48)</f>
        <v>3502736.5660187332</v>
      </c>
      <c r="P50" s="2">
        <f>SUM($G$45:P48)</f>
        <v>3859780.3020168357</v>
      </c>
      <c r="Q50" s="2">
        <f>SUM($G$45:Q48)</f>
        <v>4223623.023043666</v>
      </c>
      <c r="R50" s="2">
        <f>SUM($G$45:R48)</f>
        <v>4616915.5673237573</v>
      </c>
      <c r="S50" s="2">
        <f>SUM($G$45:S48)</f>
        <v>5042655.6727349702</v>
      </c>
      <c r="T50" s="2">
        <f>SUM($G$45:T48)</f>
        <v>5502776.5922276787</v>
      </c>
      <c r="U50" s="2">
        <f>SUM($G$45:U48)</f>
        <v>5969329.4931656504</v>
      </c>
      <c r="V50" s="2">
        <f>SUM($G$45:V48)</f>
        <v>6442546.2598514268</v>
      </c>
      <c r="W50" s="2">
        <f>SUM($G$45:W48)</f>
        <v>6442546.2598514268</v>
      </c>
      <c r="X50" s="2">
        <f>SUM($G$45:X48)</f>
        <v>6442546.2598514268</v>
      </c>
      <c r="Y50" s="2">
        <f>SUM($G$45:Y48)</f>
        <v>6442546.2598514268</v>
      </c>
      <c r="Z50" s="2">
        <f>SUM($G$45:Z48)</f>
        <v>6442546.2598514268</v>
      </c>
      <c r="AA50" s="2">
        <f>SUM($G$45:AA48)</f>
        <v>6442546.2598514268</v>
      </c>
    </row>
    <row r="51" spans="1:27" x14ac:dyDescent="0.25">
      <c r="G51" s="2"/>
      <c r="H51" s="2"/>
      <c r="I51" s="2"/>
      <c r="J51" s="2"/>
      <c r="K51" s="2"/>
      <c r="L51" s="2"/>
      <c r="M51" s="2"/>
      <c r="N51" s="2"/>
      <c r="O51" s="2"/>
      <c r="P51" s="2"/>
      <c r="Q51" s="2"/>
      <c r="R51" s="2"/>
      <c r="S51" s="2"/>
      <c r="T51" s="2"/>
      <c r="U51" s="2"/>
      <c r="V51" s="2"/>
      <c r="W51" s="2"/>
      <c r="X51" s="2"/>
      <c r="Y51" s="2"/>
      <c r="Z51" s="2"/>
      <c r="AA51" s="2"/>
    </row>
    <row r="52" spans="1:27" x14ac:dyDescent="0.25">
      <c r="A52" s="14">
        <f>'Notes &amp; Assumptions'!A25</f>
        <v>12</v>
      </c>
      <c r="C52" s="1" t="s">
        <v>109</v>
      </c>
      <c r="G52" s="2"/>
      <c r="H52" s="2"/>
      <c r="I52" s="2"/>
      <c r="J52" s="2"/>
      <c r="K52" s="2"/>
      <c r="L52" s="2"/>
      <c r="M52" s="2"/>
      <c r="N52" s="2"/>
      <c r="O52" s="2"/>
      <c r="P52" s="2"/>
      <c r="Q52" s="2"/>
      <c r="R52" s="2"/>
      <c r="S52" s="2"/>
      <c r="T52" s="2"/>
      <c r="U52" s="2"/>
      <c r="V52" s="2"/>
      <c r="W52" s="2"/>
      <c r="X52" s="2"/>
      <c r="Y52" s="2"/>
      <c r="Z52" s="2"/>
      <c r="AA52" s="2"/>
    </row>
    <row r="53" spans="1:27" x14ac:dyDescent="0.25">
      <c r="E53" t="s">
        <v>109</v>
      </c>
      <c r="F53" t="s">
        <v>7</v>
      </c>
      <c r="G53" s="10"/>
      <c r="H53" s="10"/>
      <c r="I53" s="10"/>
      <c r="J53" s="10"/>
      <c r="K53" s="10"/>
      <c r="L53" s="10"/>
      <c r="M53" s="10"/>
      <c r="N53" s="10"/>
      <c r="O53" s="10"/>
      <c r="P53" s="10"/>
      <c r="Q53" s="10"/>
      <c r="R53" s="10"/>
      <c r="S53" s="10"/>
      <c r="T53" s="10"/>
      <c r="U53" s="10"/>
      <c r="V53" s="10"/>
      <c r="W53" s="10"/>
      <c r="X53" s="10"/>
      <c r="Y53" s="10"/>
      <c r="Z53" s="10"/>
      <c r="AA53" s="10"/>
    </row>
    <row r="55" spans="1:27" x14ac:dyDescent="0.25">
      <c r="C55" s="1" t="s">
        <v>25</v>
      </c>
      <c r="D55" s="1"/>
    </row>
    <row r="56" spans="1:27" x14ac:dyDescent="0.25">
      <c r="A56" s="14">
        <f>'Notes &amp; Assumptions'!A26</f>
        <v>13</v>
      </c>
      <c r="D56" t="s">
        <v>2</v>
      </c>
    </row>
    <row r="57" spans="1:27" x14ac:dyDescent="0.25">
      <c r="E57" s="2" t="str">
        <f>E7</f>
        <v>Average asset life for all growth assets</v>
      </c>
      <c r="F57" t="s">
        <v>7</v>
      </c>
      <c r="G57" s="10"/>
      <c r="H57" s="10"/>
      <c r="I57" s="10"/>
      <c r="J57" s="10"/>
      <c r="K57" s="10"/>
      <c r="L57" s="10"/>
      <c r="M57" s="10"/>
      <c r="N57" s="10"/>
      <c r="O57" s="10"/>
      <c r="P57" s="10"/>
      <c r="Q57" s="10"/>
      <c r="R57" s="10"/>
      <c r="S57" s="10"/>
      <c r="T57" s="10"/>
      <c r="U57" s="10"/>
      <c r="V57" s="10"/>
      <c r="W57" s="10"/>
      <c r="X57" s="10"/>
      <c r="Y57" s="10"/>
      <c r="Z57" s="10"/>
      <c r="AA57" s="10"/>
    </row>
    <row r="58" spans="1:27" x14ac:dyDescent="0.25">
      <c r="E58" s="2" t="str">
        <f>E8</f>
        <v>Pumps</v>
      </c>
      <c r="F58" t="s">
        <v>7</v>
      </c>
      <c r="G58" s="10"/>
      <c r="H58" s="10"/>
      <c r="I58" s="10"/>
      <c r="J58" s="10"/>
      <c r="K58" s="10"/>
      <c r="L58" s="10"/>
      <c r="M58" s="10"/>
      <c r="N58" s="10"/>
      <c r="O58" s="10"/>
      <c r="P58" s="10"/>
      <c r="Q58" s="10"/>
      <c r="R58" s="10"/>
      <c r="S58" s="10"/>
      <c r="T58" s="10"/>
      <c r="U58" s="10"/>
      <c r="V58" s="10"/>
      <c r="W58" s="10"/>
      <c r="X58" s="10"/>
      <c r="Y58" s="10"/>
      <c r="Z58" s="10"/>
      <c r="AA58" s="10"/>
    </row>
    <row r="59" spans="1:27" x14ac:dyDescent="0.25">
      <c r="E59" s="2" t="str">
        <f>E9</f>
        <v>Valves and Meters</v>
      </c>
      <c r="F59" t="s">
        <v>7</v>
      </c>
      <c r="G59" s="10"/>
      <c r="H59" s="10"/>
      <c r="I59" s="10"/>
      <c r="J59" s="10"/>
      <c r="K59" s="10"/>
      <c r="L59" s="10"/>
      <c r="M59" s="10"/>
      <c r="N59" s="10"/>
      <c r="O59" s="10"/>
      <c r="P59" s="10"/>
      <c r="Q59" s="10"/>
      <c r="R59" s="10"/>
      <c r="S59" s="10"/>
      <c r="T59" s="10"/>
      <c r="U59" s="10"/>
      <c r="V59" s="10"/>
      <c r="W59" s="10"/>
      <c r="X59" s="10"/>
      <c r="Y59" s="10"/>
      <c r="Z59" s="10"/>
      <c r="AA59" s="10"/>
    </row>
    <row r="60" spans="1:27" x14ac:dyDescent="0.25">
      <c r="E60" t="s">
        <v>131</v>
      </c>
      <c r="F60" t="s">
        <v>7</v>
      </c>
      <c r="G60" s="10"/>
      <c r="H60" s="10"/>
      <c r="I60" s="10"/>
      <c r="J60" s="10"/>
      <c r="K60" s="10"/>
      <c r="L60" s="10"/>
      <c r="M60" s="10"/>
      <c r="N60" s="10"/>
      <c r="O60" s="10"/>
      <c r="P60" s="10"/>
      <c r="Q60" s="10"/>
      <c r="R60" s="10"/>
      <c r="S60" s="10"/>
      <c r="T60" s="10"/>
      <c r="U60" s="10"/>
      <c r="V60" s="10"/>
      <c r="W60" s="10"/>
      <c r="X60" s="10"/>
      <c r="Y60" s="10"/>
      <c r="Z60" s="10"/>
      <c r="AA60" s="10"/>
    </row>
    <row r="61" spans="1:27" x14ac:dyDescent="0.25">
      <c r="G61" s="2">
        <f>SUM(G57:G60)</f>
        <v>0</v>
      </c>
      <c r="H61" s="2">
        <f t="shared" ref="H61:AA61" si="6">SUM(H57:H60)</f>
        <v>0</v>
      </c>
      <c r="I61" s="2">
        <f t="shared" si="6"/>
        <v>0</v>
      </c>
      <c r="J61" s="2">
        <f t="shared" si="6"/>
        <v>0</v>
      </c>
      <c r="K61" s="2">
        <f t="shared" si="6"/>
        <v>0</v>
      </c>
      <c r="L61" s="2">
        <f t="shared" si="6"/>
        <v>0</v>
      </c>
      <c r="M61" s="2">
        <f t="shared" si="6"/>
        <v>0</v>
      </c>
      <c r="N61" s="2">
        <f t="shared" si="6"/>
        <v>0</v>
      </c>
      <c r="O61" s="2">
        <f t="shared" si="6"/>
        <v>0</v>
      </c>
      <c r="P61" s="2">
        <f t="shared" si="6"/>
        <v>0</v>
      </c>
      <c r="Q61" s="2">
        <f t="shared" si="6"/>
        <v>0</v>
      </c>
      <c r="R61" s="2">
        <f t="shared" si="6"/>
        <v>0</v>
      </c>
      <c r="S61" s="2">
        <f t="shared" si="6"/>
        <v>0</v>
      </c>
      <c r="T61" s="2">
        <f t="shared" si="6"/>
        <v>0</v>
      </c>
      <c r="U61" s="2">
        <f t="shared" si="6"/>
        <v>0</v>
      </c>
      <c r="V61" s="2">
        <f t="shared" si="6"/>
        <v>0</v>
      </c>
      <c r="W61" s="2">
        <f t="shared" si="6"/>
        <v>0</v>
      </c>
      <c r="X61" s="2">
        <f t="shared" si="6"/>
        <v>0</v>
      </c>
      <c r="Y61" s="2">
        <f t="shared" si="6"/>
        <v>0</v>
      </c>
      <c r="Z61" s="2">
        <f t="shared" si="6"/>
        <v>0</v>
      </c>
      <c r="AA61" s="2">
        <f t="shared" si="6"/>
        <v>0</v>
      </c>
    </row>
    <row r="63" spans="1:27" x14ac:dyDescent="0.25">
      <c r="D63" t="s">
        <v>136</v>
      </c>
      <c r="G63" s="2"/>
      <c r="H63" s="2"/>
      <c r="I63" s="2"/>
      <c r="J63" s="2"/>
      <c r="K63" s="2"/>
      <c r="L63" s="2"/>
      <c r="M63" s="2"/>
      <c r="N63" s="2"/>
      <c r="O63" s="2"/>
      <c r="P63" s="2"/>
      <c r="Q63" s="2"/>
    </row>
    <row r="64" spans="1:27" x14ac:dyDescent="0.25">
      <c r="E64" s="2" t="str">
        <f>E57</f>
        <v>Average asset life for all growth assets</v>
      </c>
      <c r="F64" t="s">
        <v>7</v>
      </c>
      <c r="G64" s="2">
        <f t="shared" ref="G64:AA66" si="7">G57/$G7+IF((G$2-$G7+1)&gt;0,-INDEX($G57:$AA57,1,(G$2-$G7+1))/$G7,0)</f>
        <v>0</v>
      </c>
      <c r="H64" s="2">
        <f t="shared" si="7"/>
        <v>0</v>
      </c>
      <c r="I64" s="2">
        <f t="shared" si="7"/>
        <v>0</v>
      </c>
      <c r="J64" s="2">
        <f t="shared" si="7"/>
        <v>0</v>
      </c>
      <c r="K64" s="2">
        <f t="shared" si="7"/>
        <v>0</v>
      </c>
      <c r="L64" s="2">
        <f t="shared" si="7"/>
        <v>0</v>
      </c>
      <c r="M64" s="2">
        <f t="shared" si="7"/>
        <v>0</v>
      </c>
      <c r="N64" s="2">
        <f t="shared" si="7"/>
        <v>0</v>
      </c>
      <c r="O64" s="2">
        <f t="shared" si="7"/>
        <v>0</v>
      </c>
      <c r="P64" s="2">
        <f t="shared" si="7"/>
        <v>0</v>
      </c>
      <c r="Q64" s="2">
        <f t="shared" si="7"/>
        <v>0</v>
      </c>
      <c r="R64" s="2">
        <f t="shared" si="7"/>
        <v>0</v>
      </c>
      <c r="S64" s="2">
        <f t="shared" si="7"/>
        <v>0</v>
      </c>
      <c r="T64" s="2">
        <f t="shared" si="7"/>
        <v>0</v>
      </c>
      <c r="U64" s="2">
        <f t="shared" si="7"/>
        <v>0</v>
      </c>
      <c r="V64" s="2">
        <f t="shared" si="7"/>
        <v>0</v>
      </c>
      <c r="W64" s="2">
        <f t="shared" si="7"/>
        <v>0</v>
      </c>
      <c r="X64" s="2">
        <f t="shared" si="7"/>
        <v>0</v>
      </c>
      <c r="Y64" s="2">
        <f t="shared" si="7"/>
        <v>0</v>
      </c>
      <c r="Z64" s="2">
        <f t="shared" si="7"/>
        <v>0</v>
      </c>
      <c r="AA64" s="2">
        <f t="shared" si="7"/>
        <v>0</v>
      </c>
    </row>
    <row r="65" spans="1:27" x14ac:dyDescent="0.25">
      <c r="E65" s="2" t="str">
        <f t="shared" ref="E65:E66" si="8">E58</f>
        <v>Pumps</v>
      </c>
      <c r="F65" t="s">
        <v>7</v>
      </c>
      <c r="G65" s="2">
        <f t="shared" si="7"/>
        <v>0</v>
      </c>
      <c r="H65" s="2">
        <f t="shared" si="7"/>
        <v>0</v>
      </c>
      <c r="I65" s="2">
        <f t="shared" si="7"/>
        <v>0</v>
      </c>
      <c r="J65" s="2">
        <f t="shared" si="7"/>
        <v>0</v>
      </c>
      <c r="K65" s="2">
        <f t="shared" si="7"/>
        <v>0</v>
      </c>
      <c r="L65" s="2">
        <f t="shared" si="7"/>
        <v>0</v>
      </c>
      <c r="M65" s="2">
        <f t="shared" si="7"/>
        <v>0</v>
      </c>
      <c r="N65" s="2">
        <f t="shared" si="7"/>
        <v>0</v>
      </c>
      <c r="O65" s="2">
        <f t="shared" si="7"/>
        <v>0</v>
      </c>
      <c r="P65" s="2">
        <f t="shared" si="7"/>
        <v>0</v>
      </c>
      <c r="Q65" s="2">
        <f t="shared" si="7"/>
        <v>0</v>
      </c>
      <c r="R65" s="2">
        <f t="shared" si="7"/>
        <v>0</v>
      </c>
      <c r="S65" s="2">
        <f t="shared" si="7"/>
        <v>0</v>
      </c>
      <c r="T65" s="2">
        <f t="shared" si="7"/>
        <v>0</v>
      </c>
      <c r="U65" s="2">
        <f t="shared" si="7"/>
        <v>0</v>
      </c>
      <c r="V65" s="2">
        <f t="shared" si="7"/>
        <v>0</v>
      </c>
      <c r="W65" s="2">
        <f t="shared" si="7"/>
        <v>0</v>
      </c>
      <c r="X65" s="2">
        <f t="shared" si="7"/>
        <v>0</v>
      </c>
      <c r="Y65" s="2">
        <f t="shared" si="7"/>
        <v>0</v>
      </c>
      <c r="Z65" s="2">
        <f t="shared" si="7"/>
        <v>0</v>
      </c>
      <c r="AA65" s="2">
        <f t="shared" si="7"/>
        <v>0</v>
      </c>
    </row>
    <row r="66" spans="1:27" x14ac:dyDescent="0.25">
      <c r="E66" s="2" t="str">
        <f t="shared" si="8"/>
        <v>Valves and Meters</v>
      </c>
      <c r="F66" t="s">
        <v>7</v>
      </c>
      <c r="G66" s="2">
        <f t="shared" si="7"/>
        <v>0</v>
      </c>
      <c r="H66" s="2">
        <f t="shared" si="7"/>
        <v>0</v>
      </c>
      <c r="I66" s="2">
        <f t="shared" si="7"/>
        <v>0</v>
      </c>
      <c r="J66" s="2">
        <f t="shared" si="7"/>
        <v>0</v>
      </c>
      <c r="K66" s="2">
        <f t="shared" si="7"/>
        <v>0</v>
      </c>
      <c r="L66" s="2">
        <f t="shared" si="7"/>
        <v>0</v>
      </c>
      <c r="M66" s="2">
        <f t="shared" si="7"/>
        <v>0</v>
      </c>
      <c r="N66" s="2">
        <f t="shared" si="7"/>
        <v>0</v>
      </c>
      <c r="O66" s="2">
        <f t="shared" si="7"/>
        <v>0</v>
      </c>
      <c r="P66" s="2">
        <f t="shared" si="7"/>
        <v>0</v>
      </c>
      <c r="Q66" s="2">
        <f t="shared" si="7"/>
        <v>0</v>
      </c>
      <c r="R66" s="2">
        <f t="shared" si="7"/>
        <v>0</v>
      </c>
      <c r="S66" s="2">
        <f t="shared" si="7"/>
        <v>0</v>
      </c>
      <c r="T66" s="2">
        <f t="shared" si="7"/>
        <v>0</v>
      </c>
      <c r="U66" s="2">
        <f t="shared" si="7"/>
        <v>0</v>
      </c>
      <c r="V66" s="2">
        <f t="shared" si="7"/>
        <v>0</v>
      </c>
      <c r="W66" s="2">
        <f t="shared" si="7"/>
        <v>0</v>
      </c>
      <c r="X66" s="2">
        <f t="shared" si="7"/>
        <v>0</v>
      </c>
      <c r="Y66" s="2">
        <f t="shared" si="7"/>
        <v>0</v>
      </c>
      <c r="Z66" s="2">
        <f t="shared" si="7"/>
        <v>0</v>
      </c>
      <c r="AA66" s="2">
        <f t="shared" si="7"/>
        <v>0</v>
      </c>
    </row>
    <row r="68" spans="1:27" x14ac:dyDescent="0.25">
      <c r="D68" t="s">
        <v>137</v>
      </c>
      <c r="F68" t="s">
        <v>7</v>
      </c>
      <c r="G68" s="2">
        <f>SUM($G$64:G66)</f>
        <v>0</v>
      </c>
      <c r="H68" s="2">
        <f>SUM($G$64:H66)</f>
        <v>0</v>
      </c>
      <c r="I68" s="2">
        <f>SUM($G$64:I66)</f>
        <v>0</v>
      </c>
      <c r="J68" s="2">
        <f>SUM($G$64:J66)</f>
        <v>0</v>
      </c>
      <c r="K68" s="2">
        <f>SUM($G$64:K66)</f>
        <v>0</v>
      </c>
      <c r="L68" s="2">
        <f>SUM($G$64:L66)</f>
        <v>0</v>
      </c>
      <c r="M68" s="2">
        <f>SUM($G$64:M66)</f>
        <v>0</v>
      </c>
      <c r="N68" s="2">
        <f>SUM($G$64:N66)</f>
        <v>0</v>
      </c>
      <c r="O68" s="2">
        <f>SUM($G$64:O66)</f>
        <v>0</v>
      </c>
      <c r="P68" s="2">
        <f>SUM($G$64:P66)</f>
        <v>0</v>
      </c>
      <c r="Q68" s="2">
        <f>SUM($G$64:Q66)</f>
        <v>0</v>
      </c>
      <c r="R68" s="2">
        <f>SUM($G$64:R66)</f>
        <v>0</v>
      </c>
      <c r="S68" s="2">
        <f>SUM($G$64:S66)</f>
        <v>0</v>
      </c>
      <c r="T68" s="2">
        <f>SUM($G$64:T66)</f>
        <v>0</v>
      </c>
      <c r="U68" s="2">
        <f>SUM($G$64:U66)</f>
        <v>0</v>
      </c>
      <c r="V68" s="2">
        <f>SUM($G$64:V66)</f>
        <v>0</v>
      </c>
      <c r="W68" s="2">
        <f>SUM($G$64:W66)</f>
        <v>0</v>
      </c>
      <c r="X68" s="2">
        <f>SUM($G$64:X66)</f>
        <v>0</v>
      </c>
      <c r="Y68" s="2">
        <f>SUM($G$64:Y66)</f>
        <v>0</v>
      </c>
      <c r="Z68" s="2">
        <f>SUM($G$64:Z66)</f>
        <v>0</v>
      </c>
      <c r="AA68" s="2">
        <f>SUM($G$64:AA66)</f>
        <v>0</v>
      </c>
    </row>
    <row r="70" spans="1:27" x14ac:dyDescent="0.25">
      <c r="A70" s="14">
        <f>'Notes &amp; Assumptions'!A27</f>
        <v>14</v>
      </c>
      <c r="D70" t="s">
        <v>6</v>
      </c>
    </row>
    <row r="71" spans="1:27" x14ac:dyDescent="0.25">
      <c r="E71" s="2" t="str">
        <f>E7</f>
        <v>Average asset life for all growth assets</v>
      </c>
      <c r="F71" t="s">
        <v>7</v>
      </c>
      <c r="G71" s="10"/>
      <c r="H71" s="10"/>
      <c r="I71" s="10"/>
      <c r="J71" s="10"/>
      <c r="K71" s="10"/>
      <c r="L71" s="10"/>
      <c r="M71" s="10"/>
      <c r="N71" s="10"/>
      <c r="O71" s="10"/>
      <c r="P71" s="10"/>
      <c r="Q71" s="10"/>
      <c r="R71" s="10"/>
      <c r="S71" s="10"/>
      <c r="T71" s="10"/>
      <c r="U71" s="10"/>
      <c r="V71" s="10"/>
      <c r="W71" s="10"/>
      <c r="X71" s="10"/>
      <c r="Y71" s="10"/>
      <c r="Z71" s="10"/>
      <c r="AA71" s="10"/>
    </row>
    <row r="72" spans="1:27" x14ac:dyDescent="0.25">
      <c r="E72" s="2" t="str">
        <f>E8</f>
        <v>Pumps</v>
      </c>
      <c r="F72" t="s">
        <v>7</v>
      </c>
      <c r="G72" s="10"/>
      <c r="H72" s="10"/>
      <c r="I72" s="10"/>
      <c r="J72" s="10"/>
      <c r="K72" s="10"/>
      <c r="L72" s="10"/>
      <c r="M72" s="10"/>
      <c r="N72" s="10"/>
      <c r="O72" s="10"/>
      <c r="P72" s="10"/>
      <c r="Q72" s="10"/>
      <c r="R72" s="10"/>
      <c r="S72" s="10"/>
      <c r="T72" s="10"/>
      <c r="U72" s="10"/>
      <c r="V72" s="10"/>
      <c r="W72" s="10"/>
      <c r="X72" s="10"/>
      <c r="Y72" s="10"/>
      <c r="Z72" s="10"/>
      <c r="AA72" s="10"/>
    </row>
    <row r="73" spans="1:27" x14ac:dyDescent="0.25">
      <c r="E73" s="2" t="str">
        <f>E9</f>
        <v>Valves and Meters</v>
      </c>
      <c r="F73" t="s">
        <v>7</v>
      </c>
      <c r="G73" s="10"/>
      <c r="H73" s="10"/>
      <c r="I73" s="10"/>
      <c r="J73" s="10"/>
      <c r="K73" s="10"/>
      <c r="L73" s="10"/>
      <c r="M73" s="10"/>
      <c r="N73" s="10"/>
      <c r="O73" s="10"/>
      <c r="P73" s="10"/>
      <c r="Q73" s="10"/>
      <c r="R73" s="10"/>
      <c r="S73" s="10"/>
      <c r="T73" s="10"/>
      <c r="U73" s="10"/>
      <c r="V73" s="10"/>
      <c r="W73" s="10"/>
      <c r="X73" s="10"/>
      <c r="Y73" s="10"/>
      <c r="Z73" s="10"/>
      <c r="AA73" s="10"/>
    </row>
    <row r="74" spans="1:27" x14ac:dyDescent="0.25">
      <c r="E74" t="s">
        <v>131</v>
      </c>
      <c r="F74" t="s">
        <v>7</v>
      </c>
      <c r="G74" s="10"/>
      <c r="H74" s="10"/>
      <c r="I74" s="10"/>
      <c r="J74" s="10"/>
      <c r="K74" s="10"/>
      <c r="L74" s="10"/>
      <c r="M74" s="10"/>
      <c r="N74" s="10"/>
      <c r="O74" s="10"/>
      <c r="P74" s="10"/>
      <c r="Q74" s="10"/>
      <c r="R74" s="10"/>
      <c r="S74" s="10"/>
      <c r="T74" s="10"/>
      <c r="U74" s="10"/>
      <c r="V74" s="10"/>
      <c r="W74" s="10"/>
      <c r="X74" s="10"/>
      <c r="Y74" s="10"/>
      <c r="Z74" s="10"/>
      <c r="AA74" s="10"/>
    </row>
    <row r="75" spans="1:27" x14ac:dyDescent="0.25">
      <c r="G75" s="2">
        <f>SUM(G71:G74)</f>
        <v>0</v>
      </c>
      <c r="H75" s="2">
        <f t="shared" ref="H75:AA75" si="9">SUM(H71:H74)</f>
        <v>0</v>
      </c>
      <c r="I75" s="2">
        <f t="shared" si="9"/>
        <v>0</v>
      </c>
      <c r="J75" s="2">
        <f t="shared" si="9"/>
        <v>0</v>
      </c>
      <c r="K75" s="2">
        <f t="shared" si="9"/>
        <v>0</v>
      </c>
      <c r="L75" s="2">
        <f t="shared" si="9"/>
        <v>0</v>
      </c>
      <c r="M75" s="2">
        <f t="shared" si="9"/>
        <v>0</v>
      </c>
      <c r="N75" s="2">
        <f t="shared" si="9"/>
        <v>0</v>
      </c>
      <c r="O75" s="2">
        <f t="shared" si="9"/>
        <v>0</v>
      </c>
      <c r="P75" s="2">
        <f t="shared" si="9"/>
        <v>0</v>
      </c>
      <c r="Q75" s="2">
        <f t="shared" si="9"/>
        <v>0</v>
      </c>
      <c r="R75" s="2">
        <f t="shared" si="9"/>
        <v>0</v>
      </c>
      <c r="S75" s="2">
        <f t="shared" si="9"/>
        <v>0</v>
      </c>
      <c r="T75" s="2">
        <f t="shared" si="9"/>
        <v>0</v>
      </c>
      <c r="U75" s="2">
        <f t="shared" si="9"/>
        <v>0</v>
      </c>
      <c r="V75" s="2">
        <f t="shared" si="9"/>
        <v>0</v>
      </c>
      <c r="W75" s="2">
        <f t="shared" si="9"/>
        <v>0</v>
      </c>
      <c r="X75" s="2">
        <f t="shared" si="9"/>
        <v>0</v>
      </c>
      <c r="Y75" s="2">
        <f t="shared" si="9"/>
        <v>0</v>
      </c>
      <c r="Z75" s="2">
        <f t="shared" si="9"/>
        <v>0</v>
      </c>
      <c r="AA75" s="2">
        <f t="shared" si="9"/>
        <v>0</v>
      </c>
    </row>
    <row r="76" spans="1:27" x14ac:dyDescent="0.25">
      <c r="G76" s="2"/>
      <c r="H76" s="2"/>
      <c r="I76" s="2"/>
      <c r="J76" s="2"/>
      <c r="K76" s="2"/>
      <c r="L76" s="2"/>
      <c r="M76" s="2"/>
      <c r="N76" s="2"/>
      <c r="O76" s="2"/>
      <c r="P76" s="2"/>
      <c r="Q76" s="2"/>
      <c r="R76" s="2"/>
      <c r="S76" s="2"/>
      <c r="T76" s="2"/>
      <c r="U76" s="2"/>
      <c r="V76" s="2"/>
      <c r="W76" s="2"/>
      <c r="X76" s="2"/>
      <c r="Y76" s="2"/>
      <c r="Z76" s="2"/>
      <c r="AA76" s="2"/>
    </row>
    <row r="77" spans="1:27" x14ac:dyDescent="0.25">
      <c r="D77" t="s">
        <v>136</v>
      </c>
      <c r="G77" s="2"/>
      <c r="H77" s="2"/>
      <c r="I77" s="2"/>
      <c r="J77" s="2"/>
      <c r="K77" s="2"/>
      <c r="L77" s="2"/>
      <c r="M77" s="2"/>
      <c r="N77" s="2"/>
      <c r="O77" s="2"/>
      <c r="P77" s="2"/>
      <c r="Q77" s="2"/>
    </row>
    <row r="78" spans="1:27" x14ac:dyDescent="0.25">
      <c r="E78" s="2" t="str">
        <f>E71</f>
        <v>Average asset life for all growth assets</v>
      </c>
      <c r="F78" t="s">
        <v>7</v>
      </c>
      <c r="G78" s="2">
        <f t="shared" ref="G78:AA80" si="10">G71/$G7+IF((G$2-$G7+1)&gt;0,-INDEX($G71:$AA71,1,(G$2-$G7+1))/$G7,0)</f>
        <v>0</v>
      </c>
      <c r="H78" s="2">
        <f t="shared" si="10"/>
        <v>0</v>
      </c>
      <c r="I78" s="2">
        <f t="shared" si="10"/>
        <v>0</v>
      </c>
      <c r="J78" s="2">
        <f t="shared" si="10"/>
        <v>0</v>
      </c>
      <c r="K78" s="2">
        <f t="shared" si="10"/>
        <v>0</v>
      </c>
      <c r="L78" s="2">
        <f t="shared" si="10"/>
        <v>0</v>
      </c>
      <c r="M78" s="2">
        <f t="shared" si="10"/>
        <v>0</v>
      </c>
      <c r="N78" s="2">
        <f t="shared" si="10"/>
        <v>0</v>
      </c>
      <c r="O78" s="2">
        <f t="shared" si="10"/>
        <v>0</v>
      </c>
      <c r="P78" s="2">
        <f t="shared" si="10"/>
        <v>0</v>
      </c>
      <c r="Q78" s="2">
        <f t="shared" si="10"/>
        <v>0</v>
      </c>
      <c r="R78" s="2">
        <f t="shared" si="10"/>
        <v>0</v>
      </c>
      <c r="S78" s="2">
        <f t="shared" si="10"/>
        <v>0</v>
      </c>
      <c r="T78" s="2">
        <f t="shared" si="10"/>
        <v>0</v>
      </c>
      <c r="U78" s="2">
        <f t="shared" si="10"/>
        <v>0</v>
      </c>
      <c r="V78" s="2">
        <f t="shared" si="10"/>
        <v>0</v>
      </c>
      <c r="W78" s="2">
        <f t="shared" si="10"/>
        <v>0</v>
      </c>
      <c r="X78" s="2">
        <f t="shared" si="10"/>
        <v>0</v>
      </c>
      <c r="Y78" s="2">
        <f t="shared" si="10"/>
        <v>0</v>
      </c>
      <c r="Z78" s="2">
        <f t="shared" si="10"/>
        <v>0</v>
      </c>
      <c r="AA78" s="2">
        <f t="shared" si="10"/>
        <v>0</v>
      </c>
    </row>
    <row r="79" spans="1:27" x14ac:dyDescent="0.25">
      <c r="E79" s="2" t="str">
        <f t="shared" ref="E79:E80" si="11">E72</f>
        <v>Pumps</v>
      </c>
      <c r="F79" t="s">
        <v>7</v>
      </c>
      <c r="G79" s="2">
        <f t="shared" si="10"/>
        <v>0</v>
      </c>
      <c r="H79" s="2">
        <f t="shared" si="10"/>
        <v>0</v>
      </c>
      <c r="I79" s="2">
        <f t="shared" si="10"/>
        <v>0</v>
      </c>
      <c r="J79" s="2">
        <f t="shared" si="10"/>
        <v>0</v>
      </c>
      <c r="K79" s="2">
        <f t="shared" si="10"/>
        <v>0</v>
      </c>
      <c r="L79" s="2">
        <f t="shared" si="10"/>
        <v>0</v>
      </c>
      <c r="M79" s="2">
        <f t="shared" si="10"/>
        <v>0</v>
      </c>
      <c r="N79" s="2">
        <f t="shared" si="10"/>
        <v>0</v>
      </c>
      <c r="O79" s="2">
        <f t="shared" si="10"/>
        <v>0</v>
      </c>
      <c r="P79" s="2">
        <f t="shared" si="10"/>
        <v>0</v>
      </c>
      <c r="Q79" s="2">
        <f t="shared" si="10"/>
        <v>0</v>
      </c>
      <c r="R79" s="2">
        <f t="shared" si="10"/>
        <v>0</v>
      </c>
      <c r="S79" s="2">
        <f t="shared" si="10"/>
        <v>0</v>
      </c>
      <c r="T79" s="2">
        <f t="shared" si="10"/>
        <v>0</v>
      </c>
      <c r="U79" s="2">
        <f t="shared" si="10"/>
        <v>0</v>
      </c>
      <c r="V79" s="2">
        <f t="shared" si="10"/>
        <v>0</v>
      </c>
      <c r="W79" s="2">
        <f t="shared" si="10"/>
        <v>0</v>
      </c>
      <c r="X79" s="2">
        <f t="shared" si="10"/>
        <v>0</v>
      </c>
      <c r="Y79" s="2">
        <f t="shared" si="10"/>
        <v>0</v>
      </c>
      <c r="Z79" s="2">
        <f t="shared" si="10"/>
        <v>0</v>
      </c>
      <c r="AA79" s="2">
        <f t="shared" si="10"/>
        <v>0</v>
      </c>
    </row>
    <row r="80" spans="1:27" x14ac:dyDescent="0.25">
      <c r="E80" s="2" t="str">
        <f t="shared" si="11"/>
        <v>Valves and Meters</v>
      </c>
      <c r="F80" t="s">
        <v>7</v>
      </c>
      <c r="G80" s="2">
        <f t="shared" si="10"/>
        <v>0</v>
      </c>
      <c r="H80" s="2">
        <f t="shared" si="10"/>
        <v>0</v>
      </c>
      <c r="I80" s="2">
        <f t="shared" si="10"/>
        <v>0</v>
      </c>
      <c r="J80" s="2">
        <f t="shared" si="10"/>
        <v>0</v>
      </c>
      <c r="K80" s="2">
        <f t="shared" si="10"/>
        <v>0</v>
      </c>
      <c r="L80" s="2">
        <f t="shared" si="10"/>
        <v>0</v>
      </c>
      <c r="M80" s="2">
        <f t="shared" si="10"/>
        <v>0</v>
      </c>
      <c r="N80" s="2">
        <f t="shared" si="10"/>
        <v>0</v>
      </c>
      <c r="O80" s="2">
        <f t="shared" si="10"/>
        <v>0</v>
      </c>
      <c r="P80" s="2">
        <f t="shared" si="10"/>
        <v>0</v>
      </c>
      <c r="Q80" s="2">
        <f t="shared" si="10"/>
        <v>0</v>
      </c>
      <c r="R80" s="2">
        <f t="shared" si="10"/>
        <v>0</v>
      </c>
      <c r="S80" s="2">
        <f t="shared" si="10"/>
        <v>0</v>
      </c>
      <c r="T80" s="2">
        <f t="shared" si="10"/>
        <v>0</v>
      </c>
      <c r="U80" s="2">
        <f t="shared" si="10"/>
        <v>0</v>
      </c>
      <c r="V80" s="2">
        <f t="shared" si="10"/>
        <v>0</v>
      </c>
      <c r="W80" s="2">
        <f t="shared" si="10"/>
        <v>0</v>
      </c>
      <c r="X80" s="2">
        <f t="shared" si="10"/>
        <v>0</v>
      </c>
      <c r="Y80" s="2">
        <f t="shared" si="10"/>
        <v>0</v>
      </c>
      <c r="Z80" s="2">
        <f t="shared" si="10"/>
        <v>0</v>
      </c>
      <c r="AA80" s="2">
        <f t="shared" si="10"/>
        <v>0</v>
      </c>
    </row>
    <row r="82" spans="1:27" x14ac:dyDescent="0.25">
      <c r="D82" t="s">
        <v>137</v>
      </c>
      <c r="F82" t="s">
        <v>7</v>
      </c>
      <c r="G82" s="2">
        <f>SUM($G$77:G80)</f>
        <v>0</v>
      </c>
      <c r="H82" s="2">
        <f>SUM($G$77:H80)</f>
        <v>0</v>
      </c>
      <c r="I82" s="2">
        <f>SUM($G$77:I80)</f>
        <v>0</v>
      </c>
      <c r="J82" s="2">
        <f>SUM($G$77:J80)</f>
        <v>0</v>
      </c>
      <c r="K82" s="2">
        <f>SUM($G$77:K80)</f>
        <v>0</v>
      </c>
      <c r="L82" s="2">
        <f>SUM($G$77:L80)</f>
        <v>0</v>
      </c>
      <c r="M82" s="2">
        <f>SUM($G$77:M80)</f>
        <v>0</v>
      </c>
      <c r="N82" s="2">
        <f>SUM($G$77:N80)</f>
        <v>0</v>
      </c>
      <c r="O82" s="2">
        <f>SUM($G$77:O80)</f>
        <v>0</v>
      </c>
      <c r="P82" s="2">
        <f>SUM($G$77:P80)</f>
        <v>0</v>
      </c>
      <c r="Q82" s="2">
        <f>SUM($G$77:Q80)</f>
        <v>0</v>
      </c>
      <c r="R82" s="2">
        <f>SUM($G$77:R80)</f>
        <v>0</v>
      </c>
      <c r="S82" s="2">
        <f>SUM($G$77:S80)</f>
        <v>0</v>
      </c>
      <c r="T82" s="2">
        <f>SUM($G$77:T80)</f>
        <v>0</v>
      </c>
      <c r="U82" s="2">
        <f>SUM($G$77:U80)</f>
        <v>0</v>
      </c>
      <c r="V82" s="2">
        <f>SUM($G$77:V80)</f>
        <v>0</v>
      </c>
      <c r="W82" s="2">
        <f>SUM($G$77:W80)</f>
        <v>0</v>
      </c>
      <c r="X82" s="2">
        <f>SUM($G$77:X80)</f>
        <v>0</v>
      </c>
      <c r="Y82" s="2">
        <f>SUM($G$77:Y80)</f>
        <v>0</v>
      </c>
      <c r="Z82" s="2">
        <f>SUM($G$77:Z80)</f>
        <v>0</v>
      </c>
      <c r="AA82" s="2">
        <f>SUM($G$77:AA80)</f>
        <v>0</v>
      </c>
    </row>
    <row r="83" spans="1:27" x14ac:dyDescent="0.25">
      <c r="G83" s="2"/>
      <c r="H83" s="2"/>
      <c r="I83" s="2"/>
      <c r="J83" s="2"/>
      <c r="K83" s="2"/>
      <c r="L83" s="2"/>
      <c r="M83" s="2"/>
      <c r="N83" s="2"/>
      <c r="O83" s="2"/>
      <c r="P83" s="2"/>
      <c r="Q83" s="2"/>
      <c r="R83" s="2"/>
      <c r="S83" s="2"/>
      <c r="T83" s="2"/>
      <c r="U83" s="2"/>
      <c r="V83" s="2"/>
      <c r="W83" s="2"/>
      <c r="X83" s="2"/>
      <c r="Y83" s="2"/>
      <c r="Z83" s="2"/>
      <c r="AA83" s="2"/>
    </row>
    <row r="84" spans="1:27" x14ac:dyDescent="0.25">
      <c r="D84" t="s">
        <v>138</v>
      </c>
      <c r="F84" t="s">
        <v>7</v>
      </c>
      <c r="G84" s="2">
        <f t="shared" ref="G84:AA84" si="12">G61-G75</f>
        <v>0</v>
      </c>
      <c r="H84" s="2">
        <f t="shared" si="12"/>
        <v>0</v>
      </c>
      <c r="I84" s="2">
        <f t="shared" si="12"/>
        <v>0</v>
      </c>
      <c r="J84" s="2">
        <f t="shared" si="12"/>
        <v>0</v>
      </c>
      <c r="K84" s="2">
        <f t="shared" si="12"/>
        <v>0</v>
      </c>
      <c r="L84" s="2">
        <f t="shared" si="12"/>
        <v>0</v>
      </c>
      <c r="M84" s="2">
        <f t="shared" si="12"/>
        <v>0</v>
      </c>
      <c r="N84" s="2">
        <f t="shared" si="12"/>
        <v>0</v>
      </c>
      <c r="O84" s="2">
        <f t="shared" si="12"/>
        <v>0</v>
      </c>
      <c r="P84" s="2">
        <f t="shared" si="12"/>
        <v>0</v>
      </c>
      <c r="Q84" s="2">
        <f t="shared" si="12"/>
        <v>0</v>
      </c>
      <c r="R84" s="2">
        <f t="shared" si="12"/>
        <v>0</v>
      </c>
      <c r="S84" s="2">
        <f t="shared" si="12"/>
        <v>0</v>
      </c>
      <c r="T84" s="2">
        <f t="shared" si="12"/>
        <v>0</v>
      </c>
      <c r="U84" s="2">
        <f t="shared" si="12"/>
        <v>0</v>
      </c>
      <c r="V84" s="2">
        <f t="shared" si="12"/>
        <v>0</v>
      </c>
      <c r="W84" s="2">
        <f t="shared" si="12"/>
        <v>0</v>
      </c>
      <c r="X84" s="2">
        <f t="shared" si="12"/>
        <v>0</v>
      </c>
      <c r="Y84" s="2">
        <f t="shared" si="12"/>
        <v>0</v>
      </c>
      <c r="Z84" s="2">
        <f t="shared" si="12"/>
        <v>0</v>
      </c>
      <c r="AA84" s="2">
        <f t="shared" si="12"/>
        <v>0</v>
      </c>
    </row>
    <row r="85" spans="1:27" x14ac:dyDescent="0.25">
      <c r="D85" t="s">
        <v>139</v>
      </c>
      <c r="F85" t="s">
        <v>7</v>
      </c>
      <c r="G85" s="2">
        <f t="shared" ref="G85:AA85" si="13">-G68+G82</f>
        <v>0</v>
      </c>
      <c r="H85" s="2">
        <f t="shared" si="13"/>
        <v>0</v>
      </c>
      <c r="I85" s="2">
        <f t="shared" si="13"/>
        <v>0</v>
      </c>
      <c r="J85" s="2">
        <f t="shared" si="13"/>
        <v>0</v>
      </c>
      <c r="K85" s="2">
        <f t="shared" si="13"/>
        <v>0</v>
      </c>
      <c r="L85" s="2">
        <f t="shared" si="13"/>
        <v>0</v>
      </c>
      <c r="M85" s="2">
        <f t="shared" si="13"/>
        <v>0</v>
      </c>
      <c r="N85" s="2">
        <f t="shared" si="13"/>
        <v>0</v>
      </c>
      <c r="O85" s="2">
        <f t="shared" si="13"/>
        <v>0</v>
      </c>
      <c r="P85" s="2">
        <f t="shared" si="13"/>
        <v>0</v>
      </c>
      <c r="Q85" s="2">
        <f t="shared" si="13"/>
        <v>0</v>
      </c>
      <c r="R85" s="2">
        <f t="shared" si="13"/>
        <v>0</v>
      </c>
      <c r="S85" s="2">
        <f t="shared" si="13"/>
        <v>0</v>
      </c>
      <c r="T85" s="2">
        <f t="shared" si="13"/>
        <v>0</v>
      </c>
      <c r="U85" s="2">
        <f t="shared" si="13"/>
        <v>0</v>
      </c>
      <c r="V85" s="2">
        <f t="shared" si="13"/>
        <v>0</v>
      </c>
      <c r="W85" s="2">
        <f t="shared" si="13"/>
        <v>0</v>
      </c>
      <c r="X85" s="2">
        <f t="shared" si="13"/>
        <v>0</v>
      </c>
      <c r="Y85" s="2">
        <f t="shared" si="13"/>
        <v>0</v>
      </c>
      <c r="Z85" s="2">
        <f t="shared" si="13"/>
        <v>0</v>
      </c>
      <c r="AA85" s="2">
        <f t="shared" si="13"/>
        <v>0</v>
      </c>
    </row>
    <row r="87" spans="1:27" x14ac:dyDescent="0.25">
      <c r="C87" s="1" t="str">
        <f>"Incremental "&amp;G4&amp;" Service Revenue"</f>
        <v>Incremental Water Supply Service Revenue</v>
      </c>
      <c r="D87" s="1"/>
    </row>
    <row r="88" spans="1:27" x14ac:dyDescent="0.25">
      <c r="C88" s="1"/>
      <c r="D88" s="1"/>
    </row>
    <row r="89" spans="1:27" x14ac:dyDescent="0.25">
      <c r="C89" s="1"/>
      <c r="D89" t="s">
        <v>59</v>
      </c>
      <c r="F89" t="s">
        <v>325</v>
      </c>
      <c r="G89" t="s">
        <v>326</v>
      </c>
    </row>
    <row r="90" spans="1:27" x14ac:dyDescent="0.25">
      <c r="A90" s="14">
        <f>'Notes &amp; Assumptions'!A28</f>
        <v>15</v>
      </c>
      <c r="C90" s="1"/>
      <c r="D90" s="1"/>
      <c r="E90" t="s">
        <v>87</v>
      </c>
      <c r="F90" t="s">
        <v>3</v>
      </c>
      <c r="H90" s="10">
        <f>'Customer numbers'!P6+'20 Epping North Water'!H90+'20 Greenvale Water'!H90</f>
        <v>10574</v>
      </c>
      <c r="I90" s="10">
        <f>'Customer numbers'!Q6+'20 Epping North Water'!I90+'20 Greenvale Water'!I90</f>
        <v>10044</v>
      </c>
      <c r="J90" s="10">
        <f>'Customer numbers'!R6+'20 Epping North Water'!J90+'20 Greenvale Water'!J90</f>
        <v>9694.2999999999993</v>
      </c>
      <c r="K90" s="10">
        <f>'Customer numbers'!S6+'20 Epping North Water'!K90+'20 Greenvale Water'!K90</f>
        <v>8862.1999999999989</v>
      </c>
      <c r="L90" s="10">
        <f>'Customer numbers'!T6+'20 Epping North Water'!L90+'20 Greenvale Water'!L90</f>
        <v>8052.2999999999984</v>
      </c>
      <c r="M90" s="10">
        <f>'Customer numbers'!U6+'20 Epping North Water'!M90+'20 Greenvale Water'!M90</f>
        <v>7292.9999999999982</v>
      </c>
      <c r="N90" s="10">
        <f>'Customer numbers'!V6+'20 Epping North Water'!N90+'20 Greenvale Water'!N90</f>
        <v>6569.699999999998</v>
      </c>
      <c r="O90" s="10">
        <f>'Customer numbers'!W6+'20 Epping North Water'!O90+'20 Greenvale Water'!O90</f>
        <v>5888.0999999999976</v>
      </c>
      <c r="P90" s="10">
        <f>'Customer numbers'!X6+'20 Epping North Water'!P90+'20 Greenvale Water'!P90</f>
        <v>5792.8999999999978</v>
      </c>
      <c r="Q90" s="10">
        <f>'Customer numbers'!Y6+'20 Epping North Water'!Q90+'20 Greenvale Water'!Q90</f>
        <v>5669.2999999999984</v>
      </c>
      <c r="R90" s="10">
        <f>'Customer numbers'!Z6+'20 Epping North Water'!R90+'20 Greenvale Water'!R90</f>
        <v>6002.4999999999982</v>
      </c>
      <c r="S90" s="10">
        <f>'Customer numbers'!AA6+'20 Epping North Water'!S90+'20 Greenvale Water'!S90</f>
        <v>6360.199999999998</v>
      </c>
      <c r="T90" s="10">
        <f>'Customer numbers'!AB6+'20 Epping North Water'!T90+'20 Greenvale Water'!T90</f>
        <v>6737.4999999999982</v>
      </c>
      <c r="U90" s="10">
        <f>'Customer numbers'!AC6+'20 Epping North Water'!U90+'20 Greenvale Water'!U90</f>
        <v>6693.3999999999978</v>
      </c>
      <c r="V90" s="10">
        <f>'Customer numbers'!AD6+'20 Epping North Water'!V90+'20 Greenvale Water'!V90</f>
        <v>6644.3999999999978</v>
      </c>
    </row>
    <row r="91" spans="1:27" x14ac:dyDescent="0.25">
      <c r="C91" s="1"/>
      <c r="D91" s="1"/>
      <c r="E91" t="s">
        <v>60</v>
      </c>
      <c r="F91" t="s">
        <v>3</v>
      </c>
      <c r="G91" s="2">
        <f>IF('Key assumptions'!B4="yes",SUM('Customer numbers'!F7:O7),0)</f>
        <v>0</v>
      </c>
      <c r="H91" s="2">
        <f>G91+H90</f>
        <v>10574</v>
      </c>
      <c r="I91" s="2">
        <f t="shared" ref="I91:AA91" si="14">H91+I90</f>
        <v>20618</v>
      </c>
      <c r="J91" s="2">
        <f t="shared" si="14"/>
        <v>30312.3</v>
      </c>
      <c r="K91" s="2">
        <f t="shared" si="14"/>
        <v>39174.5</v>
      </c>
      <c r="L91" s="2">
        <f t="shared" si="14"/>
        <v>47226.799999999996</v>
      </c>
      <c r="M91" s="2">
        <f t="shared" si="14"/>
        <v>54519.799999999996</v>
      </c>
      <c r="N91" s="2">
        <f t="shared" si="14"/>
        <v>61089.499999999993</v>
      </c>
      <c r="O91" s="2">
        <f t="shared" si="14"/>
        <v>66977.599999999991</v>
      </c>
      <c r="P91" s="2">
        <f t="shared" si="14"/>
        <v>72770.499999999985</v>
      </c>
      <c r="Q91" s="2">
        <f t="shared" si="14"/>
        <v>78439.799999999988</v>
      </c>
      <c r="R91" s="2">
        <f t="shared" si="14"/>
        <v>84442.299999999988</v>
      </c>
      <c r="S91" s="2">
        <f t="shared" si="14"/>
        <v>90802.499999999985</v>
      </c>
      <c r="T91" s="2">
        <f t="shared" si="14"/>
        <v>97539.999999999985</v>
      </c>
      <c r="U91" s="2">
        <f t="shared" si="14"/>
        <v>104233.39999999998</v>
      </c>
      <c r="V91" s="2">
        <f t="shared" si="14"/>
        <v>110877.79999999997</v>
      </c>
      <c r="W91" s="2">
        <f t="shared" si="14"/>
        <v>110877.79999999997</v>
      </c>
      <c r="X91" s="2">
        <f t="shared" si="14"/>
        <v>110877.79999999997</v>
      </c>
      <c r="Y91" s="2">
        <f t="shared" si="14"/>
        <v>110877.79999999997</v>
      </c>
      <c r="Z91" s="2">
        <f t="shared" si="14"/>
        <v>110877.79999999997</v>
      </c>
      <c r="AA91" s="2">
        <f t="shared" si="14"/>
        <v>110877.79999999997</v>
      </c>
    </row>
    <row r="92" spans="1:27" x14ac:dyDescent="0.25">
      <c r="A92" s="14">
        <f>'Notes &amp; Assumptions'!A29</f>
        <v>16</v>
      </c>
      <c r="C92" s="1"/>
      <c r="D92" s="1"/>
      <c r="E92" t="s">
        <v>61</v>
      </c>
      <c r="F92" t="s">
        <v>3</v>
      </c>
      <c r="G92" s="10">
        <v>1</v>
      </c>
    </row>
    <row r="93" spans="1:27" x14ac:dyDescent="0.25">
      <c r="C93" s="1"/>
      <c r="D93" s="1"/>
      <c r="E93" t="s">
        <v>88</v>
      </c>
      <c r="F93" t="s">
        <v>3</v>
      </c>
      <c r="H93">
        <f>H90*$G92</f>
        <v>10574</v>
      </c>
      <c r="I93">
        <f t="shared" ref="I93:AA93" si="15">I90*$G92</f>
        <v>10044</v>
      </c>
      <c r="J93">
        <f t="shared" si="15"/>
        <v>9694.2999999999993</v>
      </c>
      <c r="K93">
        <f t="shared" si="15"/>
        <v>8862.1999999999989</v>
      </c>
      <c r="L93">
        <f t="shared" si="15"/>
        <v>8052.2999999999984</v>
      </c>
      <c r="M93">
        <f t="shared" si="15"/>
        <v>7292.9999999999982</v>
      </c>
      <c r="N93">
        <f t="shared" si="15"/>
        <v>6569.699999999998</v>
      </c>
      <c r="O93">
        <f t="shared" si="15"/>
        <v>5888.0999999999976</v>
      </c>
      <c r="P93">
        <f t="shared" si="15"/>
        <v>5792.8999999999978</v>
      </c>
      <c r="Q93">
        <f t="shared" si="15"/>
        <v>5669.2999999999984</v>
      </c>
      <c r="R93">
        <f t="shared" si="15"/>
        <v>6002.4999999999982</v>
      </c>
      <c r="S93">
        <f t="shared" si="15"/>
        <v>6360.199999999998</v>
      </c>
      <c r="T93">
        <f t="shared" si="15"/>
        <v>6737.4999999999982</v>
      </c>
      <c r="U93">
        <f t="shared" si="15"/>
        <v>6693.3999999999978</v>
      </c>
      <c r="V93">
        <f t="shared" si="15"/>
        <v>6644.3999999999978</v>
      </c>
      <c r="W93">
        <f t="shared" si="15"/>
        <v>0</v>
      </c>
      <c r="X93">
        <f t="shared" si="15"/>
        <v>0</v>
      </c>
      <c r="Y93">
        <f t="shared" si="15"/>
        <v>0</v>
      </c>
      <c r="Z93">
        <f t="shared" si="15"/>
        <v>0</v>
      </c>
      <c r="AA93">
        <f t="shared" si="15"/>
        <v>0</v>
      </c>
    </row>
    <row r="94" spans="1:27" x14ac:dyDescent="0.25">
      <c r="C94" s="1"/>
      <c r="D94" s="1"/>
      <c r="E94" t="s">
        <v>89</v>
      </c>
      <c r="F94" t="s">
        <v>3</v>
      </c>
      <c r="H94">
        <f>H91*$G92</f>
        <v>10574</v>
      </c>
      <c r="I94">
        <f>I91*$G92</f>
        <v>20618</v>
      </c>
      <c r="J94">
        <f t="shared" ref="J94:AA94" si="16">J91*$G92</f>
        <v>30312.3</v>
      </c>
      <c r="K94">
        <f t="shared" si="16"/>
        <v>39174.5</v>
      </c>
      <c r="L94">
        <f t="shared" si="16"/>
        <v>47226.799999999996</v>
      </c>
      <c r="M94">
        <f t="shared" si="16"/>
        <v>54519.799999999996</v>
      </c>
      <c r="N94">
        <f t="shared" si="16"/>
        <v>61089.499999999993</v>
      </c>
      <c r="O94">
        <f t="shared" si="16"/>
        <v>66977.599999999991</v>
      </c>
      <c r="P94">
        <f t="shared" si="16"/>
        <v>72770.499999999985</v>
      </c>
      <c r="Q94">
        <f t="shared" si="16"/>
        <v>78439.799999999988</v>
      </c>
      <c r="R94">
        <f t="shared" si="16"/>
        <v>84442.299999999988</v>
      </c>
      <c r="S94">
        <f t="shared" si="16"/>
        <v>90802.499999999985</v>
      </c>
      <c r="T94">
        <f t="shared" si="16"/>
        <v>97539.999999999985</v>
      </c>
      <c r="U94">
        <f t="shared" si="16"/>
        <v>104233.39999999998</v>
      </c>
      <c r="V94">
        <f t="shared" si="16"/>
        <v>110877.79999999997</v>
      </c>
      <c r="W94">
        <f t="shared" si="16"/>
        <v>110877.79999999997</v>
      </c>
      <c r="X94">
        <f t="shared" si="16"/>
        <v>110877.79999999997</v>
      </c>
      <c r="Y94">
        <f t="shared" si="16"/>
        <v>110877.79999999997</v>
      </c>
      <c r="Z94">
        <f t="shared" si="16"/>
        <v>110877.79999999997</v>
      </c>
      <c r="AA94">
        <f t="shared" si="16"/>
        <v>110877.79999999997</v>
      </c>
    </row>
    <row r="95" spans="1:27" x14ac:dyDescent="0.25">
      <c r="A95" s="14">
        <f>'Notes &amp; Assumptions'!A30</f>
        <v>17</v>
      </c>
      <c r="C95" s="1"/>
      <c r="D95" s="1"/>
      <c r="E95" t="s">
        <v>62</v>
      </c>
      <c r="F95" t="s">
        <v>43</v>
      </c>
      <c r="H95" s="10">
        <f>'Key assumptions'!B21</f>
        <v>150</v>
      </c>
      <c r="I95" s="10">
        <f>H95</f>
        <v>150</v>
      </c>
      <c r="J95" s="10">
        <f t="shared" ref="J95:AA95" si="17">I95</f>
        <v>150</v>
      </c>
      <c r="K95" s="10">
        <f t="shared" si="17"/>
        <v>150</v>
      </c>
      <c r="L95" s="10">
        <f t="shared" si="17"/>
        <v>150</v>
      </c>
      <c r="M95" s="10">
        <f t="shared" si="17"/>
        <v>150</v>
      </c>
      <c r="N95" s="10">
        <f t="shared" si="17"/>
        <v>150</v>
      </c>
      <c r="O95" s="10">
        <f t="shared" si="17"/>
        <v>150</v>
      </c>
      <c r="P95" s="10">
        <f t="shared" si="17"/>
        <v>150</v>
      </c>
      <c r="Q95" s="10">
        <f t="shared" si="17"/>
        <v>150</v>
      </c>
      <c r="R95" s="10">
        <f t="shared" si="17"/>
        <v>150</v>
      </c>
      <c r="S95" s="10">
        <f t="shared" si="17"/>
        <v>150</v>
      </c>
      <c r="T95" s="10">
        <f t="shared" si="17"/>
        <v>150</v>
      </c>
      <c r="U95" s="10">
        <f t="shared" si="17"/>
        <v>150</v>
      </c>
      <c r="V95" s="10">
        <f t="shared" si="17"/>
        <v>150</v>
      </c>
      <c r="W95" s="10">
        <f t="shared" si="17"/>
        <v>150</v>
      </c>
      <c r="X95" s="10">
        <f t="shared" si="17"/>
        <v>150</v>
      </c>
      <c r="Y95" s="10">
        <f t="shared" si="17"/>
        <v>150</v>
      </c>
      <c r="Z95" s="10">
        <f t="shared" si="17"/>
        <v>150</v>
      </c>
      <c r="AA95" s="10">
        <f t="shared" si="17"/>
        <v>150</v>
      </c>
    </row>
    <row r="96" spans="1:27" x14ac:dyDescent="0.25">
      <c r="C96" s="1"/>
      <c r="D96" s="1"/>
      <c r="E96" t="s">
        <v>63</v>
      </c>
      <c r="F96" t="s">
        <v>43</v>
      </c>
      <c r="H96" s="10"/>
      <c r="I96" s="10"/>
      <c r="J96" s="10"/>
      <c r="K96" s="10"/>
      <c r="L96" s="10"/>
      <c r="M96" s="10"/>
      <c r="N96" s="10"/>
      <c r="O96" s="10"/>
      <c r="P96" s="10"/>
      <c r="Q96" s="10"/>
      <c r="R96" s="10"/>
      <c r="S96" s="10"/>
      <c r="T96" s="10"/>
      <c r="U96" s="10"/>
      <c r="V96" s="10"/>
      <c r="W96" s="10"/>
      <c r="X96" s="10"/>
      <c r="Y96" s="10"/>
      <c r="Z96" s="10"/>
      <c r="AA96" s="10"/>
    </row>
    <row r="97" spans="1:27" x14ac:dyDescent="0.25">
      <c r="C97" s="1"/>
      <c r="D97" s="1"/>
      <c r="E97" t="s">
        <v>140</v>
      </c>
      <c r="F97" t="s">
        <v>43</v>
      </c>
      <c r="H97" s="10"/>
      <c r="I97" s="10"/>
      <c r="J97" s="10"/>
      <c r="K97" s="10"/>
      <c r="L97" s="10"/>
      <c r="M97" s="10"/>
      <c r="N97" s="10"/>
      <c r="O97" s="10"/>
      <c r="P97" s="10"/>
      <c r="Q97" s="10"/>
      <c r="R97" s="10"/>
      <c r="S97" s="10"/>
      <c r="T97" s="10"/>
      <c r="U97" s="10"/>
      <c r="V97" s="10"/>
      <c r="W97" s="10"/>
      <c r="X97" s="10"/>
      <c r="Y97" s="10"/>
      <c r="Z97" s="10"/>
      <c r="AA97" s="10"/>
    </row>
    <row r="98" spans="1:27" x14ac:dyDescent="0.25">
      <c r="C98" s="1"/>
      <c r="D98" s="1"/>
      <c r="E98" t="s">
        <v>64</v>
      </c>
      <c r="F98" t="s">
        <v>144</v>
      </c>
      <c r="H98" s="2">
        <f>H91*H95</f>
        <v>1586100</v>
      </c>
      <c r="I98" s="2">
        <f t="shared" ref="I98:AA98" si="18">I91*I95</f>
        <v>3092700</v>
      </c>
      <c r="J98" s="2">
        <f t="shared" si="18"/>
        <v>4546845</v>
      </c>
      <c r="K98" s="2">
        <f t="shared" si="18"/>
        <v>5876175</v>
      </c>
      <c r="L98" s="2">
        <f t="shared" si="18"/>
        <v>7084019.9999999991</v>
      </c>
      <c r="M98" s="2">
        <f t="shared" si="18"/>
        <v>8177969.9999999991</v>
      </c>
      <c r="N98" s="2">
        <f t="shared" si="18"/>
        <v>9163424.9999999981</v>
      </c>
      <c r="O98" s="2">
        <f t="shared" si="18"/>
        <v>10046639.999999998</v>
      </c>
      <c r="P98" s="2">
        <f t="shared" si="18"/>
        <v>10915574.999999998</v>
      </c>
      <c r="Q98" s="2">
        <f t="shared" si="18"/>
        <v>11765969.999999998</v>
      </c>
      <c r="R98" s="2">
        <f t="shared" si="18"/>
        <v>12666344.999999998</v>
      </c>
      <c r="S98" s="2">
        <f t="shared" si="18"/>
        <v>13620374.999999998</v>
      </c>
      <c r="T98" s="2">
        <f t="shared" si="18"/>
        <v>14630999.999999998</v>
      </c>
      <c r="U98" s="2">
        <f t="shared" si="18"/>
        <v>15635009.999999996</v>
      </c>
      <c r="V98" s="2">
        <f t="shared" si="18"/>
        <v>16631669.999999996</v>
      </c>
      <c r="W98" s="2">
        <f t="shared" si="18"/>
        <v>16631669.999999996</v>
      </c>
      <c r="X98" s="2">
        <f t="shared" si="18"/>
        <v>16631669.999999996</v>
      </c>
      <c r="Y98" s="2">
        <f t="shared" si="18"/>
        <v>16631669.999999996</v>
      </c>
      <c r="Z98" s="2">
        <f t="shared" si="18"/>
        <v>16631669.999999996</v>
      </c>
      <c r="AA98" s="2">
        <f t="shared" si="18"/>
        <v>16631669.999999996</v>
      </c>
    </row>
    <row r="99" spans="1:27" x14ac:dyDescent="0.25">
      <c r="C99" s="1"/>
      <c r="D99" s="1"/>
      <c r="E99" t="s">
        <v>65</v>
      </c>
      <c r="F99" t="s">
        <v>144</v>
      </c>
      <c r="H99" s="2">
        <f>H91*H96</f>
        <v>0</v>
      </c>
      <c r="I99" s="2">
        <f t="shared" ref="I99:AA99" si="19">I91*I96</f>
        <v>0</v>
      </c>
      <c r="J99" s="2">
        <f t="shared" si="19"/>
        <v>0</v>
      </c>
      <c r="K99" s="2">
        <f t="shared" si="19"/>
        <v>0</v>
      </c>
      <c r="L99" s="2">
        <f t="shared" si="19"/>
        <v>0</v>
      </c>
      <c r="M99" s="2">
        <f t="shared" si="19"/>
        <v>0</v>
      </c>
      <c r="N99" s="2">
        <f t="shared" si="19"/>
        <v>0</v>
      </c>
      <c r="O99" s="2">
        <f t="shared" si="19"/>
        <v>0</v>
      </c>
      <c r="P99" s="2">
        <f t="shared" si="19"/>
        <v>0</v>
      </c>
      <c r="Q99" s="2">
        <f t="shared" si="19"/>
        <v>0</v>
      </c>
      <c r="R99" s="2">
        <f t="shared" si="19"/>
        <v>0</v>
      </c>
      <c r="S99" s="2">
        <f t="shared" si="19"/>
        <v>0</v>
      </c>
      <c r="T99" s="2">
        <f t="shared" si="19"/>
        <v>0</v>
      </c>
      <c r="U99" s="2">
        <f t="shared" si="19"/>
        <v>0</v>
      </c>
      <c r="V99" s="2">
        <f t="shared" si="19"/>
        <v>0</v>
      </c>
      <c r="W99" s="2">
        <f t="shared" si="19"/>
        <v>0</v>
      </c>
      <c r="X99" s="2">
        <f t="shared" si="19"/>
        <v>0</v>
      </c>
      <c r="Y99" s="2">
        <f t="shared" si="19"/>
        <v>0</v>
      </c>
      <c r="Z99" s="2">
        <f t="shared" si="19"/>
        <v>0</v>
      </c>
      <c r="AA99" s="2">
        <f t="shared" si="19"/>
        <v>0</v>
      </c>
    </row>
    <row r="100" spans="1:27" x14ac:dyDescent="0.25">
      <c r="C100" s="1"/>
      <c r="D100" s="1"/>
      <c r="E100" t="s">
        <v>141</v>
      </c>
      <c r="F100" t="s">
        <v>144</v>
      </c>
      <c r="H100" s="2">
        <f>H91*H97</f>
        <v>0</v>
      </c>
      <c r="I100" s="2">
        <f t="shared" ref="I100:AA100" si="20">I91*I97</f>
        <v>0</v>
      </c>
      <c r="J100" s="2">
        <f t="shared" si="20"/>
        <v>0</v>
      </c>
      <c r="K100" s="2">
        <f t="shared" si="20"/>
        <v>0</v>
      </c>
      <c r="L100" s="2">
        <f t="shared" si="20"/>
        <v>0</v>
      </c>
      <c r="M100" s="2">
        <f t="shared" si="20"/>
        <v>0</v>
      </c>
      <c r="N100" s="2">
        <f t="shared" si="20"/>
        <v>0</v>
      </c>
      <c r="O100" s="2">
        <f t="shared" si="20"/>
        <v>0</v>
      </c>
      <c r="P100" s="2">
        <f t="shared" si="20"/>
        <v>0</v>
      </c>
      <c r="Q100" s="2">
        <f t="shared" si="20"/>
        <v>0</v>
      </c>
      <c r="R100" s="2">
        <f t="shared" si="20"/>
        <v>0</v>
      </c>
      <c r="S100" s="2">
        <f t="shared" si="20"/>
        <v>0</v>
      </c>
      <c r="T100" s="2">
        <f t="shared" si="20"/>
        <v>0</v>
      </c>
      <c r="U100" s="2">
        <f t="shared" si="20"/>
        <v>0</v>
      </c>
      <c r="V100" s="2">
        <f t="shared" si="20"/>
        <v>0</v>
      </c>
      <c r="W100" s="2">
        <f t="shared" si="20"/>
        <v>0</v>
      </c>
      <c r="X100" s="2">
        <f t="shared" si="20"/>
        <v>0</v>
      </c>
      <c r="Y100" s="2">
        <f t="shared" si="20"/>
        <v>0</v>
      </c>
      <c r="Z100" s="2">
        <f t="shared" si="20"/>
        <v>0</v>
      </c>
      <c r="AA100" s="2">
        <f t="shared" si="20"/>
        <v>0</v>
      </c>
    </row>
    <row r="101" spans="1:27" x14ac:dyDescent="0.25">
      <c r="A101" s="14">
        <f>'Notes &amp; Assumptions'!A31</f>
        <v>18</v>
      </c>
      <c r="C101" s="1"/>
      <c r="D101" s="1"/>
      <c r="E101" t="s">
        <v>66</v>
      </c>
      <c r="F101" t="s">
        <v>8</v>
      </c>
      <c r="H101" s="11">
        <f>'YVW tariffs'!D25</f>
        <v>-4.24E-2</v>
      </c>
      <c r="I101" s="11">
        <f>'YVW tariffs'!E25</f>
        <v>-2.7400000000000001E-2</v>
      </c>
      <c r="J101" s="11">
        <v>0</v>
      </c>
      <c r="K101" s="11">
        <v>0</v>
      </c>
      <c r="L101" s="11">
        <v>0</v>
      </c>
      <c r="M101" s="11">
        <v>0</v>
      </c>
      <c r="N101" s="11">
        <v>0</v>
      </c>
      <c r="O101" s="11">
        <v>0</v>
      </c>
      <c r="P101" s="11">
        <v>0</v>
      </c>
      <c r="Q101" s="11">
        <v>0</v>
      </c>
      <c r="R101" s="11">
        <v>0</v>
      </c>
      <c r="S101" s="11">
        <v>0</v>
      </c>
      <c r="T101" s="11">
        <v>0</v>
      </c>
      <c r="U101" s="11">
        <v>0</v>
      </c>
      <c r="V101" s="11">
        <v>0</v>
      </c>
      <c r="W101" s="11">
        <v>0</v>
      </c>
      <c r="X101" s="11">
        <v>0</v>
      </c>
      <c r="Y101" s="11">
        <v>0</v>
      </c>
      <c r="Z101" s="11">
        <v>0</v>
      </c>
      <c r="AA101" s="11">
        <v>0</v>
      </c>
    </row>
    <row r="102" spans="1:27" x14ac:dyDescent="0.25">
      <c r="A102" s="14">
        <f>'Notes &amp; Assumptions'!A32</f>
        <v>19</v>
      </c>
      <c r="C102" s="1"/>
      <c r="D102" s="1"/>
      <c r="E102" t="s">
        <v>40</v>
      </c>
      <c r="F102" t="s">
        <v>41</v>
      </c>
      <c r="G102" s="20">
        <f>'YVW tariffs'!E4</f>
        <v>79.83198999999999</v>
      </c>
      <c r="H102" s="2">
        <f>G102*(1+$G$14)*(1+H101)</f>
        <v>78.05250301010399</v>
      </c>
      <c r="I102" s="2">
        <f t="shared" ref="I102:AA102" si="21">H102*(1+$G$14)*(1+I101)</f>
        <v>77.508055580607305</v>
      </c>
      <c r="J102" s="2">
        <f t="shared" si="21"/>
        <v>79.135724747800055</v>
      </c>
      <c r="K102" s="2">
        <f t="shared" si="21"/>
        <v>80.797574967503849</v>
      </c>
      <c r="L102" s="2">
        <f t="shared" si="21"/>
        <v>82.494324041821429</v>
      </c>
      <c r="M102" s="2">
        <f t="shared" si="21"/>
        <v>84.226704846699675</v>
      </c>
      <c r="N102" s="2">
        <f t="shared" si="21"/>
        <v>85.995465648480362</v>
      </c>
      <c r="O102" s="2">
        <f t="shared" si="21"/>
        <v>87.801370427098448</v>
      </c>
      <c r="P102" s="2">
        <f t="shared" si="21"/>
        <v>89.645199206067502</v>
      </c>
      <c r="Q102" s="2">
        <f t="shared" si="21"/>
        <v>91.527748389394915</v>
      </c>
      <c r="R102" s="2">
        <f t="shared" si="21"/>
        <v>93.449831105572201</v>
      </c>
      <c r="S102" s="2">
        <f t="shared" si="21"/>
        <v>95.412277558789214</v>
      </c>
      <c r="T102" s="2">
        <f t="shared" si="21"/>
        <v>97.415935387523774</v>
      </c>
      <c r="U102" s="2">
        <f t="shared" si="21"/>
        <v>99.461670030661764</v>
      </c>
      <c r="V102" s="2">
        <f t="shared" si="21"/>
        <v>101.55036510130566</v>
      </c>
      <c r="W102" s="2">
        <f t="shared" si="21"/>
        <v>103.68292276843307</v>
      </c>
      <c r="X102" s="2">
        <f t="shared" si="21"/>
        <v>105.86026414657016</v>
      </c>
      <c r="Y102" s="2">
        <f t="shared" si="21"/>
        <v>108.08332969364812</v>
      </c>
      <c r="Z102" s="2">
        <f t="shared" si="21"/>
        <v>110.35307961721473</v>
      </c>
      <c r="AA102" s="2">
        <f t="shared" si="21"/>
        <v>112.67049428917623</v>
      </c>
    </row>
    <row r="103" spans="1:27" x14ac:dyDescent="0.25">
      <c r="C103" s="1"/>
      <c r="D103" s="1"/>
      <c r="E103" t="s">
        <v>67</v>
      </c>
      <c r="F103" t="s">
        <v>143</v>
      </c>
      <c r="G103" s="20">
        <f>'YVW tariffs'!E5</f>
        <v>2.5268728999999999</v>
      </c>
      <c r="H103" s="21">
        <f>G103*(1+'YVW tariffs'!D26)*(1+H101)</f>
        <v>3.0841923051303834</v>
      </c>
      <c r="I103" s="21">
        <f>H103*(1+$G$14)*(1+I101)</f>
        <v>3.0626788301251766</v>
      </c>
      <c r="J103" s="21">
        <f t="shared" ref="J103:AA103" si="22">I103*(1+$G$14)*(1+J101)</f>
        <v>3.1269950855578053</v>
      </c>
      <c r="K103" s="21">
        <f t="shared" si="22"/>
        <v>3.1926619823545188</v>
      </c>
      <c r="L103" s="21">
        <f t="shared" si="22"/>
        <v>3.2597078839839635</v>
      </c>
      <c r="M103" s="21">
        <f t="shared" si="22"/>
        <v>3.3281617495476263</v>
      </c>
      <c r="N103" s="21">
        <f t="shared" si="22"/>
        <v>3.398053146288126</v>
      </c>
      <c r="O103" s="21">
        <f t="shared" si="22"/>
        <v>3.4694122623601764</v>
      </c>
      <c r="P103" s="21">
        <f t="shared" si="22"/>
        <v>3.5422699198697396</v>
      </c>
      <c r="Q103" s="21">
        <f t="shared" si="22"/>
        <v>3.616657588187004</v>
      </c>
      <c r="R103" s="21">
        <f t="shared" si="22"/>
        <v>3.6926073975389309</v>
      </c>
      <c r="S103" s="21">
        <f t="shared" si="22"/>
        <v>3.7701521528872481</v>
      </c>
      <c r="T103" s="21">
        <f t="shared" si="22"/>
        <v>3.8493253480978802</v>
      </c>
      <c r="U103" s="21">
        <f t="shared" si="22"/>
        <v>3.9301611804079353</v>
      </c>
      <c r="V103" s="21">
        <f t="shared" si="22"/>
        <v>4.0126945651965018</v>
      </c>
      <c r="W103" s="21">
        <f t="shared" si="22"/>
        <v>4.0969611510656279</v>
      </c>
      <c r="X103" s="21">
        <f t="shared" si="22"/>
        <v>4.1829973352380057</v>
      </c>
      <c r="Y103" s="21">
        <f t="shared" si="22"/>
        <v>4.2708402792780031</v>
      </c>
      <c r="Z103" s="21">
        <f t="shared" si="22"/>
        <v>4.3605279251428408</v>
      </c>
      <c r="AA103" s="21">
        <f t="shared" si="22"/>
        <v>4.4520990115708399</v>
      </c>
    </row>
    <row r="104" spans="1:27" x14ac:dyDescent="0.25">
      <c r="C104" s="1"/>
      <c r="D104" s="1"/>
      <c r="E104" t="s">
        <v>68</v>
      </c>
      <c r="F104" t="s">
        <v>143</v>
      </c>
      <c r="G104" s="20">
        <f>'YVW tariffs'!E6</f>
        <v>3.2042042999999998</v>
      </c>
      <c r="H104" s="21">
        <f>G104*(1+'YVW tariffs'!D27)*(1+H101)</f>
        <v>4.0367160471718071</v>
      </c>
      <c r="I104" s="21">
        <f t="shared" ref="I104:AA104" si="23">H104*(1+$G$14)*(1+I101)</f>
        <v>4.008558338056365</v>
      </c>
      <c r="J104" s="21">
        <f t="shared" si="23"/>
        <v>4.0927380631555481</v>
      </c>
      <c r="K104" s="21">
        <f t="shared" si="23"/>
        <v>4.1786855624818147</v>
      </c>
      <c r="L104" s="21">
        <f t="shared" si="23"/>
        <v>4.2664379592939321</v>
      </c>
      <c r="M104" s="21">
        <f t="shared" si="23"/>
        <v>4.3560331564391044</v>
      </c>
      <c r="N104" s="21">
        <f t="shared" si="23"/>
        <v>4.4475098527243251</v>
      </c>
      <c r="O104" s="21">
        <f t="shared" si="23"/>
        <v>4.5409075596315356</v>
      </c>
      <c r="P104" s="21">
        <f t="shared" si="23"/>
        <v>4.6362666183837975</v>
      </c>
      <c r="Q104" s="21">
        <f t="shared" si="23"/>
        <v>4.7336282173698567</v>
      </c>
      <c r="R104" s="21">
        <f t="shared" si="23"/>
        <v>4.8330344099346236</v>
      </c>
      <c r="S104" s="21">
        <f t="shared" si="23"/>
        <v>4.9345281325432504</v>
      </c>
      <c r="T104" s="21">
        <f t="shared" si="23"/>
        <v>5.0381532233266579</v>
      </c>
      <c r="U104" s="21">
        <f t="shared" si="23"/>
        <v>5.1439544410165174</v>
      </c>
      <c r="V104" s="21">
        <f t="shared" si="23"/>
        <v>5.2519774842778641</v>
      </c>
      <c r="W104" s="21">
        <f t="shared" si="23"/>
        <v>5.3622690114476992</v>
      </c>
      <c r="X104" s="21">
        <f t="shared" si="23"/>
        <v>5.4748766606881007</v>
      </c>
      <c r="Y104" s="21">
        <f t="shared" si="23"/>
        <v>5.5898490705625505</v>
      </c>
      <c r="Z104" s="21">
        <f t="shared" si="23"/>
        <v>5.7072359010443634</v>
      </c>
      <c r="AA104" s="21">
        <f t="shared" si="23"/>
        <v>5.8270878549662948</v>
      </c>
    </row>
    <row r="105" spans="1:27" x14ac:dyDescent="0.25">
      <c r="C105" s="1"/>
      <c r="D105" s="1"/>
      <c r="E105" t="s">
        <v>142</v>
      </c>
      <c r="F105" t="s">
        <v>143</v>
      </c>
      <c r="G105" s="20">
        <f>'YVW tariffs'!E7</f>
        <v>4.7208997999999998</v>
      </c>
      <c r="H105" s="21">
        <f>G105*(1+'YVW tariffs'!D28)*(1+H101)</f>
        <v>4.6681095654204476</v>
      </c>
      <c r="I105" s="21">
        <f t="shared" ref="I105:AA105" si="24">H105*(1+$G$14)*(1+I101)</f>
        <v>4.6355476339578132</v>
      </c>
      <c r="J105" s="21">
        <f t="shared" si="24"/>
        <v>4.7328941342709268</v>
      </c>
      <c r="K105" s="21">
        <f t="shared" si="24"/>
        <v>4.8322849110906159</v>
      </c>
      <c r="L105" s="21">
        <f t="shared" si="24"/>
        <v>4.9337628942235181</v>
      </c>
      <c r="M105" s="21">
        <f t="shared" si="24"/>
        <v>5.0373719150022112</v>
      </c>
      <c r="N105" s="21">
        <f t="shared" si="24"/>
        <v>5.1431567252172572</v>
      </c>
      <c r="O105" s="21">
        <f t="shared" si="24"/>
        <v>5.251163016446819</v>
      </c>
      <c r="P105" s="21">
        <f t="shared" si="24"/>
        <v>5.3614374397922013</v>
      </c>
      <c r="Q105" s="21">
        <f t="shared" si="24"/>
        <v>5.4740276260278371</v>
      </c>
      <c r="R105" s="21">
        <f t="shared" si="24"/>
        <v>5.5889822061744212</v>
      </c>
      <c r="S105" s="21">
        <f t="shared" si="24"/>
        <v>5.7063508325040839</v>
      </c>
      <c r="T105" s="21">
        <f t="shared" si="24"/>
        <v>5.8261841999866695</v>
      </c>
      <c r="U105" s="21">
        <f t="shared" si="24"/>
        <v>5.9485340681863894</v>
      </c>
      <c r="V105" s="21">
        <f t="shared" si="24"/>
        <v>6.0734532836183028</v>
      </c>
      <c r="W105" s="21">
        <f t="shared" si="24"/>
        <v>6.2009958025742868</v>
      </c>
      <c r="X105" s="21">
        <f t="shared" si="24"/>
        <v>6.3312167144283462</v>
      </c>
      <c r="Y105" s="21">
        <f t="shared" si="24"/>
        <v>6.4641722654313405</v>
      </c>
      <c r="Z105" s="21">
        <f t="shared" si="24"/>
        <v>6.5999198830053984</v>
      </c>
      <c r="AA105" s="21">
        <f t="shared" si="24"/>
        <v>6.7385182005485111</v>
      </c>
    </row>
    <row r="106" spans="1:27" x14ac:dyDescent="0.25">
      <c r="C106" s="1"/>
      <c r="D106" s="1"/>
    </row>
    <row r="107" spans="1:27" x14ac:dyDescent="0.25">
      <c r="C107" s="1"/>
      <c r="D107" s="1"/>
      <c r="E107" t="s">
        <v>69</v>
      </c>
      <c r="F107" t="s">
        <v>58</v>
      </c>
      <c r="H107" s="2">
        <f>SUM(H98:H100)/1000</f>
        <v>1586.1</v>
      </c>
      <c r="I107" s="2">
        <f t="shared" ref="I107:AA107" si="25">SUM(I98:I100)/1000</f>
        <v>3092.7</v>
      </c>
      <c r="J107" s="2">
        <f t="shared" si="25"/>
        <v>4546.8450000000003</v>
      </c>
      <c r="K107" s="2">
        <f t="shared" si="25"/>
        <v>5876.1750000000002</v>
      </c>
      <c r="L107" s="2">
        <f t="shared" si="25"/>
        <v>7084.0199999999986</v>
      </c>
      <c r="M107" s="2">
        <f t="shared" si="25"/>
        <v>8177.9699999999993</v>
      </c>
      <c r="N107" s="2">
        <f t="shared" si="25"/>
        <v>9163.4249999999975</v>
      </c>
      <c r="O107" s="2">
        <f t="shared" si="25"/>
        <v>10046.639999999998</v>
      </c>
      <c r="P107" s="2">
        <f t="shared" si="25"/>
        <v>10915.574999999999</v>
      </c>
      <c r="Q107" s="2">
        <f t="shared" si="25"/>
        <v>11765.969999999998</v>
      </c>
      <c r="R107" s="2">
        <f t="shared" si="25"/>
        <v>12666.344999999998</v>
      </c>
      <c r="S107" s="2">
        <f t="shared" si="25"/>
        <v>13620.374999999998</v>
      </c>
      <c r="T107" s="2">
        <f t="shared" si="25"/>
        <v>14630.999999999998</v>
      </c>
      <c r="U107" s="2">
        <f t="shared" si="25"/>
        <v>15635.009999999997</v>
      </c>
      <c r="V107" s="2">
        <f t="shared" si="25"/>
        <v>16631.669999999995</v>
      </c>
      <c r="W107" s="2">
        <f t="shared" si="25"/>
        <v>16631.669999999995</v>
      </c>
      <c r="X107" s="2">
        <f t="shared" si="25"/>
        <v>16631.669999999995</v>
      </c>
      <c r="Y107" s="2">
        <f t="shared" si="25"/>
        <v>16631.669999999995</v>
      </c>
      <c r="Z107" s="2">
        <f t="shared" si="25"/>
        <v>16631.669999999995</v>
      </c>
      <c r="AA107" s="2">
        <f t="shared" si="25"/>
        <v>16631.669999999995</v>
      </c>
    </row>
    <row r="108" spans="1:27" x14ac:dyDescent="0.25">
      <c r="C108" s="1"/>
      <c r="D108" s="1"/>
      <c r="E108" t="s">
        <v>70</v>
      </c>
      <c r="F108" t="s">
        <v>7</v>
      </c>
      <c r="H108" s="2">
        <f>H91*H102+H98*H103+H99*H104+H100*H105</f>
        <v>5717164.581996141</v>
      </c>
      <c r="I108" s="2">
        <f t="shared" ref="I108:AA108" si="26">I91*I102+I98*I103+I99*I104+I100*I105</f>
        <v>11070007.907889094</v>
      </c>
      <c r="J108" s="2">
        <f t="shared" si="26"/>
        <v>16616747.799065819</v>
      </c>
      <c r="K108" s="2">
        <f t="shared" si="26"/>
        <v>21925845.124726545</v>
      </c>
      <c r="L108" s="2">
        <f t="shared" si="26"/>
        <v>26987778.786958363</v>
      </c>
      <c r="M108" s="2">
        <f t="shared" si="26"/>
        <v>31809630.045849096</v>
      </c>
      <c r="N108" s="2">
        <f t="shared" si="26"/>
        <v>36391225.150758103</v>
      </c>
      <c r="O108" s="2">
        <f t="shared" si="26"/>
        <v>40736661.079436272</v>
      </c>
      <c r="P108" s="2">
        <f t="shared" si="26"/>
        <v>45189438.949407257</v>
      </c>
      <c r="Q108" s="2">
        <f t="shared" si="26"/>
        <v>49732902.9609951</v>
      </c>
      <c r="R108" s="2">
        <f t="shared" si="26"/>
        <v>54662957.919946298</v>
      </c>
      <c r="S108" s="2">
        <f t="shared" si="26"/>
        <v>60014559.462413594</v>
      </c>
      <c r="T108" s="2">
        <f t="shared" si="26"/>
        <v>65821429.50571914</v>
      </c>
      <c r="U108" s="2">
        <f t="shared" si="26"/>
        <v>71815337.394263834</v>
      </c>
      <c r="V108" s="2">
        <f t="shared" si="26"/>
        <v>77997492.89077124</v>
      </c>
      <c r="W108" s="2">
        <f t="shared" si="26"/>
        <v>79635440.241477415</v>
      </c>
      <c r="X108" s="2">
        <f t="shared" si="26"/>
        <v>81307784.486548439</v>
      </c>
      <c r="Y108" s="2">
        <f t="shared" si="26"/>
        <v>83015247.960765943</v>
      </c>
      <c r="Z108" s="2">
        <f t="shared" si="26"/>
        <v>84758568.167942032</v>
      </c>
      <c r="AA108" s="2">
        <f t="shared" si="26"/>
        <v>86538498.099468797</v>
      </c>
    </row>
    <row r="109" spans="1:27" x14ac:dyDescent="0.25">
      <c r="C109" s="1"/>
      <c r="D109" s="1"/>
    </row>
    <row r="110" spans="1:27" x14ac:dyDescent="0.25">
      <c r="C110" s="1"/>
      <c r="D110" t="s">
        <v>71</v>
      </c>
    </row>
    <row r="111" spans="1:27" x14ac:dyDescent="0.25">
      <c r="A111" s="14">
        <f>'Notes &amp; Assumptions'!A33</f>
        <v>20</v>
      </c>
      <c r="C111" s="1"/>
      <c r="D111" s="1"/>
      <c r="E111" t="s">
        <v>87</v>
      </c>
      <c r="F111" t="s">
        <v>3</v>
      </c>
      <c r="H111" s="10">
        <f>'Customer numbers'!P30+'20 Epping North Water'!H111+'20 Greenvale Water'!H111</f>
        <v>736</v>
      </c>
      <c r="I111" s="10">
        <f>'Customer numbers'!Q30+'20 Epping North Water'!I111+'20 Greenvale Water'!I111</f>
        <v>736</v>
      </c>
      <c r="J111" s="10">
        <f>'Customer numbers'!R30+'20 Epping North Water'!J111+'20 Greenvale Water'!J111</f>
        <v>752</v>
      </c>
      <c r="K111" s="10">
        <f>'Customer numbers'!S30+'20 Epping North Water'!K111+'20 Greenvale Water'!K111</f>
        <v>720</v>
      </c>
      <c r="L111" s="10">
        <f>'Customer numbers'!T30+'20 Epping North Water'!L111+'20 Greenvale Water'!L111</f>
        <v>696</v>
      </c>
      <c r="M111" s="10">
        <f>'Customer numbers'!U30+'20 Epping North Water'!M111+'20 Greenvale Water'!M111</f>
        <v>664</v>
      </c>
      <c r="N111" s="10">
        <f>'Customer numbers'!V30+'20 Epping North Water'!N111+'20 Greenvale Water'!N111</f>
        <v>640</v>
      </c>
      <c r="O111" s="10">
        <f>'Customer numbers'!W30+'20 Epping North Water'!O111+'20 Greenvale Water'!O111</f>
        <v>616</v>
      </c>
      <c r="P111" s="10">
        <f>'Customer numbers'!X30+'20 Epping North Water'!P111+'20 Greenvale Water'!P111</f>
        <v>648</v>
      </c>
      <c r="Q111" s="10">
        <f>'Customer numbers'!Y30+'20 Epping North Water'!Q111+'20 Greenvale Water'!Q111</f>
        <v>688</v>
      </c>
      <c r="R111" s="10">
        <f>'Customer numbers'!Z30+'20 Epping North Water'!R111+'20 Greenvale Water'!R111</f>
        <v>728</v>
      </c>
      <c r="S111" s="10">
        <f>'Customer numbers'!AA30+'20 Epping North Water'!S111+'20 Greenvale Water'!S111</f>
        <v>776</v>
      </c>
      <c r="T111" s="10">
        <f>'Customer numbers'!AB30+'20 Epping North Water'!T111+'20 Greenvale Water'!T111</f>
        <v>816</v>
      </c>
      <c r="U111" s="10">
        <f>'Customer numbers'!AC30+'20 Epping North Water'!U111+'20 Greenvale Water'!U111</f>
        <v>808</v>
      </c>
      <c r="V111" s="10">
        <f>'Customer numbers'!AD30+'20 Epping North Water'!V111+'20 Greenvale Water'!V111</f>
        <v>808</v>
      </c>
    </row>
    <row r="112" spans="1:27" x14ac:dyDescent="0.25">
      <c r="C112" s="1"/>
      <c r="D112" s="1"/>
      <c r="E112" t="s">
        <v>60</v>
      </c>
      <c r="F112" t="s">
        <v>3</v>
      </c>
      <c r="G112">
        <f>IF('Key assumptions'!B4="yes",SUM('Customer numbers'!F31:O31),0)</f>
        <v>0</v>
      </c>
      <c r="H112" s="2">
        <f>G112+H111</f>
        <v>736</v>
      </c>
      <c r="I112" s="2">
        <f t="shared" ref="I112:AA112" si="27">H112+I111</f>
        <v>1472</v>
      </c>
      <c r="J112" s="2">
        <f t="shared" si="27"/>
        <v>2224</v>
      </c>
      <c r="K112" s="2">
        <f t="shared" si="27"/>
        <v>2944</v>
      </c>
      <c r="L112" s="2">
        <f t="shared" si="27"/>
        <v>3640</v>
      </c>
      <c r="M112" s="2">
        <f t="shared" si="27"/>
        <v>4304</v>
      </c>
      <c r="N112" s="2">
        <f t="shared" si="27"/>
        <v>4944</v>
      </c>
      <c r="O112" s="2">
        <f t="shared" si="27"/>
        <v>5560</v>
      </c>
      <c r="P112" s="2">
        <f t="shared" si="27"/>
        <v>6208</v>
      </c>
      <c r="Q112" s="2">
        <f t="shared" si="27"/>
        <v>6896</v>
      </c>
      <c r="R112" s="2">
        <f t="shared" si="27"/>
        <v>7624</v>
      </c>
      <c r="S112" s="2">
        <f t="shared" si="27"/>
        <v>8400</v>
      </c>
      <c r="T112" s="2">
        <f t="shared" si="27"/>
        <v>9216</v>
      </c>
      <c r="U112" s="2">
        <f t="shared" si="27"/>
        <v>10024</v>
      </c>
      <c r="V112" s="2">
        <f t="shared" si="27"/>
        <v>10832</v>
      </c>
      <c r="W112" s="2">
        <f t="shared" si="27"/>
        <v>10832</v>
      </c>
      <c r="X112" s="2">
        <f t="shared" si="27"/>
        <v>10832</v>
      </c>
      <c r="Y112" s="2">
        <f t="shared" si="27"/>
        <v>10832</v>
      </c>
      <c r="Z112" s="2">
        <f t="shared" si="27"/>
        <v>10832</v>
      </c>
      <c r="AA112" s="2">
        <f t="shared" si="27"/>
        <v>10832</v>
      </c>
    </row>
    <row r="113" spans="1:27" x14ac:dyDescent="0.25">
      <c r="A113" s="14">
        <f>'Notes &amp; Assumptions'!A34</f>
        <v>21</v>
      </c>
      <c r="C113" s="1"/>
      <c r="D113" s="1"/>
      <c r="E113" t="s">
        <v>61</v>
      </c>
      <c r="F113" t="s">
        <v>3</v>
      </c>
      <c r="G113" s="10">
        <v>1</v>
      </c>
    </row>
    <row r="114" spans="1:27" x14ac:dyDescent="0.25">
      <c r="C114" s="1"/>
      <c r="D114" s="1"/>
      <c r="E114" t="s">
        <v>88</v>
      </c>
      <c r="F114" t="s">
        <v>3</v>
      </c>
      <c r="H114">
        <f>H111*$G113</f>
        <v>736</v>
      </c>
      <c r="I114">
        <f t="shared" ref="I114:AA114" si="28">I111*$G113</f>
        <v>736</v>
      </c>
      <c r="J114">
        <f t="shared" si="28"/>
        <v>752</v>
      </c>
      <c r="K114">
        <f t="shared" si="28"/>
        <v>720</v>
      </c>
      <c r="L114">
        <f t="shared" si="28"/>
        <v>696</v>
      </c>
      <c r="M114">
        <f t="shared" si="28"/>
        <v>664</v>
      </c>
      <c r="N114">
        <f t="shared" si="28"/>
        <v>640</v>
      </c>
      <c r="O114">
        <f t="shared" si="28"/>
        <v>616</v>
      </c>
      <c r="P114">
        <f t="shared" si="28"/>
        <v>648</v>
      </c>
      <c r="Q114">
        <f t="shared" si="28"/>
        <v>688</v>
      </c>
      <c r="R114">
        <f t="shared" si="28"/>
        <v>728</v>
      </c>
      <c r="S114">
        <f t="shared" si="28"/>
        <v>776</v>
      </c>
      <c r="T114">
        <f t="shared" si="28"/>
        <v>816</v>
      </c>
      <c r="U114">
        <f t="shared" si="28"/>
        <v>808</v>
      </c>
      <c r="V114">
        <f t="shared" si="28"/>
        <v>808</v>
      </c>
      <c r="W114">
        <f t="shared" si="28"/>
        <v>0</v>
      </c>
      <c r="X114">
        <f t="shared" si="28"/>
        <v>0</v>
      </c>
      <c r="Y114">
        <f t="shared" si="28"/>
        <v>0</v>
      </c>
      <c r="Z114">
        <f t="shared" si="28"/>
        <v>0</v>
      </c>
      <c r="AA114">
        <f t="shared" si="28"/>
        <v>0</v>
      </c>
    </row>
    <row r="115" spans="1:27" x14ac:dyDescent="0.25">
      <c r="C115" s="1"/>
      <c r="D115" s="1"/>
      <c r="E115" t="s">
        <v>89</v>
      </c>
      <c r="F115" t="s">
        <v>3</v>
      </c>
      <c r="H115">
        <f>H112*$G113</f>
        <v>736</v>
      </c>
      <c r="I115">
        <f t="shared" ref="I115:AA115" si="29">I112*$G113</f>
        <v>1472</v>
      </c>
      <c r="J115">
        <f t="shared" si="29"/>
        <v>2224</v>
      </c>
      <c r="K115">
        <f t="shared" si="29"/>
        <v>2944</v>
      </c>
      <c r="L115">
        <f t="shared" si="29"/>
        <v>3640</v>
      </c>
      <c r="M115">
        <f t="shared" si="29"/>
        <v>4304</v>
      </c>
      <c r="N115">
        <f t="shared" si="29"/>
        <v>4944</v>
      </c>
      <c r="O115">
        <f t="shared" si="29"/>
        <v>5560</v>
      </c>
      <c r="P115">
        <f t="shared" si="29"/>
        <v>6208</v>
      </c>
      <c r="Q115">
        <f t="shared" si="29"/>
        <v>6896</v>
      </c>
      <c r="R115">
        <f t="shared" si="29"/>
        <v>7624</v>
      </c>
      <c r="S115">
        <f t="shared" si="29"/>
        <v>8400</v>
      </c>
      <c r="T115">
        <f t="shared" si="29"/>
        <v>9216</v>
      </c>
      <c r="U115">
        <f t="shared" si="29"/>
        <v>10024</v>
      </c>
      <c r="V115">
        <f t="shared" si="29"/>
        <v>10832</v>
      </c>
      <c r="W115">
        <f t="shared" si="29"/>
        <v>10832</v>
      </c>
      <c r="X115">
        <f t="shared" si="29"/>
        <v>10832</v>
      </c>
      <c r="Y115">
        <f t="shared" si="29"/>
        <v>10832</v>
      </c>
      <c r="Z115">
        <f t="shared" si="29"/>
        <v>10832</v>
      </c>
      <c r="AA115">
        <f t="shared" si="29"/>
        <v>10832</v>
      </c>
    </row>
    <row r="116" spans="1:27" x14ac:dyDescent="0.25">
      <c r="A116" s="14">
        <f>'Notes &amp; Assumptions'!A35</f>
        <v>22</v>
      </c>
      <c r="C116" s="1"/>
      <c r="D116" s="1"/>
      <c r="E116" t="s">
        <v>62</v>
      </c>
      <c r="F116" t="s">
        <v>43</v>
      </c>
      <c r="H116" s="10">
        <f>'Key assumptions'!B26</f>
        <v>520</v>
      </c>
      <c r="I116" s="10">
        <f>H116</f>
        <v>520</v>
      </c>
      <c r="J116" s="10">
        <f t="shared" ref="J116:AA116" si="30">I116</f>
        <v>520</v>
      </c>
      <c r="K116" s="10">
        <f t="shared" si="30"/>
        <v>520</v>
      </c>
      <c r="L116" s="10">
        <f t="shared" si="30"/>
        <v>520</v>
      </c>
      <c r="M116" s="10">
        <f t="shared" si="30"/>
        <v>520</v>
      </c>
      <c r="N116" s="10">
        <f t="shared" si="30"/>
        <v>520</v>
      </c>
      <c r="O116" s="10">
        <f t="shared" si="30"/>
        <v>520</v>
      </c>
      <c r="P116" s="10">
        <f t="shared" si="30"/>
        <v>520</v>
      </c>
      <c r="Q116" s="10">
        <f t="shared" si="30"/>
        <v>520</v>
      </c>
      <c r="R116" s="10">
        <f t="shared" si="30"/>
        <v>520</v>
      </c>
      <c r="S116" s="10">
        <f t="shared" si="30"/>
        <v>520</v>
      </c>
      <c r="T116" s="10">
        <f t="shared" si="30"/>
        <v>520</v>
      </c>
      <c r="U116" s="10">
        <f t="shared" si="30"/>
        <v>520</v>
      </c>
      <c r="V116" s="10">
        <f t="shared" si="30"/>
        <v>520</v>
      </c>
      <c r="W116" s="10">
        <f t="shared" si="30"/>
        <v>520</v>
      </c>
      <c r="X116" s="10">
        <f t="shared" si="30"/>
        <v>520</v>
      </c>
      <c r="Y116" s="10">
        <f t="shared" si="30"/>
        <v>520</v>
      </c>
      <c r="Z116" s="10">
        <f t="shared" si="30"/>
        <v>520</v>
      </c>
      <c r="AA116" s="10">
        <f t="shared" si="30"/>
        <v>520</v>
      </c>
    </row>
    <row r="117" spans="1:27" x14ac:dyDescent="0.25">
      <c r="C117" s="1"/>
      <c r="D117" s="1"/>
      <c r="E117" t="s">
        <v>63</v>
      </c>
      <c r="F117" t="s">
        <v>43</v>
      </c>
      <c r="H117" s="10"/>
      <c r="I117" s="10"/>
      <c r="J117" s="10"/>
      <c r="K117" s="10"/>
      <c r="L117" s="10"/>
      <c r="M117" s="10"/>
      <c r="N117" s="10"/>
      <c r="O117" s="10"/>
      <c r="P117" s="10"/>
      <c r="Q117" s="10"/>
      <c r="R117" s="10"/>
      <c r="S117" s="10"/>
      <c r="T117" s="10"/>
      <c r="U117" s="10"/>
      <c r="V117" s="10"/>
      <c r="W117" s="10"/>
      <c r="X117" s="10"/>
      <c r="Y117" s="10"/>
      <c r="Z117" s="10"/>
      <c r="AA117" s="10"/>
    </row>
    <row r="118" spans="1:27" x14ac:dyDescent="0.25">
      <c r="C118" s="1"/>
      <c r="D118" s="1"/>
      <c r="E118" t="s">
        <v>140</v>
      </c>
      <c r="F118" t="s">
        <v>43</v>
      </c>
      <c r="H118" s="10"/>
      <c r="I118" s="10"/>
      <c r="J118" s="10"/>
      <c r="K118" s="10"/>
      <c r="L118" s="10"/>
      <c r="M118" s="10"/>
      <c r="N118" s="10"/>
      <c r="O118" s="10"/>
      <c r="P118" s="10"/>
      <c r="Q118" s="10"/>
      <c r="R118" s="10"/>
      <c r="S118" s="10"/>
      <c r="T118" s="10"/>
      <c r="U118" s="10"/>
      <c r="V118" s="10"/>
      <c r="W118" s="10"/>
      <c r="X118" s="10"/>
      <c r="Y118" s="10"/>
      <c r="Z118" s="10"/>
      <c r="AA118" s="10"/>
    </row>
    <row r="119" spans="1:27" x14ac:dyDescent="0.25">
      <c r="C119" s="1"/>
      <c r="D119" s="1"/>
      <c r="E119" t="s">
        <v>64</v>
      </c>
      <c r="F119" t="s">
        <v>144</v>
      </c>
      <c r="H119" s="2">
        <f>H112*H116</f>
        <v>382720</v>
      </c>
      <c r="I119" s="2">
        <f t="shared" ref="I119:AA119" si="31">I112*I116</f>
        <v>765440</v>
      </c>
      <c r="J119" s="2">
        <f t="shared" si="31"/>
        <v>1156480</v>
      </c>
      <c r="K119" s="2">
        <f t="shared" si="31"/>
        <v>1530880</v>
      </c>
      <c r="L119" s="2">
        <f t="shared" si="31"/>
        <v>1892800</v>
      </c>
      <c r="M119" s="2">
        <f t="shared" si="31"/>
        <v>2238080</v>
      </c>
      <c r="N119" s="2">
        <f t="shared" si="31"/>
        <v>2570880</v>
      </c>
      <c r="O119" s="2">
        <f t="shared" si="31"/>
        <v>2891200</v>
      </c>
      <c r="P119" s="2">
        <f t="shared" si="31"/>
        <v>3228160</v>
      </c>
      <c r="Q119" s="2">
        <f t="shared" si="31"/>
        <v>3585920</v>
      </c>
      <c r="R119" s="2">
        <f t="shared" si="31"/>
        <v>3964480</v>
      </c>
      <c r="S119" s="2">
        <f t="shared" si="31"/>
        <v>4368000</v>
      </c>
      <c r="T119" s="2">
        <f t="shared" si="31"/>
        <v>4792320</v>
      </c>
      <c r="U119" s="2">
        <f t="shared" si="31"/>
        <v>5212480</v>
      </c>
      <c r="V119" s="2">
        <f t="shared" si="31"/>
        <v>5632640</v>
      </c>
      <c r="W119" s="2">
        <f t="shared" si="31"/>
        <v>5632640</v>
      </c>
      <c r="X119" s="2">
        <f t="shared" si="31"/>
        <v>5632640</v>
      </c>
      <c r="Y119" s="2">
        <f t="shared" si="31"/>
        <v>5632640</v>
      </c>
      <c r="Z119" s="2">
        <f t="shared" si="31"/>
        <v>5632640</v>
      </c>
      <c r="AA119" s="2">
        <f t="shared" si="31"/>
        <v>5632640</v>
      </c>
    </row>
    <row r="120" spans="1:27" x14ac:dyDescent="0.25">
      <c r="C120" s="1"/>
      <c r="D120" s="1"/>
      <c r="E120" t="s">
        <v>65</v>
      </c>
      <c r="F120" t="s">
        <v>144</v>
      </c>
      <c r="H120" s="2">
        <f>H112*H117</f>
        <v>0</v>
      </c>
      <c r="I120" s="2">
        <f t="shared" ref="I120:AA120" si="32">I112*I117</f>
        <v>0</v>
      </c>
      <c r="J120" s="2">
        <f t="shared" si="32"/>
        <v>0</v>
      </c>
      <c r="K120" s="2">
        <f t="shared" si="32"/>
        <v>0</v>
      </c>
      <c r="L120" s="2">
        <f t="shared" si="32"/>
        <v>0</v>
      </c>
      <c r="M120" s="2">
        <f t="shared" si="32"/>
        <v>0</v>
      </c>
      <c r="N120" s="2">
        <f t="shared" si="32"/>
        <v>0</v>
      </c>
      <c r="O120" s="2">
        <f t="shared" si="32"/>
        <v>0</v>
      </c>
      <c r="P120" s="2">
        <f t="shared" si="32"/>
        <v>0</v>
      </c>
      <c r="Q120" s="2">
        <f t="shared" si="32"/>
        <v>0</v>
      </c>
      <c r="R120" s="2">
        <f t="shared" si="32"/>
        <v>0</v>
      </c>
      <c r="S120" s="2">
        <f t="shared" si="32"/>
        <v>0</v>
      </c>
      <c r="T120" s="2">
        <f t="shared" si="32"/>
        <v>0</v>
      </c>
      <c r="U120" s="2">
        <f t="shared" si="32"/>
        <v>0</v>
      </c>
      <c r="V120" s="2">
        <f t="shared" si="32"/>
        <v>0</v>
      </c>
      <c r="W120" s="2">
        <f t="shared" si="32"/>
        <v>0</v>
      </c>
      <c r="X120" s="2">
        <f t="shared" si="32"/>
        <v>0</v>
      </c>
      <c r="Y120" s="2">
        <f t="shared" si="32"/>
        <v>0</v>
      </c>
      <c r="Z120" s="2">
        <f t="shared" si="32"/>
        <v>0</v>
      </c>
      <c r="AA120" s="2">
        <f t="shared" si="32"/>
        <v>0</v>
      </c>
    </row>
    <row r="121" spans="1:27" x14ac:dyDescent="0.25">
      <c r="C121" s="1"/>
      <c r="D121" s="1"/>
      <c r="E121" t="s">
        <v>141</v>
      </c>
      <c r="F121" t="s">
        <v>144</v>
      </c>
      <c r="H121" s="2">
        <f>H112*H118</f>
        <v>0</v>
      </c>
      <c r="I121" s="2">
        <f t="shared" ref="I121:AA121" si="33">I112*I118</f>
        <v>0</v>
      </c>
      <c r="J121" s="2">
        <f t="shared" si="33"/>
        <v>0</v>
      </c>
      <c r="K121" s="2">
        <f t="shared" si="33"/>
        <v>0</v>
      </c>
      <c r="L121" s="2">
        <f t="shared" si="33"/>
        <v>0</v>
      </c>
      <c r="M121" s="2">
        <f t="shared" si="33"/>
        <v>0</v>
      </c>
      <c r="N121" s="2">
        <f t="shared" si="33"/>
        <v>0</v>
      </c>
      <c r="O121" s="2">
        <f t="shared" si="33"/>
        <v>0</v>
      </c>
      <c r="P121" s="2">
        <f t="shared" si="33"/>
        <v>0</v>
      </c>
      <c r="Q121" s="2">
        <f t="shared" si="33"/>
        <v>0</v>
      </c>
      <c r="R121" s="2">
        <f t="shared" si="33"/>
        <v>0</v>
      </c>
      <c r="S121" s="2">
        <f t="shared" si="33"/>
        <v>0</v>
      </c>
      <c r="T121" s="2">
        <f t="shared" si="33"/>
        <v>0</v>
      </c>
      <c r="U121" s="2">
        <f t="shared" si="33"/>
        <v>0</v>
      </c>
      <c r="V121" s="2">
        <f t="shared" si="33"/>
        <v>0</v>
      </c>
      <c r="W121" s="2">
        <f t="shared" si="33"/>
        <v>0</v>
      </c>
      <c r="X121" s="2">
        <f t="shared" si="33"/>
        <v>0</v>
      </c>
      <c r="Y121" s="2">
        <f t="shared" si="33"/>
        <v>0</v>
      </c>
      <c r="Z121" s="2">
        <f t="shared" si="33"/>
        <v>0</v>
      </c>
      <c r="AA121" s="2">
        <f t="shared" si="33"/>
        <v>0</v>
      </c>
    </row>
    <row r="122" spans="1:27" x14ac:dyDescent="0.25">
      <c r="A122" s="14">
        <f>'Notes &amp; Assumptions'!A36</f>
        <v>23</v>
      </c>
      <c r="C122" s="1"/>
      <c r="D122" s="1"/>
      <c r="E122" t="s">
        <v>66</v>
      </c>
      <c r="F122" t="s">
        <v>8</v>
      </c>
      <c r="H122" s="11">
        <f>'YVW tariffs'!D35</f>
        <v>-4.24E-2</v>
      </c>
      <c r="I122" s="11">
        <f>'YVW tariffs'!E35</f>
        <v>-2.7400000000000001E-2</v>
      </c>
      <c r="J122" s="11">
        <f>'YVW tariffs'!F35</f>
        <v>0</v>
      </c>
      <c r="K122" s="11">
        <f>'YVW tariffs'!G35</f>
        <v>0</v>
      </c>
      <c r="L122" s="11">
        <f>'YVW tariffs'!H35</f>
        <v>0</v>
      </c>
      <c r="M122" s="11"/>
      <c r="N122" s="11"/>
      <c r="O122" s="11"/>
      <c r="P122" s="11"/>
      <c r="Q122" s="11"/>
      <c r="R122" s="11"/>
      <c r="S122" s="11"/>
      <c r="T122" s="11"/>
      <c r="U122" s="11"/>
      <c r="V122" s="11"/>
      <c r="W122" s="11"/>
      <c r="X122" s="11"/>
      <c r="Y122" s="11"/>
      <c r="Z122" s="11"/>
      <c r="AA122" s="11"/>
    </row>
    <row r="123" spans="1:27" x14ac:dyDescent="0.25">
      <c r="A123" s="14">
        <f>'Notes &amp; Assumptions'!A37</f>
        <v>24</v>
      </c>
      <c r="C123" s="1"/>
      <c r="D123" s="1"/>
      <c r="E123" t="s">
        <v>40</v>
      </c>
      <c r="F123" t="s">
        <v>41</v>
      </c>
      <c r="G123" s="20">
        <f>'YVW tariffs'!D10</f>
        <v>289.95</v>
      </c>
      <c r="H123" s="2">
        <f>G123*(1+$G$14)*(1+H122)</f>
        <v>283.48689851999995</v>
      </c>
      <c r="I123" s="2">
        <f t="shared" ref="I123:AA123" si="34">H123*(1+$G$14)*(1+I122)</f>
        <v>281.5094640080635</v>
      </c>
      <c r="J123" s="2">
        <f>I123*(1+$G$14)*(1+J122)</f>
        <v>287.42116275223282</v>
      </c>
      <c r="K123" s="2">
        <f t="shared" si="34"/>
        <v>293.45700717002967</v>
      </c>
      <c r="L123" s="2">
        <f t="shared" si="34"/>
        <v>299.61960432060027</v>
      </c>
      <c r="M123" s="2">
        <f t="shared" si="34"/>
        <v>305.91161601133285</v>
      </c>
      <c r="N123" s="2">
        <f t="shared" si="34"/>
        <v>312.33575994757081</v>
      </c>
      <c r="O123" s="2">
        <f t="shared" si="34"/>
        <v>318.89481090646979</v>
      </c>
      <c r="P123" s="2">
        <f t="shared" si="34"/>
        <v>325.59160193550559</v>
      </c>
      <c r="Q123" s="2">
        <f t="shared" si="34"/>
        <v>332.42902557615116</v>
      </c>
      <c r="R123" s="2">
        <f t="shared" si="34"/>
        <v>339.41003511325033</v>
      </c>
      <c r="S123" s="2">
        <f t="shared" si="34"/>
        <v>346.53764585062856</v>
      </c>
      <c r="T123" s="2">
        <f t="shared" si="34"/>
        <v>353.81493641349175</v>
      </c>
      <c r="U123" s="2">
        <f t="shared" si="34"/>
        <v>361.24505007817504</v>
      </c>
      <c r="V123" s="2">
        <f t="shared" si="34"/>
        <v>368.8311961298167</v>
      </c>
      <c r="W123" s="2">
        <f t="shared" si="34"/>
        <v>376.57665124854282</v>
      </c>
      <c r="X123" s="2">
        <f t="shared" si="34"/>
        <v>384.48476092476216</v>
      </c>
      <c r="Y123" s="2">
        <f t="shared" si="34"/>
        <v>392.55894090418212</v>
      </c>
      <c r="Z123" s="2">
        <f t="shared" si="34"/>
        <v>400.8026786631699</v>
      </c>
      <c r="AA123" s="2">
        <f t="shared" si="34"/>
        <v>409.2195349150964</v>
      </c>
    </row>
    <row r="124" spans="1:27" x14ac:dyDescent="0.25">
      <c r="C124" s="1"/>
      <c r="D124" s="1"/>
      <c r="E124" t="s">
        <v>67</v>
      </c>
      <c r="F124" t="s">
        <v>143</v>
      </c>
      <c r="G124" s="20">
        <f>'YVW tariffs'!D11</f>
        <v>2.9171</v>
      </c>
      <c r="H124" s="21">
        <f>G124*(1+$G$14)*(1+H122)</f>
        <v>2.8520766741599997</v>
      </c>
      <c r="I124" s="21">
        <f t="shared" ref="I124:AA124" si="35">H124*(1+$G$14)*(1+I122)</f>
        <v>2.8321822985270639</v>
      </c>
      <c r="J124" s="21">
        <f t="shared" si="35"/>
        <v>2.8916581267961319</v>
      </c>
      <c r="K124" s="21">
        <f t="shared" si="35"/>
        <v>2.9523829474588505</v>
      </c>
      <c r="L124" s="21">
        <f t="shared" si="35"/>
        <v>3.0143829893554863</v>
      </c>
      <c r="M124" s="21">
        <f t="shared" si="35"/>
        <v>3.0776850321319511</v>
      </c>
      <c r="N124" s="21">
        <f t="shared" si="35"/>
        <v>3.1423164178067218</v>
      </c>
      <c r="O124" s="21">
        <f t="shared" si="35"/>
        <v>3.2083050625806626</v>
      </c>
      <c r="P124" s="21">
        <f t="shared" si="35"/>
        <v>3.2756794688948561</v>
      </c>
      <c r="Q124" s="21">
        <f t="shared" si="35"/>
        <v>3.3444687377416478</v>
      </c>
      <c r="R124" s="21">
        <f t="shared" si="35"/>
        <v>3.4147025812342222</v>
      </c>
      <c r="S124" s="21">
        <f t="shared" si="35"/>
        <v>3.4864113354401405</v>
      </c>
      <c r="T124" s="21">
        <f t="shared" si="35"/>
        <v>3.5596259734843829</v>
      </c>
      <c r="U124" s="21">
        <f t="shared" si="35"/>
        <v>3.6343781189275548</v>
      </c>
      <c r="V124" s="21">
        <f t="shared" si="35"/>
        <v>3.710700059425033</v>
      </c>
      <c r="W124" s="21">
        <f t="shared" si="35"/>
        <v>3.7886247606729584</v>
      </c>
      <c r="X124" s="21">
        <f t="shared" si="35"/>
        <v>3.8681858806470903</v>
      </c>
      <c r="Y124" s="21">
        <f t="shared" si="35"/>
        <v>3.949417784140679</v>
      </c>
      <c r="Z124" s="21">
        <f t="shared" si="35"/>
        <v>4.0323555576076329</v>
      </c>
      <c r="AA124" s="21">
        <f t="shared" si="35"/>
        <v>4.117035024317393</v>
      </c>
    </row>
    <row r="125" spans="1:27" x14ac:dyDescent="0.25">
      <c r="C125" s="1"/>
      <c r="D125" s="1"/>
      <c r="E125" t="s">
        <v>68</v>
      </c>
      <c r="F125" t="s">
        <v>143</v>
      </c>
      <c r="G125" s="20"/>
      <c r="H125" s="21">
        <f>G125*(1+$G$14)*(1+H122)</f>
        <v>0</v>
      </c>
      <c r="I125" s="21">
        <f t="shared" ref="I125:AA125" si="36">H125*(1+$G$14)*(1+I122)</f>
        <v>0</v>
      </c>
      <c r="J125" s="21">
        <f t="shared" si="36"/>
        <v>0</v>
      </c>
      <c r="K125" s="21">
        <f t="shared" si="36"/>
        <v>0</v>
      </c>
      <c r="L125" s="21">
        <f t="shared" si="36"/>
        <v>0</v>
      </c>
      <c r="M125" s="21">
        <f t="shared" si="36"/>
        <v>0</v>
      </c>
      <c r="N125" s="21">
        <f t="shared" si="36"/>
        <v>0</v>
      </c>
      <c r="O125" s="21">
        <f t="shared" si="36"/>
        <v>0</v>
      </c>
      <c r="P125" s="21">
        <f t="shared" si="36"/>
        <v>0</v>
      </c>
      <c r="Q125" s="21">
        <f t="shared" si="36"/>
        <v>0</v>
      </c>
      <c r="R125" s="21">
        <f t="shared" si="36"/>
        <v>0</v>
      </c>
      <c r="S125" s="21">
        <f t="shared" si="36"/>
        <v>0</v>
      </c>
      <c r="T125" s="21">
        <f t="shared" si="36"/>
        <v>0</v>
      </c>
      <c r="U125" s="21">
        <f t="shared" si="36"/>
        <v>0</v>
      </c>
      <c r="V125" s="21">
        <f t="shared" si="36"/>
        <v>0</v>
      </c>
      <c r="W125" s="21">
        <f t="shared" si="36"/>
        <v>0</v>
      </c>
      <c r="X125" s="21">
        <f t="shared" si="36"/>
        <v>0</v>
      </c>
      <c r="Y125" s="21">
        <f t="shared" si="36"/>
        <v>0</v>
      </c>
      <c r="Z125" s="21">
        <f t="shared" si="36"/>
        <v>0</v>
      </c>
      <c r="AA125" s="21">
        <f t="shared" si="36"/>
        <v>0</v>
      </c>
    </row>
    <row r="126" spans="1:27" x14ac:dyDescent="0.25">
      <c r="C126" s="1"/>
      <c r="D126" s="1"/>
      <c r="E126" t="s">
        <v>142</v>
      </c>
      <c r="F126" t="s">
        <v>143</v>
      </c>
      <c r="G126" s="20"/>
      <c r="H126" s="21">
        <f>G126*(1+$G$14)*(1+H122)</f>
        <v>0</v>
      </c>
      <c r="I126" s="21">
        <f t="shared" ref="I126:AA126" si="37">H126*(1+$G$14)*(1+I122)</f>
        <v>0</v>
      </c>
      <c r="J126" s="21">
        <f t="shared" si="37"/>
        <v>0</v>
      </c>
      <c r="K126" s="21">
        <f t="shared" si="37"/>
        <v>0</v>
      </c>
      <c r="L126" s="21">
        <f t="shared" si="37"/>
        <v>0</v>
      </c>
      <c r="M126" s="21">
        <f t="shared" si="37"/>
        <v>0</v>
      </c>
      <c r="N126" s="21">
        <f t="shared" si="37"/>
        <v>0</v>
      </c>
      <c r="O126" s="21">
        <f t="shared" si="37"/>
        <v>0</v>
      </c>
      <c r="P126" s="21">
        <f t="shared" si="37"/>
        <v>0</v>
      </c>
      <c r="Q126" s="21">
        <f t="shared" si="37"/>
        <v>0</v>
      </c>
      <c r="R126" s="21">
        <f t="shared" si="37"/>
        <v>0</v>
      </c>
      <c r="S126" s="21">
        <f t="shared" si="37"/>
        <v>0</v>
      </c>
      <c r="T126" s="21">
        <f t="shared" si="37"/>
        <v>0</v>
      </c>
      <c r="U126" s="21">
        <f t="shared" si="37"/>
        <v>0</v>
      </c>
      <c r="V126" s="21">
        <f t="shared" si="37"/>
        <v>0</v>
      </c>
      <c r="W126" s="21">
        <f t="shared" si="37"/>
        <v>0</v>
      </c>
      <c r="X126" s="21">
        <f t="shared" si="37"/>
        <v>0</v>
      </c>
      <c r="Y126" s="21">
        <f t="shared" si="37"/>
        <v>0</v>
      </c>
      <c r="Z126" s="21">
        <f t="shared" si="37"/>
        <v>0</v>
      </c>
      <c r="AA126" s="21">
        <f t="shared" si="37"/>
        <v>0</v>
      </c>
    </row>
    <row r="127" spans="1:27" x14ac:dyDescent="0.25">
      <c r="C127" s="1"/>
      <c r="D127" s="1"/>
    </row>
    <row r="128" spans="1:27" x14ac:dyDescent="0.25">
      <c r="C128" s="1"/>
      <c r="D128" s="1"/>
      <c r="E128" t="s">
        <v>72</v>
      </c>
      <c r="F128" t="s">
        <v>58</v>
      </c>
      <c r="H128" s="2">
        <f>SUM(H119:H121)/1000</f>
        <v>382.72</v>
      </c>
      <c r="I128" s="2">
        <f t="shared" ref="I128:AA128" si="38">SUM(I119:I121)/1000</f>
        <v>765.44</v>
      </c>
      <c r="J128" s="2">
        <f t="shared" si="38"/>
        <v>1156.48</v>
      </c>
      <c r="K128" s="2">
        <f t="shared" si="38"/>
        <v>1530.88</v>
      </c>
      <c r="L128" s="2">
        <f t="shared" si="38"/>
        <v>1892.8</v>
      </c>
      <c r="M128" s="2">
        <f t="shared" si="38"/>
        <v>2238.08</v>
      </c>
      <c r="N128" s="2">
        <f t="shared" si="38"/>
        <v>2570.88</v>
      </c>
      <c r="O128" s="2">
        <f t="shared" si="38"/>
        <v>2891.2</v>
      </c>
      <c r="P128" s="2">
        <f t="shared" si="38"/>
        <v>3228.16</v>
      </c>
      <c r="Q128" s="2">
        <f t="shared" si="38"/>
        <v>3585.92</v>
      </c>
      <c r="R128" s="2">
        <f t="shared" si="38"/>
        <v>3964.48</v>
      </c>
      <c r="S128" s="2">
        <f t="shared" si="38"/>
        <v>4368</v>
      </c>
      <c r="T128" s="2">
        <f t="shared" si="38"/>
        <v>4792.32</v>
      </c>
      <c r="U128" s="2">
        <f t="shared" si="38"/>
        <v>5212.4799999999996</v>
      </c>
      <c r="V128" s="2">
        <f t="shared" si="38"/>
        <v>5632.64</v>
      </c>
      <c r="W128" s="2">
        <f t="shared" si="38"/>
        <v>5632.64</v>
      </c>
      <c r="X128" s="2">
        <f t="shared" si="38"/>
        <v>5632.64</v>
      </c>
      <c r="Y128" s="2">
        <f t="shared" si="38"/>
        <v>5632.64</v>
      </c>
      <c r="Z128" s="2">
        <f t="shared" si="38"/>
        <v>5632.64</v>
      </c>
      <c r="AA128" s="2">
        <f t="shared" si="38"/>
        <v>5632.64</v>
      </c>
    </row>
    <row r="129" spans="1:27" x14ac:dyDescent="0.25">
      <c r="C129" s="1"/>
      <c r="D129" s="1"/>
      <c r="E129" t="s">
        <v>73</v>
      </c>
      <c r="F129" t="s">
        <v>7</v>
      </c>
      <c r="H129" s="2">
        <f>H112*H123+H119*H124+H120*H125+H121*H126</f>
        <v>1300193.142045235</v>
      </c>
      <c r="I129" s="2">
        <f t="shared" ref="I129:AA129" si="39">I112*I123+I119*I124+I120*I125+I121*I126</f>
        <v>2582247.5496044257</v>
      </c>
      <c r="J129" s="2">
        <f t="shared" si="39"/>
        <v>3983369.4564381563</v>
      </c>
      <c r="K129" s="2">
        <f t="shared" si="39"/>
        <v>5383681.4357143724</v>
      </c>
      <c r="L129" s="2">
        <f t="shared" si="39"/>
        <v>6796239.4819790497</v>
      </c>
      <c r="M129" s="2">
        <f t="shared" si="39"/>
        <v>8204748.9120266531</v>
      </c>
      <c r="N129" s="2">
        <f t="shared" si="39"/>
        <v>9622706.4293917343</v>
      </c>
      <c r="O129" s="2">
        <f t="shared" si="39"/>
        <v>11048906.745573184</v>
      </c>
      <c r="P129" s="2">
        <f t="shared" si="39"/>
        <v>12595690.099123236</v>
      </c>
      <c r="Q129" s="2">
        <f t="shared" si="39"/>
        <v>14285427.896415668</v>
      </c>
      <c r="R129" s="2">
        <f t="shared" si="39"/>
        <v>16125182.196954869</v>
      </c>
      <c r="S129" s="2">
        <f t="shared" si="39"/>
        <v>18139560.938347813</v>
      </c>
      <c r="T129" s="2">
        <f t="shared" si="39"/>
        <v>20319625.199235417</v>
      </c>
      <c r="U129" s="2">
        <f t="shared" si="39"/>
        <v>22565243.639331128</v>
      </c>
      <c r="V129" s="2">
        <f t="shared" si="39"/>
        <v>24896217.099197991</v>
      </c>
      <c r="W129" s="2">
        <f t="shared" si="39"/>
        <v>25419037.658281147</v>
      </c>
      <c r="X129" s="2">
        <f t="shared" si="39"/>
        <v>25952837.44910505</v>
      </c>
      <c r="Y129" s="2">
        <f t="shared" si="39"/>
        <v>26497847.035536252</v>
      </c>
      <c r="Z129" s="2">
        <f t="shared" si="39"/>
        <v>27054301.823282517</v>
      </c>
      <c r="AA129" s="2">
        <f t="shared" si="39"/>
        <v>27622442.161571443</v>
      </c>
    </row>
    <row r="130" spans="1:27" x14ac:dyDescent="0.25">
      <c r="C130" s="1"/>
      <c r="D130" s="1"/>
    </row>
    <row r="131" spans="1:27" x14ac:dyDescent="0.25">
      <c r="C131" s="1"/>
      <c r="D131" t="s">
        <v>74</v>
      </c>
    </row>
    <row r="132" spans="1:27" x14ac:dyDescent="0.25">
      <c r="A132" s="14">
        <f>'Notes &amp; Assumptions'!A38</f>
        <v>25</v>
      </c>
      <c r="C132" s="1"/>
      <c r="D132" s="1"/>
      <c r="E132" t="s">
        <v>87</v>
      </c>
      <c r="F132" t="s">
        <v>3</v>
      </c>
      <c r="H132" s="10">
        <v>0</v>
      </c>
      <c r="I132" s="10">
        <v>0</v>
      </c>
      <c r="J132" s="10">
        <v>0</v>
      </c>
      <c r="K132" s="10">
        <v>0</v>
      </c>
      <c r="L132" s="10">
        <v>0</v>
      </c>
      <c r="M132" s="10">
        <v>0</v>
      </c>
      <c r="N132" s="10">
        <v>0</v>
      </c>
      <c r="O132" s="10">
        <v>0</v>
      </c>
      <c r="P132" s="10">
        <v>0</v>
      </c>
      <c r="Q132" s="10">
        <v>0</v>
      </c>
      <c r="R132" s="10">
        <f>AVERAGE($O132:$Q132)</f>
        <v>0</v>
      </c>
      <c r="S132" s="10">
        <f t="shared" ref="S132:V132" si="40">AVERAGE($O132:$Q132)</f>
        <v>0</v>
      </c>
      <c r="T132" s="10">
        <f t="shared" si="40"/>
        <v>0</v>
      </c>
      <c r="U132" s="10">
        <f t="shared" si="40"/>
        <v>0</v>
      </c>
      <c r="V132" s="10">
        <f t="shared" si="40"/>
        <v>0</v>
      </c>
    </row>
    <row r="133" spans="1:27" x14ac:dyDescent="0.25">
      <c r="C133" s="1"/>
      <c r="D133" s="1"/>
      <c r="E133" t="s">
        <v>60</v>
      </c>
      <c r="F133" t="s">
        <v>3</v>
      </c>
      <c r="H133" s="2">
        <f>G133+H132</f>
        <v>0</v>
      </c>
      <c r="I133" s="2">
        <f t="shared" ref="I133:AA133" si="41">H133+I132</f>
        <v>0</v>
      </c>
      <c r="J133" s="2">
        <f t="shared" si="41"/>
        <v>0</v>
      </c>
      <c r="K133" s="2">
        <f t="shared" si="41"/>
        <v>0</v>
      </c>
      <c r="L133" s="2">
        <f t="shared" si="41"/>
        <v>0</v>
      </c>
      <c r="M133" s="2">
        <f t="shared" si="41"/>
        <v>0</v>
      </c>
      <c r="N133" s="2">
        <f t="shared" si="41"/>
        <v>0</v>
      </c>
      <c r="O133" s="2">
        <f t="shared" si="41"/>
        <v>0</v>
      </c>
      <c r="P133" s="2">
        <f t="shared" si="41"/>
        <v>0</v>
      </c>
      <c r="Q133" s="2">
        <f t="shared" si="41"/>
        <v>0</v>
      </c>
      <c r="R133" s="2">
        <f t="shared" si="41"/>
        <v>0</v>
      </c>
      <c r="S133" s="2">
        <f t="shared" si="41"/>
        <v>0</v>
      </c>
      <c r="T133" s="2">
        <f t="shared" si="41"/>
        <v>0</v>
      </c>
      <c r="U133" s="2">
        <f t="shared" si="41"/>
        <v>0</v>
      </c>
      <c r="V133" s="2">
        <f t="shared" si="41"/>
        <v>0</v>
      </c>
      <c r="W133" s="2">
        <f t="shared" si="41"/>
        <v>0</v>
      </c>
      <c r="X133" s="2">
        <f t="shared" si="41"/>
        <v>0</v>
      </c>
      <c r="Y133" s="2">
        <f t="shared" si="41"/>
        <v>0</v>
      </c>
      <c r="Z133" s="2">
        <f t="shared" si="41"/>
        <v>0</v>
      </c>
      <c r="AA133" s="2">
        <f t="shared" si="41"/>
        <v>0</v>
      </c>
    </row>
    <row r="134" spans="1:27" x14ac:dyDescent="0.25">
      <c r="A134" s="14">
        <f>'Notes &amp; Assumptions'!A39</f>
        <v>26</v>
      </c>
      <c r="C134" s="1"/>
      <c r="D134" s="1"/>
      <c r="E134" t="s">
        <v>61</v>
      </c>
      <c r="F134" t="s">
        <v>3</v>
      </c>
      <c r="G134" s="10">
        <v>1</v>
      </c>
    </row>
    <row r="135" spans="1:27" x14ac:dyDescent="0.25">
      <c r="C135" s="1"/>
      <c r="D135" s="1"/>
      <c r="E135" t="s">
        <v>88</v>
      </c>
      <c r="F135" t="s">
        <v>3</v>
      </c>
      <c r="H135">
        <f>H132*$G134</f>
        <v>0</v>
      </c>
      <c r="I135">
        <f t="shared" ref="I135:AA135" si="42">I132*$G134</f>
        <v>0</v>
      </c>
      <c r="J135">
        <f t="shared" si="42"/>
        <v>0</v>
      </c>
      <c r="K135">
        <f t="shared" si="42"/>
        <v>0</v>
      </c>
      <c r="L135">
        <f t="shared" si="42"/>
        <v>0</v>
      </c>
      <c r="M135">
        <f t="shared" si="42"/>
        <v>0</v>
      </c>
      <c r="N135">
        <f t="shared" si="42"/>
        <v>0</v>
      </c>
      <c r="O135">
        <f t="shared" si="42"/>
        <v>0</v>
      </c>
      <c r="P135">
        <f t="shared" si="42"/>
        <v>0</v>
      </c>
      <c r="Q135">
        <f t="shared" si="42"/>
        <v>0</v>
      </c>
      <c r="R135">
        <f t="shared" si="42"/>
        <v>0</v>
      </c>
      <c r="S135">
        <f t="shared" si="42"/>
        <v>0</v>
      </c>
      <c r="T135">
        <f t="shared" si="42"/>
        <v>0</v>
      </c>
      <c r="U135">
        <f t="shared" si="42"/>
        <v>0</v>
      </c>
      <c r="V135">
        <f t="shared" si="42"/>
        <v>0</v>
      </c>
      <c r="W135">
        <f t="shared" si="42"/>
        <v>0</v>
      </c>
      <c r="X135">
        <f t="shared" si="42"/>
        <v>0</v>
      </c>
      <c r="Y135">
        <f t="shared" si="42"/>
        <v>0</v>
      </c>
      <c r="Z135">
        <f t="shared" si="42"/>
        <v>0</v>
      </c>
      <c r="AA135">
        <f t="shared" si="42"/>
        <v>0</v>
      </c>
    </row>
    <row r="136" spans="1:27" x14ac:dyDescent="0.25">
      <c r="C136" s="1"/>
      <c r="D136" s="1"/>
      <c r="E136" t="s">
        <v>89</v>
      </c>
      <c r="F136" t="s">
        <v>3</v>
      </c>
      <c r="H136">
        <f>H133*$G134</f>
        <v>0</v>
      </c>
      <c r="I136">
        <f t="shared" ref="I136:AA136" si="43">I133*$G134</f>
        <v>0</v>
      </c>
      <c r="J136">
        <f t="shared" si="43"/>
        <v>0</v>
      </c>
      <c r="K136">
        <f t="shared" si="43"/>
        <v>0</v>
      </c>
      <c r="L136">
        <f t="shared" si="43"/>
        <v>0</v>
      </c>
      <c r="M136">
        <f t="shared" si="43"/>
        <v>0</v>
      </c>
      <c r="N136">
        <f t="shared" si="43"/>
        <v>0</v>
      </c>
      <c r="O136">
        <f t="shared" si="43"/>
        <v>0</v>
      </c>
      <c r="P136">
        <f t="shared" si="43"/>
        <v>0</v>
      </c>
      <c r="Q136">
        <f t="shared" si="43"/>
        <v>0</v>
      </c>
      <c r="R136">
        <f t="shared" si="43"/>
        <v>0</v>
      </c>
      <c r="S136">
        <f t="shared" si="43"/>
        <v>0</v>
      </c>
      <c r="T136">
        <f t="shared" si="43"/>
        <v>0</v>
      </c>
      <c r="U136">
        <f t="shared" si="43"/>
        <v>0</v>
      </c>
      <c r="V136">
        <f t="shared" si="43"/>
        <v>0</v>
      </c>
      <c r="W136">
        <f t="shared" si="43"/>
        <v>0</v>
      </c>
      <c r="X136">
        <f t="shared" si="43"/>
        <v>0</v>
      </c>
      <c r="Y136">
        <f t="shared" si="43"/>
        <v>0</v>
      </c>
      <c r="Z136">
        <f t="shared" si="43"/>
        <v>0</v>
      </c>
      <c r="AA136">
        <f t="shared" si="43"/>
        <v>0</v>
      </c>
    </row>
    <row r="137" spans="1:27" x14ac:dyDescent="0.25">
      <c r="A137" s="14">
        <f>'Notes &amp; Assumptions'!A40</f>
        <v>27</v>
      </c>
      <c r="C137" s="1"/>
      <c r="D137" s="1"/>
      <c r="E137" t="s">
        <v>62</v>
      </c>
      <c r="F137" t="s">
        <v>43</v>
      </c>
      <c r="H137" s="10"/>
      <c r="I137" s="10"/>
      <c r="J137" s="10"/>
      <c r="K137" s="10"/>
      <c r="L137" s="10"/>
      <c r="M137" s="10"/>
      <c r="N137" s="10"/>
      <c r="O137" s="10"/>
      <c r="P137" s="10"/>
      <c r="Q137" s="10"/>
      <c r="R137" s="10"/>
      <c r="S137" s="10"/>
      <c r="T137" s="10"/>
      <c r="U137" s="10"/>
      <c r="V137" s="10"/>
      <c r="W137" s="10"/>
      <c r="X137" s="10"/>
      <c r="Y137" s="10"/>
      <c r="Z137" s="10"/>
      <c r="AA137" s="10"/>
    </row>
    <row r="138" spans="1:27" x14ac:dyDescent="0.25">
      <c r="C138" s="1"/>
      <c r="D138" s="1"/>
      <c r="E138" t="s">
        <v>63</v>
      </c>
      <c r="F138" t="s">
        <v>43</v>
      </c>
      <c r="H138" s="10"/>
      <c r="I138" s="10"/>
      <c r="J138" s="10"/>
      <c r="K138" s="10"/>
      <c r="L138" s="10"/>
      <c r="M138" s="10"/>
      <c r="N138" s="10"/>
      <c r="O138" s="10"/>
      <c r="P138" s="10"/>
      <c r="Q138" s="10"/>
      <c r="R138" s="10"/>
      <c r="S138" s="10"/>
      <c r="T138" s="10"/>
      <c r="U138" s="10"/>
      <c r="V138" s="10"/>
      <c r="W138" s="10"/>
      <c r="X138" s="10"/>
      <c r="Y138" s="10"/>
      <c r="Z138" s="10"/>
      <c r="AA138" s="10"/>
    </row>
    <row r="139" spans="1:27" x14ac:dyDescent="0.25">
      <c r="A139" s="14">
        <f>'Notes &amp; Assumptions'!A41</f>
        <v>28</v>
      </c>
      <c r="C139" s="1"/>
      <c r="D139" s="1"/>
      <c r="E139" t="s">
        <v>140</v>
      </c>
      <c r="F139" t="s">
        <v>43</v>
      </c>
      <c r="H139" s="10"/>
      <c r="I139" s="10"/>
      <c r="J139" s="10"/>
      <c r="K139" s="10"/>
      <c r="L139" s="10"/>
      <c r="M139" s="10"/>
      <c r="N139" s="10"/>
      <c r="O139" s="10"/>
      <c r="P139" s="10"/>
      <c r="Q139" s="10"/>
      <c r="R139" s="10"/>
      <c r="S139" s="10"/>
      <c r="T139" s="10"/>
      <c r="U139" s="10"/>
      <c r="V139" s="10"/>
      <c r="W139" s="10"/>
      <c r="X139" s="10"/>
      <c r="Y139" s="10"/>
      <c r="Z139" s="10"/>
      <c r="AA139" s="10"/>
    </row>
    <row r="140" spans="1:27" x14ac:dyDescent="0.25">
      <c r="C140" s="1"/>
      <c r="D140" s="1"/>
      <c r="E140" t="s">
        <v>64</v>
      </c>
      <c r="F140" t="s">
        <v>144</v>
      </c>
      <c r="H140" s="2">
        <f>H133*H137</f>
        <v>0</v>
      </c>
      <c r="I140" s="2">
        <f t="shared" ref="I140:AA140" si="44">I133*I137</f>
        <v>0</v>
      </c>
      <c r="J140" s="2">
        <f t="shared" si="44"/>
        <v>0</v>
      </c>
      <c r="K140" s="2">
        <f t="shared" si="44"/>
        <v>0</v>
      </c>
      <c r="L140" s="2">
        <f t="shared" si="44"/>
        <v>0</v>
      </c>
      <c r="M140" s="2">
        <f t="shared" si="44"/>
        <v>0</v>
      </c>
      <c r="N140" s="2">
        <f t="shared" si="44"/>
        <v>0</v>
      </c>
      <c r="O140" s="2">
        <f t="shared" si="44"/>
        <v>0</v>
      </c>
      <c r="P140" s="2">
        <f t="shared" si="44"/>
        <v>0</v>
      </c>
      <c r="Q140" s="2">
        <f t="shared" si="44"/>
        <v>0</v>
      </c>
      <c r="R140" s="2">
        <f t="shared" si="44"/>
        <v>0</v>
      </c>
      <c r="S140" s="2">
        <f t="shared" si="44"/>
        <v>0</v>
      </c>
      <c r="T140" s="2">
        <f t="shared" si="44"/>
        <v>0</v>
      </c>
      <c r="U140" s="2">
        <f t="shared" si="44"/>
        <v>0</v>
      </c>
      <c r="V140" s="2">
        <f t="shared" si="44"/>
        <v>0</v>
      </c>
      <c r="W140" s="2">
        <f t="shared" si="44"/>
        <v>0</v>
      </c>
      <c r="X140" s="2">
        <f t="shared" si="44"/>
        <v>0</v>
      </c>
      <c r="Y140" s="2">
        <f t="shared" si="44"/>
        <v>0</v>
      </c>
      <c r="Z140" s="2">
        <f t="shared" si="44"/>
        <v>0</v>
      </c>
      <c r="AA140" s="2">
        <f t="shared" si="44"/>
        <v>0</v>
      </c>
    </row>
    <row r="141" spans="1:27" x14ac:dyDescent="0.25">
      <c r="C141" s="1"/>
      <c r="D141" s="1"/>
      <c r="E141" t="s">
        <v>65</v>
      </c>
      <c r="F141" t="s">
        <v>144</v>
      </c>
      <c r="H141" s="2">
        <f>H133*H138</f>
        <v>0</v>
      </c>
      <c r="I141" s="2">
        <f t="shared" ref="I141:AA141" si="45">I133*I138</f>
        <v>0</v>
      </c>
      <c r="J141" s="2">
        <f t="shared" si="45"/>
        <v>0</v>
      </c>
      <c r="K141" s="2">
        <f t="shared" si="45"/>
        <v>0</v>
      </c>
      <c r="L141" s="2">
        <f t="shared" si="45"/>
        <v>0</v>
      </c>
      <c r="M141" s="2">
        <f t="shared" si="45"/>
        <v>0</v>
      </c>
      <c r="N141" s="2">
        <f t="shared" si="45"/>
        <v>0</v>
      </c>
      <c r="O141" s="2">
        <f t="shared" si="45"/>
        <v>0</v>
      </c>
      <c r="P141" s="2">
        <f t="shared" si="45"/>
        <v>0</v>
      </c>
      <c r="Q141" s="2">
        <f t="shared" si="45"/>
        <v>0</v>
      </c>
      <c r="R141" s="2">
        <f t="shared" si="45"/>
        <v>0</v>
      </c>
      <c r="S141" s="2">
        <f t="shared" si="45"/>
        <v>0</v>
      </c>
      <c r="T141" s="2">
        <f t="shared" si="45"/>
        <v>0</v>
      </c>
      <c r="U141" s="2">
        <f t="shared" si="45"/>
        <v>0</v>
      </c>
      <c r="V141" s="2">
        <f t="shared" si="45"/>
        <v>0</v>
      </c>
      <c r="W141" s="2">
        <f t="shared" si="45"/>
        <v>0</v>
      </c>
      <c r="X141" s="2">
        <f t="shared" si="45"/>
        <v>0</v>
      </c>
      <c r="Y141" s="2">
        <f t="shared" si="45"/>
        <v>0</v>
      </c>
      <c r="Z141" s="2">
        <f t="shared" si="45"/>
        <v>0</v>
      </c>
      <c r="AA141" s="2">
        <f t="shared" si="45"/>
        <v>0</v>
      </c>
    </row>
    <row r="142" spans="1:27" x14ac:dyDescent="0.25">
      <c r="C142" s="1"/>
      <c r="D142" s="1"/>
      <c r="E142" t="s">
        <v>141</v>
      </c>
      <c r="F142" t="s">
        <v>144</v>
      </c>
      <c r="H142" s="2">
        <f>H133*H139</f>
        <v>0</v>
      </c>
      <c r="I142" s="2">
        <f t="shared" ref="I142:AA142" si="46">I133*I139</f>
        <v>0</v>
      </c>
      <c r="J142" s="2">
        <f t="shared" si="46"/>
        <v>0</v>
      </c>
      <c r="K142" s="2">
        <f t="shared" si="46"/>
        <v>0</v>
      </c>
      <c r="L142" s="2">
        <f t="shared" si="46"/>
        <v>0</v>
      </c>
      <c r="M142" s="2">
        <f t="shared" si="46"/>
        <v>0</v>
      </c>
      <c r="N142" s="2">
        <f t="shared" si="46"/>
        <v>0</v>
      </c>
      <c r="O142" s="2">
        <f t="shared" si="46"/>
        <v>0</v>
      </c>
      <c r="P142" s="2">
        <f t="shared" si="46"/>
        <v>0</v>
      </c>
      <c r="Q142" s="2">
        <f t="shared" si="46"/>
        <v>0</v>
      </c>
      <c r="R142" s="2">
        <f t="shared" si="46"/>
        <v>0</v>
      </c>
      <c r="S142" s="2">
        <f t="shared" si="46"/>
        <v>0</v>
      </c>
      <c r="T142" s="2">
        <f t="shared" si="46"/>
        <v>0</v>
      </c>
      <c r="U142" s="2">
        <f t="shared" si="46"/>
        <v>0</v>
      </c>
      <c r="V142" s="2">
        <f t="shared" si="46"/>
        <v>0</v>
      </c>
      <c r="W142" s="2">
        <f t="shared" si="46"/>
        <v>0</v>
      </c>
      <c r="X142" s="2">
        <f t="shared" si="46"/>
        <v>0</v>
      </c>
      <c r="Y142" s="2">
        <f t="shared" si="46"/>
        <v>0</v>
      </c>
      <c r="Z142" s="2">
        <f t="shared" si="46"/>
        <v>0</v>
      </c>
      <c r="AA142" s="2">
        <f t="shared" si="46"/>
        <v>0</v>
      </c>
    </row>
    <row r="143" spans="1:27" x14ac:dyDescent="0.25">
      <c r="A143" s="14">
        <f>'Notes &amp; Assumptions'!A42</f>
        <v>29</v>
      </c>
      <c r="C143" s="1"/>
      <c r="D143" s="1"/>
      <c r="E143" t="s">
        <v>66</v>
      </c>
      <c r="F143" t="s">
        <v>8</v>
      </c>
      <c r="H143" s="11"/>
      <c r="I143" s="11"/>
      <c r="J143" s="11"/>
      <c r="K143" s="11"/>
      <c r="L143" s="11"/>
      <c r="M143" s="11"/>
      <c r="N143" s="11"/>
      <c r="O143" s="11"/>
      <c r="P143" s="11"/>
      <c r="Q143" s="11"/>
      <c r="R143" s="11"/>
      <c r="S143" s="11"/>
      <c r="T143" s="11"/>
      <c r="U143" s="11"/>
      <c r="V143" s="11"/>
      <c r="W143" s="11"/>
      <c r="X143" s="11"/>
      <c r="Y143" s="11"/>
      <c r="Z143" s="11"/>
      <c r="AA143" s="11"/>
    </row>
    <row r="144" spans="1:27" x14ac:dyDescent="0.25">
      <c r="A144" s="14">
        <f>'Notes &amp; Assumptions'!A43</f>
        <v>30</v>
      </c>
      <c r="C144" s="1"/>
      <c r="D144" s="1"/>
      <c r="E144" t="s">
        <v>40</v>
      </c>
      <c r="F144" t="s">
        <v>41</v>
      </c>
      <c r="G144" s="10"/>
      <c r="H144" s="2">
        <f>G144*(1+$G$14)*(1+H143)</f>
        <v>0</v>
      </c>
      <c r="I144" s="2">
        <f t="shared" ref="I144:AA144" si="47">H144*(1+$G$14)*(1+I143)</f>
        <v>0</v>
      </c>
      <c r="J144" s="2">
        <f t="shared" si="47"/>
        <v>0</v>
      </c>
      <c r="K144" s="2">
        <f t="shared" si="47"/>
        <v>0</v>
      </c>
      <c r="L144" s="2">
        <f t="shared" si="47"/>
        <v>0</v>
      </c>
      <c r="M144" s="2">
        <f t="shared" si="47"/>
        <v>0</v>
      </c>
      <c r="N144" s="2">
        <f t="shared" si="47"/>
        <v>0</v>
      </c>
      <c r="O144" s="2">
        <f t="shared" si="47"/>
        <v>0</v>
      </c>
      <c r="P144" s="2">
        <f t="shared" si="47"/>
        <v>0</v>
      </c>
      <c r="Q144" s="2">
        <f t="shared" si="47"/>
        <v>0</v>
      </c>
      <c r="R144" s="2">
        <f t="shared" si="47"/>
        <v>0</v>
      </c>
      <c r="S144" s="2">
        <f t="shared" si="47"/>
        <v>0</v>
      </c>
      <c r="T144" s="2">
        <f t="shared" si="47"/>
        <v>0</v>
      </c>
      <c r="U144" s="2">
        <f t="shared" si="47"/>
        <v>0</v>
      </c>
      <c r="V144" s="2">
        <f t="shared" si="47"/>
        <v>0</v>
      </c>
      <c r="W144" s="2">
        <f t="shared" si="47"/>
        <v>0</v>
      </c>
      <c r="X144" s="2">
        <f t="shared" si="47"/>
        <v>0</v>
      </c>
      <c r="Y144" s="2">
        <f t="shared" si="47"/>
        <v>0</v>
      </c>
      <c r="Z144" s="2">
        <f t="shared" si="47"/>
        <v>0</v>
      </c>
      <c r="AA144" s="2">
        <f t="shared" si="47"/>
        <v>0</v>
      </c>
    </row>
    <row r="145" spans="1:27" x14ac:dyDescent="0.25">
      <c r="C145" s="1"/>
      <c r="D145" s="1"/>
      <c r="E145" t="s">
        <v>67</v>
      </c>
      <c r="F145" t="s">
        <v>143</v>
      </c>
      <c r="G145" s="20"/>
      <c r="H145" s="21">
        <f>G145*(1+$G$14)*(1+H143)</f>
        <v>0</v>
      </c>
      <c r="I145" s="21">
        <f t="shared" ref="I145:AA145" si="48">H145*(1+$G$14)*(1+I143)</f>
        <v>0</v>
      </c>
      <c r="J145" s="21">
        <f t="shared" si="48"/>
        <v>0</v>
      </c>
      <c r="K145" s="21">
        <f t="shared" si="48"/>
        <v>0</v>
      </c>
      <c r="L145" s="21">
        <f t="shared" si="48"/>
        <v>0</v>
      </c>
      <c r="M145" s="21">
        <f t="shared" si="48"/>
        <v>0</v>
      </c>
      <c r="N145" s="21">
        <f t="shared" si="48"/>
        <v>0</v>
      </c>
      <c r="O145" s="21">
        <f t="shared" si="48"/>
        <v>0</v>
      </c>
      <c r="P145" s="21">
        <f t="shared" si="48"/>
        <v>0</v>
      </c>
      <c r="Q145" s="21">
        <f t="shared" si="48"/>
        <v>0</v>
      </c>
      <c r="R145" s="21">
        <f t="shared" si="48"/>
        <v>0</v>
      </c>
      <c r="S145" s="21">
        <f t="shared" si="48"/>
        <v>0</v>
      </c>
      <c r="T145" s="21">
        <f t="shared" si="48"/>
        <v>0</v>
      </c>
      <c r="U145" s="21">
        <f t="shared" si="48"/>
        <v>0</v>
      </c>
      <c r="V145" s="21">
        <f t="shared" si="48"/>
        <v>0</v>
      </c>
      <c r="W145" s="21">
        <f t="shared" si="48"/>
        <v>0</v>
      </c>
      <c r="X145" s="21">
        <f t="shared" si="48"/>
        <v>0</v>
      </c>
      <c r="Y145" s="21">
        <f t="shared" si="48"/>
        <v>0</v>
      </c>
      <c r="Z145" s="21">
        <f t="shared" si="48"/>
        <v>0</v>
      </c>
      <c r="AA145" s="21">
        <f t="shared" si="48"/>
        <v>0</v>
      </c>
    </row>
    <row r="146" spans="1:27" x14ac:dyDescent="0.25">
      <c r="C146" s="1"/>
      <c r="D146" s="1"/>
      <c r="E146" t="s">
        <v>68</v>
      </c>
      <c r="F146" t="s">
        <v>143</v>
      </c>
      <c r="G146" s="20"/>
      <c r="H146" s="21">
        <f>G146*(1+$G$14)*(1+H143)</f>
        <v>0</v>
      </c>
      <c r="I146" s="21">
        <f t="shared" ref="I146:AA146" si="49">H146*(1+$G$14)*(1+I143)</f>
        <v>0</v>
      </c>
      <c r="J146" s="21">
        <f t="shared" si="49"/>
        <v>0</v>
      </c>
      <c r="K146" s="21">
        <f t="shared" si="49"/>
        <v>0</v>
      </c>
      <c r="L146" s="21">
        <f t="shared" si="49"/>
        <v>0</v>
      </c>
      <c r="M146" s="21">
        <f t="shared" si="49"/>
        <v>0</v>
      </c>
      <c r="N146" s="21">
        <f t="shared" si="49"/>
        <v>0</v>
      </c>
      <c r="O146" s="21">
        <f t="shared" si="49"/>
        <v>0</v>
      </c>
      <c r="P146" s="21">
        <f t="shared" si="49"/>
        <v>0</v>
      </c>
      <c r="Q146" s="21">
        <f t="shared" si="49"/>
        <v>0</v>
      </c>
      <c r="R146" s="21">
        <f t="shared" si="49"/>
        <v>0</v>
      </c>
      <c r="S146" s="21">
        <f t="shared" si="49"/>
        <v>0</v>
      </c>
      <c r="T146" s="21">
        <f t="shared" si="49"/>
        <v>0</v>
      </c>
      <c r="U146" s="21">
        <f t="shared" si="49"/>
        <v>0</v>
      </c>
      <c r="V146" s="21">
        <f t="shared" si="49"/>
        <v>0</v>
      </c>
      <c r="W146" s="21">
        <f t="shared" si="49"/>
        <v>0</v>
      </c>
      <c r="X146" s="21">
        <f t="shared" si="49"/>
        <v>0</v>
      </c>
      <c r="Y146" s="21">
        <f t="shared" si="49"/>
        <v>0</v>
      </c>
      <c r="Z146" s="21">
        <f t="shared" si="49"/>
        <v>0</v>
      </c>
      <c r="AA146" s="21">
        <f t="shared" si="49"/>
        <v>0</v>
      </c>
    </row>
    <row r="147" spans="1:27" x14ac:dyDescent="0.25">
      <c r="C147" s="1"/>
      <c r="D147" s="1"/>
      <c r="E147" t="s">
        <v>142</v>
      </c>
      <c r="F147" t="s">
        <v>143</v>
      </c>
      <c r="G147" s="20"/>
      <c r="H147" s="21">
        <f>G147*(1+$G$14)*(1+H143)</f>
        <v>0</v>
      </c>
      <c r="I147" s="21">
        <f t="shared" ref="I147:AA147" si="50">H147*(1+$G$14)*(1+I143)</f>
        <v>0</v>
      </c>
      <c r="J147" s="21">
        <f t="shared" si="50"/>
        <v>0</v>
      </c>
      <c r="K147" s="21">
        <f t="shared" si="50"/>
        <v>0</v>
      </c>
      <c r="L147" s="21">
        <f t="shared" si="50"/>
        <v>0</v>
      </c>
      <c r="M147" s="21">
        <f t="shared" si="50"/>
        <v>0</v>
      </c>
      <c r="N147" s="21">
        <f t="shared" si="50"/>
        <v>0</v>
      </c>
      <c r="O147" s="21">
        <f t="shared" si="50"/>
        <v>0</v>
      </c>
      <c r="P147" s="21">
        <f t="shared" si="50"/>
        <v>0</v>
      </c>
      <c r="Q147" s="21">
        <f t="shared" si="50"/>
        <v>0</v>
      </c>
      <c r="R147" s="21">
        <f t="shared" si="50"/>
        <v>0</v>
      </c>
      <c r="S147" s="21">
        <f t="shared" si="50"/>
        <v>0</v>
      </c>
      <c r="T147" s="21">
        <f t="shared" si="50"/>
        <v>0</v>
      </c>
      <c r="U147" s="21">
        <f t="shared" si="50"/>
        <v>0</v>
      </c>
      <c r="V147" s="21">
        <f t="shared" si="50"/>
        <v>0</v>
      </c>
      <c r="W147" s="21">
        <f t="shared" si="50"/>
        <v>0</v>
      </c>
      <c r="X147" s="21">
        <f t="shared" si="50"/>
        <v>0</v>
      </c>
      <c r="Y147" s="21">
        <f t="shared" si="50"/>
        <v>0</v>
      </c>
      <c r="Z147" s="21">
        <f t="shared" si="50"/>
        <v>0</v>
      </c>
      <c r="AA147" s="21">
        <f t="shared" si="50"/>
        <v>0</v>
      </c>
    </row>
    <row r="148" spans="1:27" x14ac:dyDescent="0.25">
      <c r="C148" s="1"/>
      <c r="D148" s="1"/>
    </row>
    <row r="149" spans="1:27" x14ac:dyDescent="0.25">
      <c r="C149" s="1"/>
      <c r="D149" s="1"/>
      <c r="E149" t="s">
        <v>75</v>
      </c>
      <c r="F149" t="s">
        <v>58</v>
      </c>
      <c r="H149" s="2">
        <f>SUM(H140:H142)/1000</f>
        <v>0</v>
      </c>
      <c r="I149" s="2">
        <f t="shared" ref="I149:AA149" si="51">SUM(I140:I142)/1000</f>
        <v>0</v>
      </c>
      <c r="J149" s="2">
        <f t="shared" si="51"/>
        <v>0</v>
      </c>
      <c r="K149" s="2">
        <f t="shared" si="51"/>
        <v>0</v>
      </c>
      <c r="L149" s="2">
        <f t="shared" si="51"/>
        <v>0</v>
      </c>
      <c r="M149" s="2">
        <f t="shared" si="51"/>
        <v>0</v>
      </c>
      <c r="N149" s="2">
        <f t="shared" si="51"/>
        <v>0</v>
      </c>
      <c r="O149" s="2">
        <f t="shared" si="51"/>
        <v>0</v>
      </c>
      <c r="P149" s="2">
        <f t="shared" si="51"/>
        <v>0</v>
      </c>
      <c r="Q149" s="2">
        <f t="shared" si="51"/>
        <v>0</v>
      </c>
      <c r="R149" s="2">
        <f t="shared" si="51"/>
        <v>0</v>
      </c>
      <c r="S149" s="2">
        <f t="shared" si="51"/>
        <v>0</v>
      </c>
      <c r="T149" s="2">
        <f t="shared" si="51"/>
        <v>0</v>
      </c>
      <c r="U149" s="2">
        <f t="shared" si="51"/>
        <v>0</v>
      </c>
      <c r="V149" s="2">
        <f t="shared" si="51"/>
        <v>0</v>
      </c>
      <c r="W149" s="2">
        <f t="shared" si="51"/>
        <v>0</v>
      </c>
      <c r="X149" s="2">
        <f t="shared" si="51"/>
        <v>0</v>
      </c>
      <c r="Y149" s="2">
        <f t="shared" si="51"/>
        <v>0</v>
      </c>
      <c r="Z149" s="2">
        <f t="shared" si="51"/>
        <v>0</v>
      </c>
      <c r="AA149" s="2">
        <f t="shared" si="51"/>
        <v>0</v>
      </c>
    </row>
    <row r="150" spans="1:27" x14ac:dyDescent="0.25">
      <c r="C150" s="1"/>
      <c r="D150" s="1"/>
      <c r="E150" t="s">
        <v>76</v>
      </c>
      <c r="F150" t="s">
        <v>7</v>
      </c>
      <c r="H150" s="2">
        <f>H133*H144+H140*H145+H141*H146+H142*H147</f>
        <v>0</v>
      </c>
      <c r="I150" s="2">
        <f t="shared" ref="I150:AA150" si="52">I133*I144+I140*I145+I141*I146+I142*I147</f>
        <v>0</v>
      </c>
      <c r="J150" s="2">
        <f t="shared" si="52"/>
        <v>0</v>
      </c>
      <c r="K150" s="2">
        <f t="shared" si="52"/>
        <v>0</v>
      </c>
      <c r="L150" s="2">
        <f t="shared" si="52"/>
        <v>0</v>
      </c>
      <c r="M150" s="2">
        <f t="shared" si="52"/>
        <v>0</v>
      </c>
      <c r="N150" s="2">
        <f t="shared" si="52"/>
        <v>0</v>
      </c>
      <c r="O150" s="2">
        <f t="shared" si="52"/>
        <v>0</v>
      </c>
      <c r="P150" s="2">
        <f t="shared" si="52"/>
        <v>0</v>
      </c>
      <c r="Q150" s="2">
        <f t="shared" si="52"/>
        <v>0</v>
      </c>
      <c r="R150" s="2">
        <f t="shared" si="52"/>
        <v>0</v>
      </c>
      <c r="S150" s="2">
        <f t="shared" si="52"/>
        <v>0</v>
      </c>
      <c r="T150" s="2">
        <f t="shared" si="52"/>
        <v>0</v>
      </c>
      <c r="U150" s="2">
        <f t="shared" si="52"/>
        <v>0</v>
      </c>
      <c r="V150" s="2">
        <f t="shared" si="52"/>
        <v>0</v>
      </c>
      <c r="W150" s="2">
        <f t="shared" si="52"/>
        <v>0</v>
      </c>
      <c r="X150" s="2">
        <f t="shared" si="52"/>
        <v>0</v>
      </c>
      <c r="Y150" s="2">
        <f t="shared" si="52"/>
        <v>0</v>
      </c>
      <c r="Z150" s="2">
        <f t="shared" si="52"/>
        <v>0</v>
      </c>
      <c r="AA150" s="2">
        <f t="shared" si="52"/>
        <v>0</v>
      </c>
    </row>
    <row r="151" spans="1:27" x14ac:dyDescent="0.25">
      <c r="C151" s="1"/>
      <c r="D151" s="1"/>
    </row>
    <row r="152" spans="1:27" x14ac:dyDescent="0.25">
      <c r="C152" s="1"/>
      <c r="D152" t="s">
        <v>77</v>
      </c>
    </row>
    <row r="153" spans="1:27" x14ac:dyDescent="0.25">
      <c r="A153" s="14">
        <f>'Notes &amp; Assumptions'!A44</f>
        <v>31</v>
      </c>
      <c r="C153" s="1"/>
      <c r="D153" s="1"/>
      <c r="E153" t="s">
        <v>87</v>
      </c>
      <c r="F153" t="s">
        <v>3</v>
      </c>
      <c r="H153" s="10">
        <v>0</v>
      </c>
      <c r="I153" s="10">
        <v>0</v>
      </c>
      <c r="J153" s="10">
        <v>0</v>
      </c>
      <c r="K153" s="10">
        <v>0</v>
      </c>
      <c r="L153" s="10">
        <v>0</v>
      </c>
      <c r="M153" s="10">
        <v>0</v>
      </c>
      <c r="N153" s="10">
        <v>0</v>
      </c>
      <c r="O153" s="10">
        <v>0</v>
      </c>
      <c r="P153" s="10">
        <v>0</v>
      </c>
      <c r="Q153" s="10">
        <v>0</v>
      </c>
      <c r="R153" s="10">
        <f>AVERAGE($O153:$Q153)</f>
        <v>0</v>
      </c>
      <c r="S153" s="10">
        <f t="shared" ref="S153:V153" si="53">AVERAGE($O153:$Q153)</f>
        <v>0</v>
      </c>
      <c r="T153" s="10">
        <f t="shared" si="53"/>
        <v>0</v>
      </c>
      <c r="U153" s="10">
        <f t="shared" si="53"/>
        <v>0</v>
      </c>
      <c r="V153" s="10">
        <f t="shared" si="53"/>
        <v>0</v>
      </c>
    </row>
    <row r="154" spans="1:27" x14ac:dyDescent="0.25">
      <c r="C154" s="1"/>
      <c r="D154" s="1"/>
      <c r="E154" t="s">
        <v>60</v>
      </c>
      <c r="F154" t="s">
        <v>3</v>
      </c>
      <c r="H154" s="2">
        <f>G154+H153</f>
        <v>0</v>
      </c>
      <c r="I154" s="2">
        <f t="shared" ref="I154:AA154" si="54">H154+I153</f>
        <v>0</v>
      </c>
      <c r="J154" s="2">
        <f t="shared" si="54"/>
        <v>0</v>
      </c>
      <c r="K154" s="2">
        <f t="shared" si="54"/>
        <v>0</v>
      </c>
      <c r="L154" s="2">
        <f t="shared" si="54"/>
        <v>0</v>
      </c>
      <c r="M154" s="2">
        <f t="shared" si="54"/>
        <v>0</v>
      </c>
      <c r="N154" s="2">
        <f t="shared" si="54"/>
        <v>0</v>
      </c>
      <c r="O154" s="2">
        <f t="shared" si="54"/>
        <v>0</v>
      </c>
      <c r="P154" s="2">
        <f t="shared" si="54"/>
        <v>0</v>
      </c>
      <c r="Q154" s="2">
        <f t="shared" si="54"/>
        <v>0</v>
      </c>
      <c r="R154" s="2">
        <f t="shared" si="54"/>
        <v>0</v>
      </c>
      <c r="S154" s="2">
        <f t="shared" si="54"/>
        <v>0</v>
      </c>
      <c r="T154" s="2">
        <f t="shared" si="54"/>
        <v>0</v>
      </c>
      <c r="U154" s="2">
        <f t="shared" si="54"/>
        <v>0</v>
      </c>
      <c r="V154" s="2">
        <f t="shared" si="54"/>
        <v>0</v>
      </c>
      <c r="W154" s="2">
        <f t="shared" si="54"/>
        <v>0</v>
      </c>
      <c r="X154" s="2">
        <f t="shared" si="54"/>
        <v>0</v>
      </c>
      <c r="Y154" s="2">
        <f t="shared" si="54"/>
        <v>0</v>
      </c>
      <c r="Z154" s="2">
        <f t="shared" si="54"/>
        <v>0</v>
      </c>
      <c r="AA154" s="2">
        <f t="shared" si="54"/>
        <v>0</v>
      </c>
    </row>
    <row r="155" spans="1:27" x14ac:dyDescent="0.25">
      <c r="A155" s="14">
        <f>'Notes &amp; Assumptions'!A45</f>
        <v>32</v>
      </c>
      <c r="C155" s="1"/>
      <c r="D155" s="1"/>
      <c r="E155" t="s">
        <v>61</v>
      </c>
      <c r="F155" t="s">
        <v>3</v>
      </c>
      <c r="G155" s="10">
        <v>1</v>
      </c>
    </row>
    <row r="156" spans="1:27" x14ac:dyDescent="0.25">
      <c r="C156" s="1"/>
      <c r="D156" s="1"/>
      <c r="E156" t="s">
        <v>88</v>
      </c>
      <c r="F156" t="s">
        <v>3</v>
      </c>
      <c r="H156">
        <f>H153*$G155</f>
        <v>0</v>
      </c>
      <c r="I156">
        <f t="shared" ref="I156:AA156" si="55">I153*$G155</f>
        <v>0</v>
      </c>
      <c r="J156">
        <f t="shared" si="55"/>
        <v>0</v>
      </c>
      <c r="K156">
        <f t="shared" si="55"/>
        <v>0</v>
      </c>
      <c r="L156">
        <f t="shared" si="55"/>
        <v>0</v>
      </c>
      <c r="M156">
        <f t="shared" si="55"/>
        <v>0</v>
      </c>
      <c r="N156">
        <f t="shared" si="55"/>
        <v>0</v>
      </c>
      <c r="O156">
        <f t="shared" si="55"/>
        <v>0</v>
      </c>
      <c r="P156">
        <f t="shared" si="55"/>
        <v>0</v>
      </c>
      <c r="Q156">
        <f t="shared" si="55"/>
        <v>0</v>
      </c>
      <c r="R156">
        <f t="shared" si="55"/>
        <v>0</v>
      </c>
      <c r="S156">
        <f t="shared" si="55"/>
        <v>0</v>
      </c>
      <c r="T156">
        <f t="shared" si="55"/>
        <v>0</v>
      </c>
      <c r="U156">
        <f t="shared" si="55"/>
        <v>0</v>
      </c>
      <c r="V156">
        <f t="shared" si="55"/>
        <v>0</v>
      </c>
      <c r="W156">
        <f t="shared" si="55"/>
        <v>0</v>
      </c>
      <c r="X156">
        <f t="shared" si="55"/>
        <v>0</v>
      </c>
      <c r="Y156">
        <f t="shared" si="55"/>
        <v>0</v>
      </c>
      <c r="Z156">
        <f t="shared" si="55"/>
        <v>0</v>
      </c>
      <c r="AA156">
        <f t="shared" si="55"/>
        <v>0</v>
      </c>
    </row>
    <row r="157" spans="1:27" x14ac:dyDescent="0.25">
      <c r="C157" s="1"/>
      <c r="D157" s="1"/>
      <c r="E157" t="s">
        <v>89</v>
      </c>
      <c r="F157" t="s">
        <v>3</v>
      </c>
      <c r="H157">
        <f>H154*$G155</f>
        <v>0</v>
      </c>
      <c r="I157">
        <f t="shared" ref="I157:AA157" si="56">I154*$G155</f>
        <v>0</v>
      </c>
      <c r="J157">
        <f t="shared" si="56"/>
        <v>0</v>
      </c>
      <c r="K157">
        <f t="shared" si="56"/>
        <v>0</v>
      </c>
      <c r="L157">
        <f t="shared" si="56"/>
        <v>0</v>
      </c>
      <c r="M157">
        <f t="shared" si="56"/>
        <v>0</v>
      </c>
      <c r="N157">
        <f t="shared" si="56"/>
        <v>0</v>
      </c>
      <c r="O157">
        <f t="shared" si="56"/>
        <v>0</v>
      </c>
      <c r="P157">
        <f t="shared" si="56"/>
        <v>0</v>
      </c>
      <c r="Q157">
        <f t="shared" si="56"/>
        <v>0</v>
      </c>
      <c r="R157">
        <f t="shared" si="56"/>
        <v>0</v>
      </c>
      <c r="S157">
        <f t="shared" si="56"/>
        <v>0</v>
      </c>
      <c r="T157">
        <f t="shared" si="56"/>
        <v>0</v>
      </c>
      <c r="U157">
        <f t="shared" si="56"/>
        <v>0</v>
      </c>
      <c r="V157">
        <f t="shared" si="56"/>
        <v>0</v>
      </c>
      <c r="W157">
        <f t="shared" si="56"/>
        <v>0</v>
      </c>
      <c r="X157">
        <f t="shared" si="56"/>
        <v>0</v>
      </c>
      <c r="Y157">
        <f t="shared" si="56"/>
        <v>0</v>
      </c>
      <c r="Z157">
        <f t="shared" si="56"/>
        <v>0</v>
      </c>
      <c r="AA157">
        <f t="shared" si="56"/>
        <v>0</v>
      </c>
    </row>
    <row r="158" spans="1:27" x14ac:dyDescent="0.25">
      <c r="A158" s="14">
        <f>'Notes &amp; Assumptions'!A46</f>
        <v>33</v>
      </c>
      <c r="C158" s="1"/>
      <c r="D158" s="1"/>
      <c r="E158" t="s">
        <v>62</v>
      </c>
      <c r="F158" t="s">
        <v>43</v>
      </c>
      <c r="H158" s="10"/>
      <c r="I158" s="10"/>
      <c r="J158" s="10"/>
      <c r="K158" s="10"/>
      <c r="L158" s="10"/>
      <c r="M158" s="10"/>
      <c r="N158" s="10"/>
      <c r="O158" s="10"/>
      <c r="P158" s="10"/>
      <c r="Q158" s="10"/>
      <c r="R158" s="10"/>
      <c r="S158" s="10"/>
      <c r="T158" s="10"/>
      <c r="U158" s="10"/>
      <c r="V158" s="10"/>
      <c r="W158" s="10"/>
      <c r="X158" s="10"/>
      <c r="Y158" s="10"/>
      <c r="Z158" s="10"/>
      <c r="AA158" s="10"/>
    </row>
    <row r="159" spans="1:27" x14ac:dyDescent="0.25">
      <c r="C159" s="1"/>
      <c r="D159" s="1"/>
      <c r="E159" t="s">
        <v>63</v>
      </c>
      <c r="F159" t="s">
        <v>43</v>
      </c>
      <c r="H159" s="10"/>
      <c r="I159" s="10"/>
      <c r="J159" s="10"/>
      <c r="K159" s="10"/>
      <c r="L159" s="10"/>
      <c r="M159" s="10"/>
      <c r="N159" s="10"/>
      <c r="O159" s="10"/>
      <c r="P159" s="10"/>
      <c r="Q159" s="10"/>
      <c r="R159" s="10"/>
      <c r="S159" s="10"/>
      <c r="T159" s="10"/>
      <c r="U159" s="10"/>
      <c r="V159" s="10"/>
      <c r="W159" s="10"/>
      <c r="X159" s="10"/>
      <c r="Y159" s="10"/>
      <c r="Z159" s="10"/>
      <c r="AA159" s="10"/>
    </row>
    <row r="160" spans="1:27" x14ac:dyDescent="0.25">
      <c r="A160" s="14">
        <f>'Notes &amp; Assumptions'!A47</f>
        <v>34</v>
      </c>
      <c r="C160" s="1"/>
      <c r="D160" s="1"/>
      <c r="E160" t="s">
        <v>140</v>
      </c>
      <c r="F160" t="s">
        <v>43</v>
      </c>
      <c r="H160" s="10"/>
      <c r="I160" s="10"/>
      <c r="J160" s="10"/>
      <c r="K160" s="10"/>
      <c r="L160" s="10"/>
      <c r="M160" s="10"/>
      <c r="N160" s="10"/>
      <c r="O160" s="10"/>
      <c r="P160" s="10"/>
      <c r="Q160" s="10"/>
      <c r="R160" s="10"/>
      <c r="S160" s="10"/>
      <c r="T160" s="10"/>
      <c r="U160" s="10"/>
      <c r="V160" s="10"/>
      <c r="W160" s="10"/>
      <c r="X160" s="10"/>
      <c r="Y160" s="10"/>
      <c r="Z160" s="10"/>
      <c r="AA160" s="10"/>
    </row>
    <row r="161" spans="1:27" x14ac:dyDescent="0.25">
      <c r="C161" s="1"/>
      <c r="D161" s="1"/>
      <c r="E161" t="s">
        <v>64</v>
      </c>
      <c r="F161" t="s">
        <v>144</v>
      </c>
      <c r="H161" s="2">
        <f>H154*H158</f>
        <v>0</v>
      </c>
      <c r="I161" s="2">
        <f t="shared" ref="I161:AA161" si="57">I154*I158</f>
        <v>0</v>
      </c>
      <c r="J161" s="2">
        <f t="shared" si="57"/>
        <v>0</v>
      </c>
      <c r="K161" s="2">
        <f t="shared" si="57"/>
        <v>0</v>
      </c>
      <c r="L161" s="2">
        <f t="shared" si="57"/>
        <v>0</v>
      </c>
      <c r="M161" s="2">
        <f t="shared" si="57"/>
        <v>0</v>
      </c>
      <c r="N161" s="2">
        <f t="shared" si="57"/>
        <v>0</v>
      </c>
      <c r="O161" s="2">
        <f t="shared" si="57"/>
        <v>0</v>
      </c>
      <c r="P161" s="2">
        <f t="shared" si="57"/>
        <v>0</v>
      </c>
      <c r="Q161" s="2">
        <f t="shared" si="57"/>
        <v>0</v>
      </c>
      <c r="R161" s="2">
        <f t="shared" si="57"/>
        <v>0</v>
      </c>
      <c r="S161" s="2">
        <f t="shared" si="57"/>
        <v>0</v>
      </c>
      <c r="T161" s="2">
        <f t="shared" si="57"/>
        <v>0</v>
      </c>
      <c r="U161" s="2">
        <f t="shared" si="57"/>
        <v>0</v>
      </c>
      <c r="V161" s="2">
        <f t="shared" si="57"/>
        <v>0</v>
      </c>
      <c r="W161" s="2">
        <f t="shared" si="57"/>
        <v>0</v>
      </c>
      <c r="X161" s="2">
        <f t="shared" si="57"/>
        <v>0</v>
      </c>
      <c r="Y161" s="2">
        <f t="shared" si="57"/>
        <v>0</v>
      </c>
      <c r="Z161" s="2">
        <f t="shared" si="57"/>
        <v>0</v>
      </c>
      <c r="AA161" s="2">
        <f t="shared" si="57"/>
        <v>0</v>
      </c>
    </row>
    <row r="162" spans="1:27" x14ac:dyDescent="0.25">
      <c r="C162" s="1"/>
      <c r="D162" s="1"/>
      <c r="E162" t="s">
        <v>65</v>
      </c>
      <c r="F162" t="s">
        <v>144</v>
      </c>
      <c r="H162" s="2">
        <f>H154*H159</f>
        <v>0</v>
      </c>
      <c r="I162" s="2">
        <f t="shared" ref="I162:AA162" si="58">I154*I159</f>
        <v>0</v>
      </c>
      <c r="J162" s="2">
        <f t="shared" si="58"/>
        <v>0</v>
      </c>
      <c r="K162" s="2">
        <f t="shared" si="58"/>
        <v>0</v>
      </c>
      <c r="L162" s="2">
        <f t="shared" si="58"/>
        <v>0</v>
      </c>
      <c r="M162" s="2">
        <f t="shared" si="58"/>
        <v>0</v>
      </c>
      <c r="N162" s="2">
        <f t="shared" si="58"/>
        <v>0</v>
      </c>
      <c r="O162" s="2">
        <f t="shared" si="58"/>
        <v>0</v>
      </c>
      <c r="P162" s="2">
        <f t="shared" si="58"/>
        <v>0</v>
      </c>
      <c r="Q162" s="2">
        <f t="shared" si="58"/>
        <v>0</v>
      </c>
      <c r="R162" s="2">
        <f t="shared" si="58"/>
        <v>0</v>
      </c>
      <c r="S162" s="2">
        <f t="shared" si="58"/>
        <v>0</v>
      </c>
      <c r="T162" s="2">
        <f t="shared" si="58"/>
        <v>0</v>
      </c>
      <c r="U162" s="2">
        <f t="shared" si="58"/>
        <v>0</v>
      </c>
      <c r="V162" s="2">
        <f t="shared" si="58"/>
        <v>0</v>
      </c>
      <c r="W162" s="2">
        <f t="shared" si="58"/>
        <v>0</v>
      </c>
      <c r="X162" s="2">
        <f t="shared" si="58"/>
        <v>0</v>
      </c>
      <c r="Y162" s="2">
        <f t="shared" si="58"/>
        <v>0</v>
      </c>
      <c r="Z162" s="2">
        <f t="shared" si="58"/>
        <v>0</v>
      </c>
      <c r="AA162" s="2">
        <f t="shared" si="58"/>
        <v>0</v>
      </c>
    </row>
    <row r="163" spans="1:27" x14ac:dyDescent="0.25">
      <c r="C163" s="1"/>
      <c r="D163" s="1"/>
      <c r="E163" t="s">
        <v>141</v>
      </c>
      <c r="F163" t="s">
        <v>144</v>
      </c>
      <c r="H163" s="2">
        <f>H154*H160</f>
        <v>0</v>
      </c>
      <c r="I163" s="2">
        <f t="shared" ref="I163:AA163" si="59">I154*I160</f>
        <v>0</v>
      </c>
      <c r="J163" s="2">
        <f t="shared" si="59"/>
        <v>0</v>
      </c>
      <c r="K163" s="2">
        <f t="shared" si="59"/>
        <v>0</v>
      </c>
      <c r="L163" s="2">
        <f t="shared" si="59"/>
        <v>0</v>
      </c>
      <c r="M163" s="2">
        <f t="shared" si="59"/>
        <v>0</v>
      </c>
      <c r="N163" s="2">
        <f t="shared" si="59"/>
        <v>0</v>
      </c>
      <c r="O163" s="2">
        <f t="shared" si="59"/>
        <v>0</v>
      </c>
      <c r="P163" s="2">
        <f t="shared" si="59"/>
        <v>0</v>
      </c>
      <c r="Q163" s="2">
        <f t="shared" si="59"/>
        <v>0</v>
      </c>
      <c r="R163" s="2">
        <f t="shared" si="59"/>
        <v>0</v>
      </c>
      <c r="S163" s="2">
        <f t="shared" si="59"/>
        <v>0</v>
      </c>
      <c r="T163" s="2">
        <f t="shared" si="59"/>
        <v>0</v>
      </c>
      <c r="U163" s="2">
        <f t="shared" si="59"/>
        <v>0</v>
      </c>
      <c r="V163" s="2">
        <f t="shared" si="59"/>
        <v>0</v>
      </c>
      <c r="W163" s="2">
        <f t="shared" si="59"/>
        <v>0</v>
      </c>
      <c r="X163" s="2">
        <f t="shared" si="59"/>
        <v>0</v>
      </c>
      <c r="Y163" s="2">
        <f t="shared" si="59"/>
        <v>0</v>
      </c>
      <c r="Z163" s="2">
        <f t="shared" si="59"/>
        <v>0</v>
      </c>
      <c r="AA163" s="2">
        <f t="shared" si="59"/>
        <v>0</v>
      </c>
    </row>
    <row r="164" spans="1:27" x14ac:dyDescent="0.25">
      <c r="A164" s="14">
        <f>'Notes &amp; Assumptions'!A48</f>
        <v>35</v>
      </c>
      <c r="C164" s="1"/>
      <c r="D164" s="1"/>
      <c r="E164" t="s">
        <v>66</v>
      </c>
      <c r="F164" t="s">
        <v>8</v>
      </c>
      <c r="H164" s="11"/>
      <c r="I164" s="11"/>
      <c r="J164" s="11"/>
      <c r="K164" s="11"/>
      <c r="L164" s="11"/>
      <c r="M164" s="11"/>
      <c r="N164" s="11"/>
      <c r="O164" s="11"/>
      <c r="P164" s="11"/>
      <c r="Q164" s="11"/>
      <c r="R164" s="11"/>
      <c r="S164" s="11"/>
      <c r="T164" s="11"/>
      <c r="U164" s="11"/>
      <c r="V164" s="11"/>
      <c r="W164" s="11"/>
      <c r="X164" s="11"/>
      <c r="Y164" s="11"/>
      <c r="Z164" s="11"/>
      <c r="AA164" s="11"/>
    </row>
    <row r="165" spans="1:27" x14ac:dyDescent="0.25">
      <c r="A165" s="14">
        <f>'Notes &amp; Assumptions'!A49</f>
        <v>36</v>
      </c>
      <c r="C165" s="1"/>
      <c r="D165" s="1"/>
      <c r="E165" t="s">
        <v>40</v>
      </c>
      <c r="F165" t="s">
        <v>41</v>
      </c>
      <c r="G165" s="10"/>
      <c r="H165" s="2">
        <f>G165*(1+$G$14)*(1+H164)</f>
        <v>0</v>
      </c>
      <c r="I165" s="2">
        <f t="shared" ref="I165:AA165" si="60">H165*(1+$G$14)*(1+I164)</f>
        <v>0</v>
      </c>
      <c r="J165" s="2">
        <f t="shared" si="60"/>
        <v>0</v>
      </c>
      <c r="K165" s="2">
        <f t="shared" si="60"/>
        <v>0</v>
      </c>
      <c r="L165" s="2">
        <f t="shared" si="60"/>
        <v>0</v>
      </c>
      <c r="M165" s="2">
        <f t="shared" si="60"/>
        <v>0</v>
      </c>
      <c r="N165" s="2">
        <f t="shared" si="60"/>
        <v>0</v>
      </c>
      <c r="O165" s="2">
        <f t="shared" si="60"/>
        <v>0</v>
      </c>
      <c r="P165" s="2">
        <f t="shared" si="60"/>
        <v>0</v>
      </c>
      <c r="Q165" s="2">
        <f t="shared" si="60"/>
        <v>0</v>
      </c>
      <c r="R165" s="2">
        <f t="shared" si="60"/>
        <v>0</v>
      </c>
      <c r="S165" s="2">
        <f t="shared" si="60"/>
        <v>0</v>
      </c>
      <c r="T165" s="2">
        <f t="shared" si="60"/>
        <v>0</v>
      </c>
      <c r="U165" s="2">
        <f t="shared" si="60"/>
        <v>0</v>
      </c>
      <c r="V165" s="2">
        <f t="shared" si="60"/>
        <v>0</v>
      </c>
      <c r="W165" s="2">
        <f t="shared" si="60"/>
        <v>0</v>
      </c>
      <c r="X165" s="2">
        <f t="shared" si="60"/>
        <v>0</v>
      </c>
      <c r="Y165" s="2">
        <f t="shared" si="60"/>
        <v>0</v>
      </c>
      <c r="Z165" s="2">
        <f t="shared" si="60"/>
        <v>0</v>
      </c>
      <c r="AA165" s="2">
        <f t="shared" si="60"/>
        <v>0</v>
      </c>
    </row>
    <row r="166" spans="1:27" x14ac:dyDescent="0.25">
      <c r="C166" s="1"/>
      <c r="D166" s="1"/>
      <c r="E166" t="s">
        <v>67</v>
      </c>
      <c r="F166" t="s">
        <v>143</v>
      </c>
      <c r="G166" s="20"/>
      <c r="H166" s="21">
        <f>G166*(1+$G$14)*(1+H164)</f>
        <v>0</v>
      </c>
      <c r="I166" s="21">
        <f t="shared" ref="I166:AA166" si="61">H166*(1+$G$14)*(1+I164)</f>
        <v>0</v>
      </c>
      <c r="J166" s="21">
        <f t="shared" si="61"/>
        <v>0</v>
      </c>
      <c r="K166" s="21">
        <f t="shared" si="61"/>
        <v>0</v>
      </c>
      <c r="L166" s="21">
        <f t="shared" si="61"/>
        <v>0</v>
      </c>
      <c r="M166" s="21">
        <f t="shared" si="61"/>
        <v>0</v>
      </c>
      <c r="N166" s="21">
        <f t="shared" si="61"/>
        <v>0</v>
      </c>
      <c r="O166" s="21">
        <f t="shared" si="61"/>
        <v>0</v>
      </c>
      <c r="P166" s="21">
        <f t="shared" si="61"/>
        <v>0</v>
      </c>
      <c r="Q166" s="21">
        <f t="shared" si="61"/>
        <v>0</v>
      </c>
      <c r="R166" s="21">
        <f t="shared" si="61"/>
        <v>0</v>
      </c>
      <c r="S166" s="21">
        <f t="shared" si="61"/>
        <v>0</v>
      </c>
      <c r="T166" s="21">
        <f t="shared" si="61"/>
        <v>0</v>
      </c>
      <c r="U166" s="21">
        <f t="shared" si="61"/>
        <v>0</v>
      </c>
      <c r="V166" s="21">
        <f t="shared" si="61"/>
        <v>0</v>
      </c>
      <c r="W166" s="21">
        <f t="shared" si="61"/>
        <v>0</v>
      </c>
      <c r="X166" s="21">
        <f t="shared" si="61"/>
        <v>0</v>
      </c>
      <c r="Y166" s="21">
        <f t="shared" si="61"/>
        <v>0</v>
      </c>
      <c r="Z166" s="21">
        <f t="shared" si="61"/>
        <v>0</v>
      </c>
      <c r="AA166" s="21">
        <f t="shared" si="61"/>
        <v>0</v>
      </c>
    </row>
    <row r="167" spans="1:27" x14ac:dyDescent="0.25">
      <c r="C167" s="1"/>
      <c r="D167" s="1"/>
      <c r="E167" t="s">
        <v>68</v>
      </c>
      <c r="F167" t="s">
        <v>143</v>
      </c>
      <c r="G167" s="20"/>
      <c r="H167" s="21">
        <f>G167*(1+$G$14)*(1+H164)</f>
        <v>0</v>
      </c>
      <c r="I167" s="21">
        <f t="shared" ref="I167:AA167" si="62">H167*(1+$G$14)*(1+I164)</f>
        <v>0</v>
      </c>
      <c r="J167" s="21">
        <f t="shared" si="62"/>
        <v>0</v>
      </c>
      <c r="K167" s="21">
        <f t="shared" si="62"/>
        <v>0</v>
      </c>
      <c r="L167" s="21">
        <f t="shared" si="62"/>
        <v>0</v>
      </c>
      <c r="M167" s="21">
        <f t="shared" si="62"/>
        <v>0</v>
      </c>
      <c r="N167" s="21">
        <f t="shared" si="62"/>
        <v>0</v>
      </c>
      <c r="O167" s="21">
        <f t="shared" si="62"/>
        <v>0</v>
      </c>
      <c r="P167" s="21">
        <f t="shared" si="62"/>
        <v>0</v>
      </c>
      <c r="Q167" s="21">
        <f t="shared" si="62"/>
        <v>0</v>
      </c>
      <c r="R167" s="21">
        <f t="shared" si="62"/>
        <v>0</v>
      </c>
      <c r="S167" s="21">
        <f t="shared" si="62"/>
        <v>0</v>
      </c>
      <c r="T167" s="21">
        <f t="shared" si="62"/>
        <v>0</v>
      </c>
      <c r="U167" s="21">
        <f t="shared" si="62"/>
        <v>0</v>
      </c>
      <c r="V167" s="21">
        <f t="shared" si="62"/>
        <v>0</v>
      </c>
      <c r="W167" s="21">
        <f t="shared" si="62"/>
        <v>0</v>
      </c>
      <c r="X167" s="21">
        <f t="shared" si="62"/>
        <v>0</v>
      </c>
      <c r="Y167" s="21">
        <f t="shared" si="62"/>
        <v>0</v>
      </c>
      <c r="Z167" s="21">
        <f t="shared" si="62"/>
        <v>0</v>
      </c>
      <c r="AA167" s="21">
        <f t="shared" si="62"/>
        <v>0</v>
      </c>
    </row>
    <row r="168" spans="1:27" x14ac:dyDescent="0.25">
      <c r="C168" s="1"/>
      <c r="D168" s="1"/>
      <c r="E168" t="s">
        <v>142</v>
      </c>
      <c r="F168" t="s">
        <v>143</v>
      </c>
      <c r="G168" s="20"/>
      <c r="H168" s="21">
        <f>G168*(1+$G$14)*(1+H164)</f>
        <v>0</v>
      </c>
      <c r="I168" s="21">
        <f t="shared" ref="I168:AA168" si="63">H168*(1+$G$14)*(1+I164)</f>
        <v>0</v>
      </c>
      <c r="J168" s="21">
        <f t="shared" si="63"/>
        <v>0</v>
      </c>
      <c r="K168" s="21">
        <f t="shared" si="63"/>
        <v>0</v>
      </c>
      <c r="L168" s="21">
        <f t="shared" si="63"/>
        <v>0</v>
      </c>
      <c r="M168" s="21">
        <f t="shared" si="63"/>
        <v>0</v>
      </c>
      <c r="N168" s="21">
        <f t="shared" si="63"/>
        <v>0</v>
      </c>
      <c r="O168" s="21">
        <f t="shared" si="63"/>
        <v>0</v>
      </c>
      <c r="P168" s="21">
        <f t="shared" si="63"/>
        <v>0</v>
      </c>
      <c r="Q168" s="21">
        <f t="shared" si="63"/>
        <v>0</v>
      </c>
      <c r="R168" s="21">
        <f t="shared" si="63"/>
        <v>0</v>
      </c>
      <c r="S168" s="21">
        <f t="shared" si="63"/>
        <v>0</v>
      </c>
      <c r="T168" s="21">
        <f t="shared" si="63"/>
        <v>0</v>
      </c>
      <c r="U168" s="21">
        <f t="shared" si="63"/>
        <v>0</v>
      </c>
      <c r="V168" s="21">
        <f t="shared" si="63"/>
        <v>0</v>
      </c>
      <c r="W168" s="21">
        <f t="shared" si="63"/>
        <v>0</v>
      </c>
      <c r="X168" s="21">
        <f t="shared" si="63"/>
        <v>0</v>
      </c>
      <c r="Y168" s="21">
        <f t="shared" si="63"/>
        <v>0</v>
      </c>
      <c r="Z168" s="21">
        <f t="shared" si="63"/>
        <v>0</v>
      </c>
      <c r="AA168" s="21">
        <f t="shared" si="63"/>
        <v>0</v>
      </c>
    </row>
    <row r="169" spans="1:27" x14ac:dyDescent="0.25">
      <c r="C169" s="1"/>
      <c r="D169" s="1"/>
    </row>
    <row r="170" spans="1:27" x14ac:dyDescent="0.25">
      <c r="C170" s="1"/>
      <c r="D170" s="1"/>
      <c r="E170" t="s">
        <v>78</v>
      </c>
      <c r="F170" t="s">
        <v>58</v>
      </c>
      <c r="H170" s="2">
        <f>SUM(H161:H163)/1000</f>
        <v>0</v>
      </c>
      <c r="I170" s="2">
        <f t="shared" ref="I170:AA170" si="64">SUM(I161:I163)/1000</f>
        <v>0</v>
      </c>
      <c r="J170" s="2">
        <f t="shared" si="64"/>
        <v>0</v>
      </c>
      <c r="K170" s="2">
        <f t="shared" si="64"/>
        <v>0</v>
      </c>
      <c r="L170" s="2">
        <f t="shared" si="64"/>
        <v>0</v>
      </c>
      <c r="M170" s="2">
        <f t="shared" si="64"/>
        <v>0</v>
      </c>
      <c r="N170" s="2">
        <f t="shared" si="64"/>
        <v>0</v>
      </c>
      <c r="O170" s="2">
        <f t="shared" si="64"/>
        <v>0</v>
      </c>
      <c r="P170" s="2">
        <f t="shared" si="64"/>
        <v>0</v>
      </c>
      <c r="Q170" s="2">
        <f t="shared" si="64"/>
        <v>0</v>
      </c>
      <c r="R170" s="2">
        <f t="shared" si="64"/>
        <v>0</v>
      </c>
      <c r="S170" s="2">
        <f t="shared" si="64"/>
        <v>0</v>
      </c>
      <c r="T170" s="2">
        <f t="shared" si="64"/>
        <v>0</v>
      </c>
      <c r="U170" s="2">
        <f t="shared" si="64"/>
        <v>0</v>
      </c>
      <c r="V170" s="2">
        <f t="shared" si="64"/>
        <v>0</v>
      </c>
      <c r="W170" s="2">
        <f t="shared" si="64"/>
        <v>0</v>
      </c>
      <c r="X170" s="2">
        <f t="shared" si="64"/>
        <v>0</v>
      </c>
      <c r="Y170" s="2">
        <f t="shared" si="64"/>
        <v>0</v>
      </c>
      <c r="Z170" s="2">
        <f t="shared" si="64"/>
        <v>0</v>
      </c>
      <c r="AA170" s="2">
        <f t="shared" si="64"/>
        <v>0</v>
      </c>
    </row>
    <row r="171" spans="1:27" x14ac:dyDescent="0.25">
      <c r="C171" s="1"/>
      <c r="D171" s="1"/>
      <c r="E171" t="s">
        <v>79</v>
      </c>
      <c r="F171" t="s">
        <v>7</v>
      </c>
      <c r="H171" s="2">
        <f>H154*H165+H161*H166+H162*H167+H163*H168</f>
        <v>0</v>
      </c>
      <c r="I171" s="2">
        <f t="shared" ref="I171:AA171" si="65">I154*I165+I161*I166+I162*I167+I163*I168</f>
        <v>0</v>
      </c>
      <c r="J171" s="2">
        <f t="shared" si="65"/>
        <v>0</v>
      </c>
      <c r="K171" s="2">
        <f t="shared" si="65"/>
        <v>0</v>
      </c>
      <c r="L171" s="2">
        <f t="shared" si="65"/>
        <v>0</v>
      </c>
      <c r="M171" s="2">
        <f t="shared" si="65"/>
        <v>0</v>
      </c>
      <c r="N171" s="2">
        <f t="shared" si="65"/>
        <v>0</v>
      </c>
      <c r="O171" s="2">
        <f t="shared" si="65"/>
        <v>0</v>
      </c>
      <c r="P171" s="2">
        <f t="shared" si="65"/>
        <v>0</v>
      </c>
      <c r="Q171" s="2">
        <f t="shared" si="65"/>
        <v>0</v>
      </c>
      <c r="R171" s="2">
        <f t="shared" si="65"/>
        <v>0</v>
      </c>
      <c r="S171" s="2">
        <f t="shared" si="65"/>
        <v>0</v>
      </c>
      <c r="T171" s="2">
        <f t="shared" si="65"/>
        <v>0</v>
      </c>
      <c r="U171" s="2">
        <f t="shared" si="65"/>
        <v>0</v>
      </c>
      <c r="V171" s="2">
        <f t="shared" si="65"/>
        <v>0</v>
      </c>
      <c r="W171" s="2">
        <f t="shared" si="65"/>
        <v>0</v>
      </c>
      <c r="X171" s="2">
        <f t="shared" si="65"/>
        <v>0</v>
      </c>
      <c r="Y171" s="2">
        <f t="shared" si="65"/>
        <v>0</v>
      </c>
      <c r="Z171" s="2">
        <f t="shared" si="65"/>
        <v>0</v>
      </c>
      <c r="AA171" s="2">
        <f t="shared" si="65"/>
        <v>0</v>
      </c>
    </row>
    <row r="172" spans="1:27" x14ac:dyDescent="0.25">
      <c r="C172" s="1"/>
      <c r="D172" s="1"/>
    </row>
    <row r="173" spans="1:27" x14ac:dyDescent="0.25">
      <c r="C173" s="1"/>
      <c r="D173" t="s">
        <v>80</v>
      </c>
    </row>
    <row r="174" spans="1:27" x14ac:dyDescent="0.25">
      <c r="C174" s="1"/>
      <c r="E174" t="s">
        <v>91</v>
      </c>
      <c r="F174" t="s">
        <v>3</v>
      </c>
      <c r="H174">
        <f t="shared" ref="H174:AA175" si="66">SUM(H93,H114,H135,H156)</f>
        <v>11310</v>
      </c>
      <c r="I174">
        <f t="shared" si="66"/>
        <v>10780</v>
      </c>
      <c r="J174">
        <f t="shared" si="66"/>
        <v>10446.299999999999</v>
      </c>
      <c r="K174">
        <f t="shared" si="66"/>
        <v>9582.1999999999989</v>
      </c>
      <c r="L174">
        <f t="shared" si="66"/>
        <v>8748.2999999999993</v>
      </c>
      <c r="M174">
        <f t="shared" si="66"/>
        <v>7956.9999999999982</v>
      </c>
      <c r="N174">
        <f t="shared" si="66"/>
        <v>7209.699999999998</v>
      </c>
      <c r="O174">
        <f t="shared" si="66"/>
        <v>6504.0999999999976</v>
      </c>
      <c r="P174">
        <f t="shared" si="66"/>
        <v>6440.8999999999978</v>
      </c>
      <c r="Q174">
        <f t="shared" si="66"/>
        <v>6357.2999999999984</v>
      </c>
      <c r="R174">
        <f t="shared" si="66"/>
        <v>6730.4999999999982</v>
      </c>
      <c r="S174">
        <f t="shared" si="66"/>
        <v>7136.199999999998</v>
      </c>
      <c r="T174">
        <f t="shared" si="66"/>
        <v>7553.4999999999982</v>
      </c>
      <c r="U174">
        <f t="shared" si="66"/>
        <v>7501.3999999999978</v>
      </c>
      <c r="V174">
        <f t="shared" si="66"/>
        <v>7452.3999999999978</v>
      </c>
      <c r="W174">
        <f t="shared" si="66"/>
        <v>0</v>
      </c>
      <c r="X174">
        <f t="shared" si="66"/>
        <v>0</v>
      </c>
      <c r="Y174">
        <f t="shared" si="66"/>
        <v>0</v>
      </c>
      <c r="Z174">
        <f t="shared" si="66"/>
        <v>0</v>
      </c>
      <c r="AA174">
        <f t="shared" si="66"/>
        <v>0</v>
      </c>
    </row>
    <row r="175" spans="1:27" x14ac:dyDescent="0.25">
      <c r="C175" s="1"/>
      <c r="D175" s="1"/>
      <c r="E175" t="s">
        <v>90</v>
      </c>
      <c r="F175" t="s">
        <v>3</v>
      </c>
      <c r="H175">
        <f t="shared" si="66"/>
        <v>11310</v>
      </c>
      <c r="I175">
        <f t="shared" si="66"/>
        <v>22090</v>
      </c>
      <c r="J175">
        <f t="shared" si="66"/>
        <v>32536.3</v>
      </c>
      <c r="K175">
        <f t="shared" si="66"/>
        <v>42118.5</v>
      </c>
      <c r="L175">
        <f t="shared" si="66"/>
        <v>50866.799999999996</v>
      </c>
      <c r="M175">
        <f t="shared" si="66"/>
        <v>58823.799999999996</v>
      </c>
      <c r="N175">
        <f t="shared" si="66"/>
        <v>66033.5</v>
      </c>
      <c r="O175">
        <f t="shared" si="66"/>
        <v>72537.599999999991</v>
      </c>
      <c r="P175">
        <f t="shared" si="66"/>
        <v>78978.499999999985</v>
      </c>
      <c r="Q175">
        <f t="shared" si="66"/>
        <v>85335.799999999988</v>
      </c>
      <c r="R175">
        <f t="shared" si="66"/>
        <v>92066.299999999988</v>
      </c>
      <c r="S175">
        <f t="shared" si="66"/>
        <v>99202.499999999985</v>
      </c>
      <c r="T175">
        <f t="shared" si="66"/>
        <v>106755.99999999999</v>
      </c>
      <c r="U175">
        <f t="shared" si="66"/>
        <v>114257.39999999998</v>
      </c>
      <c r="V175">
        <f t="shared" si="66"/>
        <v>121709.79999999997</v>
      </c>
      <c r="W175">
        <f t="shared" si="66"/>
        <v>121709.79999999997</v>
      </c>
      <c r="X175">
        <f t="shared" si="66"/>
        <v>121709.79999999997</v>
      </c>
      <c r="Y175">
        <f t="shared" si="66"/>
        <v>121709.79999999997</v>
      </c>
      <c r="Z175">
        <f t="shared" si="66"/>
        <v>121709.79999999997</v>
      </c>
      <c r="AA175">
        <f t="shared" si="66"/>
        <v>121709.79999999997</v>
      </c>
    </row>
    <row r="176" spans="1:27" x14ac:dyDescent="0.25">
      <c r="C176" s="1"/>
      <c r="D176" s="1"/>
      <c r="E176" t="s">
        <v>81</v>
      </c>
      <c r="F176" t="s">
        <v>58</v>
      </c>
      <c r="H176" s="2">
        <f>SUM(H107,H128,H149,H170)</f>
        <v>1968.82</v>
      </c>
      <c r="I176" s="2">
        <f t="shared" ref="H176:AA177" si="67">SUM(I107,I128,I149,I170)</f>
        <v>3858.14</v>
      </c>
      <c r="J176" s="2">
        <f t="shared" si="67"/>
        <v>5703.3250000000007</v>
      </c>
      <c r="K176" s="2">
        <f t="shared" si="67"/>
        <v>7407.0550000000003</v>
      </c>
      <c r="L176" s="2">
        <f t="shared" si="67"/>
        <v>8976.8199999999979</v>
      </c>
      <c r="M176" s="2">
        <f t="shared" si="67"/>
        <v>10416.049999999999</v>
      </c>
      <c r="N176" s="2">
        <f t="shared" si="67"/>
        <v>11734.304999999997</v>
      </c>
      <c r="O176" s="2">
        <f t="shared" si="67"/>
        <v>12937.839999999997</v>
      </c>
      <c r="P176" s="2">
        <f t="shared" si="67"/>
        <v>14143.734999999999</v>
      </c>
      <c r="Q176" s="2">
        <f t="shared" si="67"/>
        <v>15351.889999999998</v>
      </c>
      <c r="R176" s="2">
        <f t="shared" si="67"/>
        <v>16630.824999999997</v>
      </c>
      <c r="S176" s="2">
        <f t="shared" si="67"/>
        <v>17988.375</v>
      </c>
      <c r="T176" s="2">
        <f t="shared" si="67"/>
        <v>19423.32</v>
      </c>
      <c r="U176" s="2">
        <f t="shared" si="67"/>
        <v>20847.489999999998</v>
      </c>
      <c r="V176" s="2">
        <f t="shared" si="67"/>
        <v>22264.309999999994</v>
      </c>
      <c r="W176" s="2">
        <f t="shared" si="67"/>
        <v>22264.309999999994</v>
      </c>
      <c r="X176" s="2">
        <f t="shared" si="67"/>
        <v>22264.309999999994</v>
      </c>
      <c r="Y176" s="2">
        <f t="shared" si="67"/>
        <v>22264.309999999994</v>
      </c>
      <c r="Z176" s="2">
        <f t="shared" si="67"/>
        <v>22264.309999999994</v>
      </c>
      <c r="AA176" s="2">
        <f t="shared" si="67"/>
        <v>22264.309999999994</v>
      </c>
    </row>
    <row r="177" spans="1:27" x14ac:dyDescent="0.25">
      <c r="C177" s="1"/>
      <c r="D177" s="1"/>
      <c r="E177" t="s">
        <v>82</v>
      </c>
      <c r="F177" t="s">
        <v>7</v>
      </c>
      <c r="H177" s="2">
        <f t="shared" si="67"/>
        <v>7017357.7240413763</v>
      </c>
      <c r="I177" s="2">
        <f t="shared" si="67"/>
        <v>13652255.457493519</v>
      </c>
      <c r="J177" s="2">
        <f t="shared" si="67"/>
        <v>20600117.255503975</v>
      </c>
      <c r="K177" s="2">
        <f t="shared" si="67"/>
        <v>27309526.560440917</v>
      </c>
      <c r="L177" s="2">
        <f t="shared" si="67"/>
        <v>33784018.268937409</v>
      </c>
      <c r="M177" s="2">
        <f t="shared" si="67"/>
        <v>40014378.957875751</v>
      </c>
      <c r="N177" s="2">
        <f t="shared" si="67"/>
        <v>46013931.580149837</v>
      </c>
      <c r="O177" s="2">
        <f t="shared" si="67"/>
        <v>51785567.825009458</v>
      </c>
      <c r="P177" s="2">
        <f t="shared" si="67"/>
        <v>57785129.048530489</v>
      </c>
      <c r="Q177" s="2">
        <f t="shared" si="67"/>
        <v>64018330.857410766</v>
      </c>
      <c r="R177" s="2">
        <f t="shared" si="67"/>
        <v>70788140.116901159</v>
      </c>
      <c r="S177" s="2">
        <f t="shared" si="67"/>
        <v>78154120.400761411</v>
      </c>
      <c r="T177" s="2">
        <f t="shared" si="67"/>
        <v>86141054.704954565</v>
      </c>
      <c r="U177" s="2">
        <f t="shared" si="67"/>
        <v>94380581.033594966</v>
      </c>
      <c r="V177" s="2">
        <f t="shared" si="67"/>
        <v>102893709.98996922</v>
      </c>
      <c r="W177" s="2">
        <f t="shared" si="67"/>
        <v>105054477.89975856</v>
      </c>
      <c r="X177" s="2">
        <f t="shared" si="67"/>
        <v>107260621.93565349</v>
      </c>
      <c r="Y177" s="2">
        <f t="shared" si="67"/>
        <v>109513094.99630219</v>
      </c>
      <c r="Z177" s="2">
        <f t="shared" si="67"/>
        <v>111812869.99122456</v>
      </c>
      <c r="AA177" s="2">
        <f t="shared" si="67"/>
        <v>114160940.26104024</v>
      </c>
    </row>
    <row r="178" spans="1:27" x14ac:dyDescent="0.25">
      <c r="C178" s="1"/>
      <c r="D178" s="1"/>
    </row>
    <row r="179" spans="1:27" x14ac:dyDescent="0.25">
      <c r="C179" s="1"/>
      <c r="D179" s="1"/>
      <c r="E179" s="3" t="s">
        <v>84</v>
      </c>
      <c r="F179" s="3" t="s">
        <v>85</v>
      </c>
      <c r="G179" s="3"/>
      <c r="H179" s="9">
        <f>H176*1000/H175</f>
        <v>174.07780725022104</v>
      </c>
      <c r="I179" s="9">
        <f t="shared" ref="I179:AA179" si="68">I176*1000/I175</f>
        <v>174.65550022634676</v>
      </c>
      <c r="J179" s="9">
        <f t="shared" si="68"/>
        <v>175.29113636154082</v>
      </c>
      <c r="K179" s="9">
        <f t="shared" si="68"/>
        <v>175.86226954901053</v>
      </c>
      <c r="L179" s="9">
        <f t="shared" si="68"/>
        <v>176.47699481783795</v>
      </c>
      <c r="M179" s="9">
        <f t="shared" si="68"/>
        <v>177.07203546863687</v>
      </c>
      <c r="N179" s="9">
        <f t="shared" si="68"/>
        <v>177.70230261912508</v>
      </c>
      <c r="O179" s="9">
        <f t="shared" si="68"/>
        <v>178.36046409034759</v>
      </c>
      <c r="P179" s="9">
        <f t="shared" si="68"/>
        <v>179.0833581291111</v>
      </c>
      <c r="Q179" s="9">
        <f t="shared" si="68"/>
        <v>179.89976071004199</v>
      </c>
      <c r="R179" s="9">
        <f t="shared" si="68"/>
        <v>180.63965859386116</v>
      </c>
      <c r="S179" s="9">
        <f t="shared" si="68"/>
        <v>181.32985559839724</v>
      </c>
      <c r="T179" s="9">
        <f t="shared" si="68"/>
        <v>181.94124920379184</v>
      </c>
      <c r="U179" s="9">
        <f t="shared" si="68"/>
        <v>182.46074214886738</v>
      </c>
      <c r="V179" s="9">
        <f t="shared" si="68"/>
        <v>182.92947650887601</v>
      </c>
      <c r="W179" s="9">
        <f t="shared" si="68"/>
        <v>182.92947650887601</v>
      </c>
      <c r="X179" s="9">
        <f t="shared" si="68"/>
        <v>182.92947650887601</v>
      </c>
      <c r="Y179" s="9">
        <f t="shared" si="68"/>
        <v>182.92947650887601</v>
      </c>
      <c r="Z179" s="9">
        <f t="shared" si="68"/>
        <v>182.92947650887601</v>
      </c>
      <c r="AA179" s="9">
        <f t="shared" si="68"/>
        <v>182.92947650887601</v>
      </c>
    </row>
    <row r="180" spans="1:27" x14ac:dyDescent="0.25">
      <c r="C180" s="1"/>
      <c r="D180" s="1"/>
      <c r="E180" s="3" t="s">
        <v>83</v>
      </c>
      <c r="F180" s="3" t="s">
        <v>22</v>
      </c>
      <c r="G180" s="3"/>
      <c r="H180" s="9">
        <f>H177/H175</f>
        <v>620.45603218756639</v>
      </c>
      <c r="I180" s="9">
        <f t="shared" ref="I180:AA180" si="69">I177/I175</f>
        <v>618.02876674936715</v>
      </c>
      <c r="J180" s="9">
        <f t="shared" si="69"/>
        <v>633.14259013790672</v>
      </c>
      <c r="K180" s="9">
        <f t="shared" si="69"/>
        <v>648.39741587285675</v>
      </c>
      <c r="L180" s="9">
        <f t="shared" si="69"/>
        <v>664.16637706593326</v>
      </c>
      <c r="M180" s="9">
        <f t="shared" si="69"/>
        <v>680.24131317384717</v>
      </c>
      <c r="N180" s="9">
        <f t="shared" si="69"/>
        <v>696.82708897983355</v>
      </c>
      <c r="O180" s="9">
        <f t="shared" si="69"/>
        <v>713.91344385545517</v>
      </c>
      <c r="P180" s="9">
        <f t="shared" si="69"/>
        <v>731.65645142070946</v>
      </c>
      <c r="Q180" s="9">
        <f t="shared" si="69"/>
        <v>750.19312946513389</v>
      </c>
      <c r="R180" s="9">
        <f t="shared" si="69"/>
        <v>768.88220898310419</v>
      </c>
      <c r="S180" s="9">
        <f t="shared" si="69"/>
        <v>787.82410121480223</v>
      </c>
      <c r="T180" s="9">
        <f t="shared" si="69"/>
        <v>806.89661194644395</v>
      </c>
      <c r="U180" s="9">
        <f t="shared" si="69"/>
        <v>826.0347341493416</v>
      </c>
      <c r="V180" s="9">
        <f t="shared" si="69"/>
        <v>845.40201355987153</v>
      </c>
      <c r="W180" s="9">
        <f t="shared" si="69"/>
        <v>863.1554558446287</v>
      </c>
      <c r="X180" s="9">
        <f t="shared" si="69"/>
        <v>881.28172041736582</v>
      </c>
      <c r="Y180" s="9">
        <f t="shared" si="69"/>
        <v>899.78863654613031</v>
      </c>
      <c r="Z180" s="9">
        <f t="shared" si="69"/>
        <v>918.68419791359929</v>
      </c>
      <c r="AA180" s="9">
        <f t="shared" si="69"/>
        <v>937.97656606978455</v>
      </c>
    </row>
    <row r="181" spans="1:27" x14ac:dyDescent="0.25">
      <c r="C181" s="1"/>
      <c r="D181" s="1"/>
      <c r="E181" s="3" t="s">
        <v>86</v>
      </c>
      <c r="F181" s="3" t="s">
        <v>4</v>
      </c>
      <c r="G181" s="3"/>
      <c r="H181" s="9">
        <f>H177/H176</f>
        <v>3564.2454485637977</v>
      </c>
      <c r="I181" s="9">
        <f t="shared" ref="I181:AA181" si="70">I177/I176</f>
        <v>3538.5588541352881</v>
      </c>
      <c r="J181" s="9">
        <f t="shared" si="70"/>
        <v>3611.9486887918843</v>
      </c>
      <c r="K181" s="9">
        <f t="shared" si="70"/>
        <v>3686.9614928525461</v>
      </c>
      <c r="L181" s="9">
        <f t="shared" si="70"/>
        <v>3763.4728410436455</v>
      </c>
      <c r="M181" s="9">
        <f t="shared" si="70"/>
        <v>3841.607803138018</v>
      </c>
      <c r="N181" s="9">
        <f t="shared" si="70"/>
        <v>3921.3171619580239</v>
      </c>
      <c r="O181" s="9">
        <f t="shared" si="70"/>
        <v>4002.6440136073311</v>
      </c>
      <c r="P181" s="9">
        <f t="shared" si="70"/>
        <v>4085.563611629495</v>
      </c>
      <c r="Q181" s="9">
        <f t="shared" si="70"/>
        <v>4170.0618528018877</v>
      </c>
      <c r="R181" s="9">
        <f t="shared" si="70"/>
        <v>4256.4418852883828</v>
      </c>
      <c r="S181" s="9">
        <f t="shared" si="70"/>
        <v>4344.7015308921127</v>
      </c>
      <c r="T181" s="9">
        <f t="shared" si="70"/>
        <v>4434.9294922265899</v>
      </c>
      <c r="U181" s="9">
        <f t="shared" si="70"/>
        <v>4527.1915723952843</v>
      </c>
      <c r="V181" s="9">
        <f t="shared" si="70"/>
        <v>4621.4641275642161</v>
      </c>
      <c r="W181" s="9">
        <f t="shared" si="70"/>
        <v>4718.5148742430638</v>
      </c>
      <c r="X181" s="9">
        <f t="shared" si="70"/>
        <v>4817.6036866021686</v>
      </c>
      <c r="Y181" s="9">
        <f t="shared" si="70"/>
        <v>4918.7733640208126</v>
      </c>
      <c r="Z181" s="9">
        <f t="shared" si="70"/>
        <v>5022.0676046652507</v>
      </c>
      <c r="AA181" s="9">
        <f t="shared" si="70"/>
        <v>5127.5310243632193</v>
      </c>
    </row>
    <row r="182" spans="1:27" x14ac:dyDescent="0.25">
      <c r="C182" s="1"/>
      <c r="D182" s="1"/>
    </row>
    <row r="183" spans="1:27" x14ac:dyDescent="0.25">
      <c r="C183" s="1" t="str">
        <f>"Incremental "&amp;VLOOKUP(G4,E320:F322,2,FALSE)&amp;" Charges"</f>
        <v>Incremental Bulk Water Charges</v>
      </c>
      <c r="H183" s="2"/>
      <c r="I183" s="2"/>
      <c r="J183" s="2"/>
      <c r="K183" s="2"/>
      <c r="L183" s="2"/>
      <c r="M183" s="2"/>
      <c r="N183" s="2"/>
      <c r="O183" s="2"/>
      <c r="P183" s="2"/>
      <c r="Q183" s="2"/>
      <c r="R183" s="2"/>
      <c r="S183" s="2"/>
      <c r="T183" s="2"/>
      <c r="U183" s="2"/>
      <c r="V183" s="2"/>
      <c r="W183" s="2"/>
      <c r="X183" s="2"/>
      <c r="Y183" s="2"/>
      <c r="Z183" s="2"/>
      <c r="AA183" s="2"/>
    </row>
    <row r="184" spans="1:27" x14ac:dyDescent="0.25">
      <c r="A184" s="14">
        <f>'Notes &amp; Assumptions'!A50</f>
        <v>37</v>
      </c>
      <c r="E184" t="s">
        <v>118</v>
      </c>
      <c r="F184" t="s">
        <v>8</v>
      </c>
      <c r="H184" s="11">
        <f>'Bulk charges'!E22</f>
        <v>3.4299999999999997E-2</v>
      </c>
      <c r="I184" s="11">
        <f>'Bulk charges'!F22</f>
        <v>7.0000000000000001E-3</v>
      </c>
      <c r="J184" s="11">
        <f>'Bulk charges'!G22</f>
        <v>1.01E-2</v>
      </c>
      <c r="K184" s="11"/>
      <c r="L184" s="11"/>
      <c r="M184" s="11"/>
      <c r="N184" s="11"/>
      <c r="O184" s="11"/>
      <c r="P184" s="11"/>
      <c r="Q184" s="11"/>
      <c r="R184" s="11"/>
      <c r="S184" s="11"/>
      <c r="T184" s="11"/>
      <c r="U184" s="11"/>
      <c r="V184" s="11"/>
      <c r="W184" s="11"/>
      <c r="X184" s="11"/>
      <c r="Y184" s="11"/>
      <c r="Z184" s="11"/>
      <c r="AA184" s="11"/>
    </row>
    <row r="185" spans="1:27" x14ac:dyDescent="0.25">
      <c r="A185" s="14">
        <f>'Notes &amp; Assumptions'!A51</f>
        <v>38</v>
      </c>
      <c r="E185" t="s">
        <v>122</v>
      </c>
      <c r="F185" t="s">
        <v>4</v>
      </c>
      <c r="G185" s="10">
        <f>'Bulk charges'!D23</f>
        <v>260.27774017446001</v>
      </c>
      <c r="H185" s="2">
        <f t="shared" ref="H185:AA185" si="71">G185*(1+$G$14)*(1+H184)</f>
        <v>274.85857726235525</v>
      </c>
      <c r="I185" s="2">
        <f t="shared" si="71"/>
        <v>282.59502163655867</v>
      </c>
      <c r="J185" s="2">
        <f t="shared" si="71"/>
        <v>291.44366521354476</v>
      </c>
      <c r="K185" s="2">
        <f t="shared" si="71"/>
        <v>297.56398218302917</v>
      </c>
      <c r="L185" s="2">
        <f t="shared" si="71"/>
        <v>303.81282580887273</v>
      </c>
      <c r="M185" s="2">
        <f t="shared" si="71"/>
        <v>310.19289515085904</v>
      </c>
      <c r="N185" s="2">
        <f t="shared" si="71"/>
        <v>316.70694594902704</v>
      </c>
      <c r="O185" s="2">
        <f t="shared" si="71"/>
        <v>323.35779181395657</v>
      </c>
      <c r="P185" s="2">
        <f t="shared" si="71"/>
        <v>330.1483054420496</v>
      </c>
      <c r="Q185" s="2">
        <f t="shared" si="71"/>
        <v>337.08141985633262</v>
      </c>
      <c r="R185" s="2">
        <f t="shared" si="71"/>
        <v>344.16012967331557</v>
      </c>
      <c r="S185" s="2">
        <f t="shared" si="71"/>
        <v>351.38749239645517</v>
      </c>
      <c r="T185" s="2">
        <f t="shared" si="71"/>
        <v>358.76662973678071</v>
      </c>
      <c r="U185" s="2">
        <f t="shared" si="71"/>
        <v>366.30072896125307</v>
      </c>
      <c r="V185" s="2">
        <f t="shared" si="71"/>
        <v>373.99304426943934</v>
      </c>
      <c r="W185" s="2">
        <f t="shared" si="71"/>
        <v>381.84689819909755</v>
      </c>
      <c r="X185" s="2">
        <f t="shared" si="71"/>
        <v>389.86568306127856</v>
      </c>
      <c r="Y185" s="2">
        <f t="shared" si="71"/>
        <v>398.05286240556535</v>
      </c>
      <c r="Z185" s="2">
        <f t="shared" si="71"/>
        <v>406.41197251608219</v>
      </c>
      <c r="AA185" s="2">
        <f t="shared" si="71"/>
        <v>414.94662393891986</v>
      </c>
    </row>
    <row r="186" spans="1:27" x14ac:dyDescent="0.25">
      <c r="A186" s="14">
        <f>'Notes &amp; Assumptions'!A52</f>
        <v>39</v>
      </c>
      <c r="E186" t="s">
        <v>123</v>
      </c>
      <c r="F186" t="s">
        <v>7</v>
      </c>
      <c r="G186" s="10">
        <f>'20 New UGB Water'!G186</f>
        <v>353.9658908426249</v>
      </c>
      <c r="H186" s="10">
        <f>$G186*(1+$G$14)^H2*(H154+H133+H112+H91)</f>
        <v>4087424.6641641189</v>
      </c>
      <c r="I186" s="10">
        <f>$G186*(1+$G$14)^I2*(I154+I133+I112+I91)</f>
        <v>8150957.2288987152</v>
      </c>
      <c r="J186" s="10">
        <f t="shared" ref="J186:AA186" si="72">$G186*(1+$G$14)^J2*(J154+J133+J112+J91)</f>
        <v>12257638.364419928</v>
      </c>
      <c r="K186" s="10">
        <f t="shared" si="72"/>
        <v>16200830.506920235</v>
      </c>
      <c r="L186" s="10">
        <f t="shared" si="72"/>
        <v>19976736.534758542</v>
      </c>
      <c r="M186" s="10">
        <f t="shared" si="72"/>
        <v>23586795.576277051</v>
      </c>
      <c r="N186" s="10">
        <f t="shared" si="72"/>
        <v>27033727.1251687</v>
      </c>
      <c r="O186" s="10">
        <f t="shared" si="72"/>
        <v>30320093.287401754</v>
      </c>
      <c r="P186" s="10">
        <f t="shared" si="72"/>
        <v>33705593.139843874</v>
      </c>
      <c r="Q186" s="10">
        <f t="shared" si="72"/>
        <v>37183485.681792051</v>
      </c>
      <c r="R186" s="10">
        <f t="shared" si="72"/>
        <v>40958615.407951981</v>
      </c>
      <c r="S186" s="10">
        <f t="shared" si="72"/>
        <v>45060181.444812156</v>
      </c>
      <c r="T186" s="10">
        <f t="shared" si="72"/>
        <v>49509478.78994114</v>
      </c>
      <c r="U186" s="10">
        <f t="shared" si="72"/>
        <v>54101105.630162157</v>
      </c>
      <c r="V186" s="10">
        <f t="shared" si="72"/>
        <v>58840058.286749497</v>
      </c>
      <c r="W186" s="10">
        <f t="shared" si="72"/>
        <v>60075699.510771237</v>
      </c>
      <c r="X186" s="10">
        <f t="shared" si="72"/>
        <v>61337289.200497426</v>
      </c>
      <c r="Y186" s="10">
        <f t="shared" si="72"/>
        <v>62625372.273707859</v>
      </c>
      <c r="Z186" s="10">
        <f t="shared" si="72"/>
        <v>63940505.091455728</v>
      </c>
      <c r="AA186" s="10">
        <f t="shared" si="72"/>
        <v>65283255.698376276</v>
      </c>
    </row>
    <row r="187" spans="1:27" x14ac:dyDescent="0.25">
      <c r="E187" t="s">
        <v>57</v>
      </c>
      <c r="F187" t="s">
        <v>7</v>
      </c>
      <c r="H187" s="2">
        <f>H185*H176+H186</f>
        <v>4628571.7282497892</v>
      </c>
      <c r="I187" s="2">
        <f t="shared" ref="I187:AA187" si="73">I185*I176+I186</f>
        <v>9241248.3856755868</v>
      </c>
      <c r="J187" s="2">
        <f t="shared" si="73"/>
        <v>13919836.306323968</v>
      </c>
      <c r="K187" s="2">
        <f t="shared" si="73"/>
        <v>18404903.288968951</v>
      </c>
      <c r="L187" s="2">
        <f t="shared" si="73"/>
        <v>22704009.585736148</v>
      </c>
      <c r="M187" s="2">
        <f t="shared" si="73"/>
        <v>26817780.281813156</v>
      </c>
      <c r="N187" s="2">
        <f t="shared" si="73"/>
        <v>30750063.024553098</v>
      </c>
      <c r="O187" s="2">
        <f t="shared" si="73"/>
        <v>34503644.660644032</v>
      </c>
      <c r="P187" s="2">
        <f t="shared" si="73"/>
        <v>38375123.282715283</v>
      </c>
      <c r="Q187" s="2">
        <f t="shared" si="73"/>
        <v>42358322.560470283</v>
      </c>
      <c r="R187" s="2">
        <f t="shared" si="73"/>
        <v>46682282.296526201</v>
      </c>
      <c r="S187" s="2">
        <f t="shared" si="73"/>
        <v>51381071.428349242</v>
      </c>
      <c r="T187" s="2">
        <f t="shared" si="73"/>
        <v>56477917.844640151</v>
      </c>
      <c r="U187" s="2">
        <f t="shared" si="73"/>
        <v>61737556.414174587</v>
      </c>
      <c r="V187" s="2">
        <f t="shared" si="73"/>
        <v>67166755.362208009</v>
      </c>
      <c r="W187" s="2">
        <f t="shared" si="73"/>
        <v>68577257.224814385</v>
      </c>
      <c r="X187" s="2">
        <f t="shared" si="73"/>
        <v>70017379.626535475</v>
      </c>
      <c r="Y187" s="2">
        <f t="shared" si="73"/>
        <v>71487744.598692715</v>
      </c>
      <c r="Z187" s="2">
        <f t="shared" si="73"/>
        <v>72988987.235265255</v>
      </c>
      <c r="AA187" s="2">
        <f t="shared" si="73"/>
        <v>74521755.967205808</v>
      </c>
    </row>
    <row r="188" spans="1:27" x14ac:dyDescent="0.25">
      <c r="H188" s="2"/>
      <c r="I188" s="2"/>
      <c r="J188" s="2"/>
      <c r="K188" s="2"/>
      <c r="L188" s="2"/>
      <c r="M188" s="2"/>
      <c r="N188" s="2"/>
      <c r="O188" s="2"/>
      <c r="P188" s="2"/>
      <c r="Q188" s="2"/>
      <c r="R188" s="2"/>
      <c r="S188" s="2"/>
      <c r="T188" s="2"/>
      <c r="U188" s="2"/>
      <c r="V188" s="2"/>
      <c r="W188" s="2"/>
      <c r="X188" s="2"/>
      <c r="Y188" s="2"/>
      <c r="Z188" s="2"/>
      <c r="AA188" s="2"/>
    </row>
    <row r="189" spans="1:27" x14ac:dyDescent="0.25">
      <c r="C189" s="1" t="s">
        <v>10</v>
      </c>
      <c r="G189" s="2"/>
    </row>
    <row r="190" spans="1:27" x14ac:dyDescent="0.25">
      <c r="C190" s="1"/>
      <c r="D190" t="s">
        <v>149</v>
      </c>
      <c r="G190" s="2"/>
    </row>
    <row r="191" spans="1:27" x14ac:dyDescent="0.25">
      <c r="A191" s="14">
        <f>'Notes &amp; Assumptions'!A53</f>
        <v>40</v>
      </c>
      <c r="C191" s="1"/>
      <c r="E191" t="s">
        <v>125</v>
      </c>
      <c r="G191" s="2"/>
      <c r="H191" s="11"/>
      <c r="I191" s="11"/>
      <c r="J191" s="11"/>
      <c r="K191" s="11"/>
      <c r="L191" s="11"/>
      <c r="M191" s="11"/>
      <c r="N191" s="11"/>
      <c r="O191" s="11"/>
      <c r="P191" s="11"/>
      <c r="Q191" s="11"/>
      <c r="R191" s="11"/>
      <c r="S191" s="11"/>
      <c r="T191" s="11"/>
      <c r="U191" s="11"/>
      <c r="V191" s="11"/>
      <c r="W191" s="11"/>
      <c r="X191" s="11"/>
      <c r="Y191" s="11"/>
      <c r="Z191" s="11"/>
      <c r="AA191" s="11"/>
    </row>
    <row r="192" spans="1:27" x14ac:dyDescent="0.25">
      <c r="A192" s="14">
        <f>'Notes &amp; Assumptions'!A54</f>
        <v>41</v>
      </c>
      <c r="E192" t="s">
        <v>26</v>
      </c>
      <c r="F192" t="s">
        <v>22</v>
      </c>
      <c r="G192" s="10">
        <f>'Key assumptions'!B12</f>
        <v>114</v>
      </c>
      <c r="H192" s="2">
        <f t="shared" ref="H192:W193" si="74">G192*(1+$G$14)*(1+H$191)</f>
        <v>116.39399999999999</v>
      </c>
      <c r="I192" s="2">
        <f t="shared" si="74"/>
        <v>118.83827399999998</v>
      </c>
      <c r="J192" s="2">
        <f t="shared" si="74"/>
        <v>121.33387775399997</v>
      </c>
      <c r="K192" s="2">
        <f t="shared" si="74"/>
        <v>123.88188918683396</v>
      </c>
      <c r="L192" s="2">
        <f t="shared" si="74"/>
        <v>126.48340885975746</v>
      </c>
      <c r="M192" s="2">
        <f t="shared" si="74"/>
        <v>129.13956044581235</v>
      </c>
      <c r="N192" s="2">
        <f t="shared" si="74"/>
        <v>131.85149121517441</v>
      </c>
      <c r="O192" s="2">
        <f t="shared" si="74"/>
        <v>134.62037253069306</v>
      </c>
      <c r="P192" s="2">
        <f t="shared" si="74"/>
        <v>137.44740035383759</v>
      </c>
      <c r="Q192" s="2">
        <f t="shared" si="74"/>
        <v>140.33379576126816</v>
      </c>
      <c r="R192" s="2">
        <f t="shared" si="74"/>
        <v>143.28080547225477</v>
      </c>
      <c r="S192" s="2">
        <f t="shared" si="74"/>
        <v>146.2897023871721</v>
      </c>
      <c r="T192" s="2">
        <f t="shared" si="74"/>
        <v>149.36178613730269</v>
      </c>
      <c r="U192" s="2">
        <f t="shared" si="74"/>
        <v>152.49838364618603</v>
      </c>
      <c r="V192" s="2">
        <f t="shared" si="74"/>
        <v>155.70084970275593</v>
      </c>
      <c r="W192" s="2">
        <f t="shared" si="74"/>
        <v>158.97056754651379</v>
      </c>
      <c r="X192" s="2">
        <f t="shared" ref="X192:AA193" si="75">W192*(1+$G$14)*(1+X$191)</f>
        <v>162.30894946499058</v>
      </c>
      <c r="Y192" s="2">
        <f t="shared" si="75"/>
        <v>165.71743740375535</v>
      </c>
      <c r="Z192" s="2">
        <f t="shared" si="75"/>
        <v>169.1975035892342</v>
      </c>
      <c r="AA192" s="2">
        <f t="shared" si="75"/>
        <v>172.75065116460812</v>
      </c>
    </row>
    <row r="193" spans="1:29" x14ac:dyDescent="0.25">
      <c r="A193" s="14">
        <f>'Notes &amp; Assumptions'!A55</f>
        <v>42</v>
      </c>
      <c r="E193" t="s">
        <v>27</v>
      </c>
      <c r="F193" t="s">
        <v>4</v>
      </c>
      <c r="G193" s="10"/>
      <c r="H193" s="2">
        <f t="shared" si="74"/>
        <v>0</v>
      </c>
      <c r="I193" s="2">
        <f t="shared" si="74"/>
        <v>0</v>
      </c>
      <c r="J193" s="2">
        <f t="shared" si="74"/>
        <v>0</v>
      </c>
      <c r="K193" s="2">
        <f t="shared" si="74"/>
        <v>0</v>
      </c>
      <c r="L193" s="2">
        <f t="shared" si="74"/>
        <v>0</v>
      </c>
      <c r="M193" s="2">
        <f t="shared" si="74"/>
        <v>0</v>
      </c>
      <c r="N193" s="2">
        <f t="shared" si="74"/>
        <v>0</v>
      </c>
      <c r="O193" s="2">
        <f t="shared" si="74"/>
        <v>0</v>
      </c>
      <c r="P193" s="2">
        <f t="shared" si="74"/>
        <v>0</v>
      </c>
      <c r="Q193" s="2">
        <f t="shared" si="74"/>
        <v>0</v>
      </c>
      <c r="R193" s="2">
        <f t="shared" si="74"/>
        <v>0</v>
      </c>
      <c r="S193" s="2">
        <f t="shared" si="74"/>
        <v>0</v>
      </c>
      <c r="T193" s="2">
        <f t="shared" si="74"/>
        <v>0</v>
      </c>
      <c r="U193" s="2">
        <f t="shared" si="74"/>
        <v>0</v>
      </c>
      <c r="V193" s="2">
        <f t="shared" si="74"/>
        <v>0</v>
      </c>
      <c r="W193" s="2">
        <f t="shared" si="74"/>
        <v>0</v>
      </c>
      <c r="X193" s="2">
        <f t="shared" si="75"/>
        <v>0</v>
      </c>
      <c r="Y193" s="2">
        <f t="shared" si="75"/>
        <v>0</v>
      </c>
      <c r="Z193" s="2">
        <f t="shared" si="75"/>
        <v>0</v>
      </c>
      <c r="AA193" s="2">
        <f t="shared" si="75"/>
        <v>0</v>
      </c>
    </row>
    <row r="194" spans="1:29" x14ac:dyDescent="0.25">
      <c r="A194" s="14">
        <f>'Notes &amp; Assumptions'!A56</f>
        <v>43</v>
      </c>
      <c r="E194" t="s">
        <v>39</v>
      </c>
      <c r="F194" t="s">
        <v>7</v>
      </c>
      <c r="G194" s="2"/>
      <c r="H194" s="10"/>
      <c r="I194" s="10"/>
      <c r="J194" s="10"/>
      <c r="K194" s="10"/>
      <c r="L194" s="10"/>
      <c r="M194" s="10"/>
      <c r="N194" s="10"/>
      <c r="O194" s="10"/>
      <c r="P194" s="10"/>
      <c r="Q194" s="10"/>
      <c r="R194" s="10"/>
      <c r="S194" s="10"/>
      <c r="T194" s="10"/>
      <c r="U194" s="10"/>
      <c r="V194" s="10"/>
      <c r="W194" s="10"/>
      <c r="X194" s="10"/>
      <c r="Y194" s="10"/>
      <c r="Z194" s="10"/>
      <c r="AA194" s="10"/>
    </row>
    <row r="195" spans="1:29" x14ac:dyDescent="0.25">
      <c r="B195" s="14"/>
      <c r="C195" s="14"/>
      <c r="D195" s="14"/>
      <c r="E195" s="14"/>
      <c r="F195" s="14"/>
      <c r="G195" s="14"/>
      <c r="H195" s="14"/>
      <c r="I195" s="14"/>
      <c r="J195" s="14"/>
      <c r="K195" s="14"/>
      <c r="L195" s="14"/>
      <c r="M195" s="14"/>
      <c r="N195" s="14"/>
      <c r="O195" s="14"/>
      <c r="P195" s="14"/>
      <c r="Q195" s="14"/>
      <c r="R195" s="14"/>
      <c r="S195" s="14"/>
      <c r="T195" s="14"/>
      <c r="U195" s="14"/>
      <c r="V195" s="14"/>
      <c r="W195" s="14"/>
      <c r="X195" s="14"/>
      <c r="Y195" s="14"/>
      <c r="Z195" s="14"/>
      <c r="AA195" s="14"/>
      <c r="AB195" s="14"/>
      <c r="AC195" s="14"/>
    </row>
    <row r="196" spans="1:29" x14ac:dyDescent="0.25">
      <c r="D196" t="s">
        <v>124</v>
      </c>
      <c r="G196" s="14"/>
      <c r="H196" s="14"/>
      <c r="I196" s="14"/>
      <c r="J196" s="14"/>
      <c r="K196" s="14"/>
      <c r="L196" s="14"/>
      <c r="M196" s="14"/>
      <c r="N196" s="14"/>
      <c r="O196" s="14"/>
      <c r="P196" s="14"/>
      <c r="Q196" s="14"/>
      <c r="R196" s="14"/>
      <c r="S196" s="14"/>
      <c r="T196" s="14"/>
      <c r="U196" s="14"/>
      <c r="V196" s="14"/>
      <c r="W196" s="14"/>
      <c r="X196" s="14"/>
      <c r="Y196" s="14"/>
      <c r="Z196" s="14"/>
      <c r="AA196" s="14"/>
    </row>
    <row r="197" spans="1:29" x14ac:dyDescent="0.25">
      <c r="A197" s="14">
        <f>'Notes &amp; Assumptions'!A57</f>
        <v>44</v>
      </c>
      <c r="E197" t="s">
        <v>27</v>
      </c>
      <c r="F197" t="s">
        <v>4</v>
      </c>
      <c r="G197" s="14"/>
      <c r="H197" s="10"/>
      <c r="I197" s="10"/>
      <c r="J197" s="10"/>
      <c r="K197" s="10"/>
      <c r="L197" s="10"/>
      <c r="M197" s="10"/>
      <c r="N197" s="10"/>
      <c r="O197" s="10"/>
      <c r="P197" s="10"/>
      <c r="Q197" s="10"/>
      <c r="R197" s="10"/>
      <c r="S197" s="10"/>
      <c r="T197" s="10"/>
      <c r="U197" s="10"/>
      <c r="V197" s="10"/>
      <c r="W197" s="10"/>
      <c r="X197" s="10"/>
      <c r="Y197" s="10"/>
      <c r="Z197" s="10"/>
      <c r="AA197" s="10"/>
    </row>
    <row r="198" spans="1:29" x14ac:dyDescent="0.25">
      <c r="A198" s="14">
        <f>'Notes &amp; Assumptions'!A58</f>
        <v>45</v>
      </c>
      <c r="E198" t="s">
        <v>39</v>
      </c>
      <c r="F198" t="s">
        <v>7</v>
      </c>
      <c r="G198" s="2"/>
      <c r="H198" s="10"/>
      <c r="I198" s="10"/>
      <c r="J198" s="10"/>
      <c r="K198" s="10"/>
      <c r="L198" s="10"/>
      <c r="M198" s="10"/>
      <c r="N198" s="10"/>
      <c r="O198" s="10"/>
      <c r="P198" s="10"/>
      <c r="Q198" s="10"/>
      <c r="R198" s="10"/>
      <c r="S198" s="10"/>
      <c r="T198" s="10"/>
      <c r="U198" s="10"/>
      <c r="V198" s="10"/>
      <c r="W198" s="10"/>
      <c r="X198" s="10"/>
      <c r="Y198" s="10"/>
      <c r="Z198" s="10"/>
      <c r="AA198" s="10"/>
    </row>
    <row r="199" spans="1:29" x14ac:dyDescent="0.25">
      <c r="G199" s="2"/>
    </row>
    <row r="200" spans="1:29" x14ac:dyDescent="0.25">
      <c r="E200" t="s">
        <v>10</v>
      </c>
      <c r="F200" t="s">
        <v>7</v>
      </c>
      <c r="G200" s="2"/>
      <c r="H200" s="2">
        <f>H192*H175+(H193+H197)*H176+H194+H198</f>
        <v>1316416.1399999999</v>
      </c>
      <c r="I200" s="2">
        <f t="shared" ref="I200:AA200" si="76">I192*I175+(I193+I197)*I176+I194+I198</f>
        <v>2625137.4726599995</v>
      </c>
      <c r="J200" s="2">
        <f t="shared" si="76"/>
        <v>3947755.4467674694</v>
      </c>
      <c r="K200" s="2">
        <f t="shared" si="76"/>
        <v>5217719.3497156659</v>
      </c>
      <c r="L200" s="2">
        <f t="shared" si="76"/>
        <v>6433806.2617875105</v>
      </c>
      <c r="M200" s="2">
        <f t="shared" si="76"/>
        <v>7596479.6757523762</v>
      </c>
      <c r="N200" s="2">
        <f t="shared" si="76"/>
        <v>8706615.4451572187</v>
      </c>
      <c r="O200" s="2">
        <f t="shared" si="76"/>
        <v>9765038.7344824001</v>
      </c>
      <c r="P200" s="2">
        <f t="shared" si="76"/>
        <v>10855389.50884556</v>
      </c>
      <c r="Q200" s="2">
        <f t="shared" si="76"/>
        <v>11975496.728324426</v>
      </c>
      <c r="R200" s="2">
        <f t="shared" si="76"/>
        <v>13191333.620850248</v>
      </c>
      <c r="S200" s="2">
        <f t="shared" si="76"/>
        <v>14512304.201063437</v>
      </c>
      <c r="T200" s="2">
        <f t="shared" si="76"/>
        <v>15945266.840873884</v>
      </c>
      <c r="U200" s="2">
        <f t="shared" si="76"/>
        <v>17424068.819615733</v>
      </c>
      <c r="V200" s="2">
        <f t="shared" si="76"/>
        <v>18950319.277152479</v>
      </c>
      <c r="W200" s="2">
        <f t="shared" si="76"/>
        <v>19348275.981972679</v>
      </c>
      <c r="X200" s="2">
        <f t="shared" si="76"/>
        <v>19754589.777594104</v>
      </c>
      <c r="Y200" s="2">
        <f t="shared" si="76"/>
        <v>20169436.162923578</v>
      </c>
      <c r="Z200" s="2">
        <f t="shared" si="76"/>
        <v>20592994.322344974</v>
      </c>
      <c r="AA200" s="2">
        <f t="shared" si="76"/>
        <v>21025447.203114215</v>
      </c>
    </row>
    <row r="201" spans="1:29" x14ac:dyDescent="0.25">
      <c r="G201" s="2"/>
      <c r="H201" s="2"/>
      <c r="I201" s="2"/>
      <c r="J201" s="2"/>
      <c r="K201" s="2"/>
      <c r="L201" s="2"/>
      <c r="M201" s="2"/>
      <c r="N201" s="2"/>
      <c r="O201" s="2"/>
      <c r="P201" s="2"/>
      <c r="Q201" s="2"/>
      <c r="R201" s="2"/>
      <c r="S201" s="2"/>
      <c r="T201" s="2"/>
      <c r="U201" s="2"/>
      <c r="V201" s="2"/>
      <c r="W201" s="2"/>
      <c r="X201" s="2"/>
      <c r="Y201" s="2"/>
      <c r="Z201" s="2"/>
      <c r="AA201" s="2"/>
    </row>
    <row r="202" spans="1:29" x14ac:dyDescent="0.25">
      <c r="C202" s="1" t="s">
        <v>48</v>
      </c>
      <c r="G202" s="2"/>
      <c r="H202" s="2"/>
      <c r="I202" s="2"/>
      <c r="J202" s="2"/>
      <c r="K202" s="2"/>
      <c r="L202" s="2"/>
      <c r="M202" s="2"/>
      <c r="N202" s="2"/>
      <c r="O202" s="2"/>
      <c r="P202" s="2"/>
      <c r="Q202" s="2"/>
      <c r="R202" s="2"/>
      <c r="S202" s="2"/>
      <c r="T202" s="2"/>
      <c r="U202" s="2"/>
      <c r="V202" s="2"/>
      <c r="W202" s="2"/>
      <c r="X202" s="2"/>
      <c r="Y202" s="2"/>
      <c r="Z202" s="2"/>
      <c r="AA202" s="2"/>
    </row>
    <row r="203" spans="1:29" x14ac:dyDescent="0.25">
      <c r="A203" s="14">
        <f>'Notes &amp; Assumptions'!A59</f>
        <v>46</v>
      </c>
      <c r="E203" s="10" t="s">
        <v>44</v>
      </c>
      <c r="F203" t="s">
        <v>7</v>
      </c>
      <c r="G203" s="2"/>
      <c r="H203" s="10"/>
      <c r="I203" s="10"/>
      <c r="J203" s="10"/>
      <c r="K203" s="10"/>
      <c r="L203" s="10"/>
      <c r="M203" s="10"/>
      <c r="N203" s="10"/>
      <c r="O203" s="10"/>
      <c r="P203" s="10"/>
      <c r="Q203" s="10"/>
      <c r="R203" s="10"/>
      <c r="S203" s="10"/>
      <c r="T203" s="10"/>
      <c r="U203" s="10"/>
      <c r="V203" s="10"/>
      <c r="W203" s="10"/>
      <c r="X203" s="10"/>
      <c r="Y203" s="10"/>
      <c r="Z203" s="10"/>
      <c r="AA203" s="10"/>
    </row>
    <row r="204" spans="1:29" x14ac:dyDescent="0.25">
      <c r="A204" s="14">
        <f>'Notes &amp; Assumptions'!A60</f>
        <v>47</v>
      </c>
      <c r="E204" s="10" t="s">
        <v>45</v>
      </c>
      <c r="F204" t="s">
        <v>7</v>
      </c>
      <c r="G204" s="2"/>
      <c r="H204" s="10"/>
      <c r="I204" s="10"/>
      <c r="J204" s="10"/>
      <c r="K204" s="10"/>
      <c r="L204" s="10"/>
      <c r="M204" s="10"/>
      <c r="N204" s="10"/>
      <c r="O204" s="10"/>
      <c r="P204" s="10"/>
      <c r="Q204" s="10"/>
      <c r="R204" s="10"/>
      <c r="S204" s="10"/>
      <c r="T204" s="10"/>
      <c r="U204" s="10"/>
      <c r="V204" s="10"/>
      <c r="W204" s="10"/>
      <c r="X204" s="10"/>
      <c r="Y204" s="10"/>
      <c r="Z204" s="10"/>
      <c r="AA204" s="10"/>
    </row>
    <row r="205" spans="1:29" x14ac:dyDescent="0.25">
      <c r="A205" s="14">
        <f>'Notes &amp; Assumptions'!A61</f>
        <v>48</v>
      </c>
      <c r="E205" s="10" t="s">
        <v>46</v>
      </c>
      <c r="F205" t="s">
        <v>7</v>
      </c>
      <c r="G205" s="2"/>
      <c r="H205" s="10"/>
      <c r="I205" s="10"/>
      <c r="J205" s="10"/>
      <c r="K205" s="10"/>
      <c r="L205" s="10"/>
      <c r="M205" s="10"/>
      <c r="N205" s="10"/>
      <c r="O205" s="10"/>
      <c r="P205" s="10"/>
      <c r="Q205" s="10"/>
      <c r="R205" s="10"/>
      <c r="S205" s="10"/>
      <c r="T205" s="10"/>
      <c r="U205" s="10"/>
      <c r="V205" s="10"/>
      <c r="W205" s="10"/>
      <c r="X205" s="10"/>
      <c r="Y205" s="10"/>
      <c r="Z205" s="10"/>
      <c r="AA205" s="10"/>
    </row>
    <row r="206" spans="1:29" x14ac:dyDescent="0.25">
      <c r="A206" s="14">
        <f>'Notes &amp; Assumptions'!A62</f>
        <v>49</v>
      </c>
      <c r="E206" s="10" t="s">
        <v>47</v>
      </c>
      <c r="F206" t="s">
        <v>7</v>
      </c>
      <c r="G206" s="2"/>
      <c r="H206" s="10"/>
      <c r="I206" s="10"/>
      <c r="J206" s="10"/>
      <c r="K206" s="10"/>
      <c r="L206" s="10"/>
      <c r="M206" s="10"/>
      <c r="N206" s="10"/>
      <c r="O206" s="10"/>
      <c r="P206" s="10"/>
      <c r="Q206" s="10"/>
      <c r="R206" s="10"/>
      <c r="S206" s="10"/>
      <c r="T206" s="10"/>
      <c r="U206" s="10"/>
      <c r="V206" s="10"/>
      <c r="W206" s="10"/>
      <c r="X206" s="10"/>
      <c r="Y206" s="10"/>
      <c r="Z206" s="10"/>
      <c r="AA206" s="10"/>
    </row>
    <row r="207" spans="1:29" x14ac:dyDescent="0.25">
      <c r="E207" t="s">
        <v>17</v>
      </c>
      <c r="G207" s="2"/>
      <c r="H207" s="2">
        <f>SUM(H203:H206)</f>
        <v>0</v>
      </c>
      <c r="I207" s="2">
        <f t="shared" ref="I207:AA207" si="77">SUM(I203:I206)</f>
        <v>0</v>
      </c>
      <c r="J207" s="2">
        <f t="shared" si="77"/>
        <v>0</v>
      </c>
      <c r="K207" s="2">
        <f t="shared" si="77"/>
        <v>0</v>
      </c>
      <c r="L207" s="2">
        <f t="shared" si="77"/>
        <v>0</v>
      </c>
      <c r="M207" s="2">
        <f t="shared" si="77"/>
        <v>0</v>
      </c>
      <c r="N207" s="2">
        <f t="shared" si="77"/>
        <v>0</v>
      </c>
      <c r="O207" s="2">
        <f t="shared" si="77"/>
        <v>0</v>
      </c>
      <c r="P207" s="2">
        <f t="shared" si="77"/>
        <v>0</v>
      </c>
      <c r="Q207" s="2">
        <f t="shared" si="77"/>
        <v>0</v>
      </c>
      <c r="R207" s="2">
        <f t="shared" si="77"/>
        <v>0</v>
      </c>
      <c r="S207" s="2">
        <f t="shared" si="77"/>
        <v>0</v>
      </c>
      <c r="T207" s="2">
        <f t="shared" si="77"/>
        <v>0</v>
      </c>
      <c r="U207" s="2">
        <f t="shared" si="77"/>
        <v>0</v>
      </c>
      <c r="V207" s="2">
        <f t="shared" si="77"/>
        <v>0</v>
      </c>
      <c r="W207" s="2">
        <f t="shared" si="77"/>
        <v>0</v>
      </c>
      <c r="X207" s="2">
        <f t="shared" si="77"/>
        <v>0</v>
      </c>
      <c r="Y207" s="2">
        <f t="shared" si="77"/>
        <v>0</v>
      </c>
      <c r="Z207" s="2">
        <f t="shared" si="77"/>
        <v>0</v>
      </c>
      <c r="AA207" s="2">
        <f t="shared" si="77"/>
        <v>0</v>
      </c>
    </row>
    <row r="208" spans="1:29" x14ac:dyDescent="0.25">
      <c r="G208" s="2"/>
      <c r="H208" s="2"/>
      <c r="I208" s="2"/>
      <c r="J208" s="2"/>
      <c r="K208" s="2"/>
      <c r="L208" s="2"/>
      <c r="M208" s="2"/>
      <c r="N208" s="2"/>
      <c r="O208" s="2"/>
      <c r="P208" s="2"/>
      <c r="Q208" s="2"/>
      <c r="R208" s="2"/>
      <c r="S208" s="2"/>
      <c r="T208" s="2"/>
      <c r="U208" s="2"/>
      <c r="V208" s="2"/>
      <c r="W208" s="2"/>
      <c r="X208" s="2"/>
      <c r="Y208" s="2"/>
      <c r="Z208" s="2"/>
      <c r="AA208" s="2"/>
    </row>
    <row r="209" spans="1:27" x14ac:dyDescent="0.25">
      <c r="C209" s="1" t="s">
        <v>49</v>
      </c>
      <c r="G209" s="2"/>
      <c r="H209" s="2"/>
      <c r="I209" s="2"/>
      <c r="J209" s="2"/>
      <c r="K209" s="2"/>
      <c r="L209" s="2"/>
      <c r="M209" s="2"/>
      <c r="N209" s="2"/>
      <c r="O209" s="2"/>
      <c r="P209" s="2"/>
      <c r="Q209" s="2"/>
      <c r="R209" s="2"/>
      <c r="S209" s="2"/>
      <c r="T209" s="2"/>
      <c r="U209" s="2"/>
      <c r="V209" s="2"/>
      <c r="W209" s="2"/>
      <c r="X209" s="2"/>
      <c r="Y209" s="2"/>
      <c r="Z209" s="2"/>
      <c r="AA209" s="2"/>
    </row>
    <row r="210" spans="1:27" x14ac:dyDescent="0.25">
      <c r="A210" s="14">
        <f>'Notes &amp; Assumptions'!A63</f>
        <v>50</v>
      </c>
      <c r="E210" s="10"/>
      <c r="F210" t="s">
        <v>7</v>
      </c>
      <c r="G210" s="24">
        <v>0</v>
      </c>
      <c r="H210" s="10">
        <f>H107*($G$210*(1+$G$14)^(H2))</f>
        <v>0</v>
      </c>
      <c r="I210" s="10">
        <f>I107*($G$210*(1+$G$14)^(I2))</f>
        <v>0</v>
      </c>
      <c r="J210" s="10">
        <f t="shared" ref="J210:AA210" si="78">J107*($G$210*(1+$G$14)^(J2))</f>
        <v>0</v>
      </c>
      <c r="K210" s="10">
        <f t="shared" si="78"/>
        <v>0</v>
      </c>
      <c r="L210" s="10">
        <f t="shared" si="78"/>
        <v>0</v>
      </c>
      <c r="M210" s="10">
        <f t="shared" si="78"/>
        <v>0</v>
      </c>
      <c r="N210" s="10">
        <f t="shared" si="78"/>
        <v>0</v>
      </c>
      <c r="O210" s="10">
        <f t="shared" si="78"/>
        <v>0</v>
      </c>
      <c r="P210" s="10">
        <f t="shared" si="78"/>
        <v>0</v>
      </c>
      <c r="Q210" s="10">
        <f t="shared" si="78"/>
        <v>0</v>
      </c>
      <c r="R210" s="10">
        <f t="shared" si="78"/>
        <v>0</v>
      </c>
      <c r="S210" s="10">
        <f t="shared" si="78"/>
        <v>0</v>
      </c>
      <c r="T210" s="10">
        <f t="shared" si="78"/>
        <v>0</v>
      </c>
      <c r="U210" s="10">
        <f t="shared" si="78"/>
        <v>0</v>
      </c>
      <c r="V210" s="10">
        <f t="shared" si="78"/>
        <v>0</v>
      </c>
      <c r="W210" s="10">
        <f t="shared" si="78"/>
        <v>0</v>
      </c>
      <c r="X210" s="10">
        <f t="shared" si="78"/>
        <v>0</v>
      </c>
      <c r="Y210" s="10">
        <f t="shared" si="78"/>
        <v>0</v>
      </c>
      <c r="Z210" s="10">
        <f t="shared" si="78"/>
        <v>0</v>
      </c>
      <c r="AA210" s="10">
        <f t="shared" si="78"/>
        <v>0</v>
      </c>
    </row>
    <row r="211" spans="1:27" x14ac:dyDescent="0.25">
      <c r="A211" s="14">
        <f>'Notes &amp; Assumptions'!A64</f>
        <v>51</v>
      </c>
      <c r="E211" s="10" t="s">
        <v>50</v>
      </c>
      <c r="F211" t="s">
        <v>7</v>
      </c>
      <c r="G211" s="2"/>
      <c r="H211" s="10"/>
      <c r="I211" s="10"/>
      <c r="J211" s="10"/>
      <c r="K211" s="10"/>
      <c r="L211" s="10"/>
      <c r="M211" s="10"/>
      <c r="N211" s="10"/>
      <c r="O211" s="10"/>
      <c r="P211" s="10"/>
      <c r="Q211" s="10"/>
      <c r="R211" s="10"/>
      <c r="S211" s="10"/>
      <c r="T211" s="10"/>
      <c r="U211" s="10"/>
      <c r="V211" s="10"/>
      <c r="W211" s="10"/>
      <c r="X211" s="10"/>
      <c r="Y211" s="10"/>
      <c r="Z211" s="10"/>
      <c r="AA211" s="10"/>
    </row>
    <row r="212" spans="1:27" x14ac:dyDescent="0.25">
      <c r="A212" s="14">
        <f>'Notes &amp; Assumptions'!A65</f>
        <v>52</v>
      </c>
      <c r="E212" s="10" t="s">
        <v>51</v>
      </c>
      <c r="F212" t="s">
        <v>7</v>
      </c>
      <c r="G212" s="2"/>
      <c r="H212" s="10"/>
      <c r="I212" s="10"/>
      <c r="J212" s="10"/>
      <c r="K212" s="10"/>
      <c r="L212" s="10"/>
      <c r="M212" s="10"/>
      <c r="N212" s="10"/>
      <c r="O212" s="10"/>
      <c r="P212" s="10"/>
      <c r="Q212" s="10"/>
      <c r="R212" s="10"/>
      <c r="S212" s="10"/>
      <c r="T212" s="10"/>
      <c r="U212" s="10"/>
      <c r="V212" s="10"/>
      <c r="W212" s="10"/>
      <c r="X212" s="10"/>
      <c r="Y212" s="10"/>
      <c r="Z212" s="10"/>
      <c r="AA212" s="10"/>
    </row>
    <row r="213" spans="1:27" x14ac:dyDescent="0.25">
      <c r="A213" s="14">
        <f>'Notes &amp; Assumptions'!A66</f>
        <v>53</v>
      </c>
      <c r="E213" s="10" t="s">
        <v>52</v>
      </c>
      <c r="F213" t="s">
        <v>7</v>
      </c>
      <c r="G213" s="2"/>
      <c r="H213" s="10"/>
      <c r="I213" s="10"/>
      <c r="J213" s="10"/>
      <c r="K213" s="10"/>
      <c r="L213" s="10"/>
      <c r="M213" s="10"/>
      <c r="N213" s="10"/>
      <c r="O213" s="10"/>
      <c r="P213" s="10"/>
      <c r="Q213" s="10"/>
      <c r="R213" s="10"/>
      <c r="S213" s="10"/>
      <c r="T213" s="10"/>
      <c r="U213" s="10"/>
      <c r="V213" s="10"/>
      <c r="W213" s="10"/>
      <c r="X213" s="10"/>
      <c r="Y213" s="10"/>
      <c r="Z213" s="10"/>
      <c r="AA213" s="10"/>
    </row>
    <row r="214" spans="1:27" x14ac:dyDescent="0.25">
      <c r="E214" t="s">
        <v>17</v>
      </c>
      <c r="G214" s="2"/>
      <c r="H214" s="2">
        <f>SUM(H210:H213)</f>
        <v>0</v>
      </c>
      <c r="I214" s="2">
        <f t="shared" ref="I214:AA214" si="79">SUM(I210:I213)</f>
        <v>0</v>
      </c>
      <c r="J214" s="2">
        <f t="shared" si="79"/>
        <v>0</v>
      </c>
      <c r="K214" s="2">
        <f t="shared" si="79"/>
        <v>0</v>
      </c>
      <c r="L214" s="2">
        <f t="shared" si="79"/>
        <v>0</v>
      </c>
      <c r="M214" s="2">
        <f t="shared" si="79"/>
        <v>0</v>
      </c>
      <c r="N214" s="2">
        <f t="shared" si="79"/>
        <v>0</v>
      </c>
      <c r="O214" s="2">
        <f t="shared" si="79"/>
        <v>0</v>
      </c>
      <c r="P214" s="2">
        <f t="shared" si="79"/>
        <v>0</v>
      </c>
      <c r="Q214" s="2">
        <f t="shared" si="79"/>
        <v>0</v>
      </c>
      <c r="R214" s="2">
        <f t="shared" si="79"/>
        <v>0</v>
      </c>
      <c r="S214" s="2">
        <f t="shared" si="79"/>
        <v>0</v>
      </c>
      <c r="T214" s="2">
        <f t="shared" si="79"/>
        <v>0</v>
      </c>
      <c r="U214" s="2">
        <f t="shared" si="79"/>
        <v>0</v>
      </c>
      <c r="V214" s="2">
        <f t="shared" si="79"/>
        <v>0</v>
      </c>
      <c r="W214" s="2">
        <f t="shared" si="79"/>
        <v>0</v>
      </c>
      <c r="X214" s="2">
        <f t="shared" si="79"/>
        <v>0</v>
      </c>
      <c r="Y214" s="2">
        <f t="shared" si="79"/>
        <v>0</v>
      </c>
      <c r="Z214" s="2">
        <f t="shared" si="79"/>
        <v>0</v>
      </c>
      <c r="AA214" s="2">
        <f t="shared" si="79"/>
        <v>0</v>
      </c>
    </row>
    <row r="215" spans="1:27" x14ac:dyDescent="0.25">
      <c r="G215" s="2"/>
      <c r="H215" s="2"/>
      <c r="I215" s="2"/>
      <c r="J215" s="2"/>
      <c r="K215" s="2"/>
      <c r="L215" s="2"/>
      <c r="M215" s="2"/>
      <c r="N215" s="2"/>
      <c r="O215" s="2"/>
      <c r="P215" s="2"/>
      <c r="Q215" s="2"/>
      <c r="R215" s="2"/>
      <c r="S215" s="2"/>
      <c r="T215" s="2"/>
      <c r="U215" s="2"/>
      <c r="V215" s="2"/>
      <c r="W215" s="2"/>
      <c r="X215" s="2"/>
      <c r="Y215" s="2"/>
      <c r="Z215" s="2"/>
      <c r="AA215" s="2"/>
    </row>
    <row r="216" spans="1:27" x14ac:dyDescent="0.25">
      <c r="C216" s="1" t="s">
        <v>33</v>
      </c>
      <c r="G216" s="2"/>
      <c r="H216" s="2"/>
      <c r="I216" s="2"/>
      <c r="J216" s="2"/>
      <c r="K216" s="2"/>
      <c r="L216" s="2"/>
      <c r="M216" s="2"/>
      <c r="N216" s="2"/>
      <c r="O216" s="2"/>
      <c r="P216" s="2"/>
      <c r="Q216" s="2"/>
      <c r="R216" s="2"/>
      <c r="S216" s="2"/>
      <c r="T216" s="2"/>
      <c r="U216" s="2"/>
      <c r="V216" s="2"/>
      <c r="W216" s="2"/>
      <c r="X216" s="2"/>
      <c r="Y216" s="2"/>
      <c r="Z216" s="2"/>
      <c r="AA216" s="2"/>
    </row>
    <row r="217" spans="1:27" x14ac:dyDescent="0.25">
      <c r="C217" s="1"/>
      <c r="D217" s="1"/>
      <c r="E217" t="s">
        <v>29</v>
      </c>
      <c r="F217" t="s">
        <v>3</v>
      </c>
      <c r="G217" s="44"/>
      <c r="H217" s="2">
        <f t="shared" ref="H217:AA217" si="80">H174</f>
        <v>11310</v>
      </c>
      <c r="I217" s="2">
        <f t="shared" si="80"/>
        <v>10780</v>
      </c>
      <c r="J217" s="2">
        <f t="shared" si="80"/>
        <v>10446.299999999999</v>
      </c>
      <c r="K217" s="2">
        <f t="shared" si="80"/>
        <v>9582.1999999999989</v>
      </c>
      <c r="L217" s="2">
        <f t="shared" si="80"/>
        <v>8748.2999999999993</v>
      </c>
      <c r="M217" s="2">
        <f t="shared" si="80"/>
        <v>7956.9999999999982</v>
      </c>
      <c r="N217" s="2">
        <f t="shared" si="80"/>
        <v>7209.699999999998</v>
      </c>
      <c r="O217" s="2">
        <f t="shared" si="80"/>
        <v>6504.0999999999976</v>
      </c>
      <c r="P217" s="2">
        <f t="shared" si="80"/>
        <v>6440.8999999999978</v>
      </c>
      <c r="Q217" s="2">
        <f t="shared" si="80"/>
        <v>6357.2999999999984</v>
      </c>
      <c r="R217" s="2">
        <f t="shared" si="80"/>
        <v>6730.4999999999982</v>
      </c>
      <c r="S217" s="2">
        <f t="shared" si="80"/>
        <v>7136.199999999998</v>
      </c>
      <c r="T217" s="2">
        <f t="shared" si="80"/>
        <v>7553.4999999999982</v>
      </c>
      <c r="U217" s="2">
        <f t="shared" si="80"/>
        <v>7501.3999999999978</v>
      </c>
      <c r="V217" s="2">
        <f t="shared" si="80"/>
        <v>7452.3999999999978</v>
      </c>
      <c r="W217" s="2">
        <f t="shared" si="80"/>
        <v>0</v>
      </c>
      <c r="X217" s="2">
        <f t="shared" si="80"/>
        <v>0</v>
      </c>
      <c r="Y217" s="2">
        <f t="shared" si="80"/>
        <v>0</v>
      </c>
      <c r="Z217" s="2">
        <f t="shared" si="80"/>
        <v>0</v>
      </c>
      <c r="AA217" s="2">
        <f t="shared" si="80"/>
        <v>0</v>
      </c>
    </row>
    <row r="218" spans="1:27" x14ac:dyDescent="0.25">
      <c r="E218" t="s">
        <v>18</v>
      </c>
      <c r="F218" t="s">
        <v>22</v>
      </c>
      <c r="G218" s="8">
        <f ca="1">MAX(0,-G245/(NPV($G$16,H217:AA217)))</f>
        <v>1969.0282224998796</v>
      </c>
      <c r="H218" s="2">
        <f ca="1">G218*(1+$G$14)</f>
        <v>2010.3778151723768</v>
      </c>
      <c r="I218" s="2">
        <f t="shared" ref="I218:AA218" ca="1" si="81">H218*(1+$G$14)</f>
        <v>2052.5957492909965</v>
      </c>
      <c r="J218" s="2">
        <f t="shared" ca="1" si="81"/>
        <v>2095.7002600261071</v>
      </c>
      <c r="K218" s="2">
        <f t="shared" ca="1" si="81"/>
        <v>2139.7099654866552</v>
      </c>
      <c r="L218" s="2">
        <f t="shared" ca="1" si="81"/>
        <v>2184.6438747618749</v>
      </c>
      <c r="M218" s="2">
        <f t="shared" ca="1" si="81"/>
        <v>2230.5213961318741</v>
      </c>
      <c r="N218" s="2">
        <f t="shared" ca="1" si="81"/>
        <v>2277.3623454506433</v>
      </c>
      <c r="O218" s="2">
        <f t="shared" ca="1" si="81"/>
        <v>2325.1869547051065</v>
      </c>
      <c r="P218" s="2">
        <f t="shared" ca="1" si="81"/>
        <v>2374.0158807539133</v>
      </c>
      <c r="Q218" s="2">
        <f t="shared" ca="1" si="81"/>
        <v>2423.8702142497455</v>
      </c>
      <c r="R218" s="2">
        <f t="shared" ca="1" si="81"/>
        <v>2474.7714887489897</v>
      </c>
      <c r="S218" s="2">
        <f t="shared" ca="1" si="81"/>
        <v>2526.7416900127182</v>
      </c>
      <c r="T218" s="2">
        <f t="shared" ca="1" si="81"/>
        <v>2579.8032655029851</v>
      </c>
      <c r="U218" s="2">
        <f t="shared" ca="1" si="81"/>
        <v>2633.9791340785478</v>
      </c>
      <c r="V218" s="2">
        <f t="shared" ca="1" si="81"/>
        <v>2689.2926958941971</v>
      </c>
      <c r="W218" s="2">
        <f t="shared" ca="1" si="81"/>
        <v>2745.7678425079748</v>
      </c>
      <c r="X218" s="2">
        <f t="shared" ca="1" si="81"/>
        <v>2803.4289672006421</v>
      </c>
      <c r="Y218" s="2">
        <f t="shared" ca="1" si="81"/>
        <v>2862.3009755118555</v>
      </c>
      <c r="Z218" s="2">
        <f t="shared" ca="1" si="81"/>
        <v>2922.4092959976042</v>
      </c>
      <c r="AA218" s="2">
        <f t="shared" ca="1" si="81"/>
        <v>2983.7798912135536</v>
      </c>
    </row>
    <row r="219" spans="1:27" x14ac:dyDescent="0.25">
      <c r="E219" t="s">
        <v>21</v>
      </c>
      <c r="F219" t="s">
        <v>7</v>
      </c>
      <c r="H219" s="2">
        <f ca="1">H218*H217</f>
        <v>22737373.089599583</v>
      </c>
      <c r="I219" s="2">
        <f t="shared" ref="I219:AA219" ca="1" si="82">I218*I217</f>
        <v>22126982.177356943</v>
      </c>
      <c r="J219" s="2">
        <f t="shared" ca="1" si="82"/>
        <v>21892313.626310721</v>
      </c>
      <c r="K219" s="2">
        <f t="shared" ca="1" si="82"/>
        <v>20503128.831286225</v>
      </c>
      <c r="L219" s="2">
        <f t="shared" ca="1" si="82"/>
        <v>19111920.009579308</v>
      </c>
      <c r="M219" s="2">
        <f t="shared" ca="1" si="82"/>
        <v>17748258.749021318</v>
      </c>
      <c r="N219" s="2">
        <f t="shared" ca="1" si="82"/>
        <v>16419099.301995499</v>
      </c>
      <c r="O219" s="2">
        <f t="shared" ca="1" si="82"/>
        <v>15123248.472097477</v>
      </c>
      <c r="P219" s="2">
        <f t="shared" ca="1" si="82"/>
        <v>15290798.886347875</v>
      </c>
      <c r="Q219" s="2">
        <f t="shared" ca="1" si="82"/>
        <v>15409270.113049902</v>
      </c>
      <c r="R219" s="2">
        <f t="shared" ca="1" si="82"/>
        <v>16656449.50502507</v>
      </c>
      <c r="S219" s="2">
        <f t="shared" ca="1" si="82"/>
        <v>18031334.048268754</v>
      </c>
      <c r="T219" s="2">
        <f t="shared" ca="1" si="82"/>
        <v>19486543.965976793</v>
      </c>
      <c r="U219" s="2">
        <f t="shared" ca="1" si="82"/>
        <v>19758531.076376811</v>
      </c>
      <c r="V219" s="2">
        <f t="shared" ca="1" si="82"/>
        <v>20041684.88688191</v>
      </c>
      <c r="W219" s="2">
        <f t="shared" ca="1" si="82"/>
        <v>0</v>
      </c>
      <c r="X219" s="2">
        <f t="shared" ca="1" si="82"/>
        <v>0</v>
      </c>
      <c r="Y219" s="2">
        <f t="shared" ca="1" si="82"/>
        <v>0</v>
      </c>
      <c r="Z219" s="2">
        <f t="shared" ca="1" si="82"/>
        <v>0</v>
      </c>
      <c r="AA219" s="2">
        <f t="shared" ca="1" si="82"/>
        <v>0</v>
      </c>
    </row>
    <row r="220" spans="1:27" x14ac:dyDescent="0.25">
      <c r="G220" s="8">
        <f ca="1">-G245/(NPV($G$16,H217:AA217))</f>
        <v>1969.0282224998796</v>
      </c>
    </row>
    <row r="221" spans="1:27" x14ac:dyDescent="0.25">
      <c r="D221" t="s">
        <v>9</v>
      </c>
    </row>
    <row r="222" spans="1:27" x14ac:dyDescent="0.25">
      <c r="E222" t="s">
        <v>107</v>
      </c>
      <c r="F222" t="s">
        <v>7</v>
      </c>
      <c r="G222" s="2">
        <f t="shared" ref="G222:AA222" si="83">G42</f>
        <v>0</v>
      </c>
      <c r="H222" s="2">
        <f t="shared" si="83"/>
        <v>45190480.999999993</v>
      </c>
      <c r="I222" s="2">
        <f t="shared" si="83"/>
        <v>44191158.871999979</v>
      </c>
      <c r="J222" s="2">
        <f t="shared" si="83"/>
        <v>43954314.765260532</v>
      </c>
      <c r="K222" s="2">
        <f t="shared" si="83"/>
        <v>41404478.74763149</v>
      </c>
      <c r="L222" s="2">
        <f t="shared" si="83"/>
        <v>38841557.030989744</v>
      </c>
      <c r="M222" s="2">
        <f t="shared" si="83"/>
        <v>36325598.989612833</v>
      </c>
      <c r="N222" s="2">
        <f t="shared" si="83"/>
        <v>33869004.828289449</v>
      </c>
      <c r="O222" s="2">
        <f t="shared" si="83"/>
        <v>31469696.707901951</v>
      </c>
      <c r="P222" s="2">
        <f t="shared" si="83"/>
        <v>32133936.239829212</v>
      </c>
      <c r="Q222" s="2">
        <f t="shared" si="83"/>
        <v>32745844.892414737</v>
      </c>
      <c r="R222" s="2">
        <f t="shared" si="83"/>
        <v>35396328.985208258</v>
      </c>
      <c r="S222" s="2">
        <f t="shared" si="83"/>
        <v>38316609.487009183</v>
      </c>
      <c r="T222" s="2">
        <f t="shared" si="83"/>
        <v>41410882.754343763</v>
      </c>
      <c r="U222" s="2">
        <f t="shared" si="83"/>
        <v>41989761.084417455</v>
      </c>
      <c r="V222" s="2">
        <f t="shared" si="83"/>
        <v>42589509.00171987</v>
      </c>
      <c r="W222" s="2">
        <f t="shared" si="83"/>
        <v>0</v>
      </c>
      <c r="X222" s="2">
        <f t="shared" si="83"/>
        <v>0</v>
      </c>
      <c r="Y222" s="2">
        <f t="shared" si="83"/>
        <v>0</v>
      </c>
      <c r="Z222" s="2">
        <f t="shared" si="83"/>
        <v>0</v>
      </c>
      <c r="AA222" s="2">
        <f t="shared" si="83"/>
        <v>0</v>
      </c>
    </row>
    <row r="223" spans="1:27" x14ac:dyDescent="0.25">
      <c r="E223" t="s">
        <v>11</v>
      </c>
      <c r="F223" t="s">
        <v>7</v>
      </c>
      <c r="G223" s="2">
        <f t="shared" ref="G223:AA223" si="84">G177</f>
        <v>0</v>
      </c>
      <c r="H223" s="2">
        <f t="shared" si="84"/>
        <v>7017357.7240413763</v>
      </c>
      <c r="I223" s="2">
        <f t="shared" si="84"/>
        <v>13652255.457493519</v>
      </c>
      <c r="J223" s="2">
        <f t="shared" si="84"/>
        <v>20600117.255503975</v>
      </c>
      <c r="K223" s="2">
        <f t="shared" si="84"/>
        <v>27309526.560440917</v>
      </c>
      <c r="L223" s="2">
        <f t="shared" si="84"/>
        <v>33784018.268937409</v>
      </c>
      <c r="M223" s="2">
        <f t="shared" si="84"/>
        <v>40014378.957875751</v>
      </c>
      <c r="N223" s="2">
        <f t="shared" si="84"/>
        <v>46013931.580149837</v>
      </c>
      <c r="O223" s="2">
        <f t="shared" si="84"/>
        <v>51785567.825009458</v>
      </c>
      <c r="P223" s="2">
        <f t="shared" si="84"/>
        <v>57785129.048530489</v>
      </c>
      <c r="Q223" s="2">
        <f t="shared" si="84"/>
        <v>64018330.857410766</v>
      </c>
      <c r="R223" s="2">
        <f t="shared" si="84"/>
        <v>70788140.116901159</v>
      </c>
      <c r="S223" s="2">
        <f t="shared" si="84"/>
        <v>78154120.400761411</v>
      </c>
      <c r="T223" s="2">
        <f t="shared" si="84"/>
        <v>86141054.704954565</v>
      </c>
      <c r="U223" s="2">
        <f t="shared" si="84"/>
        <v>94380581.033594966</v>
      </c>
      <c r="V223" s="2">
        <f t="shared" si="84"/>
        <v>102893709.98996922</v>
      </c>
      <c r="W223" s="2">
        <f t="shared" si="84"/>
        <v>105054477.89975856</v>
      </c>
      <c r="X223" s="2">
        <f t="shared" si="84"/>
        <v>107260621.93565349</v>
      </c>
      <c r="Y223" s="2">
        <f t="shared" si="84"/>
        <v>109513094.99630219</v>
      </c>
      <c r="Z223" s="2">
        <f t="shared" si="84"/>
        <v>111812869.99122456</v>
      </c>
      <c r="AA223" s="2">
        <f t="shared" si="84"/>
        <v>114160940.26104024</v>
      </c>
    </row>
    <row r="224" spans="1:27" x14ac:dyDescent="0.25">
      <c r="E224" t="s">
        <v>57</v>
      </c>
      <c r="F224" t="s">
        <v>7</v>
      </c>
      <c r="G224" s="2">
        <f t="shared" ref="G224:AA224" si="85">-G187</f>
        <v>0</v>
      </c>
      <c r="H224" s="2">
        <f t="shared" si="85"/>
        <v>-4628571.7282497892</v>
      </c>
      <c r="I224" s="2">
        <f t="shared" si="85"/>
        <v>-9241248.3856755868</v>
      </c>
      <c r="J224" s="2">
        <f t="shared" si="85"/>
        <v>-13919836.306323968</v>
      </c>
      <c r="K224" s="2">
        <f t="shared" si="85"/>
        <v>-18404903.288968951</v>
      </c>
      <c r="L224" s="2">
        <f t="shared" si="85"/>
        <v>-22704009.585736148</v>
      </c>
      <c r="M224" s="2">
        <f t="shared" si="85"/>
        <v>-26817780.281813156</v>
      </c>
      <c r="N224" s="2">
        <f t="shared" si="85"/>
        <v>-30750063.024553098</v>
      </c>
      <c r="O224" s="2">
        <f t="shared" si="85"/>
        <v>-34503644.660644032</v>
      </c>
      <c r="P224" s="2">
        <f t="shared" si="85"/>
        <v>-38375123.282715283</v>
      </c>
      <c r="Q224" s="2">
        <f t="shared" si="85"/>
        <v>-42358322.560470283</v>
      </c>
      <c r="R224" s="2">
        <f t="shared" si="85"/>
        <v>-46682282.296526201</v>
      </c>
      <c r="S224" s="2">
        <f t="shared" si="85"/>
        <v>-51381071.428349242</v>
      </c>
      <c r="T224" s="2">
        <f t="shared" si="85"/>
        <v>-56477917.844640151</v>
      </c>
      <c r="U224" s="2">
        <f t="shared" si="85"/>
        <v>-61737556.414174587</v>
      </c>
      <c r="V224" s="2">
        <f t="shared" si="85"/>
        <v>-67166755.362208009</v>
      </c>
      <c r="W224" s="2">
        <f t="shared" si="85"/>
        <v>-68577257.224814385</v>
      </c>
      <c r="X224" s="2">
        <f t="shared" si="85"/>
        <v>-70017379.626535475</v>
      </c>
      <c r="Y224" s="2">
        <f t="shared" si="85"/>
        <v>-71487744.598692715</v>
      </c>
      <c r="Z224" s="2">
        <f t="shared" si="85"/>
        <v>-72988987.235265255</v>
      </c>
      <c r="AA224" s="2">
        <f t="shared" si="85"/>
        <v>-74521755.967205808</v>
      </c>
    </row>
    <row r="225" spans="4:28" customFormat="1" x14ac:dyDescent="0.25">
      <c r="E225" t="s">
        <v>10</v>
      </c>
      <c r="F225" t="s">
        <v>7</v>
      </c>
      <c r="G225" s="2">
        <f t="shared" ref="G225:AA225" si="86">-G200</f>
        <v>0</v>
      </c>
      <c r="H225" s="2">
        <f t="shared" si="86"/>
        <v>-1316416.1399999999</v>
      </c>
      <c r="I225" s="2">
        <f t="shared" si="86"/>
        <v>-2625137.4726599995</v>
      </c>
      <c r="J225" s="2">
        <f t="shared" si="86"/>
        <v>-3947755.4467674694</v>
      </c>
      <c r="K225" s="2">
        <f t="shared" si="86"/>
        <v>-5217719.3497156659</v>
      </c>
      <c r="L225" s="2">
        <f t="shared" si="86"/>
        <v>-6433806.2617875105</v>
      </c>
      <c r="M225" s="2">
        <f t="shared" si="86"/>
        <v>-7596479.6757523762</v>
      </c>
      <c r="N225" s="2">
        <f t="shared" si="86"/>
        <v>-8706615.4451572187</v>
      </c>
      <c r="O225" s="2">
        <f t="shared" si="86"/>
        <v>-9765038.7344824001</v>
      </c>
      <c r="P225" s="2">
        <f t="shared" si="86"/>
        <v>-10855389.50884556</v>
      </c>
      <c r="Q225" s="2">
        <f t="shared" si="86"/>
        <v>-11975496.728324426</v>
      </c>
      <c r="R225" s="2">
        <f t="shared" si="86"/>
        <v>-13191333.620850248</v>
      </c>
      <c r="S225" s="2">
        <f t="shared" si="86"/>
        <v>-14512304.201063437</v>
      </c>
      <c r="T225" s="2">
        <f t="shared" si="86"/>
        <v>-15945266.840873884</v>
      </c>
      <c r="U225" s="2">
        <f t="shared" si="86"/>
        <v>-17424068.819615733</v>
      </c>
      <c r="V225" s="2">
        <f t="shared" si="86"/>
        <v>-18950319.277152479</v>
      </c>
      <c r="W225" s="2">
        <f t="shared" si="86"/>
        <v>-19348275.981972679</v>
      </c>
      <c r="X225" s="2">
        <f t="shared" si="86"/>
        <v>-19754589.777594104</v>
      </c>
      <c r="Y225" s="2">
        <f t="shared" si="86"/>
        <v>-20169436.162923578</v>
      </c>
      <c r="Z225" s="2">
        <f t="shared" si="86"/>
        <v>-20592994.322344974</v>
      </c>
      <c r="AA225" s="2">
        <f t="shared" si="86"/>
        <v>-21025447.203114215</v>
      </c>
    </row>
    <row r="226" spans="4:28" customFormat="1" x14ac:dyDescent="0.25">
      <c r="E226" t="s">
        <v>12</v>
      </c>
      <c r="F226" t="s">
        <v>7</v>
      </c>
      <c r="G226" s="2">
        <f t="shared" ref="G226:AA226" si="87">-G34-G50-G85</f>
        <v>-772918.1007753727</v>
      </c>
      <c r="H226" s="2">
        <f t="shared" si="87"/>
        <v>-1462197.7835148538</v>
      </c>
      <c r="I226" s="2">
        <f t="shared" ca="1" si="87"/>
        <v>-2268118.6258115722</v>
      </c>
      <c r="J226" s="2">
        <f t="shared" ca="1" si="87"/>
        <v>-3083480.2990385247</v>
      </c>
      <c r="K226" s="2">
        <f t="shared" ca="1" si="87"/>
        <v>-3860459.5143676088</v>
      </c>
      <c r="L226" s="2">
        <f t="shared" ca="1" si="87"/>
        <v>-4600446.8021454234</v>
      </c>
      <c r="M226" s="2">
        <f t="shared" ca="1" si="87"/>
        <v>-5372661.5095217815</v>
      </c>
      <c r="N226" s="2">
        <f t="shared" ca="1" si="87"/>
        <v>-6051813.0414548032</v>
      </c>
      <c r="O226" s="2">
        <f t="shared" ca="1" si="87"/>
        <v>-6709518.1923797689</v>
      </c>
      <c r="P226" s="2">
        <f t="shared" ca="1" si="87"/>
        <v>-7375626.272220036</v>
      </c>
      <c r="Q226" s="2">
        <f t="shared" ca="1" si="87"/>
        <v>-8057331.4645264233</v>
      </c>
      <c r="R226" s="2">
        <f t="shared" ca="1" si="87"/>
        <v>-8775577.4073949456</v>
      </c>
      <c r="S226" s="2">
        <f t="shared" ca="1" si="87"/>
        <v>-9533249.7739764079</v>
      </c>
      <c r="T226" s="2">
        <f t="shared" ca="1" si="87"/>
        <v>-10331439.006515622</v>
      </c>
      <c r="U226" s="2">
        <f t="shared" ca="1" si="87"/>
        <v>-11142539.465104837</v>
      </c>
      <c r="V226" s="2">
        <f t="shared" ca="1" si="87"/>
        <v>-11968096.366389567</v>
      </c>
      <c r="W226" s="2">
        <f t="shared" ca="1" si="87"/>
        <v>-12328090.161523324</v>
      </c>
      <c r="X226" s="2">
        <f t="shared" ca="1" si="87"/>
        <v>-12695532.91184913</v>
      </c>
      <c r="Y226" s="2">
        <f t="shared" ca="1" si="87"/>
        <v>-13070520.986556532</v>
      </c>
      <c r="Z226" s="2">
        <f t="shared" ca="1" si="87"/>
        <v>-13453363.404902983</v>
      </c>
      <c r="AA226" s="2">
        <f t="shared" ca="1" si="87"/>
        <v>-13844361.023321129</v>
      </c>
    </row>
    <row r="227" spans="4:28" customFormat="1" x14ac:dyDescent="0.25">
      <c r="E227" t="s">
        <v>48</v>
      </c>
      <c r="F227" t="s">
        <v>7</v>
      </c>
      <c r="G227" s="2">
        <f t="shared" ref="G227:AA227" si="88">G207</f>
        <v>0</v>
      </c>
      <c r="H227" s="2">
        <f t="shared" si="88"/>
        <v>0</v>
      </c>
      <c r="I227" s="2">
        <f t="shared" si="88"/>
        <v>0</v>
      </c>
      <c r="J227" s="2">
        <f t="shared" si="88"/>
        <v>0</v>
      </c>
      <c r="K227" s="2">
        <f t="shared" si="88"/>
        <v>0</v>
      </c>
      <c r="L227" s="2">
        <f t="shared" si="88"/>
        <v>0</v>
      </c>
      <c r="M227" s="2">
        <f t="shared" si="88"/>
        <v>0</v>
      </c>
      <c r="N227" s="2">
        <f t="shared" si="88"/>
        <v>0</v>
      </c>
      <c r="O227" s="2">
        <f t="shared" si="88"/>
        <v>0</v>
      </c>
      <c r="P227" s="2">
        <f t="shared" si="88"/>
        <v>0</v>
      </c>
      <c r="Q227" s="2">
        <f t="shared" si="88"/>
        <v>0</v>
      </c>
      <c r="R227" s="2">
        <f t="shared" si="88"/>
        <v>0</v>
      </c>
      <c r="S227" s="2">
        <f t="shared" si="88"/>
        <v>0</v>
      </c>
      <c r="T227" s="2">
        <f t="shared" si="88"/>
        <v>0</v>
      </c>
      <c r="U227" s="2">
        <f t="shared" si="88"/>
        <v>0</v>
      </c>
      <c r="V227" s="2">
        <f t="shared" si="88"/>
        <v>0</v>
      </c>
      <c r="W227" s="2">
        <f t="shared" si="88"/>
        <v>0</v>
      </c>
      <c r="X227" s="2">
        <f t="shared" si="88"/>
        <v>0</v>
      </c>
      <c r="Y227" s="2">
        <f t="shared" si="88"/>
        <v>0</v>
      </c>
      <c r="Z227" s="2">
        <f t="shared" si="88"/>
        <v>0</v>
      </c>
      <c r="AA227" s="2">
        <f t="shared" si="88"/>
        <v>0</v>
      </c>
    </row>
    <row r="228" spans="4:28" customFormat="1" x14ac:dyDescent="0.25">
      <c r="E228" t="s">
        <v>13</v>
      </c>
      <c r="F228" t="s">
        <v>7</v>
      </c>
      <c r="H228" s="2">
        <f ca="1">H219</f>
        <v>22737373.089599583</v>
      </c>
      <c r="I228" s="2">
        <f t="shared" ref="I228:AA228" ca="1" si="89">I219</f>
        <v>22126982.177356943</v>
      </c>
      <c r="J228" s="2">
        <f t="shared" ca="1" si="89"/>
        <v>21892313.626310721</v>
      </c>
      <c r="K228" s="2">
        <f t="shared" ca="1" si="89"/>
        <v>20503128.831286225</v>
      </c>
      <c r="L228" s="2">
        <f t="shared" ca="1" si="89"/>
        <v>19111920.009579308</v>
      </c>
      <c r="M228" s="2">
        <f t="shared" ca="1" si="89"/>
        <v>17748258.749021318</v>
      </c>
      <c r="N228" s="2">
        <f t="shared" ca="1" si="89"/>
        <v>16419099.301995499</v>
      </c>
      <c r="O228" s="2">
        <f t="shared" ca="1" si="89"/>
        <v>15123248.472097477</v>
      </c>
      <c r="P228" s="2">
        <f t="shared" ca="1" si="89"/>
        <v>15290798.886347875</v>
      </c>
      <c r="Q228" s="2">
        <f t="shared" ca="1" si="89"/>
        <v>15409270.113049902</v>
      </c>
      <c r="R228" s="2">
        <f t="shared" ca="1" si="89"/>
        <v>16656449.50502507</v>
      </c>
      <c r="S228" s="2">
        <f t="shared" ca="1" si="89"/>
        <v>18031334.048268754</v>
      </c>
      <c r="T228" s="2">
        <f t="shared" ca="1" si="89"/>
        <v>19486543.965976793</v>
      </c>
      <c r="U228" s="2">
        <f t="shared" ca="1" si="89"/>
        <v>19758531.076376811</v>
      </c>
      <c r="V228" s="2">
        <f t="shared" ca="1" si="89"/>
        <v>20041684.88688191</v>
      </c>
      <c r="W228" s="2">
        <f t="shared" ca="1" si="89"/>
        <v>0</v>
      </c>
      <c r="X228" s="2">
        <f t="shared" ca="1" si="89"/>
        <v>0</v>
      </c>
      <c r="Y228" s="2">
        <f t="shared" ca="1" si="89"/>
        <v>0</v>
      </c>
      <c r="Z228" s="2">
        <f t="shared" ca="1" si="89"/>
        <v>0</v>
      </c>
      <c r="AA228" s="2">
        <f t="shared" ca="1" si="89"/>
        <v>0</v>
      </c>
    </row>
    <row r="229" spans="4:28" customFormat="1" x14ac:dyDescent="0.25"/>
    <row r="230" spans="4:28" customFormat="1" x14ac:dyDescent="0.25">
      <c r="E230" t="s">
        <v>14</v>
      </c>
      <c r="F230" t="s">
        <v>7</v>
      </c>
      <c r="G230" s="2">
        <f t="shared" ref="G230:AA230" si="90">SUM(G222:G228)</f>
        <v>-772918.1007753727</v>
      </c>
      <c r="H230" s="2">
        <f t="shared" ca="1" si="90"/>
        <v>67538026.161876306</v>
      </c>
      <c r="I230" s="2">
        <f t="shared" ca="1" si="90"/>
        <v>65835892.02270329</v>
      </c>
      <c r="J230" s="2">
        <f t="shared" ca="1" si="90"/>
        <v>65495673.594945267</v>
      </c>
      <c r="K230" s="2">
        <f t="shared" ca="1" si="90"/>
        <v>61734051.986306399</v>
      </c>
      <c r="L230" s="2">
        <f t="shared" ca="1" si="90"/>
        <v>57999232.659837373</v>
      </c>
      <c r="M230" s="2">
        <f t="shared" ca="1" si="90"/>
        <v>54301315.229422569</v>
      </c>
      <c r="N230" s="2">
        <f t="shared" ca="1" si="90"/>
        <v>50793544.199269652</v>
      </c>
      <c r="O230" s="2">
        <f t="shared" ca="1" si="90"/>
        <v>47400311.417502679</v>
      </c>
      <c r="P230" s="2">
        <f t="shared" ca="1" si="90"/>
        <v>48603725.110926695</v>
      </c>
      <c r="Q230" s="2">
        <f t="shared" ca="1" si="90"/>
        <v>49782295.109554276</v>
      </c>
      <c r="R230" s="2">
        <f t="shared" ca="1" si="90"/>
        <v>54191725.282363087</v>
      </c>
      <c r="S230" s="2">
        <f t="shared" ca="1" si="90"/>
        <v>59075438.532650262</v>
      </c>
      <c r="T230" s="2">
        <f t="shared" ca="1" si="90"/>
        <v>64283857.733245462</v>
      </c>
      <c r="U230" s="2">
        <f t="shared" ca="1" si="90"/>
        <v>65824708.495494083</v>
      </c>
      <c r="V230" s="2">
        <f t="shared" ca="1" si="90"/>
        <v>67439732.872820944</v>
      </c>
      <c r="W230" s="2">
        <f t="shared" ca="1" si="90"/>
        <v>4800854.5314481743</v>
      </c>
      <c r="X230" s="2">
        <f t="shared" ca="1" si="90"/>
        <v>4793119.6196747832</v>
      </c>
      <c r="Y230" s="2">
        <f t="shared" ca="1" si="90"/>
        <v>4785393.2481293622</v>
      </c>
      <c r="Z230" s="2">
        <f t="shared" ca="1" si="90"/>
        <v>4777525.028711345</v>
      </c>
      <c r="AA230" s="2">
        <f t="shared" ca="1" si="90"/>
        <v>4769376.0673990883</v>
      </c>
    </row>
    <row r="231" spans="4:28" customFormat="1" x14ac:dyDescent="0.25">
      <c r="E231" t="s">
        <v>15</v>
      </c>
      <c r="F231" t="s">
        <v>7</v>
      </c>
      <c r="G231" s="2">
        <f>-G230*G$18</f>
        <v>231875.4302326118</v>
      </c>
      <c r="H231" s="2">
        <f ca="1">-H230*H$18</f>
        <v>-20261407.848562893</v>
      </c>
      <c r="I231" s="2">
        <f t="shared" ref="I231:AA231" ca="1" si="91">-I230*I$18</f>
        <v>-19750767.606810987</v>
      </c>
      <c r="J231" s="2">
        <f t="shared" ca="1" si="91"/>
        <v>-19648702.078483578</v>
      </c>
      <c r="K231" s="2">
        <f t="shared" ca="1" si="91"/>
        <v>-18520215.595891919</v>
      </c>
      <c r="L231" s="2">
        <f t="shared" ca="1" si="91"/>
        <v>-17399769.79795121</v>
      </c>
      <c r="M231" s="2">
        <f t="shared" ca="1" si="91"/>
        <v>-16290394.56882677</v>
      </c>
      <c r="N231" s="2">
        <f t="shared" ca="1" si="91"/>
        <v>-15238063.259780895</v>
      </c>
      <c r="O231" s="2">
        <f t="shared" ca="1" si="91"/>
        <v>-14220093.425250804</v>
      </c>
      <c r="P231" s="2">
        <f t="shared" ca="1" si="91"/>
        <v>-14581117.533278009</v>
      </c>
      <c r="Q231" s="2">
        <f t="shared" ca="1" si="91"/>
        <v>-14934688.532866282</v>
      </c>
      <c r="R231" s="2">
        <f t="shared" ca="1" si="91"/>
        <v>-16257517.584708925</v>
      </c>
      <c r="S231" s="2">
        <f t="shared" ca="1" si="91"/>
        <v>-17722631.559795078</v>
      </c>
      <c r="T231" s="2">
        <f t="shared" ca="1" si="91"/>
        <v>-19285157.319973636</v>
      </c>
      <c r="U231" s="2">
        <f t="shared" ca="1" si="91"/>
        <v>-19747412.548648223</v>
      </c>
      <c r="V231" s="2">
        <f t="shared" ca="1" si="91"/>
        <v>-20231919.861846283</v>
      </c>
      <c r="W231" s="2">
        <f t="shared" ca="1" si="91"/>
        <v>-1440256.3594344521</v>
      </c>
      <c r="X231" s="2">
        <f t="shared" ca="1" si="91"/>
        <v>-1437935.8859024348</v>
      </c>
      <c r="Y231" s="2">
        <f t="shared" ca="1" si="91"/>
        <v>-1435617.9744388086</v>
      </c>
      <c r="Z231" s="2">
        <f t="shared" ca="1" si="91"/>
        <v>-1433257.5086134034</v>
      </c>
      <c r="AA231" s="2">
        <f t="shared" ca="1" si="91"/>
        <v>-1430812.8202197265</v>
      </c>
    </row>
    <row r="232" spans="4:28" customFormat="1" x14ac:dyDescent="0.25"/>
    <row r="233" spans="4:28" customFormat="1" x14ac:dyDescent="0.25">
      <c r="D233" t="s">
        <v>28</v>
      </c>
    </row>
    <row r="234" spans="4:28" customFormat="1" x14ac:dyDescent="0.25">
      <c r="E234" t="s">
        <v>1</v>
      </c>
      <c r="F234" t="s">
        <v>7</v>
      </c>
      <c r="G234" s="2">
        <f t="shared" ref="G234:AA234" si="92">-G26</f>
        <v>-69562629.069783539</v>
      </c>
      <c r="H234" s="2">
        <f t="shared" si="92"/>
        <v>-16844690.446553312</v>
      </c>
      <c r="I234" s="2">
        <f t="shared" ca="1" si="92"/>
        <v>-28341716.934704676</v>
      </c>
      <c r="J234" s="2">
        <f t="shared" ca="1" si="92"/>
        <v>-29428235.82516519</v>
      </c>
      <c r="K234" s="2">
        <f t="shared" ca="1" si="92"/>
        <v>-28523650.631986063</v>
      </c>
      <c r="L234" s="2">
        <f t="shared" ca="1" si="92"/>
        <v>-27757298.869013589</v>
      </c>
      <c r="M234" s="2">
        <f t="shared" ca="1" si="92"/>
        <v>-33173724.674259342</v>
      </c>
      <c r="N234" s="2">
        <f t="shared" ca="1" si="92"/>
        <v>-27254633.045682486</v>
      </c>
      <c r="O234" s="2">
        <f t="shared" ca="1" si="92"/>
        <v>-27723766.875344969</v>
      </c>
      <c r="P234" s="2">
        <f t="shared" ca="1" si="92"/>
        <v>-27815790.945794858</v>
      </c>
      <c r="Q234" s="2">
        <f t="shared" ca="1" si="92"/>
        <v>-28607622.415160112</v>
      </c>
      <c r="R234" s="2">
        <f t="shared" ca="1" si="92"/>
        <v>-29245805.87295869</v>
      </c>
      <c r="S234" s="2">
        <f t="shared" ca="1" si="92"/>
        <v>-29873903.505322564</v>
      </c>
      <c r="T234" s="2">
        <f t="shared" ca="1" si="92"/>
        <v>-30426148.174185529</v>
      </c>
      <c r="U234" s="2">
        <f t="shared" ca="1" si="92"/>
        <v>-31009280.188611764</v>
      </c>
      <c r="V234" s="2">
        <f t="shared" ca="1" si="92"/>
        <v>-31710612.11390594</v>
      </c>
      <c r="W234" s="2">
        <f t="shared" ca="1" si="92"/>
        <v>-32399441.562038191</v>
      </c>
      <c r="X234" s="2">
        <f t="shared" ca="1" si="92"/>
        <v>-33069847.529322453</v>
      </c>
      <c r="Y234" s="2">
        <f t="shared" ca="1" si="92"/>
        <v>-33748926.723666266</v>
      </c>
      <c r="Z234" s="2">
        <f t="shared" ca="1" si="92"/>
        <v>-34455817.651180692</v>
      </c>
      <c r="AA234" s="2">
        <f t="shared" ca="1" si="92"/>
        <v>-35189785.657632954</v>
      </c>
    </row>
    <row r="235" spans="4:28" customFormat="1" x14ac:dyDescent="0.25">
      <c r="E235" t="s">
        <v>19</v>
      </c>
      <c r="F235" t="s">
        <v>7</v>
      </c>
      <c r="G235" s="2">
        <f t="shared" ref="G235:AA235" si="93">G84</f>
        <v>0</v>
      </c>
      <c r="H235" s="2">
        <f t="shared" si="93"/>
        <v>0</v>
      </c>
      <c r="I235" s="2">
        <f t="shared" si="93"/>
        <v>0</v>
      </c>
      <c r="J235" s="2">
        <f t="shared" si="93"/>
        <v>0</v>
      </c>
      <c r="K235" s="2">
        <f t="shared" si="93"/>
        <v>0</v>
      </c>
      <c r="L235" s="2">
        <f t="shared" si="93"/>
        <v>0</v>
      </c>
      <c r="M235" s="2">
        <f t="shared" si="93"/>
        <v>0</v>
      </c>
      <c r="N235" s="2">
        <f t="shared" si="93"/>
        <v>0</v>
      </c>
      <c r="O235" s="2">
        <f t="shared" si="93"/>
        <v>0</v>
      </c>
      <c r="P235" s="2">
        <f t="shared" si="93"/>
        <v>0</v>
      </c>
      <c r="Q235" s="2">
        <f t="shared" si="93"/>
        <v>0</v>
      </c>
      <c r="R235" s="2">
        <f t="shared" si="93"/>
        <v>0</v>
      </c>
      <c r="S235" s="2">
        <f t="shared" si="93"/>
        <v>0</v>
      </c>
      <c r="T235" s="2">
        <f t="shared" si="93"/>
        <v>0</v>
      </c>
      <c r="U235" s="2">
        <f t="shared" si="93"/>
        <v>0</v>
      </c>
      <c r="V235" s="2">
        <f t="shared" si="93"/>
        <v>0</v>
      </c>
      <c r="W235" s="2">
        <f t="shared" si="93"/>
        <v>0</v>
      </c>
      <c r="X235" s="2">
        <f t="shared" si="93"/>
        <v>0</v>
      </c>
      <c r="Y235" s="2">
        <f t="shared" si="93"/>
        <v>0</v>
      </c>
      <c r="Z235" s="2">
        <f t="shared" si="93"/>
        <v>0</v>
      </c>
      <c r="AA235" s="2">
        <f t="shared" si="93"/>
        <v>0</v>
      </c>
    </row>
    <row r="236" spans="4:28" customFormat="1" x14ac:dyDescent="0.25">
      <c r="E236" t="s">
        <v>109</v>
      </c>
      <c r="F236" t="s">
        <v>7</v>
      </c>
      <c r="G236" s="2">
        <f t="shared" ref="G236:AA236" si="94">G53</f>
        <v>0</v>
      </c>
      <c r="H236" s="2">
        <f t="shared" si="94"/>
        <v>0</v>
      </c>
      <c r="I236" s="2">
        <f t="shared" si="94"/>
        <v>0</v>
      </c>
      <c r="J236" s="2">
        <f t="shared" si="94"/>
        <v>0</v>
      </c>
      <c r="K236" s="2">
        <f t="shared" si="94"/>
        <v>0</v>
      </c>
      <c r="L236" s="2">
        <f t="shared" si="94"/>
        <v>0</v>
      </c>
      <c r="M236" s="2">
        <f t="shared" si="94"/>
        <v>0</v>
      </c>
      <c r="N236" s="2">
        <f t="shared" si="94"/>
        <v>0</v>
      </c>
      <c r="O236" s="2">
        <f t="shared" si="94"/>
        <v>0</v>
      </c>
      <c r="P236" s="2">
        <f t="shared" si="94"/>
        <v>0</v>
      </c>
      <c r="Q236" s="2">
        <f t="shared" si="94"/>
        <v>0</v>
      </c>
      <c r="R236" s="2">
        <f t="shared" si="94"/>
        <v>0</v>
      </c>
      <c r="S236" s="2">
        <f t="shared" si="94"/>
        <v>0</v>
      </c>
      <c r="T236" s="2">
        <f t="shared" si="94"/>
        <v>0</v>
      </c>
      <c r="U236" s="2">
        <f t="shared" si="94"/>
        <v>0</v>
      </c>
      <c r="V236" s="2">
        <f t="shared" si="94"/>
        <v>0</v>
      </c>
      <c r="W236" s="2">
        <f t="shared" si="94"/>
        <v>0</v>
      </c>
      <c r="X236" s="2">
        <f t="shared" si="94"/>
        <v>0</v>
      </c>
      <c r="Y236" s="2">
        <f t="shared" si="94"/>
        <v>0</v>
      </c>
      <c r="Z236" s="2">
        <f t="shared" si="94"/>
        <v>0</v>
      </c>
      <c r="AA236" s="2">
        <f t="shared" si="94"/>
        <v>0</v>
      </c>
    </row>
    <row r="237" spans="4:28" customFormat="1" x14ac:dyDescent="0.25">
      <c r="E237" t="s">
        <v>11</v>
      </c>
      <c r="F237" t="s">
        <v>7</v>
      </c>
      <c r="G237" s="2">
        <f t="shared" ref="G237:AA237" si="95">G177</f>
        <v>0</v>
      </c>
      <c r="H237" s="2">
        <f t="shared" si="95"/>
        <v>7017357.7240413763</v>
      </c>
      <c r="I237" s="2">
        <f t="shared" si="95"/>
        <v>13652255.457493519</v>
      </c>
      <c r="J237" s="2">
        <f t="shared" si="95"/>
        <v>20600117.255503975</v>
      </c>
      <c r="K237" s="2">
        <f t="shared" si="95"/>
        <v>27309526.560440917</v>
      </c>
      <c r="L237" s="2">
        <f t="shared" si="95"/>
        <v>33784018.268937409</v>
      </c>
      <c r="M237" s="2">
        <f t="shared" si="95"/>
        <v>40014378.957875751</v>
      </c>
      <c r="N237" s="2">
        <f t="shared" si="95"/>
        <v>46013931.580149837</v>
      </c>
      <c r="O237" s="2">
        <f t="shared" si="95"/>
        <v>51785567.825009458</v>
      </c>
      <c r="P237" s="2">
        <f t="shared" si="95"/>
        <v>57785129.048530489</v>
      </c>
      <c r="Q237" s="2">
        <f t="shared" si="95"/>
        <v>64018330.857410766</v>
      </c>
      <c r="R237" s="2">
        <f t="shared" si="95"/>
        <v>70788140.116901159</v>
      </c>
      <c r="S237" s="2">
        <f t="shared" si="95"/>
        <v>78154120.400761411</v>
      </c>
      <c r="T237" s="2">
        <f t="shared" si="95"/>
        <v>86141054.704954565</v>
      </c>
      <c r="U237" s="2">
        <f t="shared" si="95"/>
        <v>94380581.033594966</v>
      </c>
      <c r="V237" s="2">
        <f t="shared" si="95"/>
        <v>102893709.98996922</v>
      </c>
      <c r="W237" s="2">
        <f t="shared" si="95"/>
        <v>105054477.89975856</v>
      </c>
      <c r="X237" s="2">
        <f t="shared" si="95"/>
        <v>107260621.93565349</v>
      </c>
      <c r="Y237" s="2">
        <f t="shared" si="95"/>
        <v>109513094.99630219</v>
      </c>
      <c r="Z237" s="2">
        <f t="shared" si="95"/>
        <v>111812869.99122456</v>
      </c>
      <c r="AA237" s="2">
        <f t="shared" si="95"/>
        <v>114160940.26104024</v>
      </c>
      <c r="AB237" s="2">
        <f t="shared" ref="AB237:AB241" si="96">IF(V237=0,0,IF($G$15&gt;(AA237/V237)^(1/5)-1+2%,AA237*(AA237/V237)^(1/5)/($G$15-((AA237/V237)^(1/5)-1)),AA237*(1+$G$14)/$G$16))</f>
        <v>3805364675.3680158</v>
      </c>
    </row>
    <row r="238" spans="4:28" customFormat="1" x14ac:dyDescent="0.25">
      <c r="E238" t="s">
        <v>57</v>
      </c>
      <c r="F238" t="s">
        <v>7</v>
      </c>
      <c r="G238" s="2">
        <f t="shared" ref="G238:AA238" si="97">G224</f>
        <v>0</v>
      </c>
      <c r="H238" s="2">
        <f t="shared" si="97"/>
        <v>-4628571.7282497892</v>
      </c>
      <c r="I238" s="2">
        <f t="shared" si="97"/>
        <v>-9241248.3856755868</v>
      </c>
      <c r="J238" s="2">
        <f t="shared" si="97"/>
        <v>-13919836.306323968</v>
      </c>
      <c r="K238" s="2">
        <f t="shared" si="97"/>
        <v>-18404903.288968951</v>
      </c>
      <c r="L238" s="2">
        <f t="shared" si="97"/>
        <v>-22704009.585736148</v>
      </c>
      <c r="M238" s="2">
        <f t="shared" si="97"/>
        <v>-26817780.281813156</v>
      </c>
      <c r="N238" s="2">
        <f t="shared" si="97"/>
        <v>-30750063.024553098</v>
      </c>
      <c r="O238" s="2">
        <f t="shared" si="97"/>
        <v>-34503644.660644032</v>
      </c>
      <c r="P238" s="2">
        <f t="shared" si="97"/>
        <v>-38375123.282715283</v>
      </c>
      <c r="Q238" s="2">
        <f t="shared" si="97"/>
        <v>-42358322.560470283</v>
      </c>
      <c r="R238" s="2">
        <f t="shared" si="97"/>
        <v>-46682282.296526201</v>
      </c>
      <c r="S238" s="2">
        <f t="shared" si="97"/>
        <v>-51381071.428349242</v>
      </c>
      <c r="T238" s="2">
        <f t="shared" si="97"/>
        <v>-56477917.844640151</v>
      </c>
      <c r="U238" s="2">
        <f t="shared" si="97"/>
        <v>-61737556.414174587</v>
      </c>
      <c r="V238" s="2">
        <f t="shared" si="97"/>
        <v>-67166755.362208009</v>
      </c>
      <c r="W238" s="2">
        <f t="shared" si="97"/>
        <v>-68577257.224814385</v>
      </c>
      <c r="X238" s="2">
        <f t="shared" si="97"/>
        <v>-70017379.626535475</v>
      </c>
      <c r="Y238" s="2">
        <f t="shared" si="97"/>
        <v>-71487744.598692715</v>
      </c>
      <c r="Z238" s="2">
        <f t="shared" si="97"/>
        <v>-72988987.235265255</v>
      </c>
      <c r="AA238" s="2">
        <f t="shared" si="97"/>
        <v>-74521755.967205808</v>
      </c>
      <c r="AB238" s="2">
        <f t="shared" si="96"/>
        <v>-2484058532.2401986</v>
      </c>
    </row>
    <row r="239" spans="4:28" customFormat="1" x14ac:dyDescent="0.25">
      <c r="E239" t="s">
        <v>10</v>
      </c>
      <c r="F239" t="s">
        <v>7</v>
      </c>
      <c r="G239" s="2">
        <f t="shared" ref="G239:AA239" si="98">-G200</f>
        <v>0</v>
      </c>
      <c r="H239" s="2">
        <f t="shared" si="98"/>
        <v>-1316416.1399999999</v>
      </c>
      <c r="I239" s="2">
        <f t="shared" si="98"/>
        <v>-2625137.4726599995</v>
      </c>
      <c r="J239" s="2">
        <f t="shared" si="98"/>
        <v>-3947755.4467674694</v>
      </c>
      <c r="K239" s="2">
        <f t="shared" si="98"/>
        <v>-5217719.3497156659</v>
      </c>
      <c r="L239" s="2">
        <f t="shared" si="98"/>
        <v>-6433806.2617875105</v>
      </c>
      <c r="M239" s="2">
        <f t="shared" si="98"/>
        <v>-7596479.6757523762</v>
      </c>
      <c r="N239" s="2">
        <f t="shared" si="98"/>
        <v>-8706615.4451572187</v>
      </c>
      <c r="O239" s="2">
        <f t="shared" si="98"/>
        <v>-9765038.7344824001</v>
      </c>
      <c r="P239" s="2">
        <f t="shared" si="98"/>
        <v>-10855389.50884556</v>
      </c>
      <c r="Q239" s="2">
        <f t="shared" si="98"/>
        <v>-11975496.728324426</v>
      </c>
      <c r="R239" s="2">
        <f t="shared" si="98"/>
        <v>-13191333.620850248</v>
      </c>
      <c r="S239" s="2">
        <f t="shared" si="98"/>
        <v>-14512304.201063437</v>
      </c>
      <c r="T239" s="2">
        <f t="shared" si="98"/>
        <v>-15945266.840873884</v>
      </c>
      <c r="U239" s="2">
        <f t="shared" si="98"/>
        <v>-17424068.819615733</v>
      </c>
      <c r="V239" s="2">
        <f t="shared" si="98"/>
        <v>-18950319.277152479</v>
      </c>
      <c r="W239" s="2">
        <f t="shared" si="98"/>
        <v>-19348275.981972679</v>
      </c>
      <c r="X239" s="2">
        <f t="shared" si="98"/>
        <v>-19754589.777594104</v>
      </c>
      <c r="Y239" s="2">
        <f t="shared" si="98"/>
        <v>-20169436.162923578</v>
      </c>
      <c r="Z239" s="2">
        <f t="shared" si="98"/>
        <v>-20592994.322344974</v>
      </c>
      <c r="AA239" s="2">
        <f t="shared" si="98"/>
        <v>-21025447.203114215</v>
      </c>
      <c r="AB239" s="2">
        <f t="shared" si="96"/>
        <v>-700848240.10380852</v>
      </c>
    </row>
    <row r="240" spans="4:28" customFormat="1" x14ac:dyDescent="0.25">
      <c r="E240" t="s">
        <v>48</v>
      </c>
      <c r="F240" t="s">
        <v>7</v>
      </c>
      <c r="G240" s="2">
        <f t="shared" ref="G240:AA240" si="99">G207</f>
        <v>0</v>
      </c>
      <c r="H240" s="2">
        <f t="shared" si="99"/>
        <v>0</v>
      </c>
      <c r="I240" s="2">
        <f t="shared" si="99"/>
        <v>0</v>
      </c>
      <c r="J240" s="2">
        <f t="shared" si="99"/>
        <v>0</v>
      </c>
      <c r="K240" s="2">
        <f t="shared" si="99"/>
        <v>0</v>
      </c>
      <c r="L240" s="2">
        <f t="shared" si="99"/>
        <v>0</v>
      </c>
      <c r="M240" s="2">
        <f t="shared" si="99"/>
        <v>0</v>
      </c>
      <c r="N240" s="2">
        <f t="shared" si="99"/>
        <v>0</v>
      </c>
      <c r="O240" s="2">
        <f t="shared" si="99"/>
        <v>0</v>
      </c>
      <c r="P240" s="2">
        <f t="shared" si="99"/>
        <v>0</v>
      </c>
      <c r="Q240" s="2">
        <f t="shared" si="99"/>
        <v>0</v>
      </c>
      <c r="R240" s="2">
        <f t="shared" si="99"/>
        <v>0</v>
      </c>
      <c r="S240" s="2">
        <f t="shared" si="99"/>
        <v>0</v>
      </c>
      <c r="T240" s="2">
        <f t="shared" si="99"/>
        <v>0</v>
      </c>
      <c r="U240" s="2">
        <f t="shared" si="99"/>
        <v>0</v>
      </c>
      <c r="V240" s="2">
        <f t="shared" si="99"/>
        <v>0</v>
      </c>
      <c r="W240" s="2">
        <f t="shared" si="99"/>
        <v>0</v>
      </c>
      <c r="X240" s="2">
        <f t="shared" si="99"/>
        <v>0</v>
      </c>
      <c r="Y240" s="2">
        <f t="shared" si="99"/>
        <v>0</v>
      </c>
      <c r="Z240" s="2">
        <f t="shared" si="99"/>
        <v>0</v>
      </c>
      <c r="AA240" s="2">
        <f t="shared" si="99"/>
        <v>0</v>
      </c>
      <c r="AB240" s="2">
        <f t="shared" si="96"/>
        <v>0</v>
      </c>
    </row>
    <row r="241" spans="3:28" customFormat="1" x14ac:dyDescent="0.25">
      <c r="E241" t="s">
        <v>49</v>
      </c>
      <c r="F241" t="s">
        <v>7</v>
      </c>
      <c r="G241" s="2">
        <f t="shared" ref="G241:AA241" si="100">G214</f>
        <v>0</v>
      </c>
      <c r="H241" s="2">
        <f t="shared" si="100"/>
        <v>0</v>
      </c>
      <c r="I241" s="2">
        <f t="shared" si="100"/>
        <v>0</v>
      </c>
      <c r="J241" s="2">
        <f t="shared" si="100"/>
        <v>0</v>
      </c>
      <c r="K241" s="2">
        <f t="shared" si="100"/>
        <v>0</v>
      </c>
      <c r="L241" s="2">
        <f t="shared" si="100"/>
        <v>0</v>
      </c>
      <c r="M241" s="2">
        <f t="shared" si="100"/>
        <v>0</v>
      </c>
      <c r="N241" s="2">
        <f t="shared" si="100"/>
        <v>0</v>
      </c>
      <c r="O241" s="2">
        <f t="shared" si="100"/>
        <v>0</v>
      </c>
      <c r="P241" s="2">
        <f t="shared" si="100"/>
        <v>0</v>
      </c>
      <c r="Q241" s="2">
        <f t="shared" si="100"/>
        <v>0</v>
      </c>
      <c r="R241" s="2">
        <f t="shared" si="100"/>
        <v>0</v>
      </c>
      <c r="S241" s="2">
        <f t="shared" si="100"/>
        <v>0</v>
      </c>
      <c r="T241" s="2">
        <f t="shared" si="100"/>
        <v>0</v>
      </c>
      <c r="U241" s="2">
        <f t="shared" si="100"/>
        <v>0</v>
      </c>
      <c r="V241" s="2">
        <f t="shared" si="100"/>
        <v>0</v>
      </c>
      <c r="W241" s="2">
        <f t="shared" si="100"/>
        <v>0</v>
      </c>
      <c r="X241" s="2">
        <f t="shared" si="100"/>
        <v>0</v>
      </c>
      <c r="Y241" s="2">
        <f t="shared" si="100"/>
        <v>0</v>
      </c>
      <c r="Z241" s="2">
        <f t="shared" si="100"/>
        <v>0</v>
      </c>
      <c r="AA241" s="2">
        <f t="shared" si="100"/>
        <v>0</v>
      </c>
      <c r="AB241" s="2">
        <f t="shared" si="96"/>
        <v>0</v>
      </c>
    </row>
    <row r="242" spans="3:28" customFormat="1" x14ac:dyDescent="0.25">
      <c r="E242" t="s">
        <v>20</v>
      </c>
      <c r="F242" t="s">
        <v>7</v>
      </c>
      <c r="G242" s="2">
        <f t="shared" ref="G242:AA242" si="101">G231</f>
        <v>231875.4302326118</v>
      </c>
      <c r="H242" s="2">
        <f ca="1">H231</f>
        <v>-20261407.848562893</v>
      </c>
      <c r="I242" s="2">
        <f t="shared" ca="1" si="101"/>
        <v>-19750767.606810987</v>
      </c>
      <c r="J242" s="2">
        <f t="shared" ca="1" si="101"/>
        <v>-19648702.078483578</v>
      </c>
      <c r="K242" s="2">
        <f t="shared" ca="1" si="101"/>
        <v>-18520215.595891919</v>
      </c>
      <c r="L242" s="2">
        <f t="shared" ca="1" si="101"/>
        <v>-17399769.79795121</v>
      </c>
      <c r="M242" s="2">
        <f t="shared" ca="1" si="101"/>
        <v>-16290394.56882677</v>
      </c>
      <c r="N242" s="2">
        <f t="shared" ca="1" si="101"/>
        <v>-15238063.259780895</v>
      </c>
      <c r="O242" s="2">
        <f t="shared" ca="1" si="101"/>
        <v>-14220093.425250804</v>
      </c>
      <c r="P242" s="2">
        <f t="shared" ca="1" si="101"/>
        <v>-14581117.533278009</v>
      </c>
      <c r="Q242" s="2">
        <f t="shared" ca="1" si="101"/>
        <v>-14934688.532866282</v>
      </c>
      <c r="R242" s="2">
        <f t="shared" ca="1" si="101"/>
        <v>-16257517.584708925</v>
      </c>
      <c r="S242" s="2">
        <f t="shared" ca="1" si="101"/>
        <v>-17722631.559795078</v>
      </c>
      <c r="T242" s="2">
        <f t="shared" ca="1" si="101"/>
        <v>-19285157.319973636</v>
      </c>
      <c r="U242" s="2">
        <f t="shared" ca="1" si="101"/>
        <v>-19747412.548648223</v>
      </c>
      <c r="V242" s="2">
        <f t="shared" ca="1" si="101"/>
        <v>-20231919.861846283</v>
      </c>
      <c r="W242" s="2">
        <f t="shared" ca="1" si="101"/>
        <v>-1440256.3594344521</v>
      </c>
      <c r="X242" s="2">
        <f t="shared" ca="1" si="101"/>
        <v>-1437935.8859024348</v>
      </c>
      <c r="Y242" s="2">
        <f t="shared" ca="1" si="101"/>
        <v>-1435617.9744388086</v>
      </c>
      <c r="Z242" s="2">
        <f t="shared" ca="1" si="101"/>
        <v>-1433257.5086134034</v>
      </c>
      <c r="AA242" s="2">
        <f t="shared" ca="1" si="101"/>
        <v>-1430812.8202197265</v>
      </c>
      <c r="AB242" s="2">
        <f ca="1">IF(V242=0,0,IF($G$15&gt;(AA242/V242)^(1/5)-1+2%,AA242*(AA242/V242)^(1/5)/($G$15-((AA242/V242)^(1/5)-1)),AA242*(1+$G$14)/$G$16))</f>
        <v>-1819683.5013738996</v>
      </c>
    </row>
    <row r="243" spans="3:28" customFormat="1" x14ac:dyDescent="0.25">
      <c r="E243" t="s">
        <v>173</v>
      </c>
      <c r="F243" t="s">
        <v>7</v>
      </c>
      <c r="G243" s="2">
        <f>-$G$17*G242</f>
        <v>-115937.7151163059</v>
      </c>
      <c r="H243" s="2">
        <f ca="1">-$G$17*H242</f>
        <v>10130703.924281446</v>
      </c>
      <c r="I243" s="2">
        <f t="shared" ref="I243:AA243" ca="1" si="102">-$G$17*I242</f>
        <v>9875383.8034054935</v>
      </c>
      <c r="J243" s="2">
        <f t="shared" ca="1" si="102"/>
        <v>9824351.0392417889</v>
      </c>
      <c r="K243" s="2">
        <f t="shared" ca="1" si="102"/>
        <v>9260107.7979459595</v>
      </c>
      <c r="L243" s="2">
        <f t="shared" ca="1" si="102"/>
        <v>8699884.8989756051</v>
      </c>
      <c r="M243" s="2">
        <f t="shared" ca="1" si="102"/>
        <v>8145197.2844133852</v>
      </c>
      <c r="N243" s="2">
        <f t="shared" ca="1" si="102"/>
        <v>7619031.6298904475</v>
      </c>
      <c r="O243" s="2">
        <f t="shared" ca="1" si="102"/>
        <v>7110046.712625402</v>
      </c>
      <c r="P243" s="2">
        <f t="shared" ca="1" si="102"/>
        <v>7290558.7666390045</v>
      </c>
      <c r="Q243" s="2">
        <f t="shared" ca="1" si="102"/>
        <v>7467344.2664331412</v>
      </c>
      <c r="R243" s="2">
        <f t="shared" ca="1" si="102"/>
        <v>8128758.7923544627</v>
      </c>
      <c r="S243" s="2">
        <f t="shared" ca="1" si="102"/>
        <v>8861315.7798975389</v>
      </c>
      <c r="T243" s="2">
        <f t="shared" ca="1" si="102"/>
        <v>9642578.6599868182</v>
      </c>
      <c r="U243" s="2">
        <f t="shared" ca="1" si="102"/>
        <v>9873706.2743241116</v>
      </c>
      <c r="V243" s="2">
        <f t="shared" ca="1" si="102"/>
        <v>10115959.930923142</v>
      </c>
      <c r="W243" s="2">
        <f t="shared" ca="1" si="102"/>
        <v>720128.17971722607</v>
      </c>
      <c r="X243" s="2">
        <f t="shared" ca="1" si="102"/>
        <v>718967.94295121741</v>
      </c>
      <c r="Y243" s="2">
        <f t="shared" ca="1" si="102"/>
        <v>717808.98721940431</v>
      </c>
      <c r="Z243" s="2">
        <f t="shared" ca="1" si="102"/>
        <v>716628.75430670171</v>
      </c>
      <c r="AA243" s="2">
        <f t="shared" ca="1" si="102"/>
        <v>715406.41010986327</v>
      </c>
      <c r="AB243" s="2">
        <f t="shared" ref="AB243" ca="1" si="103">IF(V243=0,0,IF($G$15&gt;(AA243/V243)^(1/5)-1+2%,AA243*(AA243/V243)^(1/5)/($G$15-((AA243/V243)^(1/5)-1)),AA243*(1+$G$14)/$G$16))</f>
        <v>909841.75068694982</v>
      </c>
    </row>
    <row r="244" spans="3:28" customFormat="1" x14ac:dyDescent="0.25">
      <c r="E244" t="s">
        <v>23</v>
      </c>
      <c r="F244" t="s">
        <v>7</v>
      </c>
      <c r="G244" s="2">
        <f>SUM(G234:G243)</f>
        <v>-69446691.354667231</v>
      </c>
      <c r="H244" s="2">
        <f ca="1">SUM(H234:H243)</f>
        <v>-25903024.515043169</v>
      </c>
      <c r="I244" s="2">
        <f t="shared" ref="I244:AB244" ca="1" si="104">SUM(I234:I243)</f>
        <v>-36431231.138952233</v>
      </c>
      <c r="J244" s="2">
        <f t="shared" ca="1" si="104"/>
        <v>-36520061.361994438</v>
      </c>
      <c r="K244" s="2">
        <f t="shared" ca="1" si="104"/>
        <v>-34096854.508175716</v>
      </c>
      <c r="L244" s="2">
        <f t="shared" ca="1" si="104"/>
        <v>-31810981.346575446</v>
      </c>
      <c r="M244" s="2">
        <f t="shared" ca="1" si="104"/>
        <v>-35718802.958362512</v>
      </c>
      <c r="N244" s="2">
        <f t="shared" ca="1" si="104"/>
        <v>-28316411.565133415</v>
      </c>
      <c r="O244" s="2">
        <f t="shared" ca="1" si="104"/>
        <v>-27316929.158087347</v>
      </c>
      <c r="P244" s="2">
        <f t="shared" ca="1" si="104"/>
        <v>-26551733.455464218</v>
      </c>
      <c r="Q244" s="2">
        <f t="shared" ca="1" si="104"/>
        <v>-26390455.112977199</v>
      </c>
      <c r="R244" s="2">
        <f t="shared" ca="1" si="104"/>
        <v>-26460040.465788439</v>
      </c>
      <c r="S244" s="2">
        <f t="shared" ca="1" si="104"/>
        <v>-26474474.513871372</v>
      </c>
      <c r="T244" s="2">
        <f t="shared" ca="1" si="104"/>
        <v>-26350856.814731821</v>
      </c>
      <c r="U244" s="2">
        <f t="shared" ca="1" si="104"/>
        <v>-25664030.66313123</v>
      </c>
      <c r="V244" s="2">
        <f t="shared" ca="1" si="104"/>
        <v>-25049936.694220342</v>
      </c>
      <c r="W244" s="2">
        <f t="shared" ca="1" si="104"/>
        <v>-15990625.048783926</v>
      </c>
      <c r="X244" s="2">
        <f t="shared" ca="1" si="104"/>
        <v>-16300162.940749764</v>
      </c>
      <c r="Y244" s="2">
        <f t="shared" ca="1" si="104"/>
        <v>-16610821.476199776</v>
      </c>
      <c r="Z244" s="2">
        <f t="shared" ca="1" si="104"/>
        <v>-16941557.97187306</v>
      </c>
      <c r="AA244" s="2">
        <f t="shared" ca="1" si="104"/>
        <v>-17291454.977022592</v>
      </c>
      <c r="AB244" s="2">
        <f t="shared" ca="1" si="104"/>
        <v>619548061.27332175</v>
      </c>
    </row>
    <row r="245" spans="3:28" customFormat="1" x14ac:dyDescent="0.25">
      <c r="E245" t="s">
        <v>31</v>
      </c>
      <c r="F245" t="s">
        <v>7</v>
      </c>
      <c r="G245" s="2">
        <f ca="1">NPV($G$15,H244:AB244)+G244</f>
        <v>-194623886.25789174</v>
      </c>
    </row>
    <row r="247" spans="3:28" customFormat="1" x14ac:dyDescent="0.25">
      <c r="E247" t="s">
        <v>13</v>
      </c>
      <c r="F247" t="s">
        <v>7</v>
      </c>
      <c r="H247" s="2">
        <f t="shared" ref="H247:AA247" ca="1" si="105">H219</f>
        <v>22737373.089599583</v>
      </c>
      <c r="I247" s="2">
        <f t="shared" ca="1" si="105"/>
        <v>22126982.177356943</v>
      </c>
      <c r="J247" s="2">
        <f t="shared" ca="1" si="105"/>
        <v>21892313.626310721</v>
      </c>
      <c r="K247" s="2">
        <f t="shared" ca="1" si="105"/>
        <v>20503128.831286225</v>
      </c>
      <c r="L247" s="2">
        <f t="shared" ca="1" si="105"/>
        <v>19111920.009579308</v>
      </c>
      <c r="M247" s="2">
        <f t="shared" ca="1" si="105"/>
        <v>17748258.749021318</v>
      </c>
      <c r="N247" s="2">
        <f t="shared" ca="1" si="105"/>
        <v>16419099.301995499</v>
      </c>
      <c r="O247" s="2">
        <f t="shared" ca="1" si="105"/>
        <v>15123248.472097477</v>
      </c>
      <c r="P247" s="2">
        <f t="shared" ca="1" si="105"/>
        <v>15290798.886347875</v>
      </c>
      <c r="Q247" s="2">
        <f t="shared" ca="1" si="105"/>
        <v>15409270.113049902</v>
      </c>
      <c r="R247" s="2">
        <f t="shared" ca="1" si="105"/>
        <v>16656449.50502507</v>
      </c>
      <c r="S247" s="2">
        <f t="shared" ca="1" si="105"/>
        <v>18031334.048268754</v>
      </c>
      <c r="T247" s="2">
        <f t="shared" ca="1" si="105"/>
        <v>19486543.965976793</v>
      </c>
      <c r="U247" s="2">
        <f t="shared" ca="1" si="105"/>
        <v>19758531.076376811</v>
      </c>
      <c r="V247" s="2">
        <f t="shared" ca="1" si="105"/>
        <v>20041684.88688191</v>
      </c>
      <c r="W247" s="2">
        <f t="shared" ca="1" si="105"/>
        <v>0</v>
      </c>
      <c r="X247" s="2">
        <f t="shared" ca="1" si="105"/>
        <v>0</v>
      </c>
      <c r="Y247" s="2">
        <f t="shared" ca="1" si="105"/>
        <v>0</v>
      </c>
      <c r="Z247" s="2">
        <f t="shared" ca="1" si="105"/>
        <v>0</v>
      </c>
      <c r="AA247" s="2">
        <f t="shared" ca="1" si="105"/>
        <v>0</v>
      </c>
    </row>
    <row r="248" spans="3:28" customFormat="1" x14ac:dyDescent="0.25">
      <c r="E248" t="s">
        <v>24</v>
      </c>
      <c r="F248" t="s">
        <v>7</v>
      </c>
      <c r="G248" s="2">
        <f ca="1">NPV($G$15,H247:AA247)+G247</f>
        <v>194623886.2578918</v>
      </c>
    </row>
    <row r="249" spans="3:28" customFormat="1" x14ac:dyDescent="0.25">
      <c r="E249" s="3" t="s">
        <v>34</v>
      </c>
      <c r="F249" s="3"/>
      <c r="G249" s="4" t="str">
        <f ca="1">IF(G245&gt;0,"N/A",IF(ABS(G245+G248)&gt;1,"Error","OK"))</f>
        <v>OK</v>
      </c>
    </row>
    <row r="251" spans="3:28" customFormat="1" x14ac:dyDescent="0.25">
      <c r="C251" s="1" t="s">
        <v>35</v>
      </c>
      <c r="D251" s="1"/>
    </row>
    <row r="252" spans="3:28" customFormat="1" x14ac:dyDescent="0.25">
      <c r="C252" s="1"/>
      <c r="D252" s="1"/>
      <c r="G252" s="44"/>
    </row>
    <row r="253" spans="3:28" customFormat="1" x14ac:dyDescent="0.25">
      <c r="C253" s="1"/>
      <c r="D253" t="s">
        <v>35</v>
      </c>
      <c r="F253" t="s">
        <v>7</v>
      </c>
      <c r="G253" s="8" t="e">
        <f ca="1">MAX(0,-G279)</f>
        <v>#REF!</v>
      </c>
    </row>
    <row r="255" spans="3:28" customFormat="1" x14ac:dyDescent="0.25">
      <c r="D255" t="s">
        <v>9</v>
      </c>
    </row>
    <row r="256" spans="3:28" customFormat="1" x14ac:dyDescent="0.25">
      <c r="E256" t="s">
        <v>107</v>
      </c>
      <c r="F256" t="s">
        <v>7</v>
      </c>
      <c r="G256" s="2">
        <f t="shared" ref="G256:AA261" si="106">G222</f>
        <v>0</v>
      </c>
      <c r="H256" s="2">
        <f t="shared" si="106"/>
        <v>45190480.999999993</v>
      </c>
      <c r="I256" s="2">
        <f t="shared" si="106"/>
        <v>44191158.871999979</v>
      </c>
      <c r="J256" s="2">
        <f t="shared" si="106"/>
        <v>43954314.765260532</v>
      </c>
      <c r="K256" s="2">
        <f t="shared" si="106"/>
        <v>41404478.74763149</v>
      </c>
      <c r="L256" s="2">
        <f t="shared" si="106"/>
        <v>38841557.030989744</v>
      </c>
      <c r="M256" s="2">
        <f t="shared" si="106"/>
        <v>36325598.989612833</v>
      </c>
      <c r="N256" s="2">
        <f t="shared" si="106"/>
        <v>33869004.828289449</v>
      </c>
      <c r="O256" s="2">
        <f t="shared" si="106"/>
        <v>31469696.707901951</v>
      </c>
      <c r="P256" s="2">
        <f t="shared" si="106"/>
        <v>32133936.239829212</v>
      </c>
      <c r="Q256" s="2">
        <f t="shared" si="106"/>
        <v>32745844.892414737</v>
      </c>
      <c r="R256" s="2">
        <f t="shared" si="106"/>
        <v>35396328.985208258</v>
      </c>
      <c r="S256" s="2">
        <f t="shared" si="106"/>
        <v>38316609.487009183</v>
      </c>
      <c r="T256" s="2">
        <f t="shared" si="106"/>
        <v>41410882.754343763</v>
      </c>
      <c r="U256" s="2">
        <f t="shared" si="106"/>
        <v>41989761.084417455</v>
      </c>
      <c r="V256" s="2">
        <f t="shared" si="106"/>
        <v>42589509.00171987</v>
      </c>
      <c r="W256" s="2">
        <f t="shared" si="106"/>
        <v>0</v>
      </c>
      <c r="X256" s="2">
        <f t="shared" si="106"/>
        <v>0</v>
      </c>
      <c r="Y256" s="2">
        <f t="shared" si="106"/>
        <v>0</v>
      </c>
      <c r="Z256" s="2">
        <f t="shared" si="106"/>
        <v>0</v>
      </c>
      <c r="AA256" s="2">
        <f t="shared" si="106"/>
        <v>0</v>
      </c>
    </row>
    <row r="257" spans="4:28" customFormat="1" x14ac:dyDescent="0.25">
      <c r="E257" t="s">
        <v>11</v>
      </c>
      <c r="F257" t="s">
        <v>7</v>
      </c>
      <c r="G257" s="2">
        <f t="shared" si="106"/>
        <v>0</v>
      </c>
      <c r="H257" s="2">
        <f t="shared" si="106"/>
        <v>7017357.7240413763</v>
      </c>
      <c r="I257" s="2">
        <f t="shared" si="106"/>
        <v>13652255.457493519</v>
      </c>
      <c r="J257" s="2">
        <f t="shared" si="106"/>
        <v>20600117.255503975</v>
      </c>
      <c r="K257" s="2">
        <f t="shared" si="106"/>
        <v>27309526.560440917</v>
      </c>
      <c r="L257" s="2">
        <f t="shared" si="106"/>
        <v>33784018.268937409</v>
      </c>
      <c r="M257" s="2">
        <f t="shared" si="106"/>
        <v>40014378.957875751</v>
      </c>
      <c r="N257" s="2">
        <f t="shared" si="106"/>
        <v>46013931.580149837</v>
      </c>
      <c r="O257" s="2">
        <f t="shared" si="106"/>
        <v>51785567.825009458</v>
      </c>
      <c r="P257" s="2">
        <f t="shared" si="106"/>
        <v>57785129.048530489</v>
      </c>
      <c r="Q257" s="2">
        <f t="shared" si="106"/>
        <v>64018330.857410766</v>
      </c>
      <c r="R257" s="2">
        <f t="shared" si="106"/>
        <v>70788140.116901159</v>
      </c>
      <c r="S257" s="2">
        <f t="shared" si="106"/>
        <v>78154120.400761411</v>
      </c>
      <c r="T257" s="2">
        <f t="shared" si="106"/>
        <v>86141054.704954565</v>
      </c>
      <c r="U257" s="2">
        <f t="shared" si="106"/>
        <v>94380581.033594966</v>
      </c>
      <c r="V257" s="2">
        <f t="shared" si="106"/>
        <v>102893709.98996922</v>
      </c>
      <c r="W257" s="2">
        <f t="shared" si="106"/>
        <v>105054477.89975856</v>
      </c>
      <c r="X257" s="2">
        <f t="shared" si="106"/>
        <v>107260621.93565349</v>
      </c>
      <c r="Y257" s="2">
        <f t="shared" si="106"/>
        <v>109513094.99630219</v>
      </c>
      <c r="Z257" s="2">
        <f t="shared" si="106"/>
        <v>111812869.99122456</v>
      </c>
      <c r="AA257" s="2">
        <f t="shared" si="106"/>
        <v>114160940.26104024</v>
      </c>
    </row>
    <row r="258" spans="4:28" customFormat="1" x14ac:dyDescent="0.25">
      <c r="E258" t="s">
        <v>57</v>
      </c>
      <c r="F258" t="s">
        <v>7</v>
      </c>
      <c r="G258" s="2">
        <f t="shared" si="106"/>
        <v>0</v>
      </c>
      <c r="H258" s="2">
        <f t="shared" si="106"/>
        <v>-4628571.7282497892</v>
      </c>
      <c r="I258" s="2">
        <f t="shared" si="106"/>
        <v>-9241248.3856755868</v>
      </c>
      <c r="J258" s="2">
        <f t="shared" si="106"/>
        <v>-13919836.306323968</v>
      </c>
      <c r="K258" s="2">
        <f t="shared" si="106"/>
        <v>-18404903.288968951</v>
      </c>
      <c r="L258" s="2">
        <f t="shared" si="106"/>
        <v>-22704009.585736148</v>
      </c>
      <c r="M258" s="2">
        <f t="shared" si="106"/>
        <v>-26817780.281813156</v>
      </c>
      <c r="N258" s="2">
        <f t="shared" si="106"/>
        <v>-30750063.024553098</v>
      </c>
      <c r="O258" s="2">
        <f t="shared" si="106"/>
        <v>-34503644.660644032</v>
      </c>
      <c r="P258" s="2">
        <f t="shared" si="106"/>
        <v>-38375123.282715283</v>
      </c>
      <c r="Q258" s="2">
        <f t="shared" si="106"/>
        <v>-42358322.560470283</v>
      </c>
      <c r="R258" s="2">
        <f t="shared" si="106"/>
        <v>-46682282.296526201</v>
      </c>
      <c r="S258" s="2">
        <f t="shared" si="106"/>
        <v>-51381071.428349242</v>
      </c>
      <c r="T258" s="2">
        <f t="shared" si="106"/>
        <v>-56477917.844640151</v>
      </c>
      <c r="U258" s="2">
        <f t="shared" si="106"/>
        <v>-61737556.414174587</v>
      </c>
      <c r="V258" s="2">
        <f t="shared" si="106"/>
        <v>-67166755.362208009</v>
      </c>
      <c r="W258" s="2">
        <f t="shared" si="106"/>
        <v>-68577257.224814385</v>
      </c>
      <c r="X258" s="2">
        <f t="shared" si="106"/>
        <v>-70017379.626535475</v>
      </c>
      <c r="Y258" s="2">
        <f t="shared" si="106"/>
        <v>-71487744.598692715</v>
      </c>
      <c r="Z258" s="2">
        <f t="shared" si="106"/>
        <v>-72988987.235265255</v>
      </c>
      <c r="AA258" s="2">
        <f t="shared" si="106"/>
        <v>-74521755.967205808</v>
      </c>
    </row>
    <row r="259" spans="4:28" customFormat="1" x14ac:dyDescent="0.25">
      <c r="E259" t="s">
        <v>10</v>
      </c>
      <c r="F259" t="s">
        <v>7</v>
      </c>
      <c r="G259" s="2">
        <f t="shared" si="106"/>
        <v>0</v>
      </c>
      <c r="H259" s="2">
        <f t="shared" si="106"/>
        <v>-1316416.1399999999</v>
      </c>
      <c r="I259" s="2">
        <f t="shared" si="106"/>
        <v>-2625137.4726599995</v>
      </c>
      <c r="J259" s="2">
        <f t="shared" si="106"/>
        <v>-3947755.4467674694</v>
      </c>
      <c r="K259" s="2">
        <f t="shared" si="106"/>
        <v>-5217719.3497156659</v>
      </c>
      <c r="L259" s="2">
        <f t="shared" si="106"/>
        <v>-6433806.2617875105</v>
      </c>
      <c r="M259" s="2">
        <f t="shared" si="106"/>
        <v>-7596479.6757523762</v>
      </c>
      <c r="N259" s="2">
        <f t="shared" si="106"/>
        <v>-8706615.4451572187</v>
      </c>
      <c r="O259" s="2">
        <f t="shared" si="106"/>
        <v>-9765038.7344824001</v>
      </c>
      <c r="P259" s="2">
        <f t="shared" si="106"/>
        <v>-10855389.50884556</v>
      </c>
      <c r="Q259" s="2">
        <f t="shared" si="106"/>
        <v>-11975496.728324426</v>
      </c>
      <c r="R259" s="2">
        <f t="shared" si="106"/>
        <v>-13191333.620850248</v>
      </c>
      <c r="S259" s="2">
        <f t="shared" si="106"/>
        <v>-14512304.201063437</v>
      </c>
      <c r="T259" s="2">
        <f t="shared" si="106"/>
        <v>-15945266.840873884</v>
      </c>
      <c r="U259" s="2">
        <f t="shared" si="106"/>
        <v>-17424068.819615733</v>
      </c>
      <c r="V259" s="2">
        <f t="shared" si="106"/>
        <v>-18950319.277152479</v>
      </c>
      <c r="W259" s="2">
        <f t="shared" si="106"/>
        <v>-19348275.981972679</v>
      </c>
      <c r="X259" s="2">
        <f t="shared" si="106"/>
        <v>-19754589.777594104</v>
      </c>
      <c r="Y259" s="2">
        <f t="shared" si="106"/>
        <v>-20169436.162923578</v>
      </c>
      <c r="Z259" s="2">
        <f t="shared" si="106"/>
        <v>-20592994.322344974</v>
      </c>
      <c r="AA259" s="2">
        <f t="shared" si="106"/>
        <v>-21025447.203114215</v>
      </c>
    </row>
    <row r="260" spans="4:28" customFormat="1" x14ac:dyDescent="0.25">
      <c r="E260" t="s">
        <v>12</v>
      </c>
      <c r="F260" t="s">
        <v>7</v>
      </c>
      <c r="G260" s="2">
        <f t="shared" si="106"/>
        <v>-772918.1007753727</v>
      </c>
      <c r="H260" s="2">
        <f t="shared" si="106"/>
        <v>-1462197.7835148538</v>
      </c>
      <c r="I260" s="2">
        <f t="shared" ca="1" si="106"/>
        <v>-2268118.6258115722</v>
      </c>
      <c r="J260" s="2">
        <f t="shared" ca="1" si="106"/>
        <v>-3083480.2990385247</v>
      </c>
      <c r="K260" s="2">
        <f t="shared" ca="1" si="106"/>
        <v>-3860459.5143676088</v>
      </c>
      <c r="L260" s="2">
        <f t="shared" ca="1" si="106"/>
        <v>-4600446.8021454234</v>
      </c>
      <c r="M260" s="2">
        <f t="shared" ca="1" si="106"/>
        <v>-5372661.5095217815</v>
      </c>
      <c r="N260" s="2">
        <f t="shared" ca="1" si="106"/>
        <v>-6051813.0414548032</v>
      </c>
      <c r="O260" s="2">
        <f t="shared" ca="1" si="106"/>
        <v>-6709518.1923797689</v>
      </c>
      <c r="P260" s="2">
        <f t="shared" ca="1" si="106"/>
        <v>-7375626.272220036</v>
      </c>
      <c r="Q260" s="2">
        <f t="shared" ca="1" si="106"/>
        <v>-8057331.4645264233</v>
      </c>
      <c r="R260" s="2">
        <f t="shared" ca="1" si="106"/>
        <v>-8775577.4073949456</v>
      </c>
      <c r="S260" s="2">
        <f t="shared" ca="1" si="106"/>
        <v>-9533249.7739764079</v>
      </c>
      <c r="T260" s="2">
        <f t="shared" ca="1" si="106"/>
        <v>-10331439.006515622</v>
      </c>
      <c r="U260" s="2">
        <f t="shared" ca="1" si="106"/>
        <v>-11142539.465104837</v>
      </c>
      <c r="V260" s="2">
        <f t="shared" ca="1" si="106"/>
        <v>-11968096.366389567</v>
      </c>
      <c r="W260" s="2">
        <f t="shared" ca="1" si="106"/>
        <v>-12328090.161523324</v>
      </c>
      <c r="X260" s="2">
        <f t="shared" ca="1" si="106"/>
        <v>-12695532.91184913</v>
      </c>
      <c r="Y260" s="2">
        <f t="shared" ca="1" si="106"/>
        <v>-13070520.986556532</v>
      </c>
      <c r="Z260" s="2">
        <f t="shared" ca="1" si="106"/>
        <v>-13453363.404902983</v>
      </c>
      <c r="AA260" s="2">
        <f t="shared" ca="1" si="106"/>
        <v>-13844361.023321129</v>
      </c>
    </row>
    <row r="261" spans="4:28" customFormat="1" x14ac:dyDescent="0.25">
      <c r="E261" t="s">
        <v>48</v>
      </c>
      <c r="F261" t="s">
        <v>7</v>
      </c>
      <c r="G261" s="2">
        <f t="shared" si="106"/>
        <v>0</v>
      </c>
      <c r="H261" s="2">
        <f t="shared" si="106"/>
        <v>0</v>
      </c>
      <c r="I261" s="2">
        <f t="shared" si="106"/>
        <v>0</v>
      </c>
      <c r="J261" s="2">
        <f t="shared" si="106"/>
        <v>0</v>
      </c>
      <c r="K261" s="2">
        <f t="shared" si="106"/>
        <v>0</v>
      </c>
      <c r="L261" s="2">
        <f t="shared" si="106"/>
        <v>0</v>
      </c>
      <c r="M261" s="2">
        <f t="shared" si="106"/>
        <v>0</v>
      </c>
      <c r="N261" s="2">
        <f t="shared" si="106"/>
        <v>0</v>
      </c>
      <c r="O261" s="2">
        <f t="shared" si="106"/>
        <v>0</v>
      </c>
      <c r="P261" s="2">
        <f t="shared" si="106"/>
        <v>0</v>
      </c>
      <c r="Q261" s="2">
        <f t="shared" si="106"/>
        <v>0</v>
      </c>
      <c r="R261" s="2">
        <f t="shared" si="106"/>
        <v>0</v>
      </c>
      <c r="S261" s="2">
        <f t="shared" si="106"/>
        <v>0</v>
      </c>
      <c r="T261" s="2">
        <f t="shared" si="106"/>
        <v>0</v>
      </c>
      <c r="U261" s="2">
        <f t="shared" si="106"/>
        <v>0</v>
      </c>
      <c r="V261" s="2">
        <f t="shared" si="106"/>
        <v>0</v>
      </c>
      <c r="W261" s="2">
        <f t="shared" si="106"/>
        <v>0</v>
      </c>
      <c r="X261" s="2">
        <f t="shared" si="106"/>
        <v>0</v>
      </c>
      <c r="Y261" s="2">
        <f t="shared" si="106"/>
        <v>0</v>
      </c>
      <c r="Z261" s="2">
        <f t="shared" si="106"/>
        <v>0</v>
      </c>
      <c r="AA261" s="2">
        <f t="shared" si="106"/>
        <v>0</v>
      </c>
    </row>
    <row r="262" spans="4:28" customFormat="1" x14ac:dyDescent="0.25">
      <c r="E262" t="s">
        <v>13</v>
      </c>
      <c r="F262" t="s">
        <v>7</v>
      </c>
      <c r="G262" s="2" t="e">
        <f ca="1">G253</f>
        <v>#REF!</v>
      </c>
      <c r="H262" s="2"/>
      <c r="I262" s="2"/>
      <c r="J262" s="2"/>
      <c r="K262" s="2"/>
      <c r="L262" s="2"/>
      <c r="M262" s="2"/>
      <c r="N262" s="2"/>
      <c r="O262" s="2"/>
      <c r="P262" s="2"/>
      <c r="Q262" s="2"/>
      <c r="R262" s="2"/>
      <c r="S262" s="2"/>
      <c r="T262" s="2"/>
      <c r="U262" s="2"/>
      <c r="V262" s="2"/>
      <c r="W262" s="2"/>
      <c r="X262" s="2"/>
      <c r="Y262" s="2"/>
      <c r="Z262" s="2"/>
      <c r="AA262" s="2"/>
    </row>
    <row r="263" spans="4:28" customFormat="1" x14ac:dyDescent="0.25"/>
    <row r="264" spans="4:28" customFormat="1" x14ac:dyDescent="0.25">
      <c r="E264" t="s">
        <v>14</v>
      </c>
      <c r="F264" t="s">
        <v>7</v>
      </c>
      <c r="G264" s="2" t="e">
        <f t="shared" ref="G264:AA264" ca="1" si="107">SUM(G256:G262)</f>
        <v>#REF!</v>
      </c>
      <c r="H264" s="2">
        <f t="shared" si="107"/>
        <v>44800653.072276726</v>
      </c>
      <c r="I264" s="2">
        <f t="shared" ca="1" si="107"/>
        <v>43708909.845346346</v>
      </c>
      <c r="J264" s="2">
        <f t="shared" ca="1" si="107"/>
        <v>43603359.968634546</v>
      </c>
      <c r="K264" s="2">
        <f t="shared" ca="1" si="107"/>
        <v>41230923.155020177</v>
      </c>
      <c r="L264" s="2">
        <f t="shared" ca="1" si="107"/>
        <v>38887312.650258064</v>
      </c>
      <c r="M264" s="2">
        <f t="shared" ca="1" si="107"/>
        <v>36553056.480401255</v>
      </c>
      <c r="N264" s="2">
        <f t="shared" ca="1" si="107"/>
        <v>34374444.897274151</v>
      </c>
      <c r="O264" s="2">
        <f t="shared" ca="1" si="107"/>
        <v>32277062.945405204</v>
      </c>
      <c r="P264" s="2">
        <f t="shared" ca="1" si="107"/>
        <v>33312926.22457882</v>
      </c>
      <c r="Q264" s="2">
        <f t="shared" ca="1" si="107"/>
        <v>34373024.996504374</v>
      </c>
      <c r="R264" s="2">
        <f t="shared" ca="1" si="107"/>
        <v>37535275.777338021</v>
      </c>
      <c r="S264" s="2">
        <f t="shared" ca="1" si="107"/>
        <v>41044104.484381504</v>
      </c>
      <c r="T264" s="2">
        <f t="shared" ca="1" si="107"/>
        <v>44797313.767268673</v>
      </c>
      <c r="U264" s="2">
        <f t="shared" ca="1" si="107"/>
        <v>46066177.419117272</v>
      </c>
      <c r="V264" s="2">
        <f t="shared" ca="1" si="107"/>
        <v>47398047.985939033</v>
      </c>
      <c r="W264" s="2">
        <f t="shared" ca="1" si="107"/>
        <v>4800854.5314481743</v>
      </c>
      <c r="X264" s="2">
        <f t="shared" ca="1" si="107"/>
        <v>4793119.6196747832</v>
      </c>
      <c r="Y264" s="2">
        <f t="shared" ca="1" si="107"/>
        <v>4785393.2481293622</v>
      </c>
      <c r="Z264" s="2">
        <f t="shared" ca="1" si="107"/>
        <v>4777525.028711345</v>
      </c>
      <c r="AA264" s="2">
        <f t="shared" ca="1" si="107"/>
        <v>4769376.0673990883</v>
      </c>
    </row>
    <row r="265" spans="4:28" customFormat="1" x14ac:dyDescent="0.25">
      <c r="E265" t="s">
        <v>15</v>
      </c>
      <c r="F265" t="s">
        <v>7</v>
      </c>
      <c r="G265" s="2" t="e">
        <f ca="1">-G264*G$18</f>
        <v>#REF!</v>
      </c>
      <c r="H265" s="2">
        <f t="shared" ref="H265:AA265" si="108">-H264*H$18</f>
        <v>-13440195.921683017</v>
      </c>
      <c r="I265" s="2">
        <f t="shared" ca="1" si="108"/>
        <v>-13112672.953603903</v>
      </c>
      <c r="J265" s="2">
        <f t="shared" ca="1" si="108"/>
        <v>-13081007.990590364</v>
      </c>
      <c r="K265" s="2">
        <f t="shared" ca="1" si="108"/>
        <v>-12369276.946506053</v>
      </c>
      <c r="L265" s="2">
        <f t="shared" ca="1" si="108"/>
        <v>-11666193.795077419</v>
      </c>
      <c r="M265" s="2">
        <f t="shared" ca="1" si="108"/>
        <v>-10965916.944120375</v>
      </c>
      <c r="N265" s="2">
        <f t="shared" ca="1" si="108"/>
        <v>-10312333.469182245</v>
      </c>
      <c r="O265" s="2">
        <f t="shared" ca="1" si="108"/>
        <v>-9683118.8836215604</v>
      </c>
      <c r="P265" s="2">
        <f t="shared" ca="1" si="108"/>
        <v>-9993877.8673736453</v>
      </c>
      <c r="Q265" s="2">
        <f t="shared" ca="1" si="108"/>
        <v>-10311907.498951312</v>
      </c>
      <c r="R265" s="2">
        <f t="shared" ca="1" si="108"/>
        <v>-11260582.733201405</v>
      </c>
      <c r="S265" s="2">
        <f t="shared" ca="1" si="108"/>
        <v>-12313231.345314451</v>
      </c>
      <c r="T265" s="2">
        <f t="shared" ca="1" si="108"/>
        <v>-13439194.130180601</v>
      </c>
      <c r="U265" s="2">
        <f t="shared" ca="1" si="108"/>
        <v>-13819853.225735182</v>
      </c>
      <c r="V265" s="2">
        <f t="shared" ca="1" si="108"/>
        <v>-14219414.395781709</v>
      </c>
      <c r="W265" s="2">
        <f t="shared" ca="1" si="108"/>
        <v>-1440256.3594344521</v>
      </c>
      <c r="X265" s="2">
        <f t="shared" ca="1" si="108"/>
        <v>-1437935.8859024348</v>
      </c>
      <c r="Y265" s="2">
        <f t="shared" ca="1" si="108"/>
        <v>-1435617.9744388086</v>
      </c>
      <c r="Z265" s="2">
        <f t="shared" ca="1" si="108"/>
        <v>-1433257.5086134034</v>
      </c>
      <c r="AA265" s="2">
        <f t="shared" ca="1" si="108"/>
        <v>-1430812.8202197265</v>
      </c>
    </row>
    <row r="266" spans="4:28" customFormat="1" x14ac:dyDescent="0.25"/>
    <row r="267" spans="4:28" customFormat="1" x14ac:dyDescent="0.25">
      <c r="D267" t="s">
        <v>28</v>
      </c>
    </row>
    <row r="268" spans="4:28" customFormat="1" x14ac:dyDescent="0.25">
      <c r="E268" t="s">
        <v>1</v>
      </c>
      <c r="F268" t="s">
        <v>7</v>
      </c>
      <c r="G268" s="2">
        <f t="shared" ref="G268:AA275" si="109">G234</f>
        <v>-69562629.069783539</v>
      </c>
      <c r="H268" s="2">
        <f t="shared" si="109"/>
        <v>-16844690.446553312</v>
      </c>
      <c r="I268" s="2">
        <f t="shared" ca="1" si="109"/>
        <v>-28341716.934704676</v>
      </c>
      <c r="J268" s="2">
        <f t="shared" ca="1" si="109"/>
        <v>-29428235.82516519</v>
      </c>
      <c r="K268" s="2">
        <f t="shared" ca="1" si="109"/>
        <v>-28523650.631986063</v>
      </c>
      <c r="L268" s="2">
        <f t="shared" ca="1" si="109"/>
        <v>-27757298.869013589</v>
      </c>
      <c r="M268" s="2">
        <f t="shared" ca="1" si="109"/>
        <v>-33173724.674259342</v>
      </c>
      <c r="N268" s="2">
        <f t="shared" ca="1" si="109"/>
        <v>-27254633.045682486</v>
      </c>
      <c r="O268" s="2">
        <f t="shared" ca="1" si="109"/>
        <v>-27723766.875344969</v>
      </c>
      <c r="P268" s="2">
        <f t="shared" ca="1" si="109"/>
        <v>-27815790.945794858</v>
      </c>
      <c r="Q268" s="2">
        <f t="shared" ca="1" si="109"/>
        <v>-28607622.415160112</v>
      </c>
      <c r="R268" s="2">
        <f t="shared" ca="1" si="109"/>
        <v>-29245805.87295869</v>
      </c>
      <c r="S268" s="2">
        <f t="shared" ca="1" si="109"/>
        <v>-29873903.505322564</v>
      </c>
      <c r="T268" s="2">
        <f t="shared" ca="1" si="109"/>
        <v>-30426148.174185529</v>
      </c>
      <c r="U268" s="2">
        <f t="shared" ca="1" si="109"/>
        <v>-31009280.188611764</v>
      </c>
      <c r="V268" s="2">
        <f t="shared" ca="1" si="109"/>
        <v>-31710612.11390594</v>
      </c>
      <c r="W268" s="2">
        <f t="shared" ca="1" si="109"/>
        <v>-32399441.562038191</v>
      </c>
      <c r="X268" s="2">
        <f t="shared" ca="1" si="109"/>
        <v>-33069847.529322453</v>
      </c>
      <c r="Y268" s="2">
        <f t="shared" ca="1" si="109"/>
        <v>-33748926.723666266</v>
      </c>
      <c r="Z268" s="2">
        <f t="shared" ca="1" si="109"/>
        <v>-34455817.651180692</v>
      </c>
      <c r="AA268" s="2">
        <f t="shared" ca="1" si="109"/>
        <v>-35189785.657632954</v>
      </c>
    </row>
    <row r="269" spans="4:28" customFormat="1" x14ac:dyDescent="0.25">
      <c r="E269" t="s">
        <v>19</v>
      </c>
      <c r="F269" t="s">
        <v>7</v>
      </c>
      <c r="G269" s="2">
        <f t="shared" si="109"/>
        <v>0</v>
      </c>
      <c r="H269" s="2">
        <f t="shared" si="109"/>
        <v>0</v>
      </c>
      <c r="I269" s="2">
        <f t="shared" si="109"/>
        <v>0</v>
      </c>
      <c r="J269" s="2">
        <f t="shared" si="109"/>
        <v>0</v>
      </c>
      <c r="K269" s="2">
        <f t="shared" si="109"/>
        <v>0</v>
      </c>
      <c r="L269" s="2">
        <f t="shared" si="109"/>
        <v>0</v>
      </c>
      <c r="M269" s="2">
        <f t="shared" si="109"/>
        <v>0</v>
      </c>
      <c r="N269" s="2">
        <f t="shared" si="109"/>
        <v>0</v>
      </c>
      <c r="O269" s="2">
        <f t="shared" si="109"/>
        <v>0</v>
      </c>
      <c r="P269" s="2">
        <f t="shared" si="109"/>
        <v>0</v>
      </c>
      <c r="Q269" s="2">
        <f t="shared" si="109"/>
        <v>0</v>
      </c>
      <c r="R269" s="2">
        <f t="shared" si="109"/>
        <v>0</v>
      </c>
      <c r="S269" s="2">
        <f t="shared" si="109"/>
        <v>0</v>
      </c>
      <c r="T269" s="2">
        <f t="shared" si="109"/>
        <v>0</v>
      </c>
      <c r="U269" s="2">
        <f t="shared" si="109"/>
        <v>0</v>
      </c>
      <c r="V269" s="2">
        <f t="shared" si="109"/>
        <v>0</v>
      </c>
      <c r="W269" s="2">
        <f t="shared" si="109"/>
        <v>0</v>
      </c>
      <c r="X269" s="2">
        <f t="shared" si="109"/>
        <v>0</v>
      </c>
      <c r="Y269" s="2">
        <f t="shared" si="109"/>
        <v>0</v>
      </c>
      <c r="Z269" s="2">
        <f t="shared" si="109"/>
        <v>0</v>
      </c>
      <c r="AA269" s="2">
        <f t="shared" si="109"/>
        <v>0</v>
      </c>
    </row>
    <row r="270" spans="4:28" customFormat="1" x14ac:dyDescent="0.25">
      <c r="E270" t="s">
        <v>109</v>
      </c>
      <c r="F270" t="s">
        <v>7</v>
      </c>
      <c r="G270" s="2">
        <f t="shared" si="109"/>
        <v>0</v>
      </c>
      <c r="H270" s="2">
        <f t="shared" si="109"/>
        <v>0</v>
      </c>
      <c r="I270" s="2">
        <f t="shared" si="109"/>
        <v>0</v>
      </c>
      <c r="J270" s="2">
        <f t="shared" si="109"/>
        <v>0</v>
      </c>
      <c r="K270" s="2">
        <f t="shared" si="109"/>
        <v>0</v>
      </c>
      <c r="L270" s="2">
        <f t="shared" si="109"/>
        <v>0</v>
      </c>
      <c r="M270" s="2">
        <f t="shared" si="109"/>
        <v>0</v>
      </c>
      <c r="N270" s="2">
        <f t="shared" si="109"/>
        <v>0</v>
      </c>
      <c r="O270" s="2">
        <f t="shared" si="109"/>
        <v>0</v>
      </c>
      <c r="P270" s="2">
        <f t="shared" si="109"/>
        <v>0</v>
      </c>
      <c r="Q270" s="2">
        <f t="shared" si="109"/>
        <v>0</v>
      </c>
      <c r="R270" s="2">
        <f t="shared" si="109"/>
        <v>0</v>
      </c>
      <c r="S270" s="2">
        <f t="shared" si="109"/>
        <v>0</v>
      </c>
      <c r="T270" s="2">
        <f t="shared" si="109"/>
        <v>0</v>
      </c>
      <c r="U270" s="2">
        <f t="shared" si="109"/>
        <v>0</v>
      </c>
      <c r="V270" s="2">
        <f t="shared" si="109"/>
        <v>0</v>
      </c>
      <c r="W270" s="2">
        <f t="shared" si="109"/>
        <v>0</v>
      </c>
      <c r="X270" s="2">
        <f t="shared" si="109"/>
        <v>0</v>
      </c>
      <c r="Y270" s="2">
        <f t="shared" si="109"/>
        <v>0</v>
      </c>
      <c r="Z270" s="2">
        <f t="shared" si="109"/>
        <v>0</v>
      </c>
      <c r="AA270" s="2">
        <f t="shared" si="109"/>
        <v>0</v>
      </c>
    </row>
    <row r="271" spans="4:28" customFormat="1" x14ac:dyDescent="0.25">
      <c r="E271" t="s">
        <v>11</v>
      </c>
      <c r="F271" t="s">
        <v>7</v>
      </c>
      <c r="G271" s="2">
        <f t="shared" si="109"/>
        <v>0</v>
      </c>
      <c r="H271" s="2">
        <f t="shared" si="109"/>
        <v>7017357.7240413763</v>
      </c>
      <c r="I271" s="2">
        <f t="shared" si="109"/>
        <v>13652255.457493519</v>
      </c>
      <c r="J271" s="2">
        <f t="shared" si="109"/>
        <v>20600117.255503975</v>
      </c>
      <c r="K271" s="2">
        <f t="shared" si="109"/>
        <v>27309526.560440917</v>
      </c>
      <c r="L271" s="2">
        <f t="shared" si="109"/>
        <v>33784018.268937409</v>
      </c>
      <c r="M271" s="2">
        <f t="shared" si="109"/>
        <v>40014378.957875751</v>
      </c>
      <c r="N271" s="2">
        <f t="shared" si="109"/>
        <v>46013931.580149837</v>
      </c>
      <c r="O271" s="2">
        <f t="shared" si="109"/>
        <v>51785567.825009458</v>
      </c>
      <c r="P271" s="2">
        <f t="shared" si="109"/>
        <v>57785129.048530489</v>
      </c>
      <c r="Q271" s="2">
        <f t="shared" si="109"/>
        <v>64018330.857410766</v>
      </c>
      <c r="R271" s="2">
        <f t="shared" si="109"/>
        <v>70788140.116901159</v>
      </c>
      <c r="S271" s="2">
        <f t="shared" si="109"/>
        <v>78154120.400761411</v>
      </c>
      <c r="T271" s="2">
        <f t="shared" si="109"/>
        <v>86141054.704954565</v>
      </c>
      <c r="U271" s="2">
        <f t="shared" si="109"/>
        <v>94380581.033594966</v>
      </c>
      <c r="V271" s="2">
        <f t="shared" si="109"/>
        <v>102893709.98996922</v>
      </c>
      <c r="W271" s="2">
        <f t="shared" si="109"/>
        <v>105054477.89975856</v>
      </c>
      <c r="X271" s="2">
        <f t="shared" si="109"/>
        <v>107260621.93565349</v>
      </c>
      <c r="Y271" s="2">
        <f t="shared" si="109"/>
        <v>109513094.99630219</v>
      </c>
      <c r="Z271" s="2">
        <f t="shared" si="109"/>
        <v>111812869.99122456</v>
      </c>
      <c r="AA271" s="2">
        <f t="shared" si="109"/>
        <v>114160940.26104024</v>
      </c>
      <c r="AB271" s="2">
        <f t="shared" ref="AB271:AB275" si="110">IF(V271=0,0,IF($G$15&gt;(AA271/V271)^(1/5)-1+2%,AA271*(AA271/V271)^(1/5)/($G$15-((AA271/V271)^(1/5)-1)),AA271*(1+$G$14)/$G$16))</f>
        <v>3805364675.3680158</v>
      </c>
    </row>
    <row r="272" spans="4:28" customFormat="1" x14ac:dyDescent="0.25">
      <c r="E272" t="s">
        <v>57</v>
      </c>
      <c r="F272" t="s">
        <v>7</v>
      </c>
      <c r="G272" s="2">
        <f t="shared" si="109"/>
        <v>0</v>
      </c>
      <c r="H272" s="2">
        <f t="shared" si="109"/>
        <v>-4628571.7282497892</v>
      </c>
      <c r="I272" s="2">
        <f t="shared" si="109"/>
        <v>-9241248.3856755868</v>
      </c>
      <c r="J272" s="2">
        <f t="shared" si="109"/>
        <v>-13919836.306323968</v>
      </c>
      <c r="K272" s="2">
        <f t="shared" si="109"/>
        <v>-18404903.288968951</v>
      </c>
      <c r="L272" s="2">
        <f t="shared" si="109"/>
        <v>-22704009.585736148</v>
      </c>
      <c r="M272" s="2">
        <f t="shared" si="109"/>
        <v>-26817780.281813156</v>
      </c>
      <c r="N272" s="2">
        <f t="shared" si="109"/>
        <v>-30750063.024553098</v>
      </c>
      <c r="O272" s="2">
        <f t="shared" si="109"/>
        <v>-34503644.660644032</v>
      </c>
      <c r="P272" s="2">
        <f t="shared" si="109"/>
        <v>-38375123.282715283</v>
      </c>
      <c r="Q272" s="2">
        <f t="shared" si="109"/>
        <v>-42358322.560470283</v>
      </c>
      <c r="R272" s="2">
        <f t="shared" si="109"/>
        <v>-46682282.296526201</v>
      </c>
      <c r="S272" s="2">
        <f t="shared" si="109"/>
        <v>-51381071.428349242</v>
      </c>
      <c r="T272" s="2">
        <f t="shared" si="109"/>
        <v>-56477917.844640151</v>
      </c>
      <c r="U272" s="2">
        <f t="shared" si="109"/>
        <v>-61737556.414174587</v>
      </c>
      <c r="V272" s="2">
        <f t="shared" si="109"/>
        <v>-67166755.362208009</v>
      </c>
      <c r="W272" s="2">
        <f t="shared" si="109"/>
        <v>-68577257.224814385</v>
      </c>
      <c r="X272" s="2">
        <f t="shared" si="109"/>
        <v>-70017379.626535475</v>
      </c>
      <c r="Y272" s="2">
        <f t="shared" si="109"/>
        <v>-71487744.598692715</v>
      </c>
      <c r="Z272" s="2">
        <f t="shared" si="109"/>
        <v>-72988987.235265255</v>
      </c>
      <c r="AA272" s="2">
        <f t="shared" si="109"/>
        <v>-74521755.967205808</v>
      </c>
      <c r="AB272" s="2">
        <f t="shared" si="110"/>
        <v>-2484058532.2401986</v>
      </c>
    </row>
    <row r="273" spans="1:28" x14ac:dyDescent="0.25">
      <c r="E273" t="s">
        <v>10</v>
      </c>
      <c r="F273" t="s">
        <v>7</v>
      </c>
      <c r="G273" s="2">
        <f t="shared" si="109"/>
        <v>0</v>
      </c>
      <c r="H273" s="2">
        <f t="shared" si="109"/>
        <v>-1316416.1399999999</v>
      </c>
      <c r="I273" s="2">
        <f t="shared" si="109"/>
        <v>-2625137.4726599995</v>
      </c>
      <c r="J273" s="2">
        <f t="shared" si="109"/>
        <v>-3947755.4467674694</v>
      </c>
      <c r="K273" s="2">
        <f t="shared" si="109"/>
        <v>-5217719.3497156659</v>
      </c>
      <c r="L273" s="2">
        <f t="shared" si="109"/>
        <v>-6433806.2617875105</v>
      </c>
      <c r="M273" s="2">
        <f t="shared" si="109"/>
        <v>-7596479.6757523762</v>
      </c>
      <c r="N273" s="2">
        <f t="shared" si="109"/>
        <v>-8706615.4451572187</v>
      </c>
      <c r="O273" s="2">
        <f t="shared" si="109"/>
        <v>-9765038.7344824001</v>
      </c>
      <c r="P273" s="2">
        <f t="shared" si="109"/>
        <v>-10855389.50884556</v>
      </c>
      <c r="Q273" s="2">
        <f t="shared" si="109"/>
        <v>-11975496.728324426</v>
      </c>
      <c r="R273" s="2">
        <f t="shared" si="109"/>
        <v>-13191333.620850248</v>
      </c>
      <c r="S273" s="2">
        <f t="shared" si="109"/>
        <v>-14512304.201063437</v>
      </c>
      <c r="T273" s="2">
        <f t="shared" si="109"/>
        <v>-15945266.840873884</v>
      </c>
      <c r="U273" s="2">
        <f t="shared" si="109"/>
        <v>-17424068.819615733</v>
      </c>
      <c r="V273" s="2">
        <f t="shared" si="109"/>
        <v>-18950319.277152479</v>
      </c>
      <c r="W273" s="2">
        <f t="shared" si="109"/>
        <v>-19348275.981972679</v>
      </c>
      <c r="X273" s="2">
        <f t="shared" si="109"/>
        <v>-19754589.777594104</v>
      </c>
      <c r="Y273" s="2">
        <f t="shared" si="109"/>
        <v>-20169436.162923578</v>
      </c>
      <c r="Z273" s="2">
        <f t="shared" si="109"/>
        <v>-20592994.322344974</v>
      </c>
      <c r="AA273" s="2">
        <f t="shared" si="109"/>
        <v>-21025447.203114215</v>
      </c>
      <c r="AB273" s="2">
        <f t="shared" si="110"/>
        <v>-700848240.10380852</v>
      </c>
    </row>
    <row r="274" spans="1:28" x14ac:dyDescent="0.25">
      <c r="E274" t="s">
        <v>48</v>
      </c>
      <c r="F274" t="s">
        <v>7</v>
      </c>
      <c r="G274" s="2">
        <f t="shared" si="109"/>
        <v>0</v>
      </c>
      <c r="H274" s="2">
        <f t="shared" si="109"/>
        <v>0</v>
      </c>
      <c r="I274" s="2">
        <f t="shared" si="109"/>
        <v>0</v>
      </c>
      <c r="J274" s="2">
        <f t="shared" si="109"/>
        <v>0</v>
      </c>
      <c r="K274" s="2">
        <f t="shared" si="109"/>
        <v>0</v>
      </c>
      <c r="L274" s="2">
        <f t="shared" si="109"/>
        <v>0</v>
      </c>
      <c r="M274" s="2">
        <f t="shared" si="109"/>
        <v>0</v>
      </c>
      <c r="N274" s="2">
        <f t="shared" si="109"/>
        <v>0</v>
      </c>
      <c r="O274" s="2">
        <f t="shared" si="109"/>
        <v>0</v>
      </c>
      <c r="P274" s="2">
        <f t="shared" si="109"/>
        <v>0</v>
      </c>
      <c r="Q274" s="2">
        <f t="shared" si="109"/>
        <v>0</v>
      </c>
      <c r="R274" s="2">
        <f t="shared" si="109"/>
        <v>0</v>
      </c>
      <c r="S274" s="2">
        <f t="shared" si="109"/>
        <v>0</v>
      </c>
      <c r="T274" s="2">
        <f t="shared" si="109"/>
        <v>0</v>
      </c>
      <c r="U274" s="2">
        <f t="shared" si="109"/>
        <v>0</v>
      </c>
      <c r="V274" s="2">
        <f t="shared" si="109"/>
        <v>0</v>
      </c>
      <c r="W274" s="2">
        <f t="shared" si="109"/>
        <v>0</v>
      </c>
      <c r="X274" s="2">
        <f t="shared" si="109"/>
        <v>0</v>
      </c>
      <c r="Y274" s="2">
        <f t="shared" si="109"/>
        <v>0</v>
      </c>
      <c r="Z274" s="2">
        <f t="shared" si="109"/>
        <v>0</v>
      </c>
      <c r="AA274" s="2">
        <f t="shared" si="109"/>
        <v>0</v>
      </c>
      <c r="AB274" s="2">
        <f t="shared" si="110"/>
        <v>0</v>
      </c>
    </row>
    <row r="275" spans="1:28" x14ac:dyDescent="0.25">
      <c r="E275" t="s">
        <v>49</v>
      </c>
      <c r="F275" t="s">
        <v>7</v>
      </c>
      <c r="G275" s="2">
        <f t="shared" si="109"/>
        <v>0</v>
      </c>
      <c r="H275" s="2">
        <f t="shared" si="109"/>
        <v>0</v>
      </c>
      <c r="I275" s="2">
        <f t="shared" si="109"/>
        <v>0</v>
      </c>
      <c r="J275" s="2">
        <f t="shared" si="109"/>
        <v>0</v>
      </c>
      <c r="K275" s="2">
        <f t="shared" si="109"/>
        <v>0</v>
      </c>
      <c r="L275" s="2">
        <f t="shared" si="109"/>
        <v>0</v>
      </c>
      <c r="M275" s="2">
        <f t="shared" si="109"/>
        <v>0</v>
      </c>
      <c r="N275" s="2">
        <f t="shared" si="109"/>
        <v>0</v>
      </c>
      <c r="O275" s="2">
        <f t="shared" si="109"/>
        <v>0</v>
      </c>
      <c r="P275" s="2">
        <f t="shared" si="109"/>
        <v>0</v>
      </c>
      <c r="Q275" s="2">
        <f t="shared" si="109"/>
        <v>0</v>
      </c>
      <c r="R275" s="2">
        <f t="shared" si="109"/>
        <v>0</v>
      </c>
      <c r="S275" s="2">
        <f t="shared" si="109"/>
        <v>0</v>
      </c>
      <c r="T275" s="2">
        <f t="shared" si="109"/>
        <v>0</v>
      </c>
      <c r="U275" s="2">
        <f t="shared" si="109"/>
        <v>0</v>
      </c>
      <c r="V275" s="2">
        <f t="shared" si="109"/>
        <v>0</v>
      </c>
      <c r="W275" s="2">
        <f t="shared" si="109"/>
        <v>0</v>
      </c>
      <c r="X275" s="2">
        <f t="shared" si="109"/>
        <v>0</v>
      </c>
      <c r="Y275" s="2">
        <f t="shared" si="109"/>
        <v>0</v>
      </c>
      <c r="Z275" s="2">
        <f t="shared" si="109"/>
        <v>0</v>
      </c>
      <c r="AA275" s="2">
        <f t="shared" si="109"/>
        <v>0</v>
      </c>
      <c r="AB275" s="2">
        <f t="shared" si="110"/>
        <v>0</v>
      </c>
    </row>
    <row r="276" spans="1:28" x14ac:dyDescent="0.25">
      <c r="E276" t="s">
        <v>20</v>
      </c>
      <c r="F276" t="s">
        <v>7</v>
      </c>
      <c r="G276" s="2" t="e">
        <f t="shared" ref="G276:AA276" ca="1" si="111">G265</f>
        <v>#REF!</v>
      </c>
      <c r="H276" s="2">
        <f t="shared" si="111"/>
        <v>-13440195.921683017</v>
      </c>
      <c r="I276" s="2">
        <f t="shared" ca="1" si="111"/>
        <v>-13112672.953603903</v>
      </c>
      <c r="J276" s="2">
        <f t="shared" ca="1" si="111"/>
        <v>-13081007.990590364</v>
      </c>
      <c r="K276" s="2">
        <f t="shared" ca="1" si="111"/>
        <v>-12369276.946506053</v>
      </c>
      <c r="L276" s="2">
        <f t="shared" ca="1" si="111"/>
        <v>-11666193.795077419</v>
      </c>
      <c r="M276" s="2">
        <f t="shared" ca="1" si="111"/>
        <v>-10965916.944120375</v>
      </c>
      <c r="N276" s="2">
        <f t="shared" ca="1" si="111"/>
        <v>-10312333.469182245</v>
      </c>
      <c r="O276" s="2">
        <f t="shared" ca="1" si="111"/>
        <v>-9683118.8836215604</v>
      </c>
      <c r="P276" s="2">
        <f t="shared" ca="1" si="111"/>
        <v>-9993877.8673736453</v>
      </c>
      <c r="Q276" s="2">
        <f t="shared" ca="1" si="111"/>
        <v>-10311907.498951312</v>
      </c>
      <c r="R276" s="2">
        <f t="shared" ca="1" si="111"/>
        <v>-11260582.733201405</v>
      </c>
      <c r="S276" s="2">
        <f t="shared" ca="1" si="111"/>
        <v>-12313231.345314451</v>
      </c>
      <c r="T276" s="2">
        <f t="shared" ca="1" si="111"/>
        <v>-13439194.130180601</v>
      </c>
      <c r="U276" s="2">
        <f t="shared" ca="1" si="111"/>
        <v>-13819853.225735182</v>
      </c>
      <c r="V276" s="2">
        <f t="shared" ca="1" si="111"/>
        <v>-14219414.395781709</v>
      </c>
      <c r="W276" s="2">
        <f t="shared" ca="1" si="111"/>
        <v>-1440256.3594344521</v>
      </c>
      <c r="X276" s="2">
        <f t="shared" ca="1" si="111"/>
        <v>-1437935.8859024348</v>
      </c>
      <c r="Y276" s="2">
        <f t="shared" ca="1" si="111"/>
        <v>-1435617.9744388086</v>
      </c>
      <c r="Z276" s="2">
        <f t="shared" ca="1" si="111"/>
        <v>-1433257.5086134034</v>
      </c>
      <c r="AA276" s="2">
        <f t="shared" ca="1" si="111"/>
        <v>-1430812.8202197265</v>
      </c>
      <c r="AB276" s="2">
        <f ca="1">IF(V276=0,0,IF($G$15&gt;(AA276/V276)^(1/5)-1+2%,AA276*(AA276/V276)^(1/5)/($G$15-((AA276/V276)^(1/5)-1)),AA276*(1+$G$14)/$G$16))</f>
        <v>-2152733.6095297607</v>
      </c>
    </row>
    <row r="277" spans="1:28" x14ac:dyDescent="0.25">
      <c r="E277" t="s">
        <v>173</v>
      </c>
      <c r="F277" t="s">
        <v>7</v>
      </c>
      <c r="G277" s="2" t="e">
        <f ca="1">-$G$17*G276</f>
        <v>#REF!</v>
      </c>
      <c r="H277" s="2">
        <f t="shared" ref="H277:AA277" si="112">-$G$17*H276</f>
        <v>6720097.9608415086</v>
      </c>
      <c r="I277" s="2">
        <f t="shared" ca="1" si="112"/>
        <v>6556336.4768019514</v>
      </c>
      <c r="J277" s="2">
        <f t="shared" ca="1" si="112"/>
        <v>6540503.9952951819</v>
      </c>
      <c r="K277" s="2">
        <f t="shared" ca="1" si="112"/>
        <v>6184638.4732530266</v>
      </c>
      <c r="L277" s="2">
        <f t="shared" ca="1" si="112"/>
        <v>5833096.8975387095</v>
      </c>
      <c r="M277" s="2">
        <f t="shared" ca="1" si="112"/>
        <v>5482958.4720601877</v>
      </c>
      <c r="N277" s="2">
        <f t="shared" ca="1" si="112"/>
        <v>5156166.7345911227</v>
      </c>
      <c r="O277" s="2">
        <f t="shared" ca="1" si="112"/>
        <v>4841559.4418107802</v>
      </c>
      <c r="P277" s="2">
        <f t="shared" ca="1" si="112"/>
        <v>4996938.9336868227</v>
      </c>
      <c r="Q277" s="2">
        <f t="shared" ca="1" si="112"/>
        <v>5155953.7494756561</v>
      </c>
      <c r="R277" s="2">
        <f t="shared" ca="1" si="112"/>
        <v>5630291.3666007025</v>
      </c>
      <c r="S277" s="2">
        <f t="shared" ca="1" si="112"/>
        <v>6156615.6726572253</v>
      </c>
      <c r="T277" s="2">
        <f t="shared" ca="1" si="112"/>
        <v>6719597.0650903005</v>
      </c>
      <c r="U277" s="2">
        <f t="shared" ca="1" si="112"/>
        <v>6909926.612867591</v>
      </c>
      <c r="V277" s="2">
        <f t="shared" ca="1" si="112"/>
        <v>7109707.1978908544</v>
      </c>
      <c r="W277" s="2">
        <f t="shared" ca="1" si="112"/>
        <v>720128.17971722607</v>
      </c>
      <c r="X277" s="2">
        <f t="shared" ca="1" si="112"/>
        <v>718967.94295121741</v>
      </c>
      <c r="Y277" s="2">
        <f t="shared" ca="1" si="112"/>
        <v>717808.98721940431</v>
      </c>
      <c r="Z277" s="2">
        <f t="shared" ca="1" si="112"/>
        <v>716628.75430670171</v>
      </c>
      <c r="AA277" s="2">
        <f t="shared" ca="1" si="112"/>
        <v>715406.41010986327</v>
      </c>
      <c r="AB277" s="2">
        <f t="shared" ref="AB277" ca="1" si="113">IF(V277=0,0,IF($G$15&gt;(AA277/V277)^(1/5)-1+2%,AA277*(AA277/V277)^(1/5)/($G$15-((AA277/V277)^(1/5)-1)),AA277*(1+$G$14)/$G$16))</f>
        <v>1076366.8047648803</v>
      </c>
    </row>
    <row r="278" spans="1:28" x14ac:dyDescent="0.25">
      <c r="E278" t="s">
        <v>23</v>
      </c>
      <c r="F278" t="s">
        <v>7</v>
      </c>
      <c r="G278" s="2" t="e">
        <f t="shared" ref="G278:AB278" ca="1" si="114">SUM(G268:G277)</f>
        <v>#REF!</v>
      </c>
      <c r="H278" s="2">
        <f t="shared" si="114"/>
        <v>-22492418.551603235</v>
      </c>
      <c r="I278" s="2">
        <f t="shared" ca="1" si="114"/>
        <v>-33112183.81234869</v>
      </c>
      <c r="J278" s="2">
        <f t="shared" ca="1" si="114"/>
        <v>-33236214.318047836</v>
      </c>
      <c r="K278" s="2">
        <f t="shared" ca="1" si="114"/>
        <v>-31021385.183482789</v>
      </c>
      <c r="L278" s="2">
        <f t="shared" ca="1" si="114"/>
        <v>-28944193.345138546</v>
      </c>
      <c r="M278" s="2">
        <f t="shared" ca="1" si="114"/>
        <v>-33056564.146009311</v>
      </c>
      <c r="N278" s="2">
        <f t="shared" ca="1" si="114"/>
        <v>-25853546.669834089</v>
      </c>
      <c r="O278" s="2">
        <f t="shared" ca="1" si="114"/>
        <v>-25048441.887272723</v>
      </c>
      <c r="P278" s="2">
        <f t="shared" ca="1" si="114"/>
        <v>-24258113.622512035</v>
      </c>
      <c r="Q278" s="2">
        <f t="shared" ca="1" si="114"/>
        <v>-24079064.596019715</v>
      </c>
      <c r="R278" s="2">
        <f t="shared" ca="1" si="114"/>
        <v>-23961573.040034685</v>
      </c>
      <c r="S278" s="2">
        <f t="shared" ca="1" si="114"/>
        <v>-23769774.406631056</v>
      </c>
      <c r="T278" s="2">
        <f t="shared" ca="1" si="114"/>
        <v>-23427875.219835304</v>
      </c>
      <c r="U278" s="2">
        <f t="shared" ca="1" si="114"/>
        <v>-22700251.001674708</v>
      </c>
      <c r="V278" s="2">
        <f t="shared" ca="1" si="114"/>
        <v>-22043683.961188056</v>
      </c>
      <c r="W278" s="2">
        <f t="shared" ca="1" si="114"/>
        <v>-15990625.048783926</v>
      </c>
      <c r="X278" s="2">
        <f t="shared" ca="1" si="114"/>
        <v>-16300162.940749764</v>
      </c>
      <c r="Y278" s="2">
        <f t="shared" ca="1" si="114"/>
        <v>-16610821.476199776</v>
      </c>
      <c r="Z278" s="2">
        <f t="shared" ca="1" si="114"/>
        <v>-16941557.97187306</v>
      </c>
      <c r="AA278" s="2">
        <f t="shared" ca="1" si="114"/>
        <v>-17291454.977022592</v>
      </c>
      <c r="AB278" s="2">
        <f t="shared" ca="1" si="114"/>
        <v>619381536.21924376</v>
      </c>
    </row>
    <row r="279" spans="1:28" x14ac:dyDescent="0.25">
      <c r="E279" t="s">
        <v>31</v>
      </c>
      <c r="F279" t="s">
        <v>7</v>
      </c>
      <c r="G279" s="2" t="e">
        <f ca="1">NPV($G$15,H278:AB278)+G278</f>
        <v>#REF!</v>
      </c>
    </row>
    <row r="280" spans="1:28" x14ac:dyDescent="0.25">
      <c r="E280" s="3" t="s">
        <v>34</v>
      </c>
      <c r="F280" s="3"/>
      <c r="G280" s="4" t="e">
        <f ca="1">IF(G279&gt;0,"N/A",IF(ABS(G279+G253)&gt;1,"Error","OK"))</f>
        <v>#REF!</v>
      </c>
    </row>
    <row r="282" spans="1:28" x14ac:dyDescent="0.25">
      <c r="C282" s="1" t="s">
        <v>36</v>
      </c>
      <c r="D282" s="1"/>
      <c r="G282" s="44"/>
    </row>
    <row r="283" spans="1:28" x14ac:dyDescent="0.25">
      <c r="A283" s="14">
        <f>'Notes &amp; Assumptions'!A67</f>
        <v>54</v>
      </c>
      <c r="C283" s="1"/>
      <c r="D283" s="1"/>
      <c r="E283" t="s">
        <v>42</v>
      </c>
      <c r="F283" t="s">
        <v>3</v>
      </c>
      <c r="G283" s="10"/>
      <c r="H283" s="10">
        <v>1</v>
      </c>
      <c r="I283" s="10">
        <v>1</v>
      </c>
      <c r="J283" s="10">
        <v>1</v>
      </c>
      <c r="K283" s="10">
        <v>1</v>
      </c>
      <c r="L283" s="10">
        <v>1</v>
      </c>
      <c r="M283" s="10">
        <v>1</v>
      </c>
      <c r="N283" s="10">
        <v>1</v>
      </c>
      <c r="O283" s="10">
        <v>1</v>
      </c>
      <c r="P283" s="10">
        <v>1</v>
      </c>
      <c r="Q283" s="10">
        <v>1</v>
      </c>
      <c r="R283" s="10">
        <v>1</v>
      </c>
      <c r="S283" s="10">
        <v>1</v>
      </c>
      <c r="T283" s="10">
        <v>1</v>
      </c>
      <c r="U283" s="10">
        <v>1</v>
      </c>
      <c r="V283" s="10">
        <v>1</v>
      </c>
      <c r="W283" s="10">
        <v>0</v>
      </c>
      <c r="X283" s="10">
        <v>0</v>
      </c>
      <c r="Y283" s="10">
        <v>0</v>
      </c>
      <c r="Z283" s="10">
        <v>0</v>
      </c>
      <c r="AA283" s="10">
        <v>0</v>
      </c>
    </row>
    <row r="284" spans="1:28" x14ac:dyDescent="0.25">
      <c r="E284" t="s">
        <v>37</v>
      </c>
      <c r="F284" t="s">
        <v>38</v>
      </c>
      <c r="G284" s="8" t="e">
        <f ca="1">MAX(0,-G311/(NPV($G$16,H283:AA283)+G283))</f>
        <v>#REF!</v>
      </c>
      <c r="H284" s="2" t="e">
        <f t="shared" ref="H284:AA284" ca="1" si="115">G284*(1+$G$14)</f>
        <v>#REF!</v>
      </c>
      <c r="I284" s="2" t="e">
        <f t="shared" ca="1" si="115"/>
        <v>#REF!</v>
      </c>
      <c r="J284" s="2" t="e">
        <f t="shared" ca="1" si="115"/>
        <v>#REF!</v>
      </c>
      <c r="K284" s="2" t="e">
        <f t="shared" ca="1" si="115"/>
        <v>#REF!</v>
      </c>
      <c r="L284" s="2" t="e">
        <f t="shared" ca="1" si="115"/>
        <v>#REF!</v>
      </c>
      <c r="M284" s="2" t="e">
        <f t="shared" ca="1" si="115"/>
        <v>#REF!</v>
      </c>
      <c r="N284" s="2" t="e">
        <f t="shared" ca="1" si="115"/>
        <v>#REF!</v>
      </c>
      <c r="O284" s="2" t="e">
        <f t="shared" ca="1" si="115"/>
        <v>#REF!</v>
      </c>
      <c r="P284" s="2" t="e">
        <f t="shared" ca="1" si="115"/>
        <v>#REF!</v>
      </c>
      <c r="Q284" s="2" t="e">
        <f t="shared" ca="1" si="115"/>
        <v>#REF!</v>
      </c>
      <c r="R284" s="2" t="e">
        <f t="shared" ca="1" si="115"/>
        <v>#REF!</v>
      </c>
      <c r="S284" s="2" t="e">
        <f t="shared" ca="1" si="115"/>
        <v>#REF!</v>
      </c>
      <c r="T284" s="2" t="e">
        <f t="shared" ca="1" si="115"/>
        <v>#REF!</v>
      </c>
      <c r="U284" s="2" t="e">
        <f t="shared" ca="1" si="115"/>
        <v>#REF!</v>
      </c>
      <c r="V284" s="2" t="e">
        <f t="shared" ca="1" si="115"/>
        <v>#REF!</v>
      </c>
      <c r="W284" s="2" t="e">
        <f t="shared" ca="1" si="115"/>
        <v>#REF!</v>
      </c>
      <c r="X284" s="2" t="e">
        <f t="shared" ca="1" si="115"/>
        <v>#REF!</v>
      </c>
      <c r="Y284" s="2" t="e">
        <f t="shared" ca="1" si="115"/>
        <v>#REF!</v>
      </c>
      <c r="Z284" s="2" t="e">
        <f t="shared" ca="1" si="115"/>
        <v>#REF!</v>
      </c>
      <c r="AA284" s="2" t="e">
        <f t="shared" ca="1" si="115"/>
        <v>#REF!</v>
      </c>
    </row>
    <row r="285" spans="1:28" x14ac:dyDescent="0.25">
      <c r="E285" t="s">
        <v>21</v>
      </c>
      <c r="F285" t="s">
        <v>7</v>
      </c>
      <c r="G285" s="2" t="e">
        <f ca="1">G283*G284</f>
        <v>#REF!</v>
      </c>
      <c r="H285" s="2" t="e">
        <f t="shared" ref="H285:AA285" ca="1" si="116">H283*H284</f>
        <v>#REF!</v>
      </c>
      <c r="I285" s="2" t="e">
        <f t="shared" ca="1" si="116"/>
        <v>#REF!</v>
      </c>
      <c r="J285" s="2" t="e">
        <f t="shared" ca="1" si="116"/>
        <v>#REF!</v>
      </c>
      <c r="K285" s="2" t="e">
        <f t="shared" ca="1" si="116"/>
        <v>#REF!</v>
      </c>
      <c r="L285" s="2" t="e">
        <f t="shared" ca="1" si="116"/>
        <v>#REF!</v>
      </c>
      <c r="M285" s="2" t="e">
        <f t="shared" ca="1" si="116"/>
        <v>#REF!</v>
      </c>
      <c r="N285" s="2" t="e">
        <f t="shared" ca="1" si="116"/>
        <v>#REF!</v>
      </c>
      <c r="O285" s="2" t="e">
        <f t="shared" ca="1" si="116"/>
        <v>#REF!</v>
      </c>
      <c r="P285" s="2" t="e">
        <f t="shared" ca="1" si="116"/>
        <v>#REF!</v>
      </c>
      <c r="Q285" s="2" t="e">
        <f t="shared" ca="1" si="116"/>
        <v>#REF!</v>
      </c>
      <c r="R285" s="2" t="e">
        <f t="shared" ca="1" si="116"/>
        <v>#REF!</v>
      </c>
      <c r="S285" s="2" t="e">
        <f t="shared" ca="1" si="116"/>
        <v>#REF!</v>
      </c>
      <c r="T285" s="2" t="e">
        <f t="shared" ca="1" si="116"/>
        <v>#REF!</v>
      </c>
      <c r="U285" s="2" t="e">
        <f t="shared" ca="1" si="116"/>
        <v>#REF!</v>
      </c>
      <c r="V285" s="2" t="e">
        <f t="shared" ca="1" si="116"/>
        <v>#REF!</v>
      </c>
      <c r="W285" s="2" t="e">
        <f t="shared" ca="1" si="116"/>
        <v>#REF!</v>
      </c>
      <c r="X285" s="2" t="e">
        <f t="shared" ca="1" si="116"/>
        <v>#REF!</v>
      </c>
      <c r="Y285" s="2" t="e">
        <f t="shared" ca="1" si="116"/>
        <v>#REF!</v>
      </c>
      <c r="Z285" s="2" t="e">
        <f t="shared" ca="1" si="116"/>
        <v>#REF!</v>
      </c>
      <c r="AA285" s="2" t="e">
        <f t="shared" ca="1" si="116"/>
        <v>#REF!</v>
      </c>
    </row>
    <row r="286" spans="1:28" x14ac:dyDescent="0.25">
      <c r="G286" s="8" t="e">
        <f ca="1">-G311/(NPV($G$16,H283:AA283)+G283)</f>
        <v>#REF!</v>
      </c>
    </row>
    <row r="287" spans="1:28" x14ac:dyDescent="0.25">
      <c r="D287" t="s">
        <v>9</v>
      </c>
    </row>
    <row r="288" spans="1:28" x14ac:dyDescent="0.25">
      <c r="E288" t="s">
        <v>107</v>
      </c>
      <c r="F288" t="s">
        <v>7</v>
      </c>
      <c r="G288" s="2">
        <f t="shared" ref="G288:AA293" si="117">G222</f>
        <v>0</v>
      </c>
      <c r="H288" s="2">
        <f t="shared" si="117"/>
        <v>45190480.999999993</v>
      </c>
      <c r="I288" s="2">
        <f t="shared" si="117"/>
        <v>44191158.871999979</v>
      </c>
      <c r="J288" s="2">
        <f t="shared" si="117"/>
        <v>43954314.765260532</v>
      </c>
      <c r="K288" s="2">
        <f t="shared" si="117"/>
        <v>41404478.74763149</v>
      </c>
      <c r="L288" s="2">
        <f t="shared" si="117"/>
        <v>38841557.030989744</v>
      </c>
      <c r="M288" s="2">
        <f t="shared" si="117"/>
        <v>36325598.989612833</v>
      </c>
      <c r="N288" s="2">
        <f t="shared" si="117"/>
        <v>33869004.828289449</v>
      </c>
      <c r="O288" s="2">
        <f t="shared" si="117"/>
        <v>31469696.707901951</v>
      </c>
      <c r="P288" s="2">
        <f t="shared" si="117"/>
        <v>32133936.239829212</v>
      </c>
      <c r="Q288" s="2">
        <f t="shared" si="117"/>
        <v>32745844.892414737</v>
      </c>
      <c r="R288" s="2">
        <f t="shared" si="117"/>
        <v>35396328.985208258</v>
      </c>
      <c r="S288" s="2">
        <f t="shared" si="117"/>
        <v>38316609.487009183</v>
      </c>
      <c r="T288" s="2">
        <f t="shared" si="117"/>
        <v>41410882.754343763</v>
      </c>
      <c r="U288" s="2">
        <f t="shared" si="117"/>
        <v>41989761.084417455</v>
      </c>
      <c r="V288" s="2">
        <f t="shared" si="117"/>
        <v>42589509.00171987</v>
      </c>
      <c r="W288" s="2">
        <f t="shared" si="117"/>
        <v>0</v>
      </c>
      <c r="X288" s="2">
        <f t="shared" si="117"/>
        <v>0</v>
      </c>
      <c r="Y288" s="2">
        <f t="shared" si="117"/>
        <v>0</v>
      </c>
      <c r="Z288" s="2">
        <f t="shared" si="117"/>
        <v>0</v>
      </c>
      <c r="AA288" s="2">
        <f t="shared" si="117"/>
        <v>0</v>
      </c>
    </row>
    <row r="289" spans="4:28" customFormat="1" x14ac:dyDescent="0.25">
      <c r="E289" t="s">
        <v>11</v>
      </c>
      <c r="F289" t="s">
        <v>7</v>
      </c>
      <c r="G289" s="2">
        <f t="shared" si="117"/>
        <v>0</v>
      </c>
      <c r="H289" s="2">
        <f t="shared" si="117"/>
        <v>7017357.7240413763</v>
      </c>
      <c r="I289" s="2">
        <f t="shared" si="117"/>
        <v>13652255.457493519</v>
      </c>
      <c r="J289" s="2">
        <f t="shared" si="117"/>
        <v>20600117.255503975</v>
      </c>
      <c r="K289" s="2">
        <f t="shared" si="117"/>
        <v>27309526.560440917</v>
      </c>
      <c r="L289" s="2">
        <f t="shared" si="117"/>
        <v>33784018.268937409</v>
      </c>
      <c r="M289" s="2">
        <f t="shared" si="117"/>
        <v>40014378.957875751</v>
      </c>
      <c r="N289" s="2">
        <f t="shared" si="117"/>
        <v>46013931.580149837</v>
      </c>
      <c r="O289" s="2">
        <f t="shared" si="117"/>
        <v>51785567.825009458</v>
      </c>
      <c r="P289" s="2">
        <f t="shared" si="117"/>
        <v>57785129.048530489</v>
      </c>
      <c r="Q289" s="2">
        <f t="shared" si="117"/>
        <v>64018330.857410766</v>
      </c>
      <c r="R289" s="2">
        <f t="shared" si="117"/>
        <v>70788140.116901159</v>
      </c>
      <c r="S289" s="2">
        <f t="shared" si="117"/>
        <v>78154120.400761411</v>
      </c>
      <c r="T289" s="2">
        <f t="shared" si="117"/>
        <v>86141054.704954565</v>
      </c>
      <c r="U289" s="2">
        <f t="shared" si="117"/>
        <v>94380581.033594966</v>
      </c>
      <c r="V289" s="2">
        <f t="shared" si="117"/>
        <v>102893709.98996922</v>
      </c>
      <c r="W289" s="2">
        <f t="shared" si="117"/>
        <v>105054477.89975856</v>
      </c>
      <c r="X289" s="2">
        <f t="shared" si="117"/>
        <v>107260621.93565349</v>
      </c>
      <c r="Y289" s="2">
        <f t="shared" si="117"/>
        <v>109513094.99630219</v>
      </c>
      <c r="Z289" s="2">
        <f t="shared" si="117"/>
        <v>111812869.99122456</v>
      </c>
      <c r="AA289" s="2">
        <f t="shared" si="117"/>
        <v>114160940.26104024</v>
      </c>
    </row>
    <row r="290" spans="4:28" customFormat="1" x14ac:dyDescent="0.25">
      <c r="E290" t="s">
        <v>57</v>
      </c>
      <c r="F290" t="s">
        <v>7</v>
      </c>
      <c r="G290" s="2">
        <f t="shared" si="117"/>
        <v>0</v>
      </c>
      <c r="H290" s="2">
        <f t="shared" si="117"/>
        <v>-4628571.7282497892</v>
      </c>
      <c r="I290" s="2">
        <f t="shared" si="117"/>
        <v>-9241248.3856755868</v>
      </c>
      <c r="J290" s="2">
        <f t="shared" si="117"/>
        <v>-13919836.306323968</v>
      </c>
      <c r="K290" s="2">
        <f t="shared" si="117"/>
        <v>-18404903.288968951</v>
      </c>
      <c r="L290" s="2">
        <f t="shared" si="117"/>
        <v>-22704009.585736148</v>
      </c>
      <c r="M290" s="2">
        <f t="shared" si="117"/>
        <v>-26817780.281813156</v>
      </c>
      <c r="N290" s="2">
        <f t="shared" si="117"/>
        <v>-30750063.024553098</v>
      </c>
      <c r="O290" s="2">
        <f t="shared" si="117"/>
        <v>-34503644.660644032</v>
      </c>
      <c r="P290" s="2">
        <f t="shared" si="117"/>
        <v>-38375123.282715283</v>
      </c>
      <c r="Q290" s="2">
        <f t="shared" si="117"/>
        <v>-42358322.560470283</v>
      </c>
      <c r="R290" s="2">
        <f t="shared" si="117"/>
        <v>-46682282.296526201</v>
      </c>
      <c r="S290" s="2">
        <f t="shared" si="117"/>
        <v>-51381071.428349242</v>
      </c>
      <c r="T290" s="2">
        <f t="shared" si="117"/>
        <v>-56477917.844640151</v>
      </c>
      <c r="U290" s="2">
        <f t="shared" si="117"/>
        <v>-61737556.414174587</v>
      </c>
      <c r="V290" s="2">
        <f t="shared" si="117"/>
        <v>-67166755.362208009</v>
      </c>
      <c r="W290" s="2">
        <f t="shared" si="117"/>
        <v>-68577257.224814385</v>
      </c>
      <c r="X290" s="2">
        <f t="shared" si="117"/>
        <v>-70017379.626535475</v>
      </c>
      <c r="Y290" s="2">
        <f t="shared" si="117"/>
        <v>-71487744.598692715</v>
      </c>
      <c r="Z290" s="2">
        <f t="shared" si="117"/>
        <v>-72988987.235265255</v>
      </c>
      <c r="AA290" s="2">
        <f t="shared" si="117"/>
        <v>-74521755.967205808</v>
      </c>
    </row>
    <row r="291" spans="4:28" customFormat="1" x14ac:dyDescent="0.25">
      <c r="E291" t="s">
        <v>10</v>
      </c>
      <c r="F291" t="s">
        <v>7</v>
      </c>
      <c r="G291" s="2">
        <f t="shared" si="117"/>
        <v>0</v>
      </c>
      <c r="H291" s="2">
        <f t="shared" si="117"/>
        <v>-1316416.1399999999</v>
      </c>
      <c r="I291" s="2">
        <f t="shared" si="117"/>
        <v>-2625137.4726599995</v>
      </c>
      <c r="J291" s="2">
        <f t="shared" si="117"/>
        <v>-3947755.4467674694</v>
      </c>
      <c r="K291" s="2">
        <f t="shared" si="117"/>
        <v>-5217719.3497156659</v>
      </c>
      <c r="L291" s="2">
        <f t="shared" si="117"/>
        <v>-6433806.2617875105</v>
      </c>
      <c r="M291" s="2">
        <f t="shared" si="117"/>
        <v>-7596479.6757523762</v>
      </c>
      <c r="N291" s="2">
        <f t="shared" si="117"/>
        <v>-8706615.4451572187</v>
      </c>
      <c r="O291" s="2">
        <f t="shared" si="117"/>
        <v>-9765038.7344824001</v>
      </c>
      <c r="P291" s="2">
        <f t="shared" si="117"/>
        <v>-10855389.50884556</v>
      </c>
      <c r="Q291" s="2">
        <f t="shared" si="117"/>
        <v>-11975496.728324426</v>
      </c>
      <c r="R291" s="2">
        <f t="shared" si="117"/>
        <v>-13191333.620850248</v>
      </c>
      <c r="S291" s="2">
        <f t="shared" si="117"/>
        <v>-14512304.201063437</v>
      </c>
      <c r="T291" s="2">
        <f t="shared" si="117"/>
        <v>-15945266.840873884</v>
      </c>
      <c r="U291" s="2">
        <f t="shared" si="117"/>
        <v>-17424068.819615733</v>
      </c>
      <c r="V291" s="2">
        <f t="shared" si="117"/>
        <v>-18950319.277152479</v>
      </c>
      <c r="W291" s="2">
        <f t="shared" si="117"/>
        <v>-19348275.981972679</v>
      </c>
      <c r="X291" s="2">
        <f t="shared" si="117"/>
        <v>-19754589.777594104</v>
      </c>
      <c r="Y291" s="2">
        <f t="shared" si="117"/>
        <v>-20169436.162923578</v>
      </c>
      <c r="Z291" s="2">
        <f t="shared" si="117"/>
        <v>-20592994.322344974</v>
      </c>
      <c r="AA291" s="2">
        <f t="shared" si="117"/>
        <v>-21025447.203114215</v>
      </c>
    </row>
    <row r="292" spans="4:28" customFormat="1" x14ac:dyDescent="0.25">
      <c r="E292" t="s">
        <v>12</v>
      </c>
      <c r="F292" t="s">
        <v>7</v>
      </c>
      <c r="G292" s="2">
        <f t="shared" si="117"/>
        <v>-772918.1007753727</v>
      </c>
      <c r="H292" s="2">
        <f t="shared" si="117"/>
        <v>-1462197.7835148538</v>
      </c>
      <c r="I292" s="2">
        <f t="shared" ca="1" si="117"/>
        <v>-2268118.6258115722</v>
      </c>
      <c r="J292" s="2">
        <f t="shared" ca="1" si="117"/>
        <v>-3083480.2990385247</v>
      </c>
      <c r="K292" s="2">
        <f t="shared" ca="1" si="117"/>
        <v>-3860459.5143676088</v>
      </c>
      <c r="L292" s="2">
        <f t="shared" ca="1" si="117"/>
        <v>-4600446.8021454234</v>
      </c>
      <c r="M292" s="2">
        <f t="shared" ca="1" si="117"/>
        <v>-5372661.5095217815</v>
      </c>
      <c r="N292" s="2">
        <f t="shared" ca="1" si="117"/>
        <v>-6051813.0414548032</v>
      </c>
      <c r="O292" s="2">
        <f t="shared" ca="1" si="117"/>
        <v>-6709518.1923797689</v>
      </c>
      <c r="P292" s="2">
        <f t="shared" ca="1" si="117"/>
        <v>-7375626.272220036</v>
      </c>
      <c r="Q292" s="2">
        <f t="shared" ca="1" si="117"/>
        <v>-8057331.4645264233</v>
      </c>
      <c r="R292" s="2">
        <f t="shared" ca="1" si="117"/>
        <v>-8775577.4073949456</v>
      </c>
      <c r="S292" s="2">
        <f t="shared" ca="1" si="117"/>
        <v>-9533249.7739764079</v>
      </c>
      <c r="T292" s="2">
        <f t="shared" ca="1" si="117"/>
        <v>-10331439.006515622</v>
      </c>
      <c r="U292" s="2">
        <f t="shared" ca="1" si="117"/>
        <v>-11142539.465104837</v>
      </c>
      <c r="V292" s="2">
        <f t="shared" ca="1" si="117"/>
        <v>-11968096.366389567</v>
      </c>
      <c r="W292" s="2">
        <f t="shared" ca="1" si="117"/>
        <v>-12328090.161523324</v>
      </c>
      <c r="X292" s="2">
        <f t="shared" ca="1" si="117"/>
        <v>-12695532.91184913</v>
      </c>
      <c r="Y292" s="2">
        <f t="shared" ca="1" si="117"/>
        <v>-13070520.986556532</v>
      </c>
      <c r="Z292" s="2">
        <f t="shared" ca="1" si="117"/>
        <v>-13453363.404902983</v>
      </c>
      <c r="AA292" s="2">
        <f t="shared" ca="1" si="117"/>
        <v>-13844361.023321129</v>
      </c>
    </row>
    <row r="293" spans="4:28" customFormat="1" x14ac:dyDescent="0.25">
      <c r="E293" t="s">
        <v>48</v>
      </c>
      <c r="F293" t="s">
        <v>7</v>
      </c>
      <c r="G293" s="2">
        <f t="shared" si="117"/>
        <v>0</v>
      </c>
      <c r="H293" s="2">
        <f t="shared" si="117"/>
        <v>0</v>
      </c>
      <c r="I293" s="2">
        <f t="shared" si="117"/>
        <v>0</v>
      </c>
      <c r="J293" s="2">
        <f t="shared" si="117"/>
        <v>0</v>
      </c>
      <c r="K293" s="2">
        <f t="shared" si="117"/>
        <v>0</v>
      </c>
      <c r="L293" s="2">
        <f t="shared" si="117"/>
        <v>0</v>
      </c>
      <c r="M293" s="2">
        <f t="shared" si="117"/>
        <v>0</v>
      </c>
      <c r="N293" s="2">
        <f t="shared" si="117"/>
        <v>0</v>
      </c>
      <c r="O293" s="2">
        <f t="shared" si="117"/>
        <v>0</v>
      </c>
      <c r="P293" s="2">
        <f t="shared" si="117"/>
        <v>0</v>
      </c>
      <c r="Q293" s="2">
        <f t="shared" si="117"/>
        <v>0</v>
      </c>
      <c r="R293" s="2">
        <f t="shared" si="117"/>
        <v>0</v>
      </c>
      <c r="S293" s="2">
        <f t="shared" si="117"/>
        <v>0</v>
      </c>
      <c r="T293" s="2">
        <f t="shared" si="117"/>
        <v>0</v>
      </c>
      <c r="U293" s="2">
        <f t="shared" si="117"/>
        <v>0</v>
      </c>
      <c r="V293" s="2">
        <f t="shared" si="117"/>
        <v>0</v>
      </c>
      <c r="W293" s="2">
        <f t="shared" si="117"/>
        <v>0</v>
      </c>
      <c r="X293" s="2">
        <f t="shared" si="117"/>
        <v>0</v>
      </c>
      <c r="Y293" s="2">
        <f t="shared" si="117"/>
        <v>0</v>
      </c>
      <c r="Z293" s="2">
        <f t="shared" si="117"/>
        <v>0</v>
      </c>
      <c r="AA293" s="2">
        <f t="shared" si="117"/>
        <v>0</v>
      </c>
    </row>
    <row r="294" spans="4:28" customFormat="1" x14ac:dyDescent="0.25">
      <c r="E294" t="s">
        <v>13</v>
      </c>
      <c r="F294" t="s">
        <v>7</v>
      </c>
      <c r="G294" s="2" t="e">
        <f t="shared" ref="G294:AA294" ca="1" si="118">G285</f>
        <v>#REF!</v>
      </c>
      <c r="H294" s="2" t="e">
        <f t="shared" ca="1" si="118"/>
        <v>#REF!</v>
      </c>
      <c r="I294" s="2" t="e">
        <f t="shared" ca="1" si="118"/>
        <v>#REF!</v>
      </c>
      <c r="J294" s="2" t="e">
        <f t="shared" ca="1" si="118"/>
        <v>#REF!</v>
      </c>
      <c r="K294" s="2" t="e">
        <f t="shared" ca="1" si="118"/>
        <v>#REF!</v>
      </c>
      <c r="L294" s="2" t="e">
        <f t="shared" ca="1" si="118"/>
        <v>#REF!</v>
      </c>
      <c r="M294" s="2" t="e">
        <f t="shared" ca="1" si="118"/>
        <v>#REF!</v>
      </c>
      <c r="N294" s="2" t="e">
        <f t="shared" ca="1" si="118"/>
        <v>#REF!</v>
      </c>
      <c r="O294" s="2" t="e">
        <f t="shared" ca="1" si="118"/>
        <v>#REF!</v>
      </c>
      <c r="P294" s="2" t="e">
        <f t="shared" ca="1" si="118"/>
        <v>#REF!</v>
      </c>
      <c r="Q294" s="2" t="e">
        <f t="shared" ca="1" si="118"/>
        <v>#REF!</v>
      </c>
      <c r="R294" s="2" t="e">
        <f t="shared" ca="1" si="118"/>
        <v>#REF!</v>
      </c>
      <c r="S294" s="2" t="e">
        <f t="shared" ca="1" si="118"/>
        <v>#REF!</v>
      </c>
      <c r="T294" s="2" t="e">
        <f t="shared" ca="1" si="118"/>
        <v>#REF!</v>
      </c>
      <c r="U294" s="2" t="e">
        <f t="shared" ca="1" si="118"/>
        <v>#REF!</v>
      </c>
      <c r="V294" s="2" t="e">
        <f t="shared" ca="1" si="118"/>
        <v>#REF!</v>
      </c>
      <c r="W294" s="2" t="e">
        <f t="shared" ca="1" si="118"/>
        <v>#REF!</v>
      </c>
      <c r="X294" s="2" t="e">
        <f t="shared" ca="1" si="118"/>
        <v>#REF!</v>
      </c>
      <c r="Y294" s="2" t="e">
        <f t="shared" ca="1" si="118"/>
        <v>#REF!</v>
      </c>
      <c r="Z294" s="2" t="e">
        <f t="shared" ca="1" si="118"/>
        <v>#REF!</v>
      </c>
      <c r="AA294" s="2" t="e">
        <f t="shared" ca="1" si="118"/>
        <v>#REF!</v>
      </c>
    </row>
    <row r="295" spans="4:28" customFormat="1" x14ac:dyDescent="0.25"/>
    <row r="296" spans="4:28" customFormat="1" x14ac:dyDescent="0.25">
      <c r="E296" t="s">
        <v>14</v>
      </c>
      <c r="F296" t="s">
        <v>7</v>
      </c>
      <c r="G296" s="2" t="e">
        <f t="shared" ref="G296:AA296" ca="1" si="119">SUM(G288:G294)</f>
        <v>#REF!</v>
      </c>
      <c r="H296" s="2" t="e">
        <f t="shared" ca="1" si="119"/>
        <v>#REF!</v>
      </c>
      <c r="I296" s="2" t="e">
        <f t="shared" ca="1" si="119"/>
        <v>#REF!</v>
      </c>
      <c r="J296" s="2" t="e">
        <f t="shared" ca="1" si="119"/>
        <v>#REF!</v>
      </c>
      <c r="K296" s="2" t="e">
        <f t="shared" ca="1" si="119"/>
        <v>#REF!</v>
      </c>
      <c r="L296" s="2" t="e">
        <f t="shared" ca="1" si="119"/>
        <v>#REF!</v>
      </c>
      <c r="M296" s="2" t="e">
        <f t="shared" ca="1" si="119"/>
        <v>#REF!</v>
      </c>
      <c r="N296" s="2" t="e">
        <f t="shared" ca="1" si="119"/>
        <v>#REF!</v>
      </c>
      <c r="O296" s="2" t="e">
        <f t="shared" ca="1" si="119"/>
        <v>#REF!</v>
      </c>
      <c r="P296" s="2" t="e">
        <f t="shared" ca="1" si="119"/>
        <v>#REF!</v>
      </c>
      <c r="Q296" s="2" t="e">
        <f t="shared" ca="1" si="119"/>
        <v>#REF!</v>
      </c>
      <c r="R296" s="2" t="e">
        <f t="shared" ca="1" si="119"/>
        <v>#REF!</v>
      </c>
      <c r="S296" s="2" t="e">
        <f t="shared" ca="1" si="119"/>
        <v>#REF!</v>
      </c>
      <c r="T296" s="2" t="e">
        <f t="shared" ca="1" si="119"/>
        <v>#REF!</v>
      </c>
      <c r="U296" s="2" t="e">
        <f t="shared" ca="1" si="119"/>
        <v>#REF!</v>
      </c>
      <c r="V296" s="2" t="e">
        <f t="shared" ca="1" si="119"/>
        <v>#REF!</v>
      </c>
      <c r="W296" s="2" t="e">
        <f t="shared" ca="1" si="119"/>
        <v>#REF!</v>
      </c>
      <c r="X296" s="2" t="e">
        <f t="shared" ca="1" si="119"/>
        <v>#REF!</v>
      </c>
      <c r="Y296" s="2" t="e">
        <f t="shared" ca="1" si="119"/>
        <v>#REF!</v>
      </c>
      <c r="Z296" s="2" t="e">
        <f t="shared" ca="1" si="119"/>
        <v>#REF!</v>
      </c>
      <c r="AA296" s="2" t="e">
        <f t="shared" ca="1" si="119"/>
        <v>#REF!</v>
      </c>
    </row>
    <row r="297" spans="4:28" customFormat="1" x14ac:dyDescent="0.25">
      <c r="E297" t="s">
        <v>15</v>
      </c>
      <c r="F297" t="s">
        <v>7</v>
      </c>
      <c r="G297" s="2" t="e">
        <f t="shared" ref="G297:AA297" ca="1" si="120">-G296*G$18</f>
        <v>#REF!</v>
      </c>
      <c r="H297" s="2" t="e">
        <f t="shared" ca="1" si="120"/>
        <v>#REF!</v>
      </c>
      <c r="I297" s="2" t="e">
        <f t="shared" ca="1" si="120"/>
        <v>#REF!</v>
      </c>
      <c r="J297" s="2" t="e">
        <f t="shared" ca="1" si="120"/>
        <v>#REF!</v>
      </c>
      <c r="K297" s="2" t="e">
        <f t="shared" ca="1" si="120"/>
        <v>#REF!</v>
      </c>
      <c r="L297" s="2" t="e">
        <f t="shared" ca="1" si="120"/>
        <v>#REF!</v>
      </c>
      <c r="M297" s="2" t="e">
        <f t="shared" ca="1" si="120"/>
        <v>#REF!</v>
      </c>
      <c r="N297" s="2" t="e">
        <f t="shared" ca="1" si="120"/>
        <v>#REF!</v>
      </c>
      <c r="O297" s="2" t="e">
        <f t="shared" ca="1" si="120"/>
        <v>#REF!</v>
      </c>
      <c r="P297" s="2" t="e">
        <f t="shared" ca="1" si="120"/>
        <v>#REF!</v>
      </c>
      <c r="Q297" s="2" t="e">
        <f t="shared" ca="1" si="120"/>
        <v>#REF!</v>
      </c>
      <c r="R297" s="2" t="e">
        <f t="shared" ca="1" si="120"/>
        <v>#REF!</v>
      </c>
      <c r="S297" s="2" t="e">
        <f t="shared" ca="1" si="120"/>
        <v>#REF!</v>
      </c>
      <c r="T297" s="2" t="e">
        <f t="shared" ca="1" si="120"/>
        <v>#REF!</v>
      </c>
      <c r="U297" s="2" t="e">
        <f t="shared" ca="1" si="120"/>
        <v>#REF!</v>
      </c>
      <c r="V297" s="2" t="e">
        <f t="shared" ca="1" si="120"/>
        <v>#REF!</v>
      </c>
      <c r="W297" s="2" t="e">
        <f t="shared" ca="1" si="120"/>
        <v>#REF!</v>
      </c>
      <c r="X297" s="2" t="e">
        <f t="shared" ca="1" si="120"/>
        <v>#REF!</v>
      </c>
      <c r="Y297" s="2" t="e">
        <f t="shared" ca="1" si="120"/>
        <v>#REF!</v>
      </c>
      <c r="Z297" s="2" t="e">
        <f t="shared" ca="1" si="120"/>
        <v>#REF!</v>
      </c>
      <c r="AA297" s="2" t="e">
        <f t="shared" ca="1" si="120"/>
        <v>#REF!</v>
      </c>
    </row>
    <row r="298" spans="4:28" customFormat="1" x14ac:dyDescent="0.25"/>
    <row r="299" spans="4:28" customFormat="1" x14ac:dyDescent="0.25">
      <c r="D299" t="s">
        <v>28</v>
      </c>
    </row>
    <row r="300" spans="4:28" customFormat="1" x14ac:dyDescent="0.25">
      <c r="E300" t="s">
        <v>1</v>
      </c>
      <c r="F300" t="s">
        <v>7</v>
      </c>
      <c r="G300" s="2">
        <f t="shared" ref="G300:AA307" si="121">G234</f>
        <v>-69562629.069783539</v>
      </c>
      <c r="H300" s="2">
        <f t="shared" si="121"/>
        <v>-16844690.446553312</v>
      </c>
      <c r="I300" s="2">
        <f t="shared" ca="1" si="121"/>
        <v>-28341716.934704676</v>
      </c>
      <c r="J300" s="2">
        <f t="shared" ca="1" si="121"/>
        <v>-29428235.82516519</v>
      </c>
      <c r="K300" s="2">
        <f t="shared" ca="1" si="121"/>
        <v>-28523650.631986063</v>
      </c>
      <c r="L300" s="2">
        <f t="shared" ca="1" si="121"/>
        <v>-27757298.869013589</v>
      </c>
      <c r="M300" s="2">
        <f t="shared" ca="1" si="121"/>
        <v>-33173724.674259342</v>
      </c>
      <c r="N300" s="2">
        <f t="shared" ca="1" si="121"/>
        <v>-27254633.045682486</v>
      </c>
      <c r="O300" s="2">
        <f t="shared" ca="1" si="121"/>
        <v>-27723766.875344969</v>
      </c>
      <c r="P300" s="2">
        <f t="shared" ca="1" si="121"/>
        <v>-27815790.945794858</v>
      </c>
      <c r="Q300" s="2">
        <f t="shared" ca="1" si="121"/>
        <v>-28607622.415160112</v>
      </c>
      <c r="R300" s="2">
        <f t="shared" ca="1" si="121"/>
        <v>-29245805.87295869</v>
      </c>
      <c r="S300" s="2">
        <f t="shared" ca="1" si="121"/>
        <v>-29873903.505322564</v>
      </c>
      <c r="T300" s="2">
        <f t="shared" ca="1" si="121"/>
        <v>-30426148.174185529</v>
      </c>
      <c r="U300" s="2">
        <f t="shared" ca="1" si="121"/>
        <v>-31009280.188611764</v>
      </c>
      <c r="V300" s="2">
        <f t="shared" ca="1" si="121"/>
        <v>-31710612.11390594</v>
      </c>
      <c r="W300" s="2">
        <f t="shared" ca="1" si="121"/>
        <v>-32399441.562038191</v>
      </c>
      <c r="X300" s="2">
        <f t="shared" ca="1" si="121"/>
        <v>-33069847.529322453</v>
      </c>
      <c r="Y300" s="2">
        <f t="shared" ca="1" si="121"/>
        <v>-33748926.723666266</v>
      </c>
      <c r="Z300" s="2">
        <f t="shared" ca="1" si="121"/>
        <v>-34455817.651180692</v>
      </c>
      <c r="AA300" s="2">
        <f t="shared" ca="1" si="121"/>
        <v>-35189785.657632954</v>
      </c>
    </row>
    <row r="301" spans="4:28" customFormat="1" x14ac:dyDescent="0.25">
      <c r="E301" t="s">
        <v>19</v>
      </c>
      <c r="F301" t="s">
        <v>7</v>
      </c>
      <c r="G301" s="2">
        <f t="shared" si="121"/>
        <v>0</v>
      </c>
      <c r="H301" s="2">
        <f t="shared" si="121"/>
        <v>0</v>
      </c>
      <c r="I301" s="2">
        <f t="shared" si="121"/>
        <v>0</v>
      </c>
      <c r="J301" s="2">
        <f t="shared" si="121"/>
        <v>0</v>
      </c>
      <c r="K301" s="2">
        <f t="shared" si="121"/>
        <v>0</v>
      </c>
      <c r="L301" s="2">
        <f t="shared" si="121"/>
        <v>0</v>
      </c>
      <c r="M301" s="2">
        <f t="shared" si="121"/>
        <v>0</v>
      </c>
      <c r="N301" s="2">
        <f t="shared" si="121"/>
        <v>0</v>
      </c>
      <c r="O301" s="2">
        <f t="shared" si="121"/>
        <v>0</v>
      </c>
      <c r="P301" s="2">
        <f t="shared" si="121"/>
        <v>0</v>
      </c>
      <c r="Q301" s="2">
        <f t="shared" si="121"/>
        <v>0</v>
      </c>
      <c r="R301" s="2">
        <f t="shared" si="121"/>
        <v>0</v>
      </c>
      <c r="S301" s="2">
        <f t="shared" si="121"/>
        <v>0</v>
      </c>
      <c r="T301" s="2">
        <f t="shared" si="121"/>
        <v>0</v>
      </c>
      <c r="U301" s="2">
        <f t="shared" si="121"/>
        <v>0</v>
      </c>
      <c r="V301" s="2">
        <f t="shared" si="121"/>
        <v>0</v>
      </c>
      <c r="W301" s="2">
        <f t="shared" si="121"/>
        <v>0</v>
      </c>
      <c r="X301" s="2">
        <f t="shared" si="121"/>
        <v>0</v>
      </c>
      <c r="Y301" s="2">
        <f t="shared" si="121"/>
        <v>0</v>
      </c>
      <c r="Z301" s="2">
        <f t="shared" si="121"/>
        <v>0</v>
      </c>
      <c r="AA301" s="2">
        <f t="shared" si="121"/>
        <v>0</v>
      </c>
    </row>
    <row r="302" spans="4:28" customFormat="1" x14ac:dyDescent="0.25">
      <c r="E302" t="s">
        <v>109</v>
      </c>
      <c r="F302" t="s">
        <v>7</v>
      </c>
      <c r="G302" s="2">
        <f t="shared" si="121"/>
        <v>0</v>
      </c>
      <c r="H302" s="2">
        <f t="shared" si="121"/>
        <v>0</v>
      </c>
      <c r="I302" s="2">
        <f t="shared" si="121"/>
        <v>0</v>
      </c>
      <c r="J302" s="2">
        <f t="shared" si="121"/>
        <v>0</v>
      </c>
      <c r="K302" s="2">
        <f t="shared" si="121"/>
        <v>0</v>
      </c>
      <c r="L302" s="2">
        <f t="shared" si="121"/>
        <v>0</v>
      </c>
      <c r="M302" s="2">
        <f t="shared" si="121"/>
        <v>0</v>
      </c>
      <c r="N302" s="2">
        <f t="shared" si="121"/>
        <v>0</v>
      </c>
      <c r="O302" s="2">
        <f t="shared" si="121"/>
        <v>0</v>
      </c>
      <c r="P302" s="2">
        <f t="shared" si="121"/>
        <v>0</v>
      </c>
      <c r="Q302" s="2">
        <f t="shared" si="121"/>
        <v>0</v>
      </c>
      <c r="R302" s="2">
        <f t="shared" si="121"/>
        <v>0</v>
      </c>
      <c r="S302" s="2">
        <f t="shared" si="121"/>
        <v>0</v>
      </c>
      <c r="T302" s="2">
        <f t="shared" si="121"/>
        <v>0</v>
      </c>
      <c r="U302" s="2">
        <f t="shared" si="121"/>
        <v>0</v>
      </c>
      <c r="V302" s="2">
        <f t="shared" si="121"/>
        <v>0</v>
      </c>
      <c r="W302" s="2">
        <f t="shared" si="121"/>
        <v>0</v>
      </c>
      <c r="X302" s="2">
        <f t="shared" si="121"/>
        <v>0</v>
      </c>
      <c r="Y302" s="2">
        <f t="shared" si="121"/>
        <v>0</v>
      </c>
      <c r="Z302" s="2">
        <f t="shared" si="121"/>
        <v>0</v>
      </c>
      <c r="AA302" s="2">
        <f t="shared" si="121"/>
        <v>0</v>
      </c>
    </row>
    <row r="303" spans="4:28" customFormat="1" x14ac:dyDescent="0.25">
      <c r="E303" t="s">
        <v>11</v>
      </c>
      <c r="F303" t="s">
        <v>7</v>
      </c>
      <c r="G303" s="2">
        <f t="shared" si="121"/>
        <v>0</v>
      </c>
      <c r="H303" s="2">
        <f t="shared" si="121"/>
        <v>7017357.7240413763</v>
      </c>
      <c r="I303" s="2">
        <f t="shared" si="121"/>
        <v>13652255.457493519</v>
      </c>
      <c r="J303" s="2">
        <f t="shared" si="121"/>
        <v>20600117.255503975</v>
      </c>
      <c r="K303" s="2">
        <f t="shared" si="121"/>
        <v>27309526.560440917</v>
      </c>
      <c r="L303" s="2">
        <f t="shared" si="121"/>
        <v>33784018.268937409</v>
      </c>
      <c r="M303" s="2">
        <f t="shared" si="121"/>
        <v>40014378.957875751</v>
      </c>
      <c r="N303" s="2">
        <f t="shared" si="121"/>
        <v>46013931.580149837</v>
      </c>
      <c r="O303" s="2">
        <f t="shared" si="121"/>
        <v>51785567.825009458</v>
      </c>
      <c r="P303" s="2">
        <f t="shared" si="121"/>
        <v>57785129.048530489</v>
      </c>
      <c r="Q303" s="2">
        <f t="shared" si="121"/>
        <v>64018330.857410766</v>
      </c>
      <c r="R303" s="2">
        <f t="shared" si="121"/>
        <v>70788140.116901159</v>
      </c>
      <c r="S303" s="2">
        <f t="shared" si="121"/>
        <v>78154120.400761411</v>
      </c>
      <c r="T303" s="2">
        <f t="shared" si="121"/>
        <v>86141054.704954565</v>
      </c>
      <c r="U303" s="2">
        <f t="shared" si="121"/>
        <v>94380581.033594966</v>
      </c>
      <c r="V303" s="2">
        <f t="shared" si="121"/>
        <v>102893709.98996922</v>
      </c>
      <c r="W303" s="2">
        <f t="shared" si="121"/>
        <v>105054477.89975856</v>
      </c>
      <c r="X303" s="2">
        <f t="shared" si="121"/>
        <v>107260621.93565349</v>
      </c>
      <c r="Y303" s="2">
        <f t="shared" si="121"/>
        <v>109513094.99630219</v>
      </c>
      <c r="Z303" s="2">
        <f t="shared" si="121"/>
        <v>111812869.99122456</v>
      </c>
      <c r="AA303" s="2">
        <f t="shared" si="121"/>
        <v>114160940.26104024</v>
      </c>
      <c r="AB303" s="2">
        <f t="shared" ref="AB303:AB307" si="122">IF(V303=0,0,IF($G$15&gt;(AA303/V303)^(1/5)-1+2%,AA303*(AA303/V303)^(1/5)/($G$15-((AA303/V303)^(1/5)-1)),AA303*(1+$G$14)/$G$16))</f>
        <v>3805364675.3680158</v>
      </c>
    </row>
    <row r="304" spans="4:28" customFormat="1" x14ac:dyDescent="0.25">
      <c r="E304" t="s">
        <v>57</v>
      </c>
      <c r="F304" t="s">
        <v>7</v>
      </c>
      <c r="G304" s="2">
        <f t="shared" si="121"/>
        <v>0</v>
      </c>
      <c r="H304" s="2">
        <f t="shared" si="121"/>
        <v>-4628571.7282497892</v>
      </c>
      <c r="I304" s="2">
        <f t="shared" si="121"/>
        <v>-9241248.3856755868</v>
      </c>
      <c r="J304" s="2">
        <f t="shared" si="121"/>
        <v>-13919836.306323968</v>
      </c>
      <c r="K304" s="2">
        <f t="shared" si="121"/>
        <v>-18404903.288968951</v>
      </c>
      <c r="L304" s="2">
        <f t="shared" si="121"/>
        <v>-22704009.585736148</v>
      </c>
      <c r="M304" s="2">
        <f t="shared" si="121"/>
        <v>-26817780.281813156</v>
      </c>
      <c r="N304" s="2">
        <f t="shared" si="121"/>
        <v>-30750063.024553098</v>
      </c>
      <c r="O304" s="2">
        <f t="shared" si="121"/>
        <v>-34503644.660644032</v>
      </c>
      <c r="P304" s="2">
        <f t="shared" si="121"/>
        <v>-38375123.282715283</v>
      </c>
      <c r="Q304" s="2">
        <f t="shared" si="121"/>
        <v>-42358322.560470283</v>
      </c>
      <c r="R304" s="2">
        <f t="shared" si="121"/>
        <v>-46682282.296526201</v>
      </c>
      <c r="S304" s="2">
        <f t="shared" si="121"/>
        <v>-51381071.428349242</v>
      </c>
      <c r="T304" s="2">
        <f t="shared" si="121"/>
        <v>-56477917.844640151</v>
      </c>
      <c r="U304" s="2">
        <f t="shared" si="121"/>
        <v>-61737556.414174587</v>
      </c>
      <c r="V304" s="2">
        <f t="shared" si="121"/>
        <v>-67166755.362208009</v>
      </c>
      <c r="W304" s="2">
        <f t="shared" si="121"/>
        <v>-68577257.224814385</v>
      </c>
      <c r="X304" s="2">
        <f t="shared" si="121"/>
        <v>-70017379.626535475</v>
      </c>
      <c r="Y304" s="2">
        <f t="shared" si="121"/>
        <v>-71487744.598692715</v>
      </c>
      <c r="Z304" s="2">
        <f t="shared" si="121"/>
        <v>-72988987.235265255</v>
      </c>
      <c r="AA304" s="2">
        <f t="shared" si="121"/>
        <v>-74521755.967205808</v>
      </c>
      <c r="AB304" s="2">
        <f t="shared" si="122"/>
        <v>-2484058532.2401986</v>
      </c>
    </row>
    <row r="305" spans="1:28" x14ac:dyDescent="0.25">
      <c r="E305" t="s">
        <v>10</v>
      </c>
      <c r="F305" t="s">
        <v>7</v>
      </c>
      <c r="G305" s="2">
        <f t="shared" si="121"/>
        <v>0</v>
      </c>
      <c r="H305" s="2">
        <f t="shared" si="121"/>
        <v>-1316416.1399999999</v>
      </c>
      <c r="I305" s="2">
        <f t="shared" si="121"/>
        <v>-2625137.4726599995</v>
      </c>
      <c r="J305" s="2">
        <f t="shared" si="121"/>
        <v>-3947755.4467674694</v>
      </c>
      <c r="K305" s="2">
        <f t="shared" si="121"/>
        <v>-5217719.3497156659</v>
      </c>
      <c r="L305" s="2">
        <f t="shared" si="121"/>
        <v>-6433806.2617875105</v>
      </c>
      <c r="M305" s="2">
        <f t="shared" si="121"/>
        <v>-7596479.6757523762</v>
      </c>
      <c r="N305" s="2">
        <f t="shared" si="121"/>
        <v>-8706615.4451572187</v>
      </c>
      <c r="O305" s="2">
        <f t="shared" si="121"/>
        <v>-9765038.7344824001</v>
      </c>
      <c r="P305" s="2">
        <f t="shared" si="121"/>
        <v>-10855389.50884556</v>
      </c>
      <c r="Q305" s="2">
        <f t="shared" si="121"/>
        <v>-11975496.728324426</v>
      </c>
      <c r="R305" s="2">
        <f t="shared" si="121"/>
        <v>-13191333.620850248</v>
      </c>
      <c r="S305" s="2">
        <f t="shared" si="121"/>
        <v>-14512304.201063437</v>
      </c>
      <c r="T305" s="2">
        <f t="shared" si="121"/>
        <v>-15945266.840873884</v>
      </c>
      <c r="U305" s="2">
        <f t="shared" si="121"/>
        <v>-17424068.819615733</v>
      </c>
      <c r="V305" s="2">
        <f t="shared" si="121"/>
        <v>-18950319.277152479</v>
      </c>
      <c r="W305" s="2">
        <f t="shared" si="121"/>
        <v>-19348275.981972679</v>
      </c>
      <c r="X305" s="2">
        <f t="shared" si="121"/>
        <v>-19754589.777594104</v>
      </c>
      <c r="Y305" s="2">
        <f t="shared" si="121"/>
        <v>-20169436.162923578</v>
      </c>
      <c r="Z305" s="2">
        <f t="shared" si="121"/>
        <v>-20592994.322344974</v>
      </c>
      <c r="AA305" s="2">
        <f t="shared" si="121"/>
        <v>-21025447.203114215</v>
      </c>
      <c r="AB305" s="2">
        <f t="shared" si="122"/>
        <v>-700848240.10380852</v>
      </c>
    </row>
    <row r="306" spans="1:28" x14ac:dyDescent="0.25">
      <c r="E306" t="s">
        <v>48</v>
      </c>
      <c r="F306" t="s">
        <v>7</v>
      </c>
      <c r="G306" s="2">
        <f t="shared" si="121"/>
        <v>0</v>
      </c>
      <c r="H306" s="2">
        <f t="shared" si="121"/>
        <v>0</v>
      </c>
      <c r="I306" s="2">
        <f t="shared" si="121"/>
        <v>0</v>
      </c>
      <c r="J306" s="2">
        <f t="shared" si="121"/>
        <v>0</v>
      </c>
      <c r="K306" s="2">
        <f t="shared" si="121"/>
        <v>0</v>
      </c>
      <c r="L306" s="2">
        <f t="shared" si="121"/>
        <v>0</v>
      </c>
      <c r="M306" s="2">
        <f t="shared" si="121"/>
        <v>0</v>
      </c>
      <c r="N306" s="2">
        <f t="shared" si="121"/>
        <v>0</v>
      </c>
      <c r="O306" s="2">
        <f t="shared" si="121"/>
        <v>0</v>
      </c>
      <c r="P306" s="2">
        <f t="shared" si="121"/>
        <v>0</v>
      </c>
      <c r="Q306" s="2">
        <f t="shared" si="121"/>
        <v>0</v>
      </c>
      <c r="R306" s="2">
        <f t="shared" si="121"/>
        <v>0</v>
      </c>
      <c r="S306" s="2">
        <f t="shared" si="121"/>
        <v>0</v>
      </c>
      <c r="T306" s="2">
        <f t="shared" si="121"/>
        <v>0</v>
      </c>
      <c r="U306" s="2">
        <f t="shared" si="121"/>
        <v>0</v>
      </c>
      <c r="V306" s="2">
        <f t="shared" si="121"/>
        <v>0</v>
      </c>
      <c r="W306" s="2">
        <f t="shared" si="121"/>
        <v>0</v>
      </c>
      <c r="X306" s="2">
        <f t="shared" si="121"/>
        <v>0</v>
      </c>
      <c r="Y306" s="2">
        <f t="shared" si="121"/>
        <v>0</v>
      </c>
      <c r="Z306" s="2">
        <f t="shared" si="121"/>
        <v>0</v>
      </c>
      <c r="AA306" s="2">
        <f t="shared" si="121"/>
        <v>0</v>
      </c>
      <c r="AB306" s="2">
        <f t="shared" si="122"/>
        <v>0</v>
      </c>
    </row>
    <row r="307" spans="1:28" x14ac:dyDescent="0.25">
      <c r="E307" t="s">
        <v>49</v>
      </c>
      <c r="F307" t="s">
        <v>7</v>
      </c>
      <c r="G307" s="2">
        <f t="shared" si="121"/>
        <v>0</v>
      </c>
      <c r="H307" s="2">
        <f t="shared" si="121"/>
        <v>0</v>
      </c>
      <c r="I307" s="2">
        <f t="shared" si="121"/>
        <v>0</v>
      </c>
      <c r="J307" s="2">
        <f t="shared" si="121"/>
        <v>0</v>
      </c>
      <c r="K307" s="2">
        <f t="shared" si="121"/>
        <v>0</v>
      </c>
      <c r="L307" s="2">
        <f t="shared" si="121"/>
        <v>0</v>
      </c>
      <c r="M307" s="2">
        <f t="shared" si="121"/>
        <v>0</v>
      </c>
      <c r="N307" s="2">
        <f t="shared" si="121"/>
        <v>0</v>
      </c>
      <c r="O307" s="2">
        <f t="shared" si="121"/>
        <v>0</v>
      </c>
      <c r="P307" s="2">
        <f t="shared" si="121"/>
        <v>0</v>
      </c>
      <c r="Q307" s="2">
        <f t="shared" si="121"/>
        <v>0</v>
      </c>
      <c r="R307" s="2">
        <f t="shared" si="121"/>
        <v>0</v>
      </c>
      <c r="S307" s="2">
        <f t="shared" si="121"/>
        <v>0</v>
      </c>
      <c r="T307" s="2">
        <f t="shared" si="121"/>
        <v>0</v>
      </c>
      <c r="U307" s="2">
        <f t="shared" si="121"/>
        <v>0</v>
      </c>
      <c r="V307" s="2">
        <f t="shared" si="121"/>
        <v>0</v>
      </c>
      <c r="W307" s="2">
        <f t="shared" si="121"/>
        <v>0</v>
      </c>
      <c r="X307" s="2">
        <f t="shared" si="121"/>
        <v>0</v>
      </c>
      <c r="Y307" s="2">
        <f t="shared" si="121"/>
        <v>0</v>
      </c>
      <c r="Z307" s="2">
        <f t="shared" si="121"/>
        <v>0</v>
      </c>
      <c r="AA307" s="2">
        <f t="shared" si="121"/>
        <v>0</v>
      </c>
      <c r="AB307" s="2">
        <f t="shared" si="122"/>
        <v>0</v>
      </c>
    </row>
    <row r="308" spans="1:28" x14ac:dyDescent="0.25">
      <c r="E308" t="s">
        <v>20</v>
      </c>
      <c r="F308" t="s">
        <v>7</v>
      </c>
      <c r="G308" s="2" t="e">
        <f t="shared" ref="G308:AA308" ca="1" si="123">G297</f>
        <v>#REF!</v>
      </c>
      <c r="H308" s="2" t="e">
        <f t="shared" ca="1" si="123"/>
        <v>#REF!</v>
      </c>
      <c r="I308" s="2" t="e">
        <f t="shared" ca="1" si="123"/>
        <v>#REF!</v>
      </c>
      <c r="J308" s="2" t="e">
        <f t="shared" ca="1" si="123"/>
        <v>#REF!</v>
      </c>
      <c r="K308" s="2" t="e">
        <f t="shared" ca="1" si="123"/>
        <v>#REF!</v>
      </c>
      <c r="L308" s="2" t="e">
        <f t="shared" ca="1" si="123"/>
        <v>#REF!</v>
      </c>
      <c r="M308" s="2" t="e">
        <f t="shared" ca="1" si="123"/>
        <v>#REF!</v>
      </c>
      <c r="N308" s="2" t="e">
        <f t="shared" ca="1" si="123"/>
        <v>#REF!</v>
      </c>
      <c r="O308" s="2" t="e">
        <f t="shared" ca="1" si="123"/>
        <v>#REF!</v>
      </c>
      <c r="P308" s="2" t="e">
        <f t="shared" ca="1" si="123"/>
        <v>#REF!</v>
      </c>
      <c r="Q308" s="2" t="e">
        <f t="shared" ca="1" si="123"/>
        <v>#REF!</v>
      </c>
      <c r="R308" s="2" t="e">
        <f t="shared" ca="1" si="123"/>
        <v>#REF!</v>
      </c>
      <c r="S308" s="2" t="e">
        <f t="shared" ca="1" si="123"/>
        <v>#REF!</v>
      </c>
      <c r="T308" s="2" t="e">
        <f t="shared" ca="1" si="123"/>
        <v>#REF!</v>
      </c>
      <c r="U308" s="2" t="e">
        <f t="shared" ca="1" si="123"/>
        <v>#REF!</v>
      </c>
      <c r="V308" s="2" t="e">
        <f t="shared" ca="1" si="123"/>
        <v>#REF!</v>
      </c>
      <c r="W308" s="2" t="e">
        <f t="shared" ca="1" si="123"/>
        <v>#REF!</v>
      </c>
      <c r="X308" s="2" t="e">
        <f t="shared" ca="1" si="123"/>
        <v>#REF!</v>
      </c>
      <c r="Y308" s="2" t="e">
        <f t="shared" ca="1" si="123"/>
        <v>#REF!</v>
      </c>
      <c r="Z308" s="2" t="e">
        <f t="shared" ca="1" si="123"/>
        <v>#REF!</v>
      </c>
      <c r="AA308" s="2" t="e">
        <f t="shared" ca="1" si="123"/>
        <v>#REF!</v>
      </c>
      <c r="AB308" s="2" t="e">
        <f ca="1">IF(V308=0,0,IF($G$15&gt;(AA308/V308)^(1/5)-1+2%,AA308*(AA308/V308)^(1/5)/($G$15-((AA308/V308)^(1/5)-1)),AA308*(1+$G$14)/$G$16))</f>
        <v>#REF!</v>
      </c>
    </row>
    <row r="309" spans="1:28" x14ac:dyDescent="0.25">
      <c r="E309" t="s">
        <v>173</v>
      </c>
      <c r="F309" t="s">
        <v>7</v>
      </c>
      <c r="G309" s="2" t="e">
        <f ca="1">-$G$17*G308</f>
        <v>#REF!</v>
      </c>
      <c r="H309" s="2" t="e">
        <f t="shared" ref="H309:AA309" ca="1" si="124">-$G$17*H308</f>
        <v>#REF!</v>
      </c>
      <c r="I309" s="2" t="e">
        <f t="shared" ca="1" si="124"/>
        <v>#REF!</v>
      </c>
      <c r="J309" s="2" t="e">
        <f t="shared" ca="1" si="124"/>
        <v>#REF!</v>
      </c>
      <c r="K309" s="2" t="e">
        <f t="shared" ca="1" si="124"/>
        <v>#REF!</v>
      </c>
      <c r="L309" s="2" t="e">
        <f t="shared" ca="1" si="124"/>
        <v>#REF!</v>
      </c>
      <c r="M309" s="2" t="e">
        <f t="shared" ca="1" si="124"/>
        <v>#REF!</v>
      </c>
      <c r="N309" s="2" t="e">
        <f t="shared" ca="1" si="124"/>
        <v>#REF!</v>
      </c>
      <c r="O309" s="2" t="e">
        <f t="shared" ca="1" si="124"/>
        <v>#REF!</v>
      </c>
      <c r="P309" s="2" t="e">
        <f t="shared" ca="1" si="124"/>
        <v>#REF!</v>
      </c>
      <c r="Q309" s="2" t="e">
        <f t="shared" ca="1" si="124"/>
        <v>#REF!</v>
      </c>
      <c r="R309" s="2" t="e">
        <f t="shared" ca="1" si="124"/>
        <v>#REF!</v>
      </c>
      <c r="S309" s="2" t="e">
        <f t="shared" ca="1" si="124"/>
        <v>#REF!</v>
      </c>
      <c r="T309" s="2" t="e">
        <f t="shared" ca="1" si="124"/>
        <v>#REF!</v>
      </c>
      <c r="U309" s="2" t="e">
        <f t="shared" ca="1" si="124"/>
        <v>#REF!</v>
      </c>
      <c r="V309" s="2" t="e">
        <f t="shared" ca="1" si="124"/>
        <v>#REF!</v>
      </c>
      <c r="W309" s="2" t="e">
        <f t="shared" ca="1" si="124"/>
        <v>#REF!</v>
      </c>
      <c r="X309" s="2" t="e">
        <f t="shared" ca="1" si="124"/>
        <v>#REF!</v>
      </c>
      <c r="Y309" s="2" t="e">
        <f t="shared" ca="1" si="124"/>
        <v>#REF!</v>
      </c>
      <c r="Z309" s="2" t="e">
        <f t="shared" ca="1" si="124"/>
        <v>#REF!</v>
      </c>
      <c r="AA309" s="2" t="e">
        <f t="shared" ca="1" si="124"/>
        <v>#REF!</v>
      </c>
      <c r="AB309" s="2" t="e">
        <f t="shared" ref="AB309" ca="1" si="125">IF(V309=0,0,IF($G$15&gt;(AA309/V309)^(1/5)-1+2%,AA309*(AA309/V309)^(1/5)/($G$15-((AA309/V309)^(1/5)-1)),AA309*(1+$G$14)/$G$16))</f>
        <v>#REF!</v>
      </c>
    </row>
    <row r="310" spans="1:28" x14ac:dyDescent="0.25">
      <c r="E310" t="s">
        <v>23</v>
      </c>
      <c r="F310" t="s">
        <v>7</v>
      </c>
      <c r="G310" s="2" t="e">
        <f t="shared" ref="G310:AB310" ca="1" si="126">SUM(G300:G309)</f>
        <v>#REF!</v>
      </c>
      <c r="H310" s="2" t="e">
        <f t="shared" ca="1" si="126"/>
        <v>#REF!</v>
      </c>
      <c r="I310" s="2" t="e">
        <f t="shared" ca="1" si="126"/>
        <v>#REF!</v>
      </c>
      <c r="J310" s="2" t="e">
        <f t="shared" ca="1" si="126"/>
        <v>#REF!</v>
      </c>
      <c r="K310" s="2" t="e">
        <f t="shared" ca="1" si="126"/>
        <v>#REF!</v>
      </c>
      <c r="L310" s="2" t="e">
        <f t="shared" ca="1" si="126"/>
        <v>#REF!</v>
      </c>
      <c r="M310" s="2" t="e">
        <f t="shared" ca="1" si="126"/>
        <v>#REF!</v>
      </c>
      <c r="N310" s="2" t="e">
        <f t="shared" ca="1" si="126"/>
        <v>#REF!</v>
      </c>
      <c r="O310" s="2" t="e">
        <f t="shared" ca="1" si="126"/>
        <v>#REF!</v>
      </c>
      <c r="P310" s="2" t="e">
        <f t="shared" ca="1" si="126"/>
        <v>#REF!</v>
      </c>
      <c r="Q310" s="2" t="e">
        <f t="shared" ca="1" si="126"/>
        <v>#REF!</v>
      </c>
      <c r="R310" s="2" t="e">
        <f t="shared" ca="1" si="126"/>
        <v>#REF!</v>
      </c>
      <c r="S310" s="2" t="e">
        <f t="shared" ca="1" si="126"/>
        <v>#REF!</v>
      </c>
      <c r="T310" s="2" t="e">
        <f t="shared" ca="1" si="126"/>
        <v>#REF!</v>
      </c>
      <c r="U310" s="2" t="e">
        <f t="shared" ca="1" si="126"/>
        <v>#REF!</v>
      </c>
      <c r="V310" s="2" t="e">
        <f t="shared" ca="1" si="126"/>
        <v>#REF!</v>
      </c>
      <c r="W310" s="2" t="e">
        <f t="shared" ca="1" si="126"/>
        <v>#REF!</v>
      </c>
      <c r="X310" s="2" t="e">
        <f t="shared" ca="1" si="126"/>
        <v>#REF!</v>
      </c>
      <c r="Y310" s="2" t="e">
        <f t="shared" ca="1" si="126"/>
        <v>#REF!</v>
      </c>
      <c r="Z310" s="2" t="e">
        <f t="shared" ca="1" si="126"/>
        <v>#REF!</v>
      </c>
      <c r="AA310" s="2" t="e">
        <f t="shared" ca="1" si="126"/>
        <v>#REF!</v>
      </c>
      <c r="AB310" s="2" t="e">
        <f t="shared" ca="1" si="126"/>
        <v>#REF!</v>
      </c>
    </row>
    <row r="311" spans="1:28" x14ac:dyDescent="0.25">
      <c r="E311" t="s">
        <v>31</v>
      </c>
      <c r="F311" t="s">
        <v>7</v>
      </c>
      <c r="G311" s="2" t="e">
        <f ca="1">NPV($G$15,H310:AB310)+G310</f>
        <v>#REF!</v>
      </c>
    </row>
    <row r="313" spans="1:28" x14ac:dyDescent="0.25">
      <c r="E313" t="s">
        <v>13</v>
      </c>
      <c r="F313" t="s">
        <v>7</v>
      </c>
      <c r="G313" s="2" t="e">
        <f t="shared" ref="G313:AA313" ca="1" si="127">G285</f>
        <v>#REF!</v>
      </c>
      <c r="H313" s="2" t="e">
        <f t="shared" ca="1" si="127"/>
        <v>#REF!</v>
      </c>
      <c r="I313" s="2" t="e">
        <f t="shared" ca="1" si="127"/>
        <v>#REF!</v>
      </c>
      <c r="J313" s="2" t="e">
        <f t="shared" ca="1" si="127"/>
        <v>#REF!</v>
      </c>
      <c r="K313" s="2" t="e">
        <f t="shared" ca="1" si="127"/>
        <v>#REF!</v>
      </c>
      <c r="L313" s="2" t="e">
        <f t="shared" ca="1" si="127"/>
        <v>#REF!</v>
      </c>
      <c r="M313" s="2" t="e">
        <f t="shared" ca="1" si="127"/>
        <v>#REF!</v>
      </c>
      <c r="N313" s="2" t="e">
        <f t="shared" ca="1" si="127"/>
        <v>#REF!</v>
      </c>
      <c r="O313" s="2" t="e">
        <f t="shared" ca="1" si="127"/>
        <v>#REF!</v>
      </c>
      <c r="P313" s="2" t="e">
        <f t="shared" ca="1" si="127"/>
        <v>#REF!</v>
      </c>
      <c r="Q313" s="2" t="e">
        <f t="shared" ca="1" si="127"/>
        <v>#REF!</v>
      </c>
      <c r="R313" s="2" t="e">
        <f t="shared" ca="1" si="127"/>
        <v>#REF!</v>
      </c>
      <c r="S313" s="2" t="e">
        <f t="shared" ca="1" si="127"/>
        <v>#REF!</v>
      </c>
      <c r="T313" s="2" t="e">
        <f t="shared" ca="1" si="127"/>
        <v>#REF!</v>
      </c>
      <c r="U313" s="2" t="e">
        <f t="shared" ca="1" si="127"/>
        <v>#REF!</v>
      </c>
      <c r="V313" s="2" t="e">
        <f t="shared" ca="1" si="127"/>
        <v>#REF!</v>
      </c>
      <c r="W313" s="2" t="e">
        <f t="shared" ca="1" si="127"/>
        <v>#REF!</v>
      </c>
      <c r="X313" s="2" t="e">
        <f t="shared" ca="1" si="127"/>
        <v>#REF!</v>
      </c>
      <c r="Y313" s="2" t="e">
        <f t="shared" ca="1" si="127"/>
        <v>#REF!</v>
      </c>
      <c r="Z313" s="2" t="e">
        <f t="shared" ca="1" si="127"/>
        <v>#REF!</v>
      </c>
      <c r="AA313" s="2" t="e">
        <f t="shared" ca="1" si="127"/>
        <v>#REF!</v>
      </c>
    </row>
    <row r="314" spans="1:28" x14ac:dyDescent="0.25">
      <c r="E314" t="s">
        <v>24</v>
      </c>
      <c r="F314" t="s">
        <v>7</v>
      </c>
      <c r="G314" t="e">
        <f ca="1">NPV($G$15,H313:AA313)+G313</f>
        <v>#REF!</v>
      </c>
    </row>
    <row r="315" spans="1:28" x14ac:dyDescent="0.25">
      <c r="E315" s="3" t="s">
        <v>34</v>
      </c>
      <c r="F315" s="3"/>
      <c r="G315" s="4" t="e">
        <f ca="1">IF(G311&gt;0,"N/A",IF(ABS(G311+G314)&gt;1,"Error","OK"))</f>
        <v>#REF!</v>
      </c>
    </row>
    <row r="318" spans="1:28" x14ac:dyDescent="0.25">
      <c r="C318" s="1" t="s">
        <v>110</v>
      </c>
    </row>
    <row r="319" spans="1:28" x14ac:dyDescent="0.25">
      <c r="E319" t="s">
        <v>116</v>
      </c>
      <c r="F319" t="s">
        <v>117</v>
      </c>
    </row>
    <row r="320" spans="1:28" x14ac:dyDescent="0.25">
      <c r="A320" s="14">
        <f>'Notes &amp; Assumptions'!A68</f>
        <v>55</v>
      </c>
      <c r="E320" s="19" t="s">
        <v>111</v>
      </c>
      <c r="F320" s="19" t="s">
        <v>119</v>
      </c>
    </row>
    <row r="321" spans="5:6" customFormat="1" x14ac:dyDescent="0.25">
      <c r="E321" s="19" t="s">
        <v>112</v>
      </c>
      <c r="F321" s="19" t="s">
        <v>120</v>
      </c>
    </row>
    <row r="322" spans="5:6" customFormat="1" x14ac:dyDescent="0.25">
      <c r="E322" s="19" t="s">
        <v>113</v>
      </c>
      <c r="F322" s="19" t="s">
        <v>121</v>
      </c>
    </row>
  </sheetData>
  <mergeCells count="1">
    <mergeCell ref="G4:H4"/>
  </mergeCells>
  <dataValidations count="1">
    <dataValidation type="list" showInputMessage="1" showErrorMessage="1" sqref="G4" xr:uid="{E1BB41AB-C2BF-4463-AD67-DE22D0B5403E}">
      <formula1>$E$320:$E$322</formula1>
    </dataValidation>
  </dataValidation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2AAA72-8EAB-4E21-9021-B41B8F46AA34}">
  <dimension ref="A2:AC322"/>
  <sheetViews>
    <sheetView topLeftCell="A292" workbookViewId="0">
      <selection activeCell="G312" sqref="G312"/>
    </sheetView>
  </sheetViews>
  <sheetFormatPr defaultColWidth="11" defaultRowHeight="15.75" x14ac:dyDescent="0.25"/>
  <cols>
    <col min="1" max="1" width="7.625" style="14" customWidth="1"/>
    <col min="2" max="2" width="3.125" customWidth="1"/>
    <col min="3" max="3" width="3.375" customWidth="1"/>
    <col min="4" max="4" width="2.875" customWidth="1"/>
    <col min="5" max="5" width="36.5" bestFit="1" customWidth="1"/>
    <col min="6" max="6" width="17.5" customWidth="1"/>
    <col min="7" max="27" width="15.625" customWidth="1"/>
    <col min="28" max="28" width="11.125" customWidth="1"/>
  </cols>
  <sheetData>
    <row r="2" spans="1:27" x14ac:dyDescent="0.25">
      <c r="C2" s="1" t="s">
        <v>0</v>
      </c>
      <c r="D2" s="1"/>
      <c r="G2">
        <v>0</v>
      </c>
      <c r="H2">
        <v>1</v>
      </c>
      <c r="I2">
        <v>2</v>
      </c>
      <c r="J2">
        <v>3</v>
      </c>
      <c r="K2">
        <v>4</v>
      </c>
      <c r="L2">
        <v>5</v>
      </c>
      <c r="M2">
        <v>6</v>
      </c>
      <c r="N2">
        <v>7</v>
      </c>
      <c r="O2">
        <v>8</v>
      </c>
      <c r="P2">
        <v>9</v>
      </c>
      <c r="Q2">
        <v>10</v>
      </c>
      <c r="R2">
        <v>11</v>
      </c>
      <c r="S2">
        <v>12</v>
      </c>
      <c r="T2">
        <v>13</v>
      </c>
      <c r="U2">
        <v>14</v>
      </c>
      <c r="V2">
        <v>15</v>
      </c>
      <c r="W2">
        <v>16</v>
      </c>
      <c r="X2">
        <v>17</v>
      </c>
      <c r="Y2">
        <v>18</v>
      </c>
      <c r="Z2">
        <v>19</v>
      </c>
      <c r="AA2">
        <v>20</v>
      </c>
    </row>
    <row r="4" spans="1:27" x14ac:dyDescent="0.25">
      <c r="A4" s="14">
        <f>'Notes &amp; Assumptions'!A14</f>
        <v>1</v>
      </c>
      <c r="C4" s="1" t="s">
        <v>114</v>
      </c>
      <c r="F4" t="s">
        <v>115</v>
      </c>
      <c r="G4" s="368" t="s">
        <v>112</v>
      </c>
      <c r="H4" s="368"/>
    </row>
    <row r="6" spans="1:27" x14ac:dyDescent="0.25">
      <c r="C6" s="1" t="s">
        <v>126</v>
      </c>
    </row>
    <row r="7" spans="1:27" x14ac:dyDescent="0.25">
      <c r="A7" s="14">
        <f>'Notes &amp; Assumptions'!A15</f>
        <v>2</v>
      </c>
      <c r="E7" s="10" t="s">
        <v>128</v>
      </c>
      <c r="F7" t="s">
        <v>145</v>
      </c>
      <c r="G7" s="10">
        <v>90</v>
      </c>
    </row>
    <row r="8" spans="1:27" x14ac:dyDescent="0.25">
      <c r="A8" s="14">
        <f>'Notes &amp; Assumptions'!A16</f>
        <v>3</v>
      </c>
      <c r="E8" s="10" t="s">
        <v>129</v>
      </c>
      <c r="F8" t="s">
        <v>145</v>
      </c>
      <c r="G8" s="10">
        <v>25</v>
      </c>
    </row>
    <row r="9" spans="1:27" x14ac:dyDescent="0.25">
      <c r="A9" s="14">
        <f>'Notes &amp; Assumptions'!A17</f>
        <v>4</v>
      </c>
      <c r="E9" s="10" t="s">
        <v>130</v>
      </c>
      <c r="F9" t="s">
        <v>145</v>
      </c>
      <c r="G9" s="10">
        <v>30</v>
      </c>
    </row>
    <row r="10" spans="1:27" x14ac:dyDescent="0.25">
      <c r="A10" s="14">
        <f>'Notes &amp; Assumptions'!A18</f>
        <v>5</v>
      </c>
      <c r="E10" t="s">
        <v>127</v>
      </c>
      <c r="F10" t="s">
        <v>145</v>
      </c>
      <c r="G10" s="10">
        <v>5</v>
      </c>
    </row>
    <row r="13" spans="1:27" x14ac:dyDescent="0.25">
      <c r="C13" s="1" t="s">
        <v>92</v>
      </c>
    </row>
    <row r="14" spans="1:27" x14ac:dyDescent="0.25">
      <c r="A14" s="14">
        <f>'Notes &amp; Assumptions'!A19</f>
        <v>6</v>
      </c>
      <c r="E14" t="s">
        <v>5</v>
      </c>
      <c r="F14" t="s">
        <v>8</v>
      </c>
      <c r="G14" s="17">
        <f>'20 New UGB Water'!G14</f>
        <v>2.1000000000000001E-2</v>
      </c>
    </row>
    <row r="15" spans="1:27" x14ac:dyDescent="0.25">
      <c r="A15" s="14">
        <f>'Notes &amp; Assumptions'!A20</f>
        <v>7</v>
      </c>
      <c r="E15" t="s">
        <v>32</v>
      </c>
      <c r="F15" t="s">
        <v>8</v>
      </c>
      <c r="G15" s="17">
        <f>'20 New UGB Water'!G15</f>
        <v>5.1629999999999843E-2</v>
      </c>
    </row>
    <row r="16" spans="1:27" x14ac:dyDescent="0.25">
      <c r="E16" t="s">
        <v>30</v>
      </c>
      <c r="F16" t="s">
        <v>8</v>
      </c>
      <c r="G16" s="18">
        <f>(1+G15)/(1+G14)-1</f>
        <v>3.0000000000000027E-2</v>
      </c>
    </row>
    <row r="17" spans="1:27" x14ac:dyDescent="0.25">
      <c r="E17" t="s">
        <v>171</v>
      </c>
      <c r="F17" t="s">
        <v>8</v>
      </c>
      <c r="G17" s="11">
        <v>0.5</v>
      </c>
    </row>
    <row r="18" spans="1:27" x14ac:dyDescent="0.25">
      <c r="A18" s="14">
        <f>'Notes &amp; Assumptions'!A22</f>
        <v>9</v>
      </c>
      <c r="E18" t="s">
        <v>16</v>
      </c>
      <c r="F18" t="s">
        <v>8</v>
      </c>
      <c r="G18" s="11">
        <v>0.3</v>
      </c>
      <c r="H18" s="11">
        <v>0.3</v>
      </c>
      <c r="I18" s="11">
        <v>0.3</v>
      </c>
      <c r="J18" s="11">
        <v>0.3</v>
      </c>
      <c r="K18" s="11">
        <v>0.3</v>
      </c>
      <c r="L18" s="11">
        <v>0.3</v>
      </c>
      <c r="M18" s="11">
        <v>0.3</v>
      </c>
      <c r="N18" s="11">
        <v>0.3</v>
      </c>
      <c r="O18" s="11">
        <v>0.3</v>
      </c>
      <c r="P18" s="11">
        <v>0.3</v>
      </c>
      <c r="Q18" s="11">
        <v>0.3</v>
      </c>
      <c r="R18" s="11">
        <v>0.3</v>
      </c>
      <c r="S18" s="11">
        <v>0.3</v>
      </c>
      <c r="T18" s="11">
        <v>0.3</v>
      </c>
      <c r="U18" s="11">
        <v>0.3</v>
      </c>
      <c r="V18" s="11">
        <v>0.3</v>
      </c>
      <c r="W18" s="11">
        <v>0.3</v>
      </c>
      <c r="X18" s="11">
        <v>0.3</v>
      </c>
      <c r="Y18" s="11">
        <v>0.3</v>
      </c>
      <c r="Z18" s="11">
        <v>0.3</v>
      </c>
      <c r="AA18" s="11">
        <v>0.3</v>
      </c>
    </row>
    <row r="20" spans="1:27" x14ac:dyDescent="0.25">
      <c r="A20" s="14">
        <f>'Notes &amp; Assumptions'!A23</f>
        <v>10</v>
      </c>
      <c r="C20" s="1" t="s">
        <v>1</v>
      </c>
      <c r="D20" s="1"/>
      <c r="G20" s="51"/>
    </row>
    <row r="21" spans="1:27" x14ac:dyDescent="0.25">
      <c r="E21" s="2" t="str">
        <f>E7</f>
        <v>Pipes</v>
      </c>
      <c r="F21" t="s">
        <v>7</v>
      </c>
      <c r="G21" s="43">
        <f>'Net infill sewerage capex 13-14'!W33*10^6+'20 Epping North Sewer'!G21+'20 Greenvale Sewer'!G21</f>
        <v>278373482.33746105</v>
      </c>
      <c r="H21" s="10">
        <f>'Forecast capex'!J89*1000*(1+$G$14)^H2+SUM('Community Sewerage'!I3)*1000000*(1+$G$14)^H2+'Renewal capex'!H58+'20 Epping North Sewer'!G21+'20 Greenvale Sewer'!H21</f>
        <v>171657545.33356231</v>
      </c>
      <c r="I21" s="10">
        <f>'Forecast capex'!K89*1000*(1+$G$14)^I2+SUM('Community Sewerage'!J3)*1000000*(1+$G$14)^I2+'Renewal capex'!I58+'20 Epping North Sewer'!H21+'20 Greenvale Sewer'!I21</f>
        <v>49231764.595975578</v>
      </c>
      <c r="J21" s="10">
        <f>'Forecast capex'!L89*1000*(1+$G$14)^J2+SUM('Community Sewerage'!K3)*1000000*(1+$G$14)^J2+'Renewal capex'!J58+'20 Epping North Sewer'!I21+'20 Greenvale Sewer'!J21</f>
        <v>39210916.101468235</v>
      </c>
      <c r="K21" s="10">
        <f>'Forecast capex'!M89*1000*(1+$G$14)^K2+SUM('Community Sewerage'!L3)*1000000*(1+$G$14)^K2+'Renewal capex'!K58+'20 Epping North Sewer'!J21+'20 Greenvale Sewer'!K21</f>
        <v>38932954.084243372</v>
      </c>
      <c r="L21" s="10">
        <f>'Forecast capex'!N89*1000*(1+$G$14)^L2+SUM('Community Sewerage'!M3)*1000000*(1+$G$14)^L2+'Renewal capex'!L58+'20 Epping North Sewer'!K21+'20 Greenvale Sewer'!L21</f>
        <v>38872005.189128622</v>
      </c>
      <c r="M21" s="10">
        <f>'Forecast capex'!O89*1000*(1+$G$14)^M2+SUM('Community Sewerage'!N3)*1000000*(1+$G$14)^M2+'Renewal capex'!M58+'20 Epping North Sewer'!L21+'20 Greenvale Sewer'!M21</f>
        <v>38509735.998292193</v>
      </c>
      <c r="N21" s="10">
        <f>'Forecast capex'!P89*1000*(1+$G$14)^N2+SUM('Community Sewerage'!O3)*1000000*(1+$G$14)^N2+'Renewal capex'!N58+'20 Epping North Sewer'!M21+'20 Greenvale Sewer'!N21</f>
        <v>38565891.893987045</v>
      </c>
      <c r="O21" s="10">
        <f>'Forecast capex'!Q89*1000*(1+$G$14)^O2+SUM('Community Sewerage'!P3)*1000000*(1+$G$14)^O2+'Renewal capex'!O58+'20 Epping North Sewer'!N21+'20 Greenvale Sewer'!O21</f>
        <v>39175015.157698087</v>
      </c>
      <c r="P21" s="10">
        <f>'Forecast capex'!R89*1000*(1+$G$14)^P2+SUM('Community Sewerage'!Q3)*1000000*(1+$G$14)^P2+'Renewal capex'!P58+'20 Epping North Sewer'!O21+'20 Greenvale Sewer'!P21</f>
        <v>39500772.279603362</v>
      </c>
      <c r="Q21" s="10">
        <f>'Forecast capex'!S89*1000*(1+$G$14)^Q2+SUM('Community Sewerage'!R3)*1000000*(1+$G$14)^Q2+'Renewal capex'!Q58+'20 Epping North Sewer'!P21+'20 Greenvale Sewer'!Q21</f>
        <v>40468873.832513496</v>
      </c>
      <c r="R21" s="10">
        <f>'Forecast capex'!T89*1000*(1+$G$14)^R2+SUM('Community Sewerage'!S3)*1000000*(1+$G$14)^R2+'Renewal capex'!R58+'20 Epping North Sewer'!Q21+'20 Greenvale Sewer'!R21</f>
        <v>41484696.859103203</v>
      </c>
      <c r="S21" s="10">
        <f>SUM('Community Sewerage'!T3)*1000000*(1+$G$14)^S2+'Renewal capex'!S58+'20 Epping North Sewer'!R21+'20 Greenvale Sewer'!S21</f>
        <v>42371020.957361422</v>
      </c>
      <c r="T21" s="10">
        <f>('[11]Capex Profile'!Z$146)*(1+$G$14)^T2+SUM('Community Sewerage'!U3)*1000000*(1+$G$14)^T2+'Renewal capex'!T58+'20 Epping North Sewer'!S21+'20 Greenvale Sewer'!T21</f>
        <v>43179185.047618181</v>
      </c>
      <c r="U21" s="10">
        <f>('[11]Capex Profile'!AA$146)*(1+$G$14)^U2+SUM('Community Sewerage'!V3)*1000000*(1+$G$14)^U2+'Renewal capex'!U58+'20 Epping North Sewer'!T21+'20 Greenvale Sewer'!U21</f>
        <v>44025285.369058631</v>
      </c>
      <c r="V21" s="10">
        <f>('[11]Capex Profile'!AB$146)*(1+$G$14)^V2+SUM('Community Sewerage'!W3)*1000000*(1+$G$14)^V2+'Renewal capex'!V58+'20 Epping North Sewer'!U21+'20 Greenvale Sewer'!V21</f>
        <v>45004305.786332041</v>
      </c>
      <c r="W21" s="10">
        <f>('[11]Capex Profile'!AC$146)*(1+$G$14)^W2+SUM('Community Sewerage'!X3)*1000000*(1+$G$14)^W2+'Renewal capex'!W58+'20 Epping North Sewer'!V21+'20 Greenvale Sewer'!W21</f>
        <v>12269067.711646918</v>
      </c>
      <c r="X21" s="10">
        <f>('[11]Capex Profile'!AD$146)*(1+$G$14)^X2+SUM('Community Sewerage'!Y3)*1000000*(1+$G$14)^X2+'Renewal capex'!X58+'20 Epping North Sewer'!W21+'20 Greenvale Sewer'!X21</f>
        <v>12515869.266792528</v>
      </c>
      <c r="Y21" s="10">
        <f>('[11]Capex Profile'!AE$146)*(1+$G$14)^Y2+SUM('Community Sewerage'!Z3)*1000000*(1+$G$14)^Y2+'Renewal capex'!Y58+'20 Epping North Sewer'!X21+'20 Greenvale Sewer'!Y21</f>
        <v>12761979.123842647</v>
      </c>
      <c r="Z21" s="10">
        <f>('[11]Capex Profile'!AF$146)*(1+$G$14)^Z2+SUM('Community Sewerage'!AA3)*1000000*(1+$G$14)^Z2+'Renewal capex'!Z58+'20 Epping North Sewer'!Y21+'20 Greenvale Sewer'!Z21</f>
        <v>13027984.722761476</v>
      </c>
      <c r="AA21" s="10">
        <f>('[11]Capex Profile'!AG$146)*(1+$G$14)^AA2+SUM('Community Sewerage'!AB3)*1000000*(1+$G$14)^AA2+'Renewal capex'!AA58+'20 Epping North Sewer'!Z21+'20 Greenvale Sewer'!AA21</f>
        <v>13312870.697448894</v>
      </c>
    </row>
    <row r="22" spans="1:27" x14ac:dyDescent="0.25">
      <c r="E22" s="2" t="str">
        <f>E8</f>
        <v>Pumps</v>
      </c>
      <c r="F22" t="s">
        <v>7</v>
      </c>
      <c r="G22" s="10"/>
      <c r="H22" s="10"/>
      <c r="I22" s="10"/>
      <c r="J22" s="10"/>
      <c r="K22" s="10"/>
      <c r="L22" s="10"/>
      <c r="M22" s="10"/>
      <c r="N22" s="10"/>
      <c r="O22" s="10"/>
      <c r="P22" s="10"/>
      <c r="Q22" s="10"/>
      <c r="R22" s="10"/>
      <c r="S22" s="10"/>
      <c r="T22" s="10"/>
      <c r="U22" s="10"/>
      <c r="V22" s="10"/>
      <c r="W22" s="10"/>
      <c r="X22" s="10"/>
      <c r="Y22" s="10"/>
      <c r="Z22" s="10"/>
      <c r="AA22" s="10"/>
    </row>
    <row r="23" spans="1:27" x14ac:dyDescent="0.25">
      <c r="E23" s="2" t="str">
        <f>E9</f>
        <v>Valves and Meters</v>
      </c>
      <c r="F23" t="s">
        <v>7</v>
      </c>
      <c r="G23" s="10"/>
      <c r="H23" s="10"/>
      <c r="I23" s="10"/>
      <c r="J23" s="10"/>
      <c r="K23" s="10"/>
      <c r="L23" s="10"/>
      <c r="M23" s="10"/>
      <c r="N23" s="10"/>
      <c r="O23" s="10"/>
      <c r="P23" s="10"/>
      <c r="Q23" s="10"/>
      <c r="R23" s="10"/>
      <c r="S23" s="10"/>
      <c r="T23" s="10"/>
      <c r="U23" s="10"/>
      <c r="V23" s="10"/>
      <c r="W23" s="10"/>
      <c r="X23" s="10"/>
      <c r="Y23" s="10"/>
      <c r="Z23" s="10"/>
      <c r="AA23" s="10"/>
    </row>
    <row r="24" spans="1:27" x14ac:dyDescent="0.25">
      <c r="E24" t="s">
        <v>127</v>
      </c>
      <c r="F24" t="s">
        <v>7</v>
      </c>
      <c r="G24" s="10"/>
      <c r="H24" s="10"/>
      <c r="I24" s="10"/>
      <c r="J24" s="10"/>
      <c r="K24" s="10"/>
      <c r="L24" s="10"/>
      <c r="M24" s="10"/>
      <c r="N24" s="10"/>
      <c r="O24" s="10"/>
      <c r="P24" s="10"/>
      <c r="Q24" s="10"/>
      <c r="R24" s="10"/>
      <c r="S24" s="10"/>
      <c r="T24" s="10"/>
      <c r="U24" s="10"/>
      <c r="V24" s="10"/>
      <c r="W24" s="10"/>
      <c r="X24" s="10"/>
      <c r="Y24" s="10"/>
      <c r="Z24" s="10"/>
      <c r="AA24" s="10"/>
    </row>
    <row r="25" spans="1:27" x14ac:dyDescent="0.25">
      <c r="E25" t="s">
        <v>131</v>
      </c>
      <c r="F25" t="s">
        <v>7</v>
      </c>
      <c r="G25" s="10"/>
      <c r="H25" s="10"/>
      <c r="I25" s="10"/>
      <c r="J25" s="10"/>
      <c r="K25" s="10"/>
      <c r="L25" s="10"/>
      <c r="M25" s="10"/>
      <c r="N25" s="10"/>
      <c r="O25" s="10"/>
      <c r="P25" s="10"/>
      <c r="Q25" s="10"/>
      <c r="R25" s="10"/>
      <c r="S25" s="10"/>
      <c r="T25" s="10"/>
      <c r="U25" s="10"/>
      <c r="V25" s="10"/>
      <c r="W25" s="10"/>
      <c r="X25" s="10"/>
      <c r="Y25" s="10"/>
      <c r="Z25" s="10"/>
      <c r="AA25" s="10"/>
    </row>
    <row r="26" spans="1:27" x14ac:dyDescent="0.25">
      <c r="G26" s="2">
        <f>SUM(G21:G25)</f>
        <v>278373482.33746105</v>
      </c>
      <c r="H26" s="2">
        <f t="shared" ref="H26:AA26" si="0">SUM(H21:H25)</f>
        <v>171657545.33356231</v>
      </c>
      <c r="I26" s="2">
        <f t="shared" si="0"/>
        <v>49231764.595975578</v>
      </c>
      <c r="J26" s="2">
        <f t="shared" si="0"/>
        <v>39210916.101468235</v>
      </c>
      <c r="K26" s="2">
        <f t="shared" si="0"/>
        <v>38932954.084243372</v>
      </c>
      <c r="L26" s="2">
        <f t="shared" si="0"/>
        <v>38872005.189128622</v>
      </c>
      <c r="M26" s="2">
        <f t="shared" si="0"/>
        <v>38509735.998292193</v>
      </c>
      <c r="N26" s="2">
        <f t="shared" si="0"/>
        <v>38565891.893987045</v>
      </c>
      <c r="O26" s="2">
        <f t="shared" si="0"/>
        <v>39175015.157698087</v>
      </c>
      <c r="P26" s="2">
        <f t="shared" si="0"/>
        <v>39500772.279603362</v>
      </c>
      <c r="Q26" s="2">
        <f t="shared" si="0"/>
        <v>40468873.832513496</v>
      </c>
      <c r="R26" s="2">
        <f t="shared" si="0"/>
        <v>41484696.859103203</v>
      </c>
      <c r="S26" s="2">
        <f t="shared" si="0"/>
        <v>42371020.957361422</v>
      </c>
      <c r="T26" s="2">
        <f t="shared" si="0"/>
        <v>43179185.047618181</v>
      </c>
      <c r="U26" s="2">
        <f t="shared" si="0"/>
        <v>44025285.369058631</v>
      </c>
      <c r="V26" s="2">
        <f t="shared" si="0"/>
        <v>45004305.786332041</v>
      </c>
      <c r="W26" s="2">
        <f t="shared" si="0"/>
        <v>12269067.711646918</v>
      </c>
      <c r="X26" s="2">
        <f t="shared" si="0"/>
        <v>12515869.266792528</v>
      </c>
      <c r="Y26" s="2">
        <f t="shared" si="0"/>
        <v>12761979.123842647</v>
      </c>
      <c r="Z26" s="2">
        <f t="shared" si="0"/>
        <v>13027984.722761476</v>
      </c>
      <c r="AA26" s="2">
        <f t="shared" si="0"/>
        <v>13312870.697448894</v>
      </c>
    </row>
    <row r="27" spans="1:27" x14ac:dyDescent="0.25">
      <c r="G27" s="2"/>
      <c r="H27" s="2"/>
      <c r="I27" s="2"/>
      <c r="J27" s="2"/>
      <c r="K27" s="2"/>
      <c r="L27" s="2"/>
      <c r="M27" s="2"/>
      <c r="N27" s="2"/>
      <c r="O27" s="2"/>
      <c r="P27" s="2"/>
      <c r="Q27" s="2"/>
    </row>
    <row r="28" spans="1:27" x14ac:dyDescent="0.25">
      <c r="D28" t="s">
        <v>132</v>
      </c>
      <c r="G28" s="2"/>
      <c r="H28" s="2"/>
      <c r="I28" s="2"/>
      <c r="J28" s="2"/>
      <c r="K28" s="2"/>
      <c r="L28" s="2"/>
      <c r="M28" s="2"/>
      <c r="N28" s="2"/>
      <c r="O28" s="2"/>
      <c r="P28" s="2"/>
      <c r="Q28" s="2"/>
    </row>
    <row r="29" spans="1:27" x14ac:dyDescent="0.25">
      <c r="E29" s="2" t="str">
        <f>E21</f>
        <v>Pipes</v>
      </c>
      <c r="F29" t="s">
        <v>7</v>
      </c>
      <c r="G29" s="2">
        <f t="shared" ref="G29:AA32" si="1">G21/$G7+IF((G$2-$G7+1)&gt;0,-INDEX($G21:$AA21,1,(G$2-$G7+1))/$G7,0)</f>
        <v>3093038.6926384564</v>
      </c>
      <c r="H29" s="2">
        <f t="shared" si="1"/>
        <v>1907306.0592618035</v>
      </c>
      <c r="I29" s="2">
        <f t="shared" si="1"/>
        <v>547019.60662195086</v>
      </c>
      <c r="J29" s="2">
        <f t="shared" si="1"/>
        <v>435676.84557186929</v>
      </c>
      <c r="K29" s="2">
        <f t="shared" si="1"/>
        <v>432588.37871381524</v>
      </c>
      <c r="L29" s="2">
        <f t="shared" si="1"/>
        <v>431911.16876809578</v>
      </c>
      <c r="M29" s="2">
        <f t="shared" si="1"/>
        <v>427885.95553657995</v>
      </c>
      <c r="N29" s="2">
        <f t="shared" si="1"/>
        <v>428509.9099331894</v>
      </c>
      <c r="O29" s="2">
        <f t="shared" si="1"/>
        <v>435277.94619664544</v>
      </c>
      <c r="P29" s="2">
        <f t="shared" si="1"/>
        <v>438897.46977337071</v>
      </c>
      <c r="Q29" s="2">
        <f t="shared" si="1"/>
        <v>449654.1536945944</v>
      </c>
      <c r="R29" s="2">
        <f t="shared" si="1"/>
        <v>460941.07621225779</v>
      </c>
      <c r="S29" s="2">
        <f t="shared" si="1"/>
        <v>470789.12174846022</v>
      </c>
      <c r="T29" s="2">
        <f t="shared" si="1"/>
        <v>479768.72275131312</v>
      </c>
      <c r="U29" s="2">
        <f t="shared" si="1"/>
        <v>489169.83743398479</v>
      </c>
      <c r="V29" s="2">
        <f t="shared" si="1"/>
        <v>500047.84207035601</v>
      </c>
      <c r="W29" s="2">
        <f t="shared" si="1"/>
        <v>136322.97457385465</v>
      </c>
      <c r="X29" s="2">
        <f t="shared" si="1"/>
        <v>139065.21407547253</v>
      </c>
      <c r="Y29" s="2">
        <f t="shared" si="1"/>
        <v>141799.76804269609</v>
      </c>
      <c r="Z29" s="2">
        <f t="shared" si="1"/>
        <v>144755.38580846085</v>
      </c>
      <c r="AA29" s="2">
        <f t="shared" si="1"/>
        <v>147920.78552720993</v>
      </c>
    </row>
    <row r="30" spans="1:27" x14ac:dyDescent="0.25">
      <c r="E30" s="2" t="str">
        <f t="shared" ref="E30:E32" si="2">E22</f>
        <v>Pumps</v>
      </c>
      <c r="F30" t="s">
        <v>7</v>
      </c>
      <c r="G30" s="2">
        <f t="shared" si="1"/>
        <v>0</v>
      </c>
      <c r="H30" s="2">
        <f t="shared" si="1"/>
        <v>0</v>
      </c>
      <c r="I30" s="2">
        <f t="shared" si="1"/>
        <v>0</v>
      </c>
      <c r="J30" s="2">
        <f t="shared" si="1"/>
        <v>0</v>
      </c>
      <c r="K30" s="2">
        <f t="shared" si="1"/>
        <v>0</v>
      </c>
      <c r="L30" s="2">
        <f t="shared" si="1"/>
        <v>0</v>
      </c>
      <c r="M30" s="2">
        <f t="shared" si="1"/>
        <v>0</v>
      </c>
      <c r="N30" s="2">
        <f t="shared" si="1"/>
        <v>0</v>
      </c>
      <c r="O30" s="2">
        <f t="shared" si="1"/>
        <v>0</v>
      </c>
      <c r="P30" s="2">
        <f t="shared" si="1"/>
        <v>0</v>
      </c>
      <c r="Q30" s="2">
        <f t="shared" si="1"/>
        <v>0</v>
      </c>
      <c r="R30" s="2">
        <f t="shared" si="1"/>
        <v>0</v>
      </c>
      <c r="S30" s="2">
        <f t="shared" si="1"/>
        <v>0</v>
      </c>
      <c r="T30" s="2">
        <f t="shared" si="1"/>
        <v>0</v>
      </c>
      <c r="U30" s="2">
        <f t="shared" si="1"/>
        <v>0</v>
      </c>
      <c r="V30" s="2">
        <f t="shared" si="1"/>
        <v>0</v>
      </c>
      <c r="W30" s="2">
        <f t="shared" si="1"/>
        <v>0</v>
      </c>
      <c r="X30" s="2">
        <f t="shared" si="1"/>
        <v>0</v>
      </c>
      <c r="Y30" s="2">
        <f t="shared" si="1"/>
        <v>0</v>
      </c>
      <c r="Z30" s="2">
        <f t="shared" si="1"/>
        <v>0</v>
      </c>
      <c r="AA30" s="2">
        <f t="shared" si="1"/>
        <v>0</v>
      </c>
    </row>
    <row r="31" spans="1:27" x14ac:dyDescent="0.25">
      <c r="E31" s="2" t="str">
        <f t="shared" si="2"/>
        <v>Valves and Meters</v>
      </c>
      <c r="F31" t="s">
        <v>7</v>
      </c>
      <c r="G31" s="2">
        <f t="shared" si="1"/>
        <v>0</v>
      </c>
      <c r="H31" s="2">
        <f t="shared" si="1"/>
        <v>0</v>
      </c>
      <c r="I31" s="2">
        <f t="shared" si="1"/>
        <v>0</v>
      </c>
      <c r="J31" s="2">
        <f t="shared" si="1"/>
        <v>0</v>
      </c>
      <c r="K31" s="2">
        <f t="shared" si="1"/>
        <v>0</v>
      </c>
      <c r="L31" s="2">
        <f t="shared" si="1"/>
        <v>0</v>
      </c>
      <c r="M31" s="2">
        <f t="shared" si="1"/>
        <v>0</v>
      </c>
      <c r="N31" s="2">
        <f t="shared" si="1"/>
        <v>0</v>
      </c>
      <c r="O31" s="2">
        <f t="shared" si="1"/>
        <v>0</v>
      </c>
      <c r="P31" s="2">
        <f t="shared" si="1"/>
        <v>0</v>
      </c>
      <c r="Q31" s="2">
        <f t="shared" si="1"/>
        <v>0</v>
      </c>
      <c r="R31" s="2">
        <f t="shared" si="1"/>
        <v>0</v>
      </c>
      <c r="S31" s="2">
        <f t="shared" si="1"/>
        <v>0</v>
      </c>
      <c r="T31" s="2">
        <f t="shared" si="1"/>
        <v>0</v>
      </c>
      <c r="U31" s="2">
        <f t="shared" si="1"/>
        <v>0</v>
      </c>
      <c r="V31" s="2">
        <f t="shared" si="1"/>
        <v>0</v>
      </c>
      <c r="W31" s="2">
        <f t="shared" si="1"/>
        <v>0</v>
      </c>
      <c r="X31" s="2">
        <f t="shared" si="1"/>
        <v>0</v>
      </c>
      <c r="Y31" s="2">
        <f t="shared" si="1"/>
        <v>0</v>
      </c>
      <c r="Z31" s="2">
        <f t="shared" si="1"/>
        <v>0</v>
      </c>
      <c r="AA31" s="2">
        <f t="shared" si="1"/>
        <v>0</v>
      </c>
    </row>
    <row r="32" spans="1:27" x14ac:dyDescent="0.25">
      <c r="E32" s="2" t="str">
        <f t="shared" si="2"/>
        <v>Temporary Assets</v>
      </c>
      <c r="F32" t="s">
        <v>7</v>
      </c>
      <c r="G32" s="2">
        <f t="shared" si="1"/>
        <v>0</v>
      </c>
      <c r="H32" s="2">
        <f t="shared" si="1"/>
        <v>0</v>
      </c>
      <c r="I32" s="2">
        <f t="shared" si="1"/>
        <v>0</v>
      </c>
      <c r="J32" s="2">
        <f t="shared" si="1"/>
        <v>0</v>
      </c>
      <c r="K32" s="2">
        <f t="shared" si="1"/>
        <v>0</v>
      </c>
      <c r="L32" s="2">
        <f t="shared" si="1"/>
        <v>0</v>
      </c>
      <c r="M32" s="2">
        <f t="shared" si="1"/>
        <v>0</v>
      </c>
      <c r="N32" s="2">
        <f t="shared" si="1"/>
        <v>0</v>
      </c>
      <c r="O32" s="2">
        <f t="shared" si="1"/>
        <v>0</v>
      </c>
      <c r="P32" s="2">
        <f t="shared" si="1"/>
        <v>0</v>
      </c>
      <c r="Q32" s="2">
        <f t="shared" si="1"/>
        <v>0</v>
      </c>
      <c r="R32" s="2">
        <f t="shared" si="1"/>
        <v>0</v>
      </c>
      <c r="S32" s="2">
        <f t="shared" si="1"/>
        <v>0</v>
      </c>
      <c r="T32" s="2">
        <f t="shared" si="1"/>
        <v>0</v>
      </c>
      <c r="U32" s="2">
        <f t="shared" si="1"/>
        <v>0</v>
      </c>
      <c r="V32" s="2">
        <f t="shared" si="1"/>
        <v>0</v>
      </c>
      <c r="W32" s="2">
        <f t="shared" si="1"/>
        <v>0</v>
      </c>
      <c r="X32" s="2">
        <f t="shared" si="1"/>
        <v>0</v>
      </c>
      <c r="Y32" s="2">
        <f t="shared" si="1"/>
        <v>0</v>
      </c>
      <c r="Z32" s="2">
        <f t="shared" si="1"/>
        <v>0</v>
      </c>
      <c r="AA32" s="2">
        <f t="shared" si="1"/>
        <v>0</v>
      </c>
    </row>
    <row r="33" spans="1:27" x14ac:dyDescent="0.25">
      <c r="G33" s="2"/>
      <c r="H33" s="2"/>
      <c r="I33" s="2"/>
      <c r="J33" s="2"/>
      <c r="K33" s="2"/>
      <c r="L33" s="2"/>
      <c r="M33" s="2"/>
      <c r="N33" s="2"/>
      <c r="O33" s="2"/>
      <c r="P33" s="2"/>
      <c r="Q33" s="2"/>
    </row>
    <row r="34" spans="1:27" x14ac:dyDescent="0.25">
      <c r="D34" t="s">
        <v>133</v>
      </c>
      <c r="F34" t="s">
        <v>7</v>
      </c>
      <c r="G34" s="2">
        <f>SUM($G$29:G32)</f>
        <v>3093038.6926384564</v>
      </c>
      <c r="H34" s="2">
        <f>SUM($G$29:H32)</f>
        <v>5000344.7519002594</v>
      </c>
      <c r="I34" s="2">
        <f>SUM($G$29:I32)</f>
        <v>5547364.3585222103</v>
      </c>
      <c r="J34" s="2">
        <f>SUM($G$29:J32)</f>
        <v>5983041.2040940793</v>
      </c>
      <c r="K34" s="2">
        <f>SUM($G$29:K32)</f>
        <v>6415629.5828078948</v>
      </c>
      <c r="L34" s="2">
        <f>SUM($G$29:L32)</f>
        <v>6847540.7515759906</v>
      </c>
      <c r="M34" s="2">
        <f>SUM($G$29:M32)</f>
        <v>7275426.7071125703</v>
      </c>
      <c r="N34" s="2">
        <f>SUM($G$29:N32)</f>
        <v>7703936.6170457602</v>
      </c>
      <c r="O34" s="2">
        <f>SUM($G$29:O32)</f>
        <v>8139214.5632424057</v>
      </c>
      <c r="P34" s="2">
        <f>SUM($G$29:P32)</f>
        <v>8578112.0330157764</v>
      </c>
      <c r="Q34" s="2">
        <f>SUM($G$29:Q32)</f>
        <v>9027766.1867103707</v>
      </c>
      <c r="R34" s="2">
        <f>SUM($G$29:R32)</f>
        <v>9488707.2629226279</v>
      </c>
      <c r="S34" s="2">
        <f>SUM($G$29:S32)</f>
        <v>9959496.3846710883</v>
      </c>
      <c r="T34" s="2">
        <f>SUM($G$29:T32)</f>
        <v>10439265.107422402</v>
      </c>
      <c r="U34" s="2">
        <f>SUM($G$29:U32)</f>
        <v>10928434.944856387</v>
      </c>
      <c r="V34" s="2">
        <f>SUM($G$29:V32)</f>
        <v>11428482.786926743</v>
      </c>
      <c r="W34" s="2">
        <f>SUM($G$29:W32)</f>
        <v>11564805.761500597</v>
      </c>
      <c r="X34" s="2">
        <f>SUM($G$29:X32)</f>
        <v>11703870.975576069</v>
      </c>
      <c r="Y34" s="2">
        <f>SUM($G$29:Y32)</f>
        <v>11845670.743618766</v>
      </c>
      <c r="Z34" s="2">
        <f>SUM($G$29:Z32)</f>
        <v>11990426.129427226</v>
      </c>
      <c r="AA34" s="2">
        <f>SUM($G$29:AA32)</f>
        <v>12138346.914954437</v>
      </c>
    </row>
    <row r="35" spans="1:27" x14ac:dyDescent="0.25">
      <c r="G35" s="2"/>
      <c r="H35" s="2"/>
      <c r="I35" s="2"/>
      <c r="J35" s="2"/>
      <c r="K35" s="2"/>
      <c r="L35" s="2"/>
      <c r="M35" s="2"/>
      <c r="N35" s="2"/>
      <c r="O35" s="2"/>
      <c r="P35" s="2"/>
      <c r="Q35" s="2"/>
      <c r="R35" s="2"/>
      <c r="S35" s="2"/>
      <c r="T35" s="2"/>
      <c r="U35" s="2"/>
      <c r="V35" s="2"/>
      <c r="W35" s="2"/>
      <c r="X35" s="2"/>
      <c r="Y35" s="2"/>
      <c r="Z35" s="2"/>
      <c r="AA35" s="2"/>
    </row>
    <row r="36" spans="1:27" x14ac:dyDescent="0.25">
      <c r="A36" s="14">
        <f>'Notes &amp; Assumptions'!A24</f>
        <v>11</v>
      </c>
      <c r="C36" s="1" t="s">
        <v>107</v>
      </c>
      <c r="D36" s="1"/>
    </row>
    <row r="37" spans="1:27" x14ac:dyDescent="0.25">
      <c r="E37" s="2" t="str">
        <f>E7</f>
        <v>Pipes</v>
      </c>
      <c r="F37" t="s">
        <v>7</v>
      </c>
      <c r="G37" s="10"/>
      <c r="H37" s="10">
        <f>'Key assumptions'!$B32*(1+$G$14)^H2*(H90+H111+H132+H153)+'20 Greenvale Sewer'!H37+'20 Epping North Sewer'!H37</f>
        <v>91460158.999999985</v>
      </c>
      <c r="I37" s="10">
        <f>'Key assumptions'!$B32*(1+$G$14)^I2*(I90+I111+I132+I153)+'20 Greenvale Sewer'!I37+'20 Epping North Sewer'!I37</f>
        <v>89564445.83799997</v>
      </c>
      <c r="J37" s="10">
        <f>'Key assumptions'!$B32*(1+$G$14)^J2*(J90+J111+J132+J153)+'20 Greenvale Sewer'!J37+'20 Epping North Sewer'!J37</f>
        <v>89185615.377268866</v>
      </c>
      <c r="K37" s="10">
        <f>'Key assumptions'!$B32*(1+$G$14)^K2*(K90+K111+K132+K153)+'20 Greenvale Sewer'!K37+'20 Epping North Sewer'!K37</f>
        <v>84424638.134236529</v>
      </c>
      <c r="L37" s="10">
        <f>'Key assumptions'!$B32*(1+$G$14)^L2*(L90+L111+L132+L153)+'20 Greenvale Sewer'!L37+'20 Epping North Sewer'!L37</f>
        <v>79568049.705065817</v>
      </c>
      <c r="M37" s="10">
        <f>'Key assumptions'!$B32*(1+$G$14)^M2*(M90+M111+M132+M153)+'20 Greenvale Sewer'!M37+'20 Epping North Sewer'!M37</f>
        <v>74768407.088639915</v>
      </c>
      <c r="N37" s="10">
        <f>'Key assumptions'!$B32*(1+$G$14)^N2*(N90+N111+N132+N153)+'20 Greenvale Sewer'!N37+'20 Epping North Sewer'!N37</f>
        <v>70064031.884498522</v>
      </c>
      <c r="O37" s="10">
        <f>'Key assumptions'!$B32*(1+$G$14)^O2*(O90+O111+O132+O153)+'20 Greenvale Sewer'!O37+'20 Epping North Sewer'!O37</f>
        <v>65465532.89753776</v>
      </c>
      <c r="P37" s="10">
        <f>'Key assumptions'!$B32*(1+$G$14)^P2*(P90+P111+P132+P153)+'20 Greenvale Sewer'!P37+'20 Epping North Sewer'!P37</f>
        <v>66614967.692542769</v>
      </c>
      <c r="Q37" s="10">
        <f>'Key assumptions'!$B32*(1+$G$14)^Q2*(Q90+Q111+Q132+Q153)+'20 Greenvale Sewer'!Q37+'20 Epping North Sewer'!Q37</f>
        <v>67726074.632954717</v>
      </c>
      <c r="R37" s="10">
        <f>'Key assumptions'!$B32*(1+$G$14)^R2*(R90+R111+R132+R153)+'20 Greenvale Sewer'!R37+'20 Epping North Sewer'!R37</f>
        <v>72952553.270452216</v>
      </c>
      <c r="S37" s="10">
        <f>'Key assumptions'!$B32*(1+$G$14)^S2*(S90+S111+S132+S153)+'20 Greenvale Sewer'!S37+'20 Epping North Sewer'!S37</f>
        <v>78838472.075354815</v>
      </c>
      <c r="T37" s="10">
        <f>'Key assumptions'!$B32*(1+$G$14)^T2*(T90+T111+T132+T153)+'20 Greenvale Sewer'!T37+'20 Epping North Sewer'!T37</f>
        <v>85054986.249661505</v>
      </c>
      <c r="U37" s="10">
        <f>'Key assumptions'!$B32*(1+$G$14)^U2*(U90+U111+U132+U153)+'20 Greenvale Sewer'!U37+'20 Epping North Sewer'!U37</f>
        <v>86425382.20970057</v>
      </c>
      <c r="V37" s="10">
        <f>'Key assumptions'!$B32*(1+$G$14)^V2*(V90+V111+V132+V153)+'20 Greenvale Sewer'!V37+'20 Epping North Sewer'!V37</f>
        <v>87845463.344445795</v>
      </c>
      <c r="W37" s="10">
        <f>'Key assumptions'!$B32*(1+$G$14)^W2*(W90+W111+W132+W153)+'20 Greenvale Sewer'!W37+'20 Epping North Sewer'!W37</f>
        <v>0</v>
      </c>
      <c r="X37" s="10">
        <f>'Key assumptions'!$B32*(1+$G$14)^X2*(X90+X111+X132+X153)+'20 Greenvale Sewer'!X37+'20 Epping North Sewer'!X37</f>
        <v>0</v>
      </c>
      <c r="Y37" s="10">
        <f>'Key assumptions'!$B32*(1+$G$14)^Y2*(Y90+Y111+Y132+Y153)+'20 Greenvale Sewer'!Y37+'20 Epping North Sewer'!Y37</f>
        <v>0</v>
      </c>
      <c r="Z37" s="10">
        <f>'Key assumptions'!$B32*(1+$G$14)^Z2*(Z90+Z111+Z132+Z153)+'20 Greenvale Sewer'!Z37+'20 Epping North Sewer'!Z37</f>
        <v>0</v>
      </c>
      <c r="AA37" s="10">
        <f>'Key assumptions'!$B32*(1+$G$14)^AA2*(AA90+AA111+AA132+AA153)+'20 Greenvale Sewer'!AA37+'20 Epping North Sewer'!AA37</f>
        <v>0</v>
      </c>
    </row>
    <row r="38" spans="1:27" x14ac:dyDescent="0.25">
      <c r="E38" s="2" t="str">
        <f>E8</f>
        <v>Pumps</v>
      </c>
      <c r="F38" t="s">
        <v>7</v>
      </c>
      <c r="G38" s="10"/>
      <c r="H38" s="10"/>
      <c r="I38" s="10"/>
      <c r="J38" s="10"/>
      <c r="K38" s="10"/>
      <c r="L38" s="10"/>
      <c r="M38" s="10"/>
      <c r="N38" s="10"/>
      <c r="O38" s="10"/>
      <c r="P38" s="10"/>
      <c r="Q38" s="10"/>
      <c r="R38" s="10"/>
      <c r="S38" s="10"/>
      <c r="T38" s="10"/>
      <c r="U38" s="10"/>
      <c r="V38" s="10"/>
      <c r="W38" s="10"/>
      <c r="X38" s="10"/>
      <c r="Y38" s="10"/>
      <c r="Z38" s="10"/>
      <c r="AA38" s="10"/>
    </row>
    <row r="39" spans="1:27" x14ac:dyDescent="0.25">
      <c r="E39" s="2" t="str">
        <f>E9</f>
        <v>Valves and Meters</v>
      </c>
      <c r="F39" t="s">
        <v>7</v>
      </c>
      <c r="G39" s="10"/>
      <c r="H39" s="10"/>
      <c r="I39" s="10"/>
      <c r="J39" s="10"/>
      <c r="K39" s="10"/>
      <c r="L39" s="10"/>
      <c r="M39" s="10"/>
      <c r="N39" s="10"/>
      <c r="O39" s="10"/>
      <c r="P39" s="10"/>
      <c r="Q39" s="10"/>
      <c r="R39" s="10"/>
      <c r="S39" s="10"/>
      <c r="T39" s="10"/>
      <c r="U39" s="10"/>
      <c r="V39" s="10"/>
      <c r="W39" s="10"/>
      <c r="X39" s="10"/>
      <c r="Y39" s="10"/>
      <c r="Z39" s="10"/>
      <c r="AA39" s="10"/>
    </row>
    <row r="40" spans="1:27" x14ac:dyDescent="0.25">
      <c r="E40" s="2" t="str">
        <f>E10</f>
        <v>Temporary Assets</v>
      </c>
      <c r="F40" t="s">
        <v>7</v>
      </c>
      <c r="G40" s="10"/>
      <c r="H40" s="10"/>
      <c r="I40" s="10"/>
      <c r="J40" s="10"/>
      <c r="K40" s="10"/>
      <c r="L40" s="10"/>
      <c r="M40" s="10"/>
      <c r="N40" s="10"/>
      <c r="O40" s="10"/>
      <c r="P40" s="10"/>
      <c r="Q40" s="10"/>
      <c r="R40" s="10"/>
      <c r="S40" s="10"/>
      <c r="T40" s="10"/>
      <c r="U40" s="10"/>
      <c r="V40" s="10"/>
      <c r="W40" s="10"/>
      <c r="X40" s="10"/>
      <c r="Y40" s="10"/>
      <c r="Z40" s="10"/>
      <c r="AA40" s="10"/>
    </row>
    <row r="41" spans="1:27" x14ac:dyDescent="0.25">
      <c r="E41" t="s">
        <v>131</v>
      </c>
      <c r="F41" t="s">
        <v>7</v>
      </c>
      <c r="G41" s="10"/>
      <c r="H41" s="10"/>
      <c r="I41" s="10"/>
      <c r="J41" s="10"/>
      <c r="K41" s="10"/>
      <c r="L41" s="10"/>
      <c r="M41" s="10"/>
      <c r="N41" s="10"/>
      <c r="O41" s="10"/>
      <c r="P41" s="10"/>
      <c r="Q41" s="10"/>
      <c r="R41" s="10"/>
      <c r="S41" s="10"/>
      <c r="T41" s="10"/>
      <c r="U41" s="10"/>
      <c r="V41" s="10"/>
      <c r="W41" s="10"/>
      <c r="X41" s="10"/>
      <c r="Y41" s="10"/>
      <c r="Z41" s="10"/>
      <c r="AA41" s="10"/>
    </row>
    <row r="42" spans="1:27" x14ac:dyDescent="0.25">
      <c r="G42" s="2">
        <f>SUM(G37:G41)</f>
        <v>0</v>
      </c>
      <c r="H42" s="2">
        <f t="shared" ref="H42:AA42" si="3">SUM(H37:H41)</f>
        <v>91460158.999999985</v>
      </c>
      <c r="I42" s="2">
        <f t="shared" si="3"/>
        <v>89564445.83799997</v>
      </c>
      <c r="J42" s="2">
        <f t="shared" si="3"/>
        <v>89185615.377268866</v>
      </c>
      <c r="K42" s="2">
        <f t="shared" si="3"/>
        <v>84424638.134236529</v>
      </c>
      <c r="L42" s="2">
        <f t="shared" si="3"/>
        <v>79568049.705065817</v>
      </c>
      <c r="M42" s="2">
        <f t="shared" si="3"/>
        <v>74768407.088639915</v>
      </c>
      <c r="N42" s="2">
        <f t="shared" si="3"/>
        <v>70064031.884498522</v>
      </c>
      <c r="O42" s="2">
        <f t="shared" si="3"/>
        <v>65465532.89753776</v>
      </c>
      <c r="P42" s="2">
        <f t="shared" si="3"/>
        <v>66614967.692542769</v>
      </c>
      <c r="Q42" s="2">
        <f t="shared" si="3"/>
        <v>67726074.632954717</v>
      </c>
      <c r="R42" s="2">
        <f t="shared" si="3"/>
        <v>72952553.270452216</v>
      </c>
      <c r="S42" s="2">
        <f t="shared" si="3"/>
        <v>78838472.075354815</v>
      </c>
      <c r="T42" s="2">
        <f t="shared" si="3"/>
        <v>85054986.249661505</v>
      </c>
      <c r="U42" s="2">
        <f t="shared" si="3"/>
        <v>86425382.20970057</v>
      </c>
      <c r="V42" s="2">
        <f t="shared" si="3"/>
        <v>87845463.344445795</v>
      </c>
      <c r="W42" s="2">
        <f t="shared" si="3"/>
        <v>0</v>
      </c>
      <c r="X42" s="2">
        <f t="shared" si="3"/>
        <v>0</v>
      </c>
      <c r="Y42" s="2">
        <f t="shared" si="3"/>
        <v>0</v>
      </c>
      <c r="Z42" s="2">
        <f t="shared" si="3"/>
        <v>0</v>
      </c>
      <c r="AA42" s="2">
        <f t="shared" si="3"/>
        <v>0</v>
      </c>
    </row>
    <row r="43" spans="1:27" x14ac:dyDescent="0.25">
      <c r="G43" s="2"/>
      <c r="H43" s="2"/>
      <c r="I43" s="2"/>
      <c r="J43" s="2"/>
      <c r="K43" s="2"/>
      <c r="L43" s="2"/>
      <c r="M43" s="2"/>
      <c r="N43" s="2"/>
      <c r="O43" s="2"/>
      <c r="P43" s="2"/>
      <c r="Q43" s="2"/>
    </row>
    <row r="44" spans="1:27" x14ac:dyDescent="0.25">
      <c r="D44" t="s">
        <v>134</v>
      </c>
      <c r="G44" s="2"/>
      <c r="H44" s="2"/>
      <c r="I44" s="2"/>
      <c r="J44" s="2"/>
      <c r="K44" s="2"/>
      <c r="L44" s="2"/>
      <c r="M44" s="2"/>
      <c r="N44" s="2"/>
      <c r="O44" s="2"/>
      <c r="P44" s="2"/>
      <c r="Q44" s="2"/>
    </row>
    <row r="45" spans="1:27" x14ac:dyDescent="0.25">
      <c r="E45" s="2" t="str">
        <f>E37</f>
        <v>Pipes</v>
      </c>
      <c r="F45" t="s">
        <v>7</v>
      </c>
      <c r="G45" s="2">
        <f t="shared" ref="G45:AA48" si="4">G37/$G7+IF((G$2-$G7+1)&gt;0,-INDEX($G37:$AA37,1,(G$2-$G7+1))/$G7,0)</f>
        <v>0</v>
      </c>
      <c r="H45" s="2">
        <f t="shared" si="4"/>
        <v>1016223.9888888887</v>
      </c>
      <c r="I45" s="2">
        <f t="shared" si="4"/>
        <v>995160.50931111083</v>
      </c>
      <c r="J45" s="2">
        <f t="shared" si="4"/>
        <v>990951.28196965402</v>
      </c>
      <c r="K45" s="2">
        <f t="shared" si="4"/>
        <v>938051.53482485027</v>
      </c>
      <c r="L45" s="2">
        <f t="shared" si="4"/>
        <v>884089.44116739801</v>
      </c>
      <c r="M45" s="2">
        <f t="shared" si="4"/>
        <v>830760.07876266574</v>
      </c>
      <c r="N45" s="2">
        <f t="shared" si="4"/>
        <v>778489.24316109472</v>
      </c>
      <c r="O45" s="2">
        <f t="shared" si="4"/>
        <v>727394.80997264176</v>
      </c>
      <c r="P45" s="2">
        <f t="shared" si="4"/>
        <v>740166.30769491964</v>
      </c>
      <c r="Q45" s="2">
        <f t="shared" si="4"/>
        <v>752511.9403661635</v>
      </c>
      <c r="R45" s="2">
        <f t="shared" si="4"/>
        <v>810583.92522724683</v>
      </c>
      <c r="S45" s="2">
        <f t="shared" si="4"/>
        <v>875983.02305949794</v>
      </c>
      <c r="T45" s="2">
        <f t="shared" si="4"/>
        <v>945055.40277401672</v>
      </c>
      <c r="U45" s="2">
        <f t="shared" si="4"/>
        <v>960282.02455222851</v>
      </c>
      <c r="V45" s="2">
        <f t="shared" si="4"/>
        <v>976060.70382717554</v>
      </c>
      <c r="W45" s="2">
        <f t="shared" si="4"/>
        <v>0</v>
      </c>
      <c r="X45" s="2">
        <f t="shared" si="4"/>
        <v>0</v>
      </c>
      <c r="Y45" s="2">
        <f t="shared" si="4"/>
        <v>0</v>
      </c>
      <c r="Z45" s="2">
        <f t="shared" si="4"/>
        <v>0</v>
      </c>
      <c r="AA45" s="2">
        <f t="shared" si="4"/>
        <v>0</v>
      </c>
    </row>
    <row r="46" spans="1:27" x14ac:dyDescent="0.25">
      <c r="E46" s="2" t="str">
        <f t="shared" ref="E46:E48" si="5">E38</f>
        <v>Pumps</v>
      </c>
      <c r="F46" t="s">
        <v>7</v>
      </c>
      <c r="G46" s="2">
        <f t="shared" si="4"/>
        <v>0</v>
      </c>
      <c r="H46" s="2">
        <f t="shared" si="4"/>
        <v>0</v>
      </c>
      <c r="I46" s="2">
        <f t="shared" si="4"/>
        <v>0</v>
      </c>
      <c r="J46" s="2">
        <f t="shared" si="4"/>
        <v>0</v>
      </c>
      <c r="K46" s="2">
        <f t="shared" si="4"/>
        <v>0</v>
      </c>
      <c r="L46" s="2">
        <f t="shared" si="4"/>
        <v>0</v>
      </c>
      <c r="M46" s="2">
        <f t="shared" si="4"/>
        <v>0</v>
      </c>
      <c r="N46" s="2">
        <f t="shared" si="4"/>
        <v>0</v>
      </c>
      <c r="O46" s="2">
        <f t="shared" si="4"/>
        <v>0</v>
      </c>
      <c r="P46" s="2">
        <f t="shared" si="4"/>
        <v>0</v>
      </c>
      <c r="Q46" s="2">
        <f t="shared" si="4"/>
        <v>0</v>
      </c>
      <c r="R46" s="2">
        <f t="shared" si="4"/>
        <v>0</v>
      </c>
      <c r="S46" s="2">
        <f t="shared" si="4"/>
        <v>0</v>
      </c>
      <c r="T46" s="2">
        <f t="shared" si="4"/>
        <v>0</v>
      </c>
      <c r="U46" s="2">
        <f t="shared" si="4"/>
        <v>0</v>
      </c>
      <c r="V46" s="2">
        <f t="shared" si="4"/>
        <v>0</v>
      </c>
      <c r="W46" s="2">
        <f t="shared" si="4"/>
        <v>0</v>
      </c>
      <c r="X46" s="2">
        <f t="shared" si="4"/>
        <v>0</v>
      </c>
      <c r="Y46" s="2">
        <f t="shared" si="4"/>
        <v>0</v>
      </c>
      <c r="Z46" s="2">
        <f t="shared" si="4"/>
        <v>0</v>
      </c>
      <c r="AA46" s="2">
        <f t="shared" si="4"/>
        <v>0</v>
      </c>
    </row>
    <row r="47" spans="1:27" x14ac:dyDescent="0.25">
      <c r="E47" s="2" t="str">
        <f t="shared" si="5"/>
        <v>Valves and Meters</v>
      </c>
      <c r="F47" t="s">
        <v>7</v>
      </c>
      <c r="G47" s="2">
        <f t="shared" si="4"/>
        <v>0</v>
      </c>
      <c r="H47" s="2">
        <f t="shared" si="4"/>
        <v>0</v>
      </c>
      <c r="I47" s="2">
        <f t="shared" si="4"/>
        <v>0</v>
      </c>
      <c r="J47" s="2">
        <f t="shared" si="4"/>
        <v>0</v>
      </c>
      <c r="K47" s="2">
        <f t="shared" si="4"/>
        <v>0</v>
      </c>
      <c r="L47" s="2">
        <f t="shared" si="4"/>
        <v>0</v>
      </c>
      <c r="M47" s="2">
        <f t="shared" si="4"/>
        <v>0</v>
      </c>
      <c r="N47" s="2">
        <f t="shared" si="4"/>
        <v>0</v>
      </c>
      <c r="O47" s="2">
        <f t="shared" si="4"/>
        <v>0</v>
      </c>
      <c r="P47" s="2">
        <f t="shared" si="4"/>
        <v>0</v>
      </c>
      <c r="Q47" s="2">
        <f t="shared" si="4"/>
        <v>0</v>
      </c>
      <c r="R47" s="2">
        <f t="shared" si="4"/>
        <v>0</v>
      </c>
      <c r="S47" s="2">
        <f t="shared" si="4"/>
        <v>0</v>
      </c>
      <c r="T47" s="2">
        <f t="shared" si="4"/>
        <v>0</v>
      </c>
      <c r="U47" s="2">
        <f t="shared" si="4"/>
        <v>0</v>
      </c>
      <c r="V47" s="2">
        <f t="shared" si="4"/>
        <v>0</v>
      </c>
      <c r="W47" s="2">
        <f t="shared" si="4"/>
        <v>0</v>
      </c>
      <c r="X47" s="2">
        <f t="shared" si="4"/>
        <v>0</v>
      </c>
      <c r="Y47" s="2">
        <f t="shared" si="4"/>
        <v>0</v>
      </c>
      <c r="Z47" s="2">
        <f t="shared" si="4"/>
        <v>0</v>
      </c>
      <c r="AA47" s="2">
        <f t="shared" si="4"/>
        <v>0</v>
      </c>
    </row>
    <row r="48" spans="1:27" x14ac:dyDescent="0.25">
      <c r="E48" s="2" t="str">
        <f t="shared" si="5"/>
        <v>Temporary Assets</v>
      </c>
      <c r="F48" t="s">
        <v>7</v>
      </c>
      <c r="G48" s="2">
        <f t="shared" si="4"/>
        <v>0</v>
      </c>
      <c r="H48" s="2">
        <f t="shared" si="4"/>
        <v>0</v>
      </c>
      <c r="I48" s="2">
        <f t="shared" si="4"/>
        <v>0</v>
      </c>
      <c r="J48" s="2">
        <f t="shared" si="4"/>
        <v>0</v>
      </c>
      <c r="K48" s="2">
        <f t="shared" si="4"/>
        <v>0</v>
      </c>
      <c r="L48" s="2">
        <f t="shared" si="4"/>
        <v>0</v>
      </c>
      <c r="M48" s="2">
        <f t="shared" si="4"/>
        <v>0</v>
      </c>
      <c r="N48" s="2">
        <f t="shared" si="4"/>
        <v>0</v>
      </c>
      <c r="O48" s="2">
        <f t="shared" si="4"/>
        <v>0</v>
      </c>
      <c r="P48" s="2">
        <f t="shared" si="4"/>
        <v>0</v>
      </c>
      <c r="Q48" s="2">
        <f t="shared" si="4"/>
        <v>0</v>
      </c>
      <c r="R48" s="2">
        <f t="shared" si="4"/>
        <v>0</v>
      </c>
      <c r="S48" s="2">
        <f t="shared" si="4"/>
        <v>0</v>
      </c>
      <c r="T48" s="2">
        <f t="shared" si="4"/>
        <v>0</v>
      </c>
      <c r="U48" s="2">
        <f t="shared" si="4"/>
        <v>0</v>
      </c>
      <c r="V48" s="2">
        <f t="shared" si="4"/>
        <v>0</v>
      </c>
      <c r="W48" s="2">
        <f t="shared" si="4"/>
        <v>0</v>
      </c>
      <c r="X48" s="2">
        <f t="shared" si="4"/>
        <v>0</v>
      </c>
      <c r="Y48" s="2">
        <f t="shared" si="4"/>
        <v>0</v>
      </c>
      <c r="Z48" s="2">
        <f t="shared" si="4"/>
        <v>0</v>
      </c>
      <c r="AA48" s="2">
        <f t="shared" si="4"/>
        <v>0</v>
      </c>
    </row>
    <row r="49" spans="1:27" x14ac:dyDescent="0.25">
      <c r="G49" s="2"/>
      <c r="H49" s="2"/>
      <c r="I49" s="2"/>
      <c r="J49" s="2"/>
      <c r="K49" s="2"/>
      <c r="L49" s="2"/>
      <c r="M49" s="2"/>
      <c r="N49" s="2"/>
      <c r="O49" s="2"/>
      <c r="P49" s="2"/>
      <c r="Q49" s="2"/>
    </row>
    <row r="50" spans="1:27" x14ac:dyDescent="0.25">
      <c r="D50" t="s">
        <v>135</v>
      </c>
      <c r="F50" t="s">
        <v>7</v>
      </c>
      <c r="G50" s="2">
        <f>SUM($G$45:G48)</f>
        <v>0</v>
      </c>
      <c r="H50" s="2">
        <f>SUM($G$45:H48)</f>
        <v>1016223.9888888887</v>
      </c>
      <c r="I50" s="2">
        <f>SUM($G$45:I48)</f>
        <v>2011384.4981999996</v>
      </c>
      <c r="J50" s="2">
        <f>SUM($G$45:J48)</f>
        <v>3002335.7801696537</v>
      </c>
      <c r="K50" s="2">
        <f>SUM($G$45:K48)</f>
        <v>3940387.3149945037</v>
      </c>
      <c r="L50" s="2">
        <f>SUM($G$45:L48)</f>
        <v>4824476.7561619021</v>
      </c>
      <c r="M50" s="2">
        <f>SUM($G$45:M48)</f>
        <v>5655236.8349245675</v>
      </c>
      <c r="N50" s="2">
        <f>SUM($G$45:N48)</f>
        <v>6433726.0780856619</v>
      </c>
      <c r="O50" s="2">
        <f>SUM($G$45:O48)</f>
        <v>7161120.8880583039</v>
      </c>
      <c r="P50" s="2">
        <f>SUM($G$45:P48)</f>
        <v>7901287.1957532233</v>
      </c>
      <c r="Q50" s="2">
        <f>SUM($G$45:Q48)</f>
        <v>8653799.1361193862</v>
      </c>
      <c r="R50" s="2">
        <f>SUM($G$45:R48)</f>
        <v>9464383.0613466334</v>
      </c>
      <c r="S50" s="2">
        <f>SUM($G$45:S48)</f>
        <v>10340366.084406132</v>
      </c>
      <c r="T50" s="2">
        <f>SUM($G$45:T48)</f>
        <v>11285421.487180149</v>
      </c>
      <c r="U50" s="2">
        <f>SUM($G$45:U48)</f>
        <v>12245703.511732377</v>
      </c>
      <c r="V50" s="2">
        <f>SUM($G$45:V48)</f>
        <v>13221764.215559553</v>
      </c>
      <c r="W50" s="2">
        <f>SUM($G$45:W48)</f>
        <v>13221764.215559553</v>
      </c>
      <c r="X50" s="2">
        <f>SUM($G$45:X48)</f>
        <v>13221764.215559553</v>
      </c>
      <c r="Y50" s="2">
        <f>SUM($G$45:Y48)</f>
        <v>13221764.215559553</v>
      </c>
      <c r="Z50" s="2">
        <f>SUM($G$45:Z48)</f>
        <v>13221764.215559553</v>
      </c>
      <c r="AA50" s="2">
        <f>SUM($G$45:AA48)</f>
        <v>13221764.215559553</v>
      </c>
    </row>
    <row r="51" spans="1:27" x14ac:dyDescent="0.25">
      <c r="G51" s="2"/>
      <c r="H51" s="2"/>
      <c r="I51" s="2"/>
      <c r="J51" s="2"/>
      <c r="K51" s="2"/>
      <c r="L51" s="2"/>
      <c r="M51" s="2"/>
      <c r="N51" s="2"/>
      <c r="O51" s="2"/>
      <c r="P51" s="2"/>
      <c r="Q51" s="2"/>
      <c r="R51" s="2"/>
      <c r="S51" s="2"/>
      <c r="T51" s="2"/>
      <c r="U51" s="2"/>
      <c r="V51" s="2"/>
      <c r="W51" s="2"/>
      <c r="X51" s="2"/>
      <c r="Y51" s="2"/>
      <c r="Z51" s="2"/>
      <c r="AA51" s="2"/>
    </row>
    <row r="52" spans="1:27" x14ac:dyDescent="0.25">
      <c r="A52" s="14">
        <f>'Notes &amp; Assumptions'!A25</f>
        <v>12</v>
      </c>
      <c r="C52" s="1" t="s">
        <v>109</v>
      </c>
      <c r="G52" s="2"/>
      <c r="H52" s="2"/>
      <c r="I52" s="2"/>
      <c r="J52" s="2"/>
      <c r="K52" s="2"/>
      <c r="L52" s="2"/>
      <c r="M52" s="2"/>
      <c r="N52" s="2"/>
      <c r="O52" s="2"/>
      <c r="P52" s="2"/>
      <c r="Q52" s="2"/>
      <c r="R52" s="2"/>
      <c r="S52" s="2"/>
      <c r="T52" s="2"/>
      <c r="U52" s="2"/>
      <c r="V52" s="2"/>
      <c r="W52" s="2"/>
      <c r="X52" s="2"/>
      <c r="Y52" s="2"/>
      <c r="Z52" s="2"/>
      <c r="AA52" s="2"/>
    </row>
    <row r="53" spans="1:27" x14ac:dyDescent="0.25">
      <c r="E53" t="s">
        <v>109</v>
      </c>
      <c r="F53" t="s">
        <v>7</v>
      </c>
      <c r="G53" s="10"/>
      <c r="H53" s="10"/>
      <c r="I53" s="10"/>
      <c r="J53" s="10"/>
      <c r="K53" s="10"/>
      <c r="L53" s="10"/>
      <c r="M53" s="10"/>
      <c r="N53" s="10"/>
      <c r="O53" s="10"/>
      <c r="P53" s="10"/>
      <c r="Q53" s="10"/>
      <c r="R53" s="10"/>
      <c r="S53" s="10"/>
      <c r="T53" s="10"/>
      <c r="U53" s="10"/>
      <c r="V53" s="10"/>
      <c r="W53" s="10"/>
      <c r="X53" s="10"/>
      <c r="Y53" s="10"/>
      <c r="Z53" s="10"/>
      <c r="AA53" s="10"/>
    </row>
    <row r="55" spans="1:27" x14ac:dyDescent="0.25">
      <c r="C55" s="1" t="s">
        <v>25</v>
      </c>
      <c r="D55" s="1"/>
    </row>
    <row r="56" spans="1:27" x14ac:dyDescent="0.25">
      <c r="A56" s="14">
        <f>'Notes &amp; Assumptions'!A26</f>
        <v>13</v>
      </c>
      <c r="D56" t="s">
        <v>2</v>
      </c>
    </row>
    <row r="57" spans="1:27" x14ac:dyDescent="0.25">
      <c r="E57" s="2" t="str">
        <f>E7</f>
        <v>Pipes</v>
      </c>
      <c r="F57" t="s">
        <v>7</v>
      </c>
      <c r="G57" s="10"/>
      <c r="H57" s="10"/>
      <c r="I57" s="10"/>
      <c r="J57" s="10"/>
      <c r="K57" s="10"/>
      <c r="L57" s="10"/>
      <c r="M57" s="10"/>
      <c r="N57" s="10"/>
      <c r="O57" s="10"/>
      <c r="P57" s="10"/>
      <c r="Q57" s="10"/>
      <c r="R57" s="10"/>
      <c r="S57" s="10"/>
      <c r="T57" s="10"/>
      <c r="U57" s="10"/>
      <c r="V57" s="10"/>
      <c r="W57" s="10"/>
      <c r="X57" s="10"/>
      <c r="Y57" s="10"/>
      <c r="Z57" s="10"/>
      <c r="AA57" s="10"/>
    </row>
    <row r="58" spans="1:27" x14ac:dyDescent="0.25">
      <c r="E58" s="2" t="str">
        <f>E8</f>
        <v>Pumps</v>
      </c>
      <c r="F58" t="s">
        <v>7</v>
      </c>
      <c r="G58" s="10"/>
      <c r="H58" s="10"/>
      <c r="I58" s="10"/>
      <c r="J58" s="10"/>
      <c r="K58" s="10"/>
      <c r="L58" s="10"/>
      <c r="M58" s="10"/>
      <c r="N58" s="10"/>
      <c r="O58" s="10"/>
      <c r="P58" s="10"/>
      <c r="Q58" s="10"/>
      <c r="R58" s="10"/>
      <c r="S58" s="10"/>
      <c r="T58" s="10"/>
      <c r="U58" s="10"/>
      <c r="V58" s="10"/>
      <c r="W58" s="10"/>
      <c r="X58" s="10"/>
      <c r="Y58" s="10"/>
      <c r="Z58" s="10"/>
      <c r="AA58" s="10"/>
    </row>
    <row r="59" spans="1:27" x14ac:dyDescent="0.25">
      <c r="E59" s="2" t="str">
        <f>E9</f>
        <v>Valves and Meters</v>
      </c>
      <c r="F59" t="s">
        <v>7</v>
      </c>
      <c r="G59" s="10"/>
      <c r="H59" s="10"/>
      <c r="I59" s="10"/>
      <c r="J59" s="10"/>
      <c r="K59" s="10"/>
      <c r="L59" s="10"/>
      <c r="M59" s="10"/>
      <c r="N59" s="10"/>
      <c r="O59" s="10"/>
      <c r="P59" s="10"/>
      <c r="Q59" s="10"/>
      <c r="R59" s="10"/>
      <c r="S59" s="10"/>
      <c r="T59" s="10"/>
      <c r="U59" s="10"/>
      <c r="V59" s="10"/>
      <c r="W59" s="10"/>
      <c r="X59" s="10"/>
      <c r="Y59" s="10"/>
      <c r="Z59" s="10"/>
      <c r="AA59" s="10"/>
    </row>
    <row r="60" spans="1:27" x14ac:dyDescent="0.25">
      <c r="E60" t="s">
        <v>131</v>
      </c>
      <c r="F60" t="s">
        <v>7</v>
      </c>
      <c r="G60" s="10"/>
      <c r="H60" s="10"/>
      <c r="I60" s="10"/>
      <c r="J60" s="10"/>
      <c r="K60" s="10"/>
      <c r="L60" s="10"/>
      <c r="M60" s="10"/>
      <c r="N60" s="10"/>
      <c r="O60" s="10"/>
      <c r="P60" s="10"/>
      <c r="Q60" s="10"/>
      <c r="R60" s="10"/>
      <c r="S60" s="10"/>
      <c r="T60" s="10"/>
      <c r="U60" s="10"/>
      <c r="V60" s="10"/>
      <c r="W60" s="10"/>
      <c r="X60" s="10"/>
      <c r="Y60" s="10"/>
      <c r="Z60" s="10"/>
      <c r="AA60" s="10"/>
    </row>
    <row r="61" spans="1:27" x14ac:dyDescent="0.25">
      <c r="G61" s="2">
        <f>SUM(G57:G60)</f>
        <v>0</v>
      </c>
      <c r="H61" s="2">
        <f t="shared" ref="H61:AA61" si="6">SUM(H57:H60)</f>
        <v>0</v>
      </c>
      <c r="I61" s="2">
        <f t="shared" si="6"/>
        <v>0</v>
      </c>
      <c r="J61" s="2">
        <f t="shared" si="6"/>
        <v>0</v>
      </c>
      <c r="K61" s="2">
        <f t="shared" si="6"/>
        <v>0</v>
      </c>
      <c r="L61" s="2">
        <f t="shared" si="6"/>
        <v>0</v>
      </c>
      <c r="M61" s="2">
        <f t="shared" si="6"/>
        <v>0</v>
      </c>
      <c r="N61" s="2">
        <f t="shared" si="6"/>
        <v>0</v>
      </c>
      <c r="O61" s="2">
        <f t="shared" si="6"/>
        <v>0</v>
      </c>
      <c r="P61" s="2">
        <f t="shared" si="6"/>
        <v>0</v>
      </c>
      <c r="Q61" s="2">
        <f t="shared" si="6"/>
        <v>0</v>
      </c>
      <c r="R61" s="2">
        <f t="shared" si="6"/>
        <v>0</v>
      </c>
      <c r="S61" s="2">
        <f t="shared" si="6"/>
        <v>0</v>
      </c>
      <c r="T61" s="2">
        <f t="shared" si="6"/>
        <v>0</v>
      </c>
      <c r="U61" s="2">
        <f t="shared" si="6"/>
        <v>0</v>
      </c>
      <c r="V61" s="2">
        <f t="shared" si="6"/>
        <v>0</v>
      </c>
      <c r="W61" s="2">
        <f t="shared" si="6"/>
        <v>0</v>
      </c>
      <c r="X61" s="2">
        <f t="shared" si="6"/>
        <v>0</v>
      </c>
      <c r="Y61" s="2">
        <f t="shared" si="6"/>
        <v>0</v>
      </c>
      <c r="Z61" s="2">
        <f t="shared" si="6"/>
        <v>0</v>
      </c>
      <c r="AA61" s="2">
        <f t="shared" si="6"/>
        <v>0</v>
      </c>
    </row>
    <row r="63" spans="1:27" x14ac:dyDescent="0.25">
      <c r="D63" t="s">
        <v>136</v>
      </c>
      <c r="G63" s="2"/>
      <c r="H63" s="2"/>
      <c r="I63" s="2"/>
      <c r="J63" s="2"/>
      <c r="K63" s="2"/>
      <c r="L63" s="2"/>
      <c r="M63" s="2"/>
      <c r="N63" s="2"/>
      <c r="O63" s="2"/>
      <c r="P63" s="2"/>
      <c r="Q63" s="2"/>
    </row>
    <row r="64" spans="1:27" x14ac:dyDescent="0.25">
      <c r="E64" s="2" t="str">
        <f>E57</f>
        <v>Pipes</v>
      </c>
      <c r="F64" t="s">
        <v>7</v>
      </c>
      <c r="G64" s="2">
        <f t="shared" ref="G64:AA66" si="7">G57/$G7+IF((G$2-$G7+1)&gt;0,-INDEX($G57:$AA57,1,(G$2-$G7+1))/$G7,0)</f>
        <v>0</v>
      </c>
      <c r="H64" s="2">
        <f t="shared" si="7"/>
        <v>0</v>
      </c>
      <c r="I64" s="2">
        <f t="shared" si="7"/>
        <v>0</v>
      </c>
      <c r="J64" s="2">
        <f t="shared" si="7"/>
        <v>0</v>
      </c>
      <c r="K64" s="2">
        <f t="shared" si="7"/>
        <v>0</v>
      </c>
      <c r="L64" s="2">
        <f t="shared" si="7"/>
        <v>0</v>
      </c>
      <c r="M64" s="2">
        <f t="shared" si="7"/>
        <v>0</v>
      </c>
      <c r="N64" s="2">
        <f t="shared" si="7"/>
        <v>0</v>
      </c>
      <c r="O64" s="2">
        <f t="shared" si="7"/>
        <v>0</v>
      </c>
      <c r="P64" s="2">
        <f t="shared" si="7"/>
        <v>0</v>
      </c>
      <c r="Q64" s="2">
        <f t="shared" si="7"/>
        <v>0</v>
      </c>
      <c r="R64" s="2">
        <f t="shared" si="7"/>
        <v>0</v>
      </c>
      <c r="S64" s="2">
        <f t="shared" si="7"/>
        <v>0</v>
      </c>
      <c r="T64" s="2">
        <f t="shared" si="7"/>
        <v>0</v>
      </c>
      <c r="U64" s="2">
        <f t="shared" si="7"/>
        <v>0</v>
      </c>
      <c r="V64" s="2">
        <f t="shared" si="7"/>
        <v>0</v>
      </c>
      <c r="W64" s="2">
        <f t="shared" si="7"/>
        <v>0</v>
      </c>
      <c r="X64" s="2">
        <f t="shared" si="7"/>
        <v>0</v>
      </c>
      <c r="Y64" s="2">
        <f t="shared" si="7"/>
        <v>0</v>
      </c>
      <c r="Z64" s="2">
        <f t="shared" si="7"/>
        <v>0</v>
      </c>
      <c r="AA64" s="2">
        <f t="shared" si="7"/>
        <v>0</v>
      </c>
    </row>
    <row r="65" spans="1:27" x14ac:dyDescent="0.25">
      <c r="E65" s="2" t="str">
        <f t="shared" ref="E65:E66" si="8">E58</f>
        <v>Pumps</v>
      </c>
      <c r="F65" t="s">
        <v>7</v>
      </c>
      <c r="G65" s="2">
        <f t="shared" si="7"/>
        <v>0</v>
      </c>
      <c r="H65" s="2">
        <f t="shared" si="7"/>
        <v>0</v>
      </c>
      <c r="I65" s="2">
        <f t="shared" si="7"/>
        <v>0</v>
      </c>
      <c r="J65" s="2">
        <f t="shared" si="7"/>
        <v>0</v>
      </c>
      <c r="K65" s="2">
        <f t="shared" si="7"/>
        <v>0</v>
      </c>
      <c r="L65" s="2">
        <f t="shared" si="7"/>
        <v>0</v>
      </c>
      <c r="M65" s="2">
        <f t="shared" si="7"/>
        <v>0</v>
      </c>
      <c r="N65" s="2">
        <f t="shared" si="7"/>
        <v>0</v>
      </c>
      <c r="O65" s="2">
        <f t="shared" si="7"/>
        <v>0</v>
      </c>
      <c r="P65" s="2">
        <f t="shared" si="7"/>
        <v>0</v>
      </c>
      <c r="Q65" s="2">
        <f t="shared" si="7"/>
        <v>0</v>
      </c>
      <c r="R65" s="2">
        <f t="shared" si="7"/>
        <v>0</v>
      </c>
      <c r="S65" s="2">
        <f t="shared" si="7"/>
        <v>0</v>
      </c>
      <c r="T65" s="2">
        <f t="shared" si="7"/>
        <v>0</v>
      </c>
      <c r="U65" s="2">
        <f t="shared" si="7"/>
        <v>0</v>
      </c>
      <c r="V65" s="2">
        <f t="shared" si="7"/>
        <v>0</v>
      </c>
      <c r="W65" s="2">
        <f t="shared" si="7"/>
        <v>0</v>
      </c>
      <c r="X65" s="2">
        <f t="shared" si="7"/>
        <v>0</v>
      </c>
      <c r="Y65" s="2">
        <f t="shared" si="7"/>
        <v>0</v>
      </c>
      <c r="Z65" s="2">
        <f t="shared" si="7"/>
        <v>0</v>
      </c>
      <c r="AA65" s="2">
        <f t="shared" si="7"/>
        <v>0</v>
      </c>
    </row>
    <row r="66" spans="1:27" x14ac:dyDescent="0.25">
      <c r="E66" s="2" t="str">
        <f t="shared" si="8"/>
        <v>Valves and Meters</v>
      </c>
      <c r="F66" t="s">
        <v>7</v>
      </c>
      <c r="G66" s="2">
        <f t="shared" si="7"/>
        <v>0</v>
      </c>
      <c r="H66" s="2">
        <f t="shared" si="7"/>
        <v>0</v>
      </c>
      <c r="I66" s="2">
        <f t="shared" si="7"/>
        <v>0</v>
      </c>
      <c r="J66" s="2">
        <f t="shared" si="7"/>
        <v>0</v>
      </c>
      <c r="K66" s="2">
        <f t="shared" si="7"/>
        <v>0</v>
      </c>
      <c r="L66" s="2">
        <f t="shared" si="7"/>
        <v>0</v>
      </c>
      <c r="M66" s="2">
        <f t="shared" si="7"/>
        <v>0</v>
      </c>
      <c r="N66" s="2">
        <f t="shared" si="7"/>
        <v>0</v>
      </c>
      <c r="O66" s="2">
        <f t="shared" si="7"/>
        <v>0</v>
      </c>
      <c r="P66" s="2">
        <f t="shared" si="7"/>
        <v>0</v>
      </c>
      <c r="Q66" s="2">
        <f t="shared" si="7"/>
        <v>0</v>
      </c>
      <c r="R66" s="2">
        <f t="shared" si="7"/>
        <v>0</v>
      </c>
      <c r="S66" s="2">
        <f t="shared" si="7"/>
        <v>0</v>
      </c>
      <c r="T66" s="2">
        <f t="shared" si="7"/>
        <v>0</v>
      </c>
      <c r="U66" s="2">
        <f t="shared" si="7"/>
        <v>0</v>
      </c>
      <c r="V66" s="2">
        <f t="shared" si="7"/>
        <v>0</v>
      </c>
      <c r="W66" s="2">
        <f t="shared" si="7"/>
        <v>0</v>
      </c>
      <c r="X66" s="2">
        <f t="shared" si="7"/>
        <v>0</v>
      </c>
      <c r="Y66" s="2">
        <f t="shared" si="7"/>
        <v>0</v>
      </c>
      <c r="Z66" s="2">
        <f t="shared" si="7"/>
        <v>0</v>
      </c>
      <c r="AA66" s="2">
        <f t="shared" si="7"/>
        <v>0</v>
      </c>
    </row>
    <row r="68" spans="1:27" x14ac:dyDescent="0.25">
      <c r="D68" t="s">
        <v>137</v>
      </c>
      <c r="F68" t="s">
        <v>7</v>
      </c>
      <c r="G68" s="2">
        <f>SUM($G$64:G66)</f>
        <v>0</v>
      </c>
      <c r="H68" s="2">
        <f>SUM($G$64:H66)</f>
        <v>0</v>
      </c>
      <c r="I68" s="2">
        <f>SUM($G$64:I66)</f>
        <v>0</v>
      </c>
      <c r="J68" s="2">
        <f>SUM($G$64:J66)</f>
        <v>0</v>
      </c>
      <c r="K68" s="2">
        <f>SUM($G$64:K66)</f>
        <v>0</v>
      </c>
      <c r="L68" s="2">
        <f>SUM($G$64:L66)</f>
        <v>0</v>
      </c>
      <c r="M68" s="2">
        <f>SUM($G$64:M66)</f>
        <v>0</v>
      </c>
      <c r="N68" s="2">
        <f>SUM($G$64:N66)</f>
        <v>0</v>
      </c>
      <c r="O68" s="2">
        <f>SUM($G$64:O66)</f>
        <v>0</v>
      </c>
      <c r="P68" s="2">
        <f>SUM($G$64:P66)</f>
        <v>0</v>
      </c>
      <c r="Q68" s="2">
        <f>SUM($G$64:Q66)</f>
        <v>0</v>
      </c>
      <c r="R68" s="2">
        <f>SUM($G$64:R66)</f>
        <v>0</v>
      </c>
      <c r="S68" s="2">
        <f>SUM($G$64:S66)</f>
        <v>0</v>
      </c>
      <c r="T68" s="2">
        <f>SUM($G$64:T66)</f>
        <v>0</v>
      </c>
      <c r="U68" s="2">
        <f>SUM($G$64:U66)</f>
        <v>0</v>
      </c>
      <c r="V68" s="2">
        <f>SUM($G$64:V66)</f>
        <v>0</v>
      </c>
      <c r="W68" s="2">
        <f>SUM($G$64:W66)</f>
        <v>0</v>
      </c>
      <c r="X68" s="2">
        <f>SUM($G$64:X66)</f>
        <v>0</v>
      </c>
      <c r="Y68" s="2">
        <f>SUM($G$64:Y66)</f>
        <v>0</v>
      </c>
      <c r="Z68" s="2">
        <f>SUM($G$64:Z66)</f>
        <v>0</v>
      </c>
      <c r="AA68" s="2">
        <f>SUM($G$64:AA66)</f>
        <v>0</v>
      </c>
    </row>
    <row r="70" spans="1:27" x14ac:dyDescent="0.25">
      <c r="A70" s="14">
        <f>'Notes &amp; Assumptions'!A27</f>
        <v>14</v>
      </c>
      <c r="D70" t="s">
        <v>6</v>
      </c>
    </row>
    <row r="71" spans="1:27" x14ac:dyDescent="0.25">
      <c r="E71" s="2" t="str">
        <f>E7</f>
        <v>Pipes</v>
      </c>
      <c r="F71" t="s">
        <v>7</v>
      </c>
      <c r="G71" s="10"/>
      <c r="H71" s="10"/>
      <c r="I71" s="10"/>
      <c r="J71" s="10"/>
      <c r="K71" s="10"/>
      <c r="L71" s="10"/>
      <c r="M71" s="10"/>
      <c r="N71" s="10"/>
      <c r="O71" s="10"/>
      <c r="P71" s="10"/>
      <c r="Q71" s="10"/>
      <c r="R71" s="10"/>
      <c r="S71" s="10"/>
      <c r="T71" s="10"/>
      <c r="U71" s="10"/>
      <c r="V71" s="10"/>
      <c r="W71" s="10"/>
      <c r="X71" s="10"/>
      <c r="Y71" s="10"/>
      <c r="Z71" s="10"/>
      <c r="AA71" s="10"/>
    </row>
    <row r="72" spans="1:27" x14ac:dyDescent="0.25">
      <c r="E72" s="2" t="str">
        <f>E8</f>
        <v>Pumps</v>
      </c>
      <c r="F72" t="s">
        <v>7</v>
      </c>
      <c r="G72" s="10"/>
      <c r="H72" s="10"/>
      <c r="I72" s="10"/>
      <c r="J72" s="10"/>
      <c r="K72" s="10"/>
      <c r="L72" s="10"/>
      <c r="M72" s="10"/>
      <c r="N72" s="10"/>
      <c r="O72" s="10"/>
      <c r="P72" s="10"/>
      <c r="Q72" s="10"/>
      <c r="R72" s="10"/>
      <c r="S72" s="10"/>
      <c r="T72" s="10"/>
      <c r="U72" s="10"/>
      <c r="V72" s="10"/>
      <c r="W72" s="10"/>
      <c r="X72" s="10"/>
      <c r="Y72" s="10"/>
      <c r="Z72" s="10"/>
      <c r="AA72" s="10"/>
    </row>
    <row r="73" spans="1:27" x14ac:dyDescent="0.25">
      <c r="E73" s="2" t="str">
        <f>E9</f>
        <v>Valves and Meters</v>
      </c>
      <c r="F73" t="s">
        <v>7</v>
      </c>
      <c r="G73" s="10"/>
      <c r="H73" s="10"/>
      <c r="I73" s="10"/>
      <c r="J73" s="10"/>
      <c r="K73" s="10"/>
      <c r="L73" s="10"/>
      <c r="M73" s="10"/>
      <c r="N73" s="10"/>
      <c r="O73" s="10"/>
      <c r="P73" s="10"/>
      <c r="Q73" s="10"/>
      <c r="R73" s="10"/>
      <c r="S73" s="10"/>
      <c r="T73" s="10"/>
      <c r="U73" s="10"/>
      <c r="V73" s="10"/>
      <c r="W73" s="10"/>
      <c r="X73" s="10"/>
      <c r="Y73" s="10"/>
      <c r="Z73" s="10"/>
      <c r="AA73" s="10"/>
    </row>
    <row r="74" spans="1:27" x14ac:dyDescent="0.25">
      <c r="E74" t="s">
        <v>131</v>
      </c>
      <c r="F74" t="s">
        <v>7</v>
      </c>
      <c r="G74" s="10"/>
      <c r="H74" s="10"/>
      <c r="I74" s="10"/>
      <c r="J74" s="10"/>
      <c r="K74" s="10"/>
      <c r="L74" s="10"/>
      <c r="M74" s="10"/>
      <c r="N74" s="10"/>
      <c r="O74" s="10"/>
      <c r="P74" s="10"/>
      <c r="Q74" s="10"/>
      <c r="R74" s="10"/>
      <c r="S74" s="10"/>
      <c r="T74" s="10"/>
      <c r="U74" s="10"/>
      <c r="V74" s="10"/>
      <c r="W74" s="10"/>
      <c r="X74" s="10"/>
      <c r="Y74" s="10"/>
      <c r="Z74" s="10"/>
      <c r="AA74" s="10"/>
    </row>
    <row r="75" spans="1:27" x14ac:dyDescent="0.25">
      <c r="G75" s="2">
        <f>SUM(G71:G74)</f>
        <v>0</v>
      </c>
      <c r="H75" s="2">
        <f t="shared" ref="H75:AA75" si="9">SUM(H71:H74)</f>
        <v>0</v>
      </c>
      <c r="I75" s="2">
        <f t="shared" si="9"/>
        <v>0</v>
      </c>
      <c r="J75" s="2">
        <f t="shared" si="9"/>
        <v>0</v>
      </c>
      <c r="K75" s="2">
        <f t="shared" si="9"/>
        <v>0</v>
      </c>
      <c r="L75" s="2">
        <f t="shared" si="9"/>
        <v>0</v>
      </c>
      <c r="M75" s="2">
        <f t="shared" si="9"/>
        <v>0</v>
      </c>
      <c r="N75" s="2">
        <f t="shared" si="9"/>
        <v>0</v>
      </c>
      <c r="O75" s="2">
        <f t="shared" si="9"/>
        <v>0</v>
      </c>
      <c r="P75" s="2">
        <f t="shared" si="9"/>
        <v>0</v>
      </c>
      <c r="Q75" s="2">
        <f t="shared" si="9"/>
        <v>0</v>
      </c>
      <c r="R75" s="2">
        <f t="shared" si="9"/>
        <v>0</v>
      </c>
      <c r="S75" s="2">
        <f t="shared" si="9"/>
        <v>0</v>
      </c>
      <c r="T75" s="2">
        <f t="shared" si="9"/>
        <v>0</v>
      </c>
      <c r="U75" s="2">
        <f t="shared" si="9"/>
        <v>0</v>
      </c>
      <c r="V75" s="2">
        <f t="shared" si="9"/>
        <v>0</v>
      </c>
      <c r="W75" s="2">
        <f t="shared" si="9"/>
        <v>0</v>
      </c>
      <c r="X75" s="2">
        <f t="shared" si="9"/>
        <v>0</v>
      </c>
      <c r="Y75" s="2">
        <f t="shared" si="9"/>
        <v>0</v>
      </c>
      <c r="Z75" s="2">
        <f t="shared" si="9"/>
        <v>0</v>
      </c>
      <c r="AA75" s="2">
        <f t="shared" si="9"/>
        <v>0</v>
      </c>
    </row>
    <row r="76" spans="1:27" x14ac:dyDescent="0.25">
      <c r="G76" s="2"/>
      <c r="H76" s="2"/>
      <c r="I76" s="2"/>
      <c r="J76" s="2"/>
      <c r="K76" s="2"/>
      <c r="L76" s="2"/>
      <c r="M76" s="2"/>
      <c r="N76" s="2"/>
      <c r="O76" s="2"/>
      <c r="P76" s="2"/>
      <c r="Q76" s="2"/>
      <c r="R76" s="2"/>
      <c r="S76" s="2"/>
      <c r="T76" s="2"/>
      <c r="U76" s="2"/>
      <c r="V76" s="2"/>
      <c r="W76" s="2"/>
      <c r="X76" s="2"/>
      <c r="Y76" s="2"/>
      <c r="Z76" s="2"/>
      <c r="AA76" s="2"/>
    </row>
    <row r="77" spans="1:27" x14ac:dyDescent="0.25">
      <c r="D77" t="s">
        <v>136</v>
      </c>
      <c r="G77" s="2"/>
      <c r="H77" s="2"/>
      <c r="I77" s="2"/>
      <c r="J77" s="2"/>
      <c r="K77" s="2"/>
      <c r="L77" s="2"/>
      <c r="M77" s="2"/>
      <c r="N77" s="2"/>
      <c r="O77" s="2"/>
      <c r="P77" s="2"/>
      <c r="Q77" s="2"/>
    </row>
    <row r="78" spans="1:27" x14ac:dyDescent="0.25">
      <c r="E78" s="2" t="str">
        <f>E71</f>
        <v>Pipes</v>
      </c>
      <c r="F78" t="s">
        <v>7</v>
      </c>
      <c r="G78" s="2">
        <f t="shared" ref="G78:AA80" si="10">G71/$G7+IF((G$2-$G7+1)&gt;0,-INDEX($G71:$AA71,1,(G$2-$G7+1))/$G7,0)</f>
        <v>0</v>
      </c>
      <c r="H78" s="2">
        <f t="shared" si="10"/>
        <v>0</v>
      </c>
      <c r="I78" s="2">
        <f t="shared" si="10"/>
        <v>0</v>
      </c>
      <c r="J78" s="2">
        <f t="shared" si="10"/>
        <v>0</v>
      </c>
      <c r="K78" s="2">
        <f t="shared" si="10"/>
        <v>0</v>
      </c>
      <c r="L78" s="2">
        <f t="shared" si="10"/>
        <v>0</v>
      </c>
      <c r="M78" s="2">
        <f t="shared" si="10"/>
        <v>0</v>
      </c>
      <c r="N78" s="2">
        <f t="shared" si="10"/>
        <v>0</v>
      </c>
      <c r="O78" s="2">
        <f t="shared" si="10"/>
        <v>0</v>
      </c>
      <c r="P78" s="2">
        <f t="shared" si="10"/>
        <v>0</v>
      </c>
      <c r="Q78" s="2">
        <f t="shared" si="10"/>
        <v>0</v>
      </c>
      <c r="R78" s="2">
        <f t="shared" si="10"/>
        <v>0</v>
      </c>
      <c r="S78" s="2">
        <f t="shared" si="10"/>
        <v>0</v>
      </c>
      <c r="T78" s="2">
        <f t="shared" si="10"/>
        <v>0</v>
      </c>
      <c r="U78" s="2">
        <f t="shared" si="10"/>
        <v>0</v>
      </c>
      <c r="V78" s="2">
        <f t="shared" si="10"/>
        <v>0</v>
      </c>
      <c r="W78" s="2">
        <f t="shared" si="10"/>
        <v>0</v>
      </c>
      <c r="X78" s="2">
        <f t="shared" si="10"/>
        <v>0</v>
      </c>
      <c r="Y78" s="2">
        <f t="shared" si="10"/>
        <v>0</v>
      </c>
      <c r="Z78" s="2">
        <f t="shared" si="10"/>
        <v>0</v>
      </c>
      <c r="AA78" s="2">
        <f t="shared" si="10"/>
        <v>0</v>
      </c>
    </row>
    <row r="79" spans="1:27" x14ac:dyDescent="0.25">
      <c r="E79" s="2" t="str">
        <f t="shared" ref="E79:E80" si="11">E72</f>
        <v>Pumps</v>
      </c>
      <c r="F79" t="s">
        <v>7</v>
      </c>
      <c r="G79" s="2">
        <f t="shared" si="10"/>
        <v>0</v>
      </c>
      <c r="H79" s="2">
        <f t="shared" si="10"/>
        <v>0</v>
      </c>
      <c r="I79" s="2">
        <f t="shared" si="10"/>
        <v>0</v>
      </c>
      <c r="J79" s="2">
        <f t="shared" si="10"/>
        <v>0</v>
      </c>
      <c r="K79" s="2">
        <f t="shared" si="10"/>
        <v>0</v>
      </c>
      <c r="L79" s="2">
        <f t="shared" si="10"/>
        <v>0</v>
      </c>
      <c r="M79" s="2">
        <f t="shared" si="10"/>
        <v>0</v>
      </c>
      <c r="N79" s="2">
        <f t="shared" si="10"/>
        <v>0</v>
      </c>
      <c r="O79" s="2">
        <f t="shared" si="10"/>
        <v>0</v>
      </c>
      <c r="P79" s="2">
        <f t="shared" si="10"/>
        <v>0</v>
      </c>
      <c r="Q79" s="2">
        <f t="shared" si="10"/>
        <v>0</v>
      </c>
      <c r="R79" s="2">
        <f t="shared" si="10"/>
        <v>0</v>
      </c>
      <c r="S79" s="2">
        <f t="shared" si="10"/>
        <v>0</v>
      </c>
      <c r="T79" s="2">
        <f t="shared" si="10"/>
        <v>0</v>
      </c>
      <c r="U79" s="2">
        <f t="shared" si="10"/>
        <v>0</v>
      </c>
      <c r="V79" s="2">
        <f t="shared" si="10"/>
        <v>0</v>
      </c>
      <c r="W79" s="2">
        <f t="shared" si="10"/>
        <v>0</v>
      </c>
      <c r="X79" s="2">
        <f t="shared" si="10"/>
        <v>0</v>
      </c>
      <c r="Y79" s="2">
        <f t="shared" si="10"/>
        <v>0</v>
      </c>
      <c r="Z79" s="2">
        <f t="shared" si="10"/>
        <v>0</v>
      </c>
      <c r="AA79" s="2">
        <f t="shared" si="10"/>
        <v>0</v>
      </c>
    </row>
    <row r="80" spans="1:27" x14ac:dyDescent="0.25">
      <c r="E80" s="2" t="str">
        <f t="shared" si="11"/>
        <v>Valves and Meters</v>
      </c>
      <c r="F80" t="s">
        <v>7</v>
      </c>
      <c r="G80" s="2">
        <f t="shared" si="10"/>
        <v>0</v>
      </c>
      <c r="H80" s="2">
        <f t="shared" si="10"/>
        <v>0</v>
      </c>
      <c r="I80" s="2">
        <f t="shared" si="10"/>
        <v>0</v>
      </c>
      <c r="J80" s="2">
        <f t="shared" si="10"/>
        <v>0</v>
      </c>
      <c r="K80" s="2">
        <f t="shared" si="10"/>
        <v>0</v>
      </c>
      <c r="L80" s="2">
        <f t="shared" si="10"/>
        <v>0</v>
      </c>
      <c r="M80" s="2">
        <f t="shared" si="10"/>
        <v>0</v>
      </c>
      <c r="N80" s="2">
        <f t="shared" si="10"/>
        <v>0</v>
      </c>
      <c r="O80" s="2">
        <f t="shared" si="10"/>
        <v>0</v>
      </c>
      <c r="P80" s="2">
        <f t="shared" si="10"/>
        <v>0</v>
      </c>
      <c r="Q80" s="2">
        <f t="shared" si="10"/>
        <v>0</v>
      </c>
      <c r="R80" s="2">
        <f t="shared" si="10"/>
        <v>0</v>
      </c>
      <c r="S80" s="2">
        <f t="shared" si="10"/>
        <v>0</v>
      </c>
      <c r="T80" s="2">
        <f t="shared" si="10"/>
        <v>0</v>
      </c>
      <c r="U80" s="2">
        <f t="shared" si="10"/>
        <v>0</v>
      </c>
      <c r="V80" s="2">
        <f t="shared" si="10"/>
        <v>0</v>
      </c>
      <c r="W80" s="2">
        <f t="shared" si="10"/>
        <v>0</v>
      </c>
      <c r="X80" s="2">
        <f t="shared" si="10"/>
        <v>0</v>
      </c>
      <c r="Y80" s="2">
        <f t="shared" si="10"/>
        <v>0</v>
      </c>
      <c r="Z80" s="2">
        <f t="shared" si="10"/>
        <v>0</v>
      </c>
      <c r="AA80" s="2">
        <f t="shared" si="10"/>
        <v>0</v>
      </c>
    </row>
    <row r="82" spans="1:27" x14ac:dyDescent="0.25">
      <c r="D82" t="s">
        <v>137</v>
      </c>
      <c r="F82" t="s">
        <v>7</v>
      </c>
      <c r="G82" s="2">
        <f>SUM($G$77:G80)</f>
        <v>0</v>
      </c>
      <c r="H82" s="2">
        <f>SUM($G$77:H80)</f>
        <v>0</v>
      </c>
      <c r="I82" s="2">
        <f>SUM($G$77:I80)</f>
        <v>0</v>
      </c>
      <c r="J82" s="2">
        <f>SUM($G$77:J80)</f>
        <v>0</v>
      </c>
      <c r="K82" s="2">
        <f>SUM($G$77:K80)</f>
        <v>0</v>
      </c>
      <c r="L82" s="2">
        <f>SUM($G$77:L80)</f>
        <v>0</v>
      </c>
      <c r="M82" s="2">
        <f>SUM($G$77:M80)</f>
        <v>0</v>
      </c>
      <c r="N82" s="2">
        <f>SUM($G$77:N80)</f>
        <v>0</v>
      </c>
      <c r="O82" s="2">
        <f>SUM($G$77:O80)</f>
        <v>0</v>
      </c>
      <c r="P82" s="2">
        <f>SUM($G$77:P80)</f>
        <v>0</v>
      </c>
      <c r="Q82" s="2">
        <f>SUM($G$77:Q80)</f>
        <v>0</v>
      </c>
      <c r="R82" s="2">
        <f>SUM($G$77:R80)</f>
        <v>0</v>
      </c>
      <c r="S82" s="2">
        <f>SUM($G$77:S80)</f>
        <v>0</v>
      </c>
      <c r="T82" s="2">
        <f>SUM($G$77:T80)</f>
        <v>0</v>
      </c>
      <c r="U82" s="2">
        <f>SUM($G$77:U80)</f>
        <v>0</v>
      </c>
      <c r="V82" s="2">
        <f>SUM($G$77:V80)</f>
        <v>0</v>
      </c>
      <c r="W82" s="2">
        <f>SUM($G$77:W80)</f>
        <v>0</v>
      </c>
      <c r="X82" s="2">
        <f>SUM($G$77:X80)</f>
        <v>0</v>
      </c>
      <c r="Y82" s="2">
        <f>SUM($G$77:Y80)</f>
        <v>0</v>
      </c>
      <c r="Z82" s="2">
        <f>SUM($G$77:Z80)</f>
        <v>0</v>
      </c>
      <c r="AA82" s="2">
        <f>SUM($G$77:AA80)</f>
        <v>0</v>
      </c>
    </row>
    <row r="83" spans="1:27" x14ac:dyDescent="0.25">
      <c r="G83" s="2"/>
      <c r="H83" s="2"/>
      <c r="I83" s="2"/>
      <c r="J83" s="2"/>
      <c r="K83" s="2"/>
      <c r="L83" s="2"/>
      <c r="M83" s="2"/>
      <c r="N83" s="2"/>
      <c r="O83" s="2"/>
      <c r="P83" s="2"/>
      <c r="Q83" s="2"/>
      <c r="R83" s="2"/>
      <c r="S83" s="2"/>
      <c r="T83" s="2"/>
      <c r="U83" s="2"/>
      <c r="V83" s="2"/>
      <c r="W83" s="2"/>
      <c r="X83" s="2"/>
      <c r="Y83" s="2"/>
      <c r="Z83" s="2"/>
      <c r="AA83" s="2"/>
    </row>
    <row r="84" spans="1:27" x14ac:dyDescent="0.25">
      <c r="D84" t="s">
        <v>138</v>
      </c>
      <c r="F84" t="s">
        <v>7</v>
      </c>
      <c r="G84" s="2">
        <f t="shared" ref="G84:AA84" si="12">G61-G75</f>
        <v>0</v>
      </c>
      <c r="H84" s="2">
        <f t="shared" si="12"/>
        <v>0</v>
      </c>
      <c r="I84" s="2">
        <f t="shared" si="12"/>
        <v>0</v>
      </c>
      <c r="J84" s="2">
        <f t="shared" si="12"/>
        <v>0</v>
      </c>
      <c r="K84" s="2">
        <f t="shared" si="12"/>
        <v>0</v>
      </c>
      <c r="L84" s="2">
        <f t="shared" si="12"/>
        <v>0</v>
      </c>
      <c r="M84" s="2">
        <f t="shared" si="12"/>
        <v>0</v>
      </c>
      <c r="N84" s="2">
        <f t="shared" si="12"/>
        <v>0</v>
      </c>
      <c r="O84" s="2">
        <f t="shared" si="12"/>
        <v>0</v>
      </c>
      <c r="P84" s="2">
        <f t="shared" si="12"/>
        <v>0</v>
      </c>
      <c r="Q84" s="2">
        <f t="shared" si="12"/>
        <v>0</v>
      </c>
      <c r="R84" s="2">
        <f t="shared" si="12"/>
        <v>0</v>
      </c>
      <c r="S84" s="2">
        <f t="shared" si="12"/>
        <v>0</v>
      </c>
      <c r="T84" s="2">
        <f t="shared" si="12"/>
        <v>0</v>
      </c>
      <c r="U84" s="2">
        <f t="shared" si="12"/>
        <v>0</v>
      </c>
      <c r="V84" s="2">
        <f t="shared" si="12"/>
        <v>0</v>
      </c>
      <c r="W84" s="2">
        <f t="shared" si="12"/>
        <v>0</v>
      </c>
      <c r="X84" s="2">
        <f t="shared" si="12"/>
        <v>0</v>
      </c>
      <c r="Y84" s="2">
        <f t="shared" si="12"/>
        <v>0</v>
      </c>
      <c r="Z84" s="2">
        <f t="shared" si="12"/>
        <v>0</v>
      </c>
      <c r="AA84" s="2">
        <f t="shared" si="12"/>
        <v>0</v>
      </c>
    </row>
    <row r="85" spans="1:27" x14ac:dyDescent="0.25">
      <c r="D85" t="s">
        <v>139</v>
      </c>
      <c r="F85" t="s">
        <v>7</v>
      </c>
      <c r="G85" s="2">
        <f t="shared" ref="G85:AA85" si="13">-G68+G82</f>
        <v>0</v>
      </c>
      <c r="H85" s="2">
        <f t="shared" si="13"/>
        <v>0</v>
      </c>
      <c r="I85" s="2">
        <f t="shared" si="13"/>
        <v>0</v>
      </c>
      <c r="J85" s="2">
        <f t="shared" si="13"/>
        <v>0</v>
      </c>
      <c r="K85" s="2">
        <f t="shared" si="13"/>
        <v>0</v>
      </c>
      <c r="L85" s="2">
        <f t="shared" si="13"/>
        <v>0</v>
      </c>
      <c r="M85" s="2">
        <f t="shared" si="13"/>
        <v>0</v>
      </c>
      <c r="N85" s="2">
        <f t="shared" si="13"/>
        <v>0</v>
      </c>
      <c r="O85" s="2">
        <f t="shared" si="13"/>
        <v>0</v>
      </c>
      <c r="P85" s="2">
        <f t="shared" si="13"/>
        <v>0</v>
      </c>
      <c r="Q85" s="2">
        <f t="shared" si="13"/>
        <v>0</v>
      </c>
      <c r="R85" s="2">
        <f t="shared" si="13"/>
        <v>0</v>
      </c>
      <c r="S85" s="2">
        <f t="shared" si="13"/>
        <v>0</v>
      </c>
      <c r="T85" s="2">
        <f t="shared" si="13"/>
        <v>0</v>
      </c>
      <c r="U85" s="2">
        <f t="shared" si="13"/>
        <v>0</v>
      </c>
      <c r="V85" s="2">
        <f t="shared" si="13"/>
        <v>0</v>
      </c>
      <c r="W85" s="2">
        <f t="shared" si="13"/>
        <v>0</v>
      </c>
      <c r="X85" s="2">
        <f t="shared" si="13"/>
        <v>0</v>
      </c>
      <c r="Y85" s="2">
        <f t="shared" si="13"/>
        <v>0</v>
      </c>
      <c r="Z85" s="2">
        <f t="shared" si="13"/>
        <v>0</v>
      </c>
      <c r="AA85" s="2">
        <f t="shared" si="13"/>
        <v>0</v>
      </c>
    </row>
    <row r="87" spans="1:27" x14ac:dyDescent="0.25">
      <c r="C87" s="1" t="str">
        <f>"Incremental "&amp;G4&amp;" Service Revenue"</f>
        <v>Incremental Wastewater Service Revenue</v>
      </c>
      <c r="D87" s="1"/>
    </row>
    <row r="88" spans="1:27" x14ac:dyDescent="0.25">
      <c r="C88" s="1"/>
      <c r="D88" s="1"/>
    </row>
    <row r="89" spans="1:27" x14ac:dyDescent="0.25">
      <c r="C89" s="1"/>
      <c r="D89" t="s">
        <v>59</v>
      </c>
      <c r="F89" t="s">
        <v>327</v>
      </c>
    </row>
    <row r="90" spans="1:27" x14ac:dyDescent="0.25">
      <c r="A90" s="14">
        <f>'Notes &amp; Assumptions'!A28</f>
        <v>15</v>
      </c>
      <c r="C90" s="1"/>
      <c r="D90" s="1"/>
      <c r="E90" t="s">
        <v>87</v>
      </c>
      <c r="F90" t="s">
        <v>3</v>
      </c>
      <c r="H90" s="10">
        <f>'Customer numbers'!P12+'20 Epping North Sewer'!H90+'20 Greenvale Sewer'!H90</f>
        <v>10727</v>
      </c>
      <c r="I90" s="10">
        <f>'Customer numbers'!Q12+'20 Epping North Sewer'!I90+'20 Greenvale Sewer'!I90</f>
        <v>10206</v>
      </c>
      <c r="J90" s="10">
        <f>'Customer numbers'!R12+'20 Epping North Sewer'!J90+'20 Greenvale Sewer'!J90</f>
        <v>9863.6999999999989</v>
      </c>
      <c r="K90" s="10">
        <f>'Customer numbers'!S12+'20 Epping North Sewer'!K90+'20 Greenvale Sewer'!K90</f>
        <v>9066.5999999999985</v>
      </c>
      <c r="L90" s="10">
        <f>'Customer numbers'!T12+'20 Epping North Sewer'!L90+'20 Greenvale Sewer'!L90</f>
        <v>8279.9999999999982</v>
      </c>
      <c r="M90" s="10">
        <f>'Customer numbers'!U12+'20 Epping North Sewer'!M90+'20 Greenvale Sewer'!M90</f>
        <v>7539.9999999999982</v>
      </c>
      <c r="N90" s="10">
        <f>'Customer numbers'!V12+'20 Epping North Sewer'!N90+'20 Greenvale Sewer'!N90</f>
        <v>6831.9999999999973</v>
      </c>
      <c r="O90" s="10">
        <f>'Customer numbers'!W12+'20 Epping North Sewer'!O90+'20 Greenvale Sewer'!O90</f>
        <v>6161.699999999998</v>
      </c>
      <c r="P90" s="10">
        <f>'Customer numbers'!X12+'20 Epping North Sewer'!P90+'20 Greenvale Sewer'!P90</f>
        <v>6041.9999999999982</v>
      </c>
      <c r="Q90" s="10">
        <f>'Customer numbers'!Y12+'20 Epping North Sewer'!Q90+'20 Greenvale Sewer'!Q90</f>
        <v>5899.5999999999985</v>
      </c>
      <c r="R90" s="10">
        <f>'Customer numbers'!Z12+'20 Epping North Sewer'!R90+'20 Greenvale Sewer'!R90</f>
        <v>6222.9999999999982</v>
      </c>
      <c r="S90" s="10">
        <f>'Customer numbers'!AA12+'20 Epping North Sewer'!S90+'20 Greenvale Sewer'!S90</f>
        <v>6580.699999999998</v>
      </c>
      <c r="T90" s="10">
        <f>'Customer numbers'!AB12+'20 Epping North Sewer'!T90+'20 Greenvale Sewer'!T90</f>
        <v>6957.9999999999982</v>
      </c>
      <c r="U90" s="10">
        <f>'Customer numbers'!AC12+'20 Epping North Sewer'!U90+'20 Greenvale Sewer'!U90</f>
        <v>6928.5999999999976</v>
      </c>
      <c r="V90" s="10">
        <f>'Customer numbers'!AD12+'20 Epping North Sewer'!V90+'20 Greenvale Sewer'!V90</f>
        <v>6894.2999999999975</v>
      </c>
    </row>
    <row r="91" spans="1:27" x14ac:dyDescent="0.25">
      <c r="C91" s="1"/>
      <c r="D91" s="1"/>
      <c r="E91" t="s">
        <v>60</v>
      </c>
      <c r="F91" t="s">
        <v>3</v>
      </c>
      <c r="G91">
        <f>IF('Key assumptions'!B4="yes",SUM('Customer numbers'!F13:O13),0)</f>
        <v>0</v>
      </c>
      <c r="H91" s="2">
        <f>G91+H90</f>
        <v>10727</v>
      </c>
      <c r="I91" s="2">
        <f t="shared" ref="I91:AA91" si="14">H91+I90</f>
        <v>20933</v>
      </c>
      <c r="J91" s="2">
        <f t="shared" si="14"/>
        <v>30796.699999999997</v>
      </c>
      <c r="K91" s="2">
        <f t="shared" si="14"/>
        <v>39863.299999999996</v>
      </c>
      <c r="L91" s="2">
        <f t="shared" si="14"/>
        <v>48143.299999999996</v>
      </c>
      <c r="M91" s="2">
        <f t="shared" si="14"/>
        <v>55683.299999999996</v>
      </c>
      <c r="N91" s="2">
        <f t="shared" si="14"/>
        <v>62515.299999999996</v>
      </c>
      <c r="O91" s="2">
        <f t="shared" si="14"/>
        <v>68677</v>
      </c>
      <c r="P91" s="2">
        <f t="shared" si="14"/>
        <v>74719</v>
      </c>
      <c r="Q91" s="2">
        <f t="shared" si="14"/>
        <v>80618.600000000006</v>
      </c>
      <c r="R91" s="2">
        <f t="shared" si="14"/>
        <v>86841.600000000006</v>
      </c>
      <c r="S91" s="2">
        <f t="shared" si="14"/>
        <v>93422.3</v>
      </c>
      <c r="T91" s="2">
        <f t="shared" si="14"/>
        <v>100380.3</v>
      </c>
      <c r="U91" s="2">
        <f t="shared" si="14"/>
        <v>107308.9</v>
      </c>
      <c r="V91" s="2">
        <f t="shared" si="14"/>
        <v>114203.2</v>
      </c>
      <c r="W91" s="2">
        <f t="shared" si="14"/>
        <v>114203.2</v>
      </c>
      <c r="X91" s="2">
        <f t="shared" si="14"/>
        <v>114203.2</v>
      </c>
      <c r="Y91" s="2">
        <f t="shared" si="14"/>
        <v>114203.2</v>
      </c>
      <c r="Z91" s="2">
        <f t="shared" si="14"/>
        <v>114203.2</v>
      </c>
      <c r="AA91" s="2">
        <f t="shared" si="14"/>
        <v>114203.2</v>
      </c>
    </row>
    <row r="92" spans="1:27" x14ac:dyDescent="0.25">
      <c r="A92" s="14">
        <f>'Notes &amp; Assumptions'!A29</f>
        <v>16</v>
      </c>
      <c r="C92" s="1"/>
      <c r="D92" s="1"/>
      <c r="E92" t="s">
        <v>61</v>
      </c>
      <c r="F92" t="s">
        <v>3</v>
      </c>
      <c r="G92" s="10">
        <v>1</v>
      </c>
    </row>
    <row r="93" spans="1:27" x14ac:dyDescent="0.25">
      <c r="C93" s="1"/>
      <c r="D93" s="1"/>
      <c r="E93" t="s">
        <v>88</v>
      </c>
      <c r="F93" t="s">
        <v>3</v>
      </c>
      <c r="H93">
        <f>H90*$G92</f>
        <v>10727</v>
      </c>
      <c r="I93">
        <f t="shared" ref="I93:AA93" si="15">I90*$G92</f>
        <v>10206</v>
      </c>
      <c r="J93">
        <f t="shared" si="15"/>
        <v>9863.6999999999989</v>
      </c>
      <c r="K93">
        <f t="shared" si="15"/>
        <v>9066.5999999999985</v>
      </c>
      <c r="L93">
        <f t="shared" si="15"/>
        <v>8279.9999999999982</v>
      </c>
      <c r="M93">
        <f t="shared" si="15"/>
        <v>7539.9999999999982</v>
      </c>
      <c r="N93">
        <f t="shared" si="15"/>
        <v>6831.9999999999973</v>
      </c>
      <c r="O93">
        <f t="shared" si="15"/>
        <v>6161.699999999998</v>
      </c>
      <c r="P93">
        <f t="shared" si="15"/>
        <v>6041.9999999999982</v>
      </c>
      <c r="Q93">
        <f t="shared" si="15"/>
        <v>5899.5999999999985</v>
      </c>
      <c r="R93">
        <f t="shared" si="15"/>
        <v>6222.9999999999982</v>
      </c>
      <c r="S93">
        <f t="shared" si="15"/>
        <v>6580.699999999998</v>
      </c>
      <c r="T93">
        <f t="shared" si="15"/>
        <v>6957.9999999999982</v>
      </c>
      <c r="U93">
        <f t="shared" si="15"/>
        <v>6928.5999999999976</v>
      </c>
      <c r="V93">
        <f t="shared" si="15"/>
        <v>6894.2999999999975</v>
      </c>
      <c r="W93">
        <f t="shared" si="15"/>
        <v>0</v>
      </c>
      <c r="X93">
        <f t="shared" si="15"/>
        <v>0</v>
      </c>
      <c r="Y93">
        <f t="shared" si="15"/>
        <v>0</v>
      </c>
      <c r="Z93">
        <f t="shared" si="15"/>
        <v>0</v>
      </c>
      <c r="AA93">
        <f t="shared" si="15"/>
        <v>0</v>
      </c>
    </row>
    <row r="94" spans="1:27" x14ac:dyDescent="0.25">
      <c r="C94" s="1"/>
      <c r="D94" s="1"/>
      <c r="E94" t="s">
        <v>89</v>
      </c>
      <c r="F94" t="s">
        <v>3</v>
      </c>
      <c r="H94">
        <f>H91*$G92</f>
        <v>10727</v>
      </c>
      <c r="I94">
        <f t="shared" ref="I94:AA94" si="16">I91*$G92</f>
        <v>20933</v>
      </c>
      <c r="J94">
        <f t="shared" si="16"/>
        <v>30796.699999999997</v>
      </c>
      <c r="K94">
        <f t="shared" si="16"/>
        <v>39863.299999999996</v>
      </c>
      <c r="L94">
        <f t="shared" si="16"/>
        <v>48143.299999999996</v>
      </c>
      <c r="M94">
        <f t="shared" si="16"/>
        <v>55683.299999999996</v>
      </c>
      <c r="N94">
        <f t="shared" si="16"/>
        <v>62515.299999999996</v>
      </c>
      <c r="O94">
        <f t="shared" si="16"/>
        <v>68677</v>
      </c>
      <c r="P94">
        <f t="shared" si="16"/>
        <v>74719</v>
      </c>
      <c r="Q94">
        <f t="shared" si="16"/>
        <v>80618.600000000006</v>
      </c>
      <c r="R94">
        <f t="shared" si="16"/>
        <v>86841.600000000006</v>
      </c>
      <c r="S94">
        <f t="shared" si="16"/>
        <v>93422.3</v>
      </c>
      <c r="T94">
        <f t="shared" si="16"/>
        <v>100380.3</v>
      </c>
      <c r="U94">
        <f t="shared" si="16"/>
        <v>107308.9</v>
      </c>
      <c r="V94">
        <f t="shared" si="16"/>
        <v>114203.2</v>
      </c>
      <c r="W94">
        <f t="shared" si="16"/>
        <v>114203.2</v>
      </c>
      <c r="X94">
        <f t="shared" si="16"/>
        <v>114203.2</v>
      </c>
      <c r="Y94">
        <f t="shared" si="16"/>
        <v>114203.2</v>
      </c>
      <c r="Z94">
        <f t="shared" si="16"/>
        <v>114203.2</v>
      </c>
      <c r="AA94">
        <f t="shared" si="16"/>
        <v>114203.2</v>
      </c>
    </row>
    <row r="95" spans="1:27" x14ac:dyDescent="0.25">
      <c r="A95" s="14">
        <f>'Notes &amp; Assumptions'!A30</f>
        <v>17</v>
      </c>
      <c r="C95" s="1"/>
      <c r="D95" s="1"/>
      <c r="E95" t="s">
        <v>62</v>
      </c>
      <c r="F95" t="s">
        <v>43</v>
      </c>
      <c r="H95" s="10">
        <f>'Key assumptions'!B23</f>
        <v>112.5</v>
      </c>
      <c r="I95" s="10">
        <f>H95</f>
        <v>112.5</v>
      </c>
      <c r="J95" s="10">
        <f t="shared" ref="J95:AA95" si="17">I95</f>
        <v>112.5</v>
      </c>
      <c r="K95" s="10">
        <f t="shared" si="17"/>
        <v>112.5</v>
      </c>
      <c r="L95" s="10">
        <f t="shared" si="17"/>
        <v>112.5</v>
      </c>
      <c r="M95" s="10">
        <f t="shared" si="17"/>
        <v>112.5</v>
      </c>
      <c r="N95" s="10">
        <f t="shared" si="17"/>
        <v>112.5</v>
      </c>
      <c r="O95" s="10">
        <f t="shared" si="17"/>
        <v>112.5</v>
      </c>
      <c r="P95" s="10">
        <f t="shared" si="17"/>
        <v>112.5</v>
      </c>
      <c r="Q95" s="10">
        <f t="shared" si="17"/>
        <v>112.5</v>
      </c>
      <c r="R95" s="10">
        <f t="shared" si="17"/>
        <v>112.5</v>
      </c>
      <c r="S95" s="10">
        <f t="shared" si="17"/>
        <v>112.5</v>
      </c>
      <c r="T95" s="10">
        <f t="shared" si="17"/>
        <v>112.5</v>
      </c>
      <c r="U95" s="10">
        <f t="shared" si="17"/>
        <v>112.5</v>
      </c>
      <c r="V95" s="10">
        <f t="shared" si="17"/>
        <v>112.5</v>
      </c>
      <c r="W95" s="10">
        <f t="shared" si="17"/>
        <v>112.5</v>
      </c>
      <c r="X95" s="10">
        <f t="shared" si="17"/>
        <v>112.5</v>
      </c>
      <c r="Y95" s="10">
        <f t="shared" si="17"/>
        <v>112.5</v>
      </c>
      <c r="Z95" s="10">
        <f t="shared" si="17"/>
        <v>112.5</v>
      </c>
      <c r="AA95" s="10">
        <f t="shared" si="17"/>
        <v>112.5</v>
      </c>
    </row>
    <row r="96" spans="1:27" x14ac:dyDescent="0.25">
      <c r="C96" s="1"/>
      <c r="D96" s="1"/>
      <c r="E96" t="s">
        <v>63</v>
      </c>
      <c r="F96" t="s">
        <v>43</v>
      </c>
      <c r="H96" s="10"/>
      <c r="I96" s="10"/>
      <c r="J96" s="10"/>
      <c r="K96" s="10"/>
      <c r="L96" s="10"/>
      <c r="M96" s="10"/>
      <c r="N96" s="10"/>
      <c r="O96" s="10"/>
      <c r="P96" s="10"/>
      <c r="Q96" s="10"/>
      <c r="R96" s="10"/>
      <c r="S96" s="10"/>
      <c r="T96" s="10"/>
      <c r="U96" s="10"/>
      <c r="V96" s="10"/>
      <c r="W96" s="10"/>
      <c r="X96" s="10"/>
      <c r="Y96" s="10"/>
      <c r="Z96" s="10"/>
      <c r="AA96" s="10"/>
    </row>
    <row r="97" spans="1:27" x14ac:dyDescent="0.25">
      <c r="C97" s="1"/>
      <c r="D97" s="1"/>
      <c r="E97" t="s">
        <v>140</v>
      </c>
      <c r="F97" t="s">
        <v>43</v>
      </c>
      <c r="H97" s="10"/>
      <c r="I97" s="10"/>
      <c r="J97" s="10"/>
      <c r="K97" s="10"/>
      <c r="L97" s="10"/>
      <c r="M97" s="10"/>
      <c r="N97" s="10"/>
      <c r="O97" s="10"/>
      <c r="P97" s="10"/>
      <c r="Q97" s="10"/>
      <c r="R97" s="10"/>
      <c r="S97" s="10"/>
      <c r="T97" s="10"/>
      <c r="U97" s="10"/>
      <c r="V97" s="10"/>
      <c r="W97" s="10"/>
      <c r="X97" s="10"/>
      <c r="Y97" s="10"/>
      <c r="Z97" s="10"/>
      <c r="AA97" s="10"/>
    </row>
    <row r="98" spans="1:27" x14ac:dyDescent="0.25">
      <c r="C98" s="1"/>
      <c r="D98" s="1"/>
      <c r="E98" t="s">
        <v>64</v>
      </c>
      <c r="F98" t="s">
        <v>144</v>
      </c>
      <c r="H98" s="2">
        <f>H91*H95</f>
        <v>1206787.5</v>
      </c>
      <c r="I98" s="2">
        <f t="shared" ref="I98:AA98" si="18">I91*I95</f>
        <v>2354962.5</v>
      </c>
      <c r="J98" s="2">
        <f t="shared" si="18"/>
        <v>3464628.7499999995</v>
      </c>
      <c r="K98" s="2">
        <f t="shared" si="18"/>
        <v>4484621.2499999991</v>
      </c>
      <c r="L98" s="2">
        <f t="shared" si="18"/>
        <v>5416121.2499999991</v>
      </c>
      <c r="M98" s="2">
        <f t="shared" si="18"/>
        <v>6264371.2499999991</v>
      </c>
      <c r="N98" s="2">
        <f t="shared" si="18"/>
        <v>7032971.2499999991</v>
      </c>
      <c r="O98" s="2">
        <f t="shared" si="18"/>
        <v>7726162.5</v>
      </c>
      <c r="P98" s="2">
        <f t="shared" si="18"/>
        <v>8405887.5</v>
      </c>
      <c r="Q98" s="2">
        <f t="shared" si="18"/>
        <v>9069592.5</v>
      </c>
      <c r="R98" s="2">
        <f t="shared" si="18"/>
        <v>9769680</v>
      </c>
      <c r="S98" s="2">
        <f t="shared" si="18"/>
        <v>10510008.75</v>
      </c>
      <c r="T98" s="2">
        <f t="shared" si="18"/>
        <v>11292783.75</v>
      </c>
      <c r="U98" s="2">
        <f t="shared" si="18"/>
        <v>12072251.25</v>
      </c>
      <c r="V98" s="2">
        <f t="shared" si="18"/>
        <v>12847860</v>
      </c>
      <c r="W98" s="2">
        <f t="shared" si="18"/>
        <v>12847860</v>
      </c>
      <c r="X98" s="2">
        <f t="shared" si="18"/>
        <v>12847860</v>
      </c>
      <c r="Y98" s="2">
        <f t="shared" si="18"/>
        <v>12847860</v>
      </c>
      <c r="Z98" s="2">
        <f t="shared" si="18"/>
        <v>12847860</v>
      </c>
      <c r="AA98" s="2">
        <f t="shared" si="18"/>
        <v>12847860</v>
      </c>
    </row>
    <row r="99" spans="1:27" x14ac:dyDescent="0.25">
      <c r="C99" s="1"/>
      <c r="D99" s="1"/>
      <c r="E99" t="s">
        <v>65</v>
      </c>
      <c r="F99" t="s">
        <v>144</v>
      </c>
      <c r="H99" s="2">
        <f>H91*H96</f>
        <v>0</v>
      </c>
      <c r="I99" s="2">
        <f t="shared" ref="I99:AA99" si="19">I91*I96</f>
        <v>0</v>
      </c>
      <c r="J99" s="2">
        <f t="shared" si="19"/>
        <v>0</v>
      </c>
      <c r="K99" s="2">
        <f t="shared" si="19"/>
        <v>0</v>
      </c>
      <c r="L99" s="2">
        <f t="shared" si="19"/>
        <v>0</v>
      </c>
      <c r="M99" s="2">
        <f t="shared" si="19"/>
        <v>0</v>
      </c>
      <c r="N99" s="2">
        <f t="shared" si="19"/>
        <v>0</v>
      </c>
      <c r="O99" s="2">
        <f t="shared" si="19"/>
        <v>0</v>
      </c>
      <c r="P99" s="2">
        <f t="shared" si="19"/>
        <v>0</v>
      </c>
      <c r="Q99" s="2">
        <f t="shared" si="19"/>
        <v>0</v>
      </c>
      <c r="R99" s="2">
        <f t="shared" si="19"/>
        <v>0</v>
      </c>
      <c r="S99" s="2">
        <f t="shared" si="19"/>
        <v>0</v>
      </c>
      <c r="T99" s="2">
        <f t="shared" si="19"/>
        <v>0</v>
      </c>
      <c r="U99" s="2">
        <f t="shared" si="19"/>
        <v>0</v>
      </c>
      <c r="V99" s="2">
        <f t="shared" si="19"/>
        <v>0</v>
      </c>
      <c r="W99" s="2">
        <f t="shared" si="19"/>
        <v>0</v>
      </c>
      <c r="X99" s="2">
        <f t="shared" si="19"/>
        <v>0</v>
      </c>
      <c r="Y99" s="2">
        <f t="shared" si="19"/>
        <v>0</v>
      </c>
      <c r="Z99" s="2">
        <f t="shared" si="19"/>
        <v>0</v>
      </c>
      <c r="AA99" s="2">
        <f t="shared" si="19"/>
        <v>0</v>
      </c>
    </row>
    <row r="100" spans="1:27" x14ac:dyDescent="0.25">
      <c r="C100" s="1"/>
      <c r="D100" s="1"/>
      <c r="E100" t="s">
        <v>141</v>
      </c>
      <c r="F100" t="s">
        <v>144</v>
      </c>
      <c r="H100" s="2">
        <f>H91*H97</f>
        <v>0</v>
      </c>
      <c r="I100" s="2">
        <f t="shared" ref="I100:AA100" si="20">I91*I97</f>
        <v>0</v>
      </c>
      <c r="J100" s="2">
        <f t="shared" si="20"/>
        <v>0</v>
      </c>
      <c r="K100" s="2">
        <f t="shared" si="20"/>
        <v>0</v>
      </c>
      <c r="L100" s="2">
        <f t="shared" si="20"/>
        <v>0</v>
      </c>
      <c r="M100" s="2">
        <f t="shared" si="20"/>
        <v>0</v>
      </c>
      <c r="N100" s="2">
        <f t="shared" si="20"/>
        <v>0</v>
      </c>
      <c r="O100" s="2">
        <f t="shared" si="20"/>
        <v>0</v>
      </c>
      <c r="P100" s="2">
        <f t="shared" si="20"/>
        <v>0</v>
      </c>
      <c r="Q100" s="2">
        <f t="shared" si="20"/>
        <v>0</v>
      </c>
      <c r="R100" s="2">
        <f t="shared" si="20"/>
        <v>0</v>
      </c>
      <c r="S100" s="2">
        <f t="shared" si="20"/>
        <v>0</v>
      </c>
      <c r="T100" s="2">
        <f t="shared" si="20"/>
        <v>0</v>
      </c>
      <c r="U100" s="2">
        <f t="shared" si="20"/>
        <v>0</v>
      </c>
      <c r="V100" s="2">
        <f t="shared" si="20"/>
        <v>0</v>
      </c>
      <c r="W100" s="2">
        <f t="shared" si="20"/>
        <v>0</v>
      </c>
      <c r="X100" s="2">
        <f t="shared" si="20"/>
        <v>0</v>
      </c>
      <c r="Y100" s="2">
        <f t="shared" si="20"/>
        <v>0</v>
      </c>
      <c r="Z100" s="2">
        <f t="shared" si="20"/>
        <v>0</v>
      </c>
      <c r="AA100" s="2">
        <f t="shared" si="20"/>
        <v>0</v>
      </c>
    </row>
    <row r="101" spans="1:27" x14ac:dyDescent="0.25">
      <c r="A101" s="14">
        <f>'Notes &amp; Assumptions'!A31</f>
        <v>18</v>
      </c>
      <c r="C101" s="1"/>
      <c r="D101" s="1"/>
      <c r="E101" t="s">
        <v>66</v>
      </c>
      <c r="F101" t="s">
        <v>8</v>
      </c>
      <c r="H101" s="11">
        <f>'YVW tariffs'!D29</f>
        <v>-4.24E-2</v>
      </c>
      <c r="I101" s="11">
        <f>'YVW tariffs'!E29</f>
        <v>-2.7400000000000001E-2</v>
      </c>
      <c r="J101" s="11">
        <v>0</v>
      </c>
      <c r="K101" s="11">
        <v>0</v>
      </c>
      <c r="L101" s="11">
        <v>0</v>
      </c>
      <c r="M101" s="11">
        <v>0</v>
      </c>
      <c r="N101" s="11">
        <v>0</v>
      </c>
      <c r="O101" s="11">
        <v>0</v>
      </c>
      <c r="P101" s="11">
        <v>0</v>
      </c>
      <c r="Q101" s="11">
        <v>0</v>
      </c>
      <c r="R101" s="11">
        <v>0</v>
      </c>
      <c r="S101" s="11">
        <v>0</v>
      </c>
      <c r="T101" s="11">
        <v>0</v>
      </c>
      <c r="U101" s="11">
        <v>0</v>
      </c>
      <c r="V101" s="11">
        <v>0</v>
      </c>
      <c r="W101" s="11">
        <v>0</v>
      </c>
      <c r="X101" s="11">
        <v>0</v>
      </c>
      <c r="Y101" s="11">
        <v>0</v>
      </c>
      <c r="Z101" s="11">
        <v>0</v>
      </c>
      <c r="AA101" s="11">
        <v>0</v>
      </c>
    </row>
    <row r="102" spans="1:27" x14ac:dyDescent="0.25">
      <c r="A102" s="14">
        <f>'Notes &amp; Assumptions'!A32</f>
        <v>19</v>
      </c>
      <c r="C102" s="1"/>
      <c r="D102" s="1"/>
      <c r="E102" t="s">
        <v>40</v>
      </c>
      <c r="F102" t="s">
        <v>41</v>
      </c>
      <c r="G102" s="20">
        <f>'YVW tariffs'!E14</f>
        <v>467.88345999999996</v>
      </c>
      <c r="H102" s="2">
        <f>G102*(1+$G$14)*(1+H101)</f>
        <v>457.45415052321596</v>
      </c>
      <c r="I102" s="2">
        <f t="shared" ref="I102:AA102" si="21">H102*(1+$G$14)*(1+I101)</f>
        <v>454.26322484165627</v>
      </c>
      <c r="J102" s="2">
        <f t="shared" si="21"/>
        <v>463.80275256333101</v>
      </c>
      <c r="K102" s="2">
        <f t="shared" si="21"/>
        <v>473.54261036716093</v>
      </c>
      <c r="L102" s="2">
        <f t="shared" si="21"/>
        <v>483.48700518487129</v>
      </c>
      <c r="M102" s="2">
        <f t="shared" si="21"/>
        <v>493.64023229375357</v>
      </c>
      <c r="N102" s="2">
        <f t="shared" si="21"/>
        <v>504.00667717192238</v>
      </c>
      <c r="O102" s="2">
        <f t="shared" si="21"/>
        <v>514.5908173925327</v>
      </c>
      <c r="P102" s="2">
        <f t="shared" si="21"/>
        <v>525.39722455777587</v>
      </c>
      <c r="Q102" s="2">
        <f t="shared" si="21"/>
        <v>536.43056627348915</v>
      </c>
      <c r="R102" s="2">
        <f t="shared" si="21"/>
        <v>547.69560816523233</v>
      </c>
      <c r="S102" s="2">
        <f t="shared" si="21"/>
        <v>559.19721593670215</v>
      </c>
      <c r="T102" s="2">
        <f t="shared" si="21"/>
        <v>570.94035747137286</v>
      </c>
      <c r="U102" s="2">
        <f t="shared" si="21"/>
        <v>582.93010497827163</v>
      </c>
      <c r="V102" s="2">
        <f t="shared" si="21"/>
        <v>595.17163718281529</v>
      </c>
      <c r="W102" s="2">
        <f t="shared" si="21"/>
        <v>607.67024156365437</v>
      </c>
      <c r="X102" s="2">
        <f t="shared" si="21"/>
        <v>620.43131663649103</v>
      </c>
      <c r="Y102" s="2">
        <f t="shared" si="21"/>
        <v>633.46037428585726</v>
      </c>
      <c r="Z102" s="2">
        <f t="shared" si="21"/>
        <v>646.76304214586025</v>
      </c>
      <c r="AA102" s="2">
        <f t="shared" si="21"/>
        <v>660.34506603092325</v>
      </c>
    </row>
    <row r="103" spans="1:27" x14ac:dyDescent="0.25">
      <c r="C103" s="1"/>
      <c r="D103" s="1"/>
      <c r="E103" t="s">
        <v>67</v>
      </c>
      <c r="F103" t="s">
        <v>143</v>
      </c>
      <c r="G103" s="20">
        <f>'YVW tariffs'!E15</f>
        <v>1.1665946</v>
      </c>
      <c r="H103" s="21">
        <f>G103*(1+'YVW tariffs'!D30)*(1+H101)</f>
        <v>0</v>
      </c>
      <c r="I103" s="21">
        <f t="shared" ref="I103:AA103" si="22">H103*(1+$G$14)*(1+I101)</f>
        <v>0</v>
      </c>
      <c r="J103" s="21">
        <f t="shared" si="22"/>
        <v>0</v>
      </c>
      <c r="K103" s="21">
        <f t="shared" si="22"/>
        <v>0</v>
      </c>
      <c r="L103" s="21">
        <f t="shared" si="22"/>
        <v>0</v>
      </c>
      <c r="M103" s="21">
        <f t="shared" si="22"/>
        <v>0</v>
      </c>
      <c r="N103" s="21">
        <f t="shared" si="22"/>
        <v>0</v>
      </c>
      <c r="O103" s="21">
        <f t="shared" si="22"/>
        <v>0</v>
      </c>
      <c r="P103" s="21">
        <f t="shared" si="22"/>
        <v>0</v>
      </c>
      <c r="Q103" s="21">
        <f t="shared" si="22"/>
        <v>0</v>
      </c>
      <c r="R103" s="21">
        <f t="shared" si="22"/>
        <v>0</v>
      </c>
      <c r="S103" s="21">
        <f t="shared" si="22"/>
        <v>0</v>
      </c>
      <c r="T103" s="21">
        <f t="shared" si="22"/>
        <v>0</v>
      </c>
      <c r="U103" s="21">
        <f t="shared" si="22"/>
        <v>0</v>
      </c>
      <c r="V103" s="21">
        <f t="shared" si="22"/>
        <v>0</v>
      </c>
      <c r="W103" s="21">
        <f t="shared" si="22"/>
        <v>0</v>
      </c>
      <c r="X103" s="21">
        <f t="shared" si="22"/>
        <v>0</v>
      </c>
      <c r="Y103" s="21">
        <f t="shared" si="22"/>
        <v>0</v>
      </c>
      <c r="Z103" s="21">
        <f t="shared" si="22"/>
        <v>0</v>
      </c>
      <c r="AA103" s="21">
        <f t="shared" si="22"/>
        <v>0</v>
      </c>
    </row>
    <row r="104" spans="1:27" x14ac:dyDescent="0.25">
      <c r="C104" s="1"/>
      <c r="D104" s="1"/>
      <c r="E104" t="s">
        <v>68</v>
      </c>
      <c r="F104" t="s">
        <v>143</v>
      </c>
      <c r="G104" s="20"/>
      <c r="H104" s="21">
        <f>G104*(1+$G$14)*(1+H101)</f>
        <v>0</v>
      </c>
      <c r="I104" s="21">
        <f t="shared" ref="I104:AA104" si="23">H104*(1+$G$14)*(1+I101)</f>
        <v>0</v>
      </c>
      <c r="J104" s="21">
        <f t="shared" si="23"/>
        <v>0</v>
      </c>
      <c r="K104" s="21">
        <f t="shared" si="23"/>
        <v>0</v>
      </c>
      <c r="L104" s="21">
        <f t="shared" si="23"/>
        <v>0</v>
      </c>
      <c r="M104" s="21">
        <f t="shared" si="23"/>
        <v>0</v>
      </c>
      <c r="N104" s="21">
        <f t="shared" si="23"/>
        <v>0</v>
      </c>
      <c r="O104" s="21">
        <f t="shared" si="23"/>
        <v>0</v>
      </c>
      <c r="P104" s="21">
        <f t="shared" si="23"/>
        <v>0</v>
      </c>
      <c r="Q104" s="21">
        <f t="shared" si="23"/>
        <v>0</v>
      </c>
      <c r="R104" s="21">
        <f t="shared" si="23"/>
        <v>0</v>
      </c>
      <c r="S104" s="21">
        <f t="shared" si="23"/>
        <v>0</v>
      </c>
      <c r="T104" s="21">
        <f t="shared" si="23"/>
        <v>0</v>
      </c>
      <c r="U104" s="21">
        <f t="shared" si="23"/>
        <v>0</v>
      </c>
      <c r="V104" s="21">
        <f t="shared" si="23"/>
        <v>0</v>
      </c>
      <c r="W104" s="21">
        <f t="shared" si="23"/>
        <v>0</v>
      </c>
      <c r="X104" s="21">
        <f t="shared" si="23"/>
        <v>0</v>
      </c>
      <c r="Y104" s="21">
        <f t="shared" si="23"/>
        <v>0</v>
      </c>
      <c r="Z104" s="21">
        <f t="shared" si="23"/>
        <v>0</v>
      </c>
      <c r="AA104" s="21">
        <f t="shared" si="23"/>
        <v>0</v>
      </c>
    </row>
    <row r="105" spans="1:27" x14ac:dyDescent="0.25">
      <c r="C105" s="1"/>
      <c r="D105" s="1"/>
      <c r="E105" t="s">
        <v>142</v>
      </c>
      <c r="F105" t="s">
        <v>143</v>
      </c>
      <c r="G105" s="20"/>
      <c r="H105" s="21">
        <f>G105*(1+$G$14)*(1+H101)</f>
        <v>0</v>
      </c>
      <c r="I105" s="21">
        <f t="shared" ref="I105:AA105" si="24">H105*(1+$G$14)*(1+I101)</f>
        <v>0</v>
      </c>
      <c r="J105" s="21">
        <f t="shared" si="24"/>
        <v>0</v>
      </c>
      <c r="K105" s="21">
        <f t="shared" si="24"/>
        <v>0</v>
      </c>
      <c r="L105" s="21">
        <f t="shared" si="24"/>
        <v>0</v>
      </c>
      <c r="M105" s="21">
        <f t="shared" si="24"/>
        <v>0</v>
      </c>
      <c r="N105" s="21">
        <f t="shared" si="24"/>
        <v>0</v>
      </c>
      <c r="O105" s="21">
        <f t="shared" si="24"/>
        <v>0</v>
      </c>
      <c r="P105" s="21">
        <f t="shared" si="24"/>
        <v>0</v>
      </c>
      <c r="Q105" s="21">
        <f t="shared" si="24"/>
        <v>0</v>
      </c>
      <c r="R105" s="21">
        <f t="shared" si="24"/>
        <v>0</v>
      </c>
      <c r="S105" s="21">
        <f t="shared" si="24"/>
        <v>0</v>
      </c>
      <c r="T105" s="21">
        <f t="shared" si="24"/>
        <v>0</v>
      </c>
      <c r="U105" s="21">
        <f t="shared" si="24"/>
        <v>0</v>
      </c>
      <c r="V105" s="21">
        <f t="shared" si="24"/>
        <v>0</v>
      </c>
      <c r="W105" s="21">
        <f t="shared" si="24"/>
        <v>0</v>
      </c>
      <c r="X105" s="21">
        <f t="shared" si="24"/>
        <v>0</v>
      </c>
      <c r="Y105" s="21">
        <f t="shared" si="24"/>
        <v>0</v>
      </c>
      <c r="Z105" s="21">
        <f t="shared" si="24"/>
        <v>0</v>
      </c>
      <c r="AA105" s="21">
        <f t="shared" si="24"/>
        <v>0</v>
      </c>
    </row>
    <row r="106" spans="1:27" x14ac:dyDescent="0.25">
      <c r="C106" s="1"/>
      <c r="D106" s="1"/>
    </row>
    <row r="107" spans="1:27" x14ac:dyDescent="0.25">
      <c r="C107" s="1"/>
      <c r="D107" s="1"/>
      <c r="E107" t="s">
        <v>69</v>
      </c>
      <c r="F107" t="s">
        <v>58</v>
      </c>
      <c r="H107" s="2">
        <f>SUM(H98:H100)/1000</f>
        <v>1206.7874999999999</v>
      </c>
      <c r="I107" s="2">
        <f t="shared" ref="I107:AA107" si="25">SUM(I98:I100)/1000</f>
        <v>2354.9625000000001</v>
      </c>
      <c r="J107" s="2">
        <f t="shared" si="25"/>
        <v>3464.6287499999994</v>
      </c>
      <c r="K107" s="2">
        <f t="shared" si="25"/>
        <v>4484.6212499999992</v>
      </c>
      <c r="L107" s="2">
        <f t="shared" si="25"/>
        <v>5416.1212499999992</v>
      </c>
      <c r="M107" s="2">
        <f t="shared" si="25"/>
        <v>6264.3712499999992</v>
      </c>
      <c r="N107" s="2">
        <f t="shared" si="25"/>
        <v>7032.9712499999987</v>
      </c>
      <c r="O107" s="2">
        <f t="shared" si="25"/>
        <v>7726.1625000000004</v>
      </c>
      <c r="P107" s="2">
        <f t="shared" si="25"/>
        <v>8405.8875000000007</v>
      </c>
      <c r="Q107" s="2">
        <f t="shared" si="25"/>
        <v>9069.5925000000007</v>
      </c>
      <c r="R107" s="2">
        <f t="shared" si="25"/>
        <v>9769.68</v>
      </c>
      <c r="S107" s="2">
        <f t="shared" si="25"/>
        <v>10510.008750000001</v>
      </c>
      <c r="T107" s="2">
        <f t="shared" si="25"/>
        <v>11292.783750000001</v>
      </c>
      <c r="U107" s="2">
        <f t="shared" si="25"/>
        <v>12072.251249999999</v>
      </c>
      <c r="V107" s="2">
        <f t="shared" si="25"/>
        <v>12847.86</v>
      </c>
      <c r="W107" s="2">
        <f t="shared" si="25"/>
        <v>12847.86</v>
      </c>
      <c r="X107" s="2">
        <f t="shared" si="25"/>
        <v>12847.86</v>
      </c>
      <c r="Y107" s="2">
        <f t="shared" si="25"/>
        <v>12847.86</v>
      </c>
      <c r="Z107" s="2">
        <f t="shared" si="25"/>
        <v>12847.86</v>
      </c>
      <c r="AA107" s="2">
        <f t="shared" si="25"/>
        <v>12847.86</v>
      </c>
    </row>
    <row r="108" spans="1:27" x14ac:dyDescent="0.25">
      <c r="C108" s="1"/>
      <c r="D108" s="1"/>
      <c r="E108" t="s">
        <v>70</v>
      </c>
      <c r="F108" t="s">
        <v>7</v>
      </c>
      <c r="H108" s="2">
        <f>H91*H102+H98*H103+H99*H104+H100*H105</f>
        <v>4907110.6726625375</v>
      </c>
      <c r="I108" s="2">
        <f t="shared" ref="I108:AA108" si="26">I91*I102+I98*I103+I99*I104+I100*I105</f>
        <v>9509092.0856103916</v>
      </c>
      <c r="J108" s="2">
        <f t="shared" si="26"/>
        <v>14283594.229867134</v>
      </c>
      <c r="K108" s="2">
        <f t="shared" si="26"/>
        <v>18876971.139849246</v>
      </c>
      <c r="L108" s="2">
        <f t="shared" si="26"/>
        <v>23276659.936716814</v>
      </c>
      <c r="M108" s="2">
        <f t="shared" si="26"/>
        <v>27487517.146882765</v>
      </c>
      <c r="N108" s="2">
        <f t="shared" si="26"/>
        <v>31508128.625405878</v>
      </c>
      <c r="O108" s="2">
        <f t="shared" si="26"/>
        <v>35340553.566066965</v>
      </c>
      <c r="P108" s="2">
        <f t="shared" si="26"/>
        <v>39257155.221732453</v>
      </c>
      <c r="Q108" s="2">
        <f t="shared" si="26"/>
        <v>43246281.250175916</v>
      </c>
      <c r="R108" s="2">
        <f t="shared" si="26"/>
        <v>47562762.926041842</v>
      </c>
      <c r="S108" s="2">
        <f t="shared" si="26"/>
        <v>52241490.066403374</v>
      </c>
      <c r="T108" s="2">
        <f t="shared" si="26"/>
        <v>57311164.36508365</v>
      </c>
      <c r="U108" s="2">
        <f t="shared" si="26"/>
        <v>62553588.342102848</v>
      </c>
      <c r="V108" s="2">
        <f t="shared" si="26"/>
        <v>67970505.51551649</v>
      </c>
      <c r="W108" s="2">
        <f t="shared" si="26"/>
        <v>69397886.131342337</v>
      </c>
      <c r="X108" s="2">
        <f t="shared" si="26"/>
        <v>70855241.740100518</v>
      </c>
      <c r="Y108" s="2">
        <f t="shared" si="26"/>
        <v>72343201.816642612</v>
      </c>
      <c r="Z108" s="2">
        <f t="shared" si="26"/>
        <v>73862409.054792106</v>
      </c>
      <c r="AA108" s="2">
        <f t="shared" si="26"/>
        <v>75413519.644942731</v>
      </c>
    </row>
    <row r="109" spans="1:27" x14ac:dyDescent="0.25">
      <c r="C109" s="1"/>
      <c r="D109" s="1"/>
    </row>
    <row r="110" spans="1:27" x14ac:dyDescent="0.25">
      <c r="C110" s="1"/>
      <c r="D110" t="s">
        <v>71</v>
      </c>
    </row>
    <row r="111" spans="1:27" x14ac:dyDescent="0.25">
      <c r="A111" s="14">
        <f>'Notes &amp; Assumptions'!A33</f>
        <v>20</v>
      </c>
      <c r="C111" s="1"/>
      <c r="D111" s="1"/>
      <c r="E111" t="s">
        <v>87</v>
      </c>
      <c r="F111" t="s">
        <v>3</v>
      </c>
      <c r="H111" s="10">
        <f>'Customer numbers'!P30+'20 Epping North Sewer'!H111+'20 Greenvale Sewer'!H111</f>
        <v>726</v>
      </c>
      <c r="I111" s="10">
        <f>'Customer numbers'!Q30+'20 Epping North Sewer'!I111+'20 Greenvale Sewer'!I111</f>
        <v>726</v>
      </c>
      <c r="J111" s="10">
        <f>'Customer numbers'!R30+'20 Epping North Sewer'!J111+'20 Greenvale Sewer'!J111</f>
        <v>742</v>
      </c>
      <c r="K111" s="10">
        <f>'Customer numbers'!S30+'20 Epping North Sewer'!K111+'20 Greenvale Sewer'!K111</f>
        <v>710</v>
      </c>
      <c r="L111" s="10">
        <f>'Customer numbers'!T30+'20 Epping North Sewer'!L111+'20 Greenvale Sewer'!L111</f>
        <v>687</v>
      </c>
      <c r="M111" s="10">
        <f>'Customer numbers'!U30+'20 Epping North Sewer'!M111+'20 Greenvale Sewer'!M111</f>
        <v>655</v>
      </c>
      <c r="N111" s="10">
        <f>'Customer numbers'!V30+'20 Epping North Sewer'!N111+'20 Greenvale Sewer'!N111</f>
        <v>631</v>
      </c>
      <c r="O111" s="10">
        <f>'Customer numbers'!W30+'20 Epping North Sewer'!O111+'20 Greenvale Sewer'!O111</f>
        <v>608</v>
      </c>
      <c r="P111" s="10">
        <f>'Customer numbers'!X30+'20 Epping North Sewer'!P111+'20 Greenvale Sewer'!P111</f>
        <v>639</v>
      </c>
      <c r="Q111" s="10">
        <f>'Customer numbers'!Y30+'20 Epping North Sewer'!Q111+'20 Greenvale Sewer'!Q111</f>
        <v>679</v>
      </c>
      <c r="R111" s="10">
        <f>'Customer numbers'!Z30+'20 Epping North Sewer'!R111+'20 Greenvale Sewer'!R111</f>
        <v>718</v>
      </c>
      <c r="S111" s="10">
        <f>'Customer numbers'!AA30+'20 Epping North Sewer'!S111+'20 Greenvale Sewer'!S111</f>
        <v>766</v>
      </c>
      <c r="T111" s="10">
        <f>'Customer numbers'!AB30+'20 Epping North Sewer'!T111+'20 Greenvale Sewer'!T111</f>
        <v>805</v>
      </c>
      <c r="U111" s="10">
        <f>'Customer numbers'!AC30+'20 Epping North Sewer'!U111+'20 Greenvale Sewer'!U111</f>
        <v>797</v>
      </c>
      <c r="V111" s="10">
        <f>'Customer numbers'!AD30+'20 Epping North Sewer'!V111+'20 Greenvale Sewer'!V111</f>
        <v>797</v>
      </c>
    </row>
    <row r="112" spans="1:27" x14ac:dyDescent="0.25">
      <c r="C112" s="1"/>
      <c r="D112" s="1"/>
      <c r="E112" t="s">
        <v>60</v>
      </c>
      <c r="F112" t="s">
        <v>3</v>
      </c>
      <c r="G112">
        <f>IF('Key assumptions'!B4="yes",SUM('Customer numbers'!F38:O38),0)</f>
        <v>0</v>
      </c>
      <c r="H112" s="2">
        <f>G112+H111</f>
        <v>726</v>
      </c>
      <c r="I112" s="2">
        <f t="shared" ref="I112:AA112" si="27">H112+I111</f>
        <v>1452</v>
      </c>
      <c r="J112" s="2">
        <f t="shared" si="27"/>
        <v>2194</v>
      </c>
      <c r="K112" s="2">
        <f t="shared" si="27"/>
        <v>2904</v>
      </c>
      <c r="L112" s="2">
        <f t="shared" si="27"/>
        <v>3591</v>
      </c>
      <c r="M112" s="2">
        <f t="shared" si="27"/>
        <v>4246</v>
      </c>
      <c r="N112" s="2">
        <f t="shared" si="27"/>
        <v>4877</v>
      </c>
      <c r="O112" s="2">
        <f t="shared" si="27"/>
        <v>5485</v>
      </c>
      <c r="P112" s="2">
        <f t="shared" si="27"/>
        <v>6124</v>
      </c>
      <c r="Q112" s="2">
        <f t="shared" si="27"/>
        <v>6803</v>
      </c>
      <c r="R112" s="2">
        <f t="shared" si="27"/>
        <v>7521</v>
      </c>
      <c r="S112" s="2">
        <f t="shared" si="27"/>
        <v>8287</v>
      </c>
      <c r="T112" s="2">
        <f t="shared" si="27"/>
        <v>9092</v>
      </c>
      <c r="U112" s="2">
        <f t="shared" si="27"/>
        <v>9889</v>
      </c>
      <c r="V112" s="2">
        <f t="shared" si="27"/>
        <v>10686</v>
      </c>
      <c r="W112" s="2">
        <f t="shared" si="27"/>
        <v>10686</v>
      </c>
      <c r="X112" s="2">
        <f t="shared" si="27"/>
        <v>10686</v>
      </c>
      <c r="Y112" s="2">
        <f t="shared" si="27"/>
        <v>10686</v>
      </c>
      <c r="Z112" s="2">
        <f t="shared" si="27"/>
        <v>10686</v>
      </c>
      <c r="AA112" s="2">
        <f t="shared" si="27"/>
        <v>10686</v>
      </c>
    </row>
    <row r="113" spans="1:27" x14ac:dyDescent="0.25">
      <c r="A113" s="14">
        <f>'Notes &amp; Assumptions'!A34</f>
        <v>21</v>
      </c>
      <c r="C113" s="1"/>
      <c r="D113" s="1"/>
      <c r="E113" t="s">
        <v>61</v>
      </c>
      <c r="F113" t="s">
        <v>3</v>
      </c>
      <c r="G113" s="10">
        <v>1</v>
      </c>
    </row>
    <row r="114" spans="1:27" x14ac:dyDescent="0.25">
      <c r="C114" s="1"/>
      <c r="D114" s="1"/>
      <c r="E114" t="s">
        <v>88</v>
      </c>
      <c r="F114" t="s">
        <v>3</v>
      </c>
      <c r="H114">
        <f>H111*$G113</f>
        <v>726</v>
      </c>
      <c r="I114">
        <f t="shared" ref="I114:AA114" si="28">I111*$G113</f>
        <v>726</v>
      </c>
      <c r="J114">
        <f t="shared" si="28"/>
        <v>742</v>
      </c>
      <c r="K114">
        <f t="shared" si="28"/>
        <v>710</v>
      </c>
      <c r="L114">
        <f t="shared" si="28"/>
        <v>687</v>
      </c>
      <c r="M114">
        <f t="shared" si="28"/>
        <v>655</v>
      </c>
      <c r="N114">
        <f t="shared" si="28"/>
        <v>631</v>
      </c>
      <c r="O114">
        <f t="shared" si="28"/>
        <v>608</v>
      </c>
      <c r="P114">
        <f t="shared" si="28"/>
        <v>639</v>
      </c>
      <c r="Q114">
        <f t="shared" si="28"/>
        <v>679</v>
      </c>
      <c r="R114">
        <f t="shared" si="28"/>
        <v>718</v>
      </c>
      <c r="S114">
        <f t="shared" si="28"/>
        <v>766</v>
      </c>
      <c r="T114">
        <f t="shared" si="28"/>
        <v>805</v>
      </c>
      <c r="U114">
        <f t="shared" si="28"/>
        <v>797</v>
      </c>
      <c r="V114">
        <f t="shared" si="28"/>
        <v>797</v>
      </c>
      <c r="W114">
        <f t="shared" si="28"/>
        <v>0</v>
      </c>
      <c r="X114">
        <f t="shared" si="28"/>
        <v>0</v>
      </c>
      <c r="Y114">
        <f t="shared" si="28"/>
        <v>0</v>
      </c>
      <c r="Z114">
        <f t="shared" si="28"/>
        <v>0</v>
      </c>
      <c r="AA114">
        <f t="shared" si="28"/>
        <v>0</v>
      </c>
    </row>
    <row r="115" spans="1:27" x14ac:dyDescent="0.25">
      <c r="C115" s="1"/>
      <c r="D115" s="1"/>
      <c r="E115" t="s">
        <v>89</v>
      </c>
      <c r="F115" t="s">
        <v>3</v>
      </c>
      <c r="H115">
        <f>H112*$G113</f>
        <v>726</v>
      </c>
      <c r="I115">
        <f>I112*$G113</f>
        <v>1452</v>
      </c>
      <c r="J115">
        <f t="shared" ref="J115:AA115" si="29">J112*$G113</f>
        <v>2194</v>
      </c>
      <c r="K115">
        <f t="shared" si="29"/>
        <v>2904</v>
      </c>
      <c r="L115">
        <f t="shared" si="29"/>
        <v>3591</v>
      </c>
      <c r="M115">
        <f t="shared" si="29"/>
        <v>4246</v>
      </c>
      <c r="N115">
        <f t="shared" si="29"/>
        <v>4877</v>
      </c>
      <c r="O115">
        <f t="shared" si="29"/>
        <v>5485</v>
      </c>
      <c r="P115">
        <f t="shared" si="29"/>
        <v>6124</v>
      </c>
      <c r="Q115">
        <f t="shared" si="29"/>
        <v>6803</v>
      </c>
      <c r="R115">
        <f t="shared" si="29"/>
        <v>7521</v>
      </c>
      <c r="S115">
        <f t="shared" si="29"/>
        <v>8287</v>
      </c>
      <c r="T115">
        <f t="shared" si="29"/>
        <v>9092</v>
      </c>
      <c r="U115">
        <f t="shared" si="29"/>
        <v>9889</v>
      </c>
      <c r="V115">
        <f t="shared" si="29"/>
        <v>10686</v>
      </c>
      <c r="W115">
        <f t="shared" si="29"/>
        <v>10686</v>
      </c>
      <c r="X115">
        <f t="shared" si="29"/>
        <v>10686</v>
      </c>
      <c r="Y115">
        <f t="shared" si="29"/>
        <v>10686</v>
      </c>
      <c r="Z115">
        <f t="shared" si="29"/>
        <v>10686</v>
      </c>
      <c r="AA115">
        <f t="shared" si="29"/>
        <v>10686</v>
      </c>
    </row>
    <row r="116" spans="1:27" x14ac:dyDescent="0.25">
      <c r="A116" s="14">
        <f>'Notes &amp; Assumptions'!A35</f>
        <v>22</v>
      </c>
      <c r="C116" s="1"/>
      <c r="D116" s="1"/>
      <c r="E116" t="s">
        <v>62</v>
      </c>
      <c r="F116" t="s">
        <v>43</v>
      </c>
      <c r="H116" s="10">
        <f>0.55*'20 New UGB Water'!H116</f>
        <v>286</v>
      </c>
      <c r="I116" s="10">
        <f>H116</f>
        <v>286</v>
      </c>
      <c r="J116" s="10">
        <f t="shared" ref="J116:AA116" si="30">I116</f>
        <v>286</v>
      </c>
      <c r="K116" s="10">
        <f t="shared" si="30"/>
        <v>286</v>
      </c>
      <c r="L116" s="10">
        <f t="shared" si="30"/>
        <v>286</v>
      </c>
      <c r="M116" s="10">
        <f t="shared" si="30"/>
        <v>286</v>
      </c>
      <c r="N116" s="10">
        <f t="shared" si="30"/>
        <v>286</v>
      </c>
      <c r="O116" s="10">
        <f t="shared" si="30"/>
        <v>286</v>
      </c>
      <c r="P116" s="10">
        <f t="shared" si="30"/>
        <v>286</v>
      </c>
      <c r="Q116" s="10">
        <f t="shared" si="30"/>
        <v>286</v>
      </c>
      <c r="R116" s="10">
        <f t="shared" si="30"/>
        <v>286</v>
      </c>
      <c r="S116" s="10">
        <f t="shared" si="30"/>
        <v>286</v>
      </c>
      <c r="T116" s="10">
        <f t="shared" si="30"/>
        <v>286</v>
      </c>
      <c r="U116" s="10">
        <f t="shared" si="30"/>
        <v>286</v>
      </c>
      <c r="V116" s="10">
        <f t="shared" si="30"/>
        <v>286</v>
      </c>
      <c r="W116" s="10">
        <f t="shared" si="30"/>
        <v>286</v>
      </c>
      <c r="X116" s="10">
        <f t="shared" si="30"/>
        <v>286</v>
      </c>
      <c r="Y116" s="10">
        <f t="shared" si="30"/>
        <v>286</v>
      </c>
      <c r="Z116" s="10">
        <f t="shared" si="30"/>
        <v>286</v>
      </c>
      <c r="AA116" s="10">
        <f t="shared" si="30"/>
        <v>286</v>
      </c>
    </row>
    <row r="117" spans="1:27" x14ac:dyDescent="0.25">
      <c r="C117" s="1"/>
      <c r="D117" s="1"/>
      <c r="E117" t="s">
        <v>63</v>
      </c>
      <c r="F117" t="s">
        <v>43</v>
      </c>
      <c r="H117" s="10"/>
      <c r="I117" s="10"/>
      <c r="J117" s="10"/>
      <c r="K117" s="10"/>
      <c r="L117" s="10"/>
      <c r="M117" s="10"/>
      <c r="N117" s="10"/>
      <c r="O117" s="10"/>
      <c r="P117" s="10"/>
      <c r="Q117" s="10"/>
      <c r="R117" s="10"/>
      <c r="S117" s="10"/>
      <c r="T117" s="10"/>
      <c r="U117" s="10"/>
      <c r="V117" s="10"/>
      <c r="W117" s="10"/>
      <c r="X117" s="10"/>
      <c r="Y117" s="10"/>
      <c r="Z117" s="10"/>
      <c r="AA117" s="10"/>
    </row>
    <row r="118" spans="1:27" x14ac:dyDescent="0.25">
      <c r="C118" s="1"/>
      <c r="D118" s="1"/>
      <c r="E118" t="s">
        <v>140</v>
      </c>
      <c r="F118" t="s">
        <v>43</v>
      </c>
      <c r="H118" s="10"/>
      <c r="I118" s="10"/>
      <c r="J118" s="10"/>
      <c r="K118" s="10"/>
      <c r="L118" s="10"/>
      <c r="M118" s="10"/>
      <c r="N118" s="10"/>
      <c r="O118" s="10"/>
      <c r="P118" s="10"/>
      <c r="Q118" s="10"/>
      <c r="R118" s="10"/>
      <c r="S118" s="10"/>
      <c r="T118" s="10"/>
      <c r="U118" s="10"/>
      <c r="V118" s="10"/>
      <c r="W118" s="10"/>
      <c r="X118" s="10"/>
      <c r="Y118" s="10"/>
      <c r="Z118" s="10"/>
      <c r="AA118" s="10"/>
    </row>
    <row r="119" spans="1:27" x14ac:dyDescent="0.25">
      <c r="C119" s="1"/>
      <c r="D119" s="1"/>
      <c r="E119" t="s">
        <v>64</v>
      </c>
      <c r="F119" t="s">
        <v>144</v>
      </c>
      <c r="H119" s="2">
        <f>H112*H116</f>
        <v>207636</v>
      </c>
      <c r="I119" s="2">
        <f t="shared" ref="I119:AA119" si="31">I112*I116</f>
        <v>415272</v>
      </c>
      <c r="J119" s="2">
        <f t="shared" si="31"/>
        <v>627484</v>
      </c>
      <c r="K119" s="2">
        <f t="shared" si="31"/>
        <v>830544</v>
      </c>
      <c r="L119" s="2">
        <f t="shared" si="31"/>
        <v>1027026</v>
      </c>
      <c r="M119" s="2">
        <f t="shared" si="31"/>
        <v>1214356</v>
      </c>
      <c r="N119" s="2">
        <f t="shared" si="31"/>
        <v>1394822</v>
      </c>
      <c r="O119" s="2">
        <f t="shared" si="31"/>
        <v>1568710</v>
      </c>
      <c r="P119" s="2">
        <f t="shared" si="31"/>
        <v>1751464</v>
      </c>
      <c r="Q119" s="2">
        <f t="shared" si="31"/>
        <v>1945658</v>
      </c>
      <c r="R119" s="2">
        <f t="shared" si="31"/>
        <v>2151006</v>
      </c>
      <c r="S119" s="2">
        <f t="shared" si="31"/>
        <v>2370082</v>
      </c>
      <c r="T119" s="2">
        <f t="shared" si="31"/>
        <v>2600312</v>
      </c>
      <c r="U119" s="2">
        <f t="shared" si="31"/>
        <v>2828254</v>
      </c>
      <c r="V119" s="2">
        <f t="shared" si="31"/>
        <v>3056196</v>
      </c>
      <c r="W119" s="2">
        <f t="shared" si="31"/>
        <v>3056196</v>
      </c>
      <c r="X119" s="2">
        <f t="shared" si="31"/>
        <v>3056196</v>
      </c>
      <c r="Y119" s="2">
        <f t="shared" si="31"/>
        <v>3056196</v>
      </c>
      <c r="Z119" s="2">
        <f t="shared" si="31"/>
        <v>3056196</v>
      </c>
      <c r="AA119" s="2">
        <f t="shared" si="31"/>
        <v>3056196</v>
      </c>
    </row>
    <row r="120" spans="1:27" x14ac:dyDescent="0.25">
      <c r="C120" s="1"/>
      <c r="D120" s="1"/>
      <c r="E120" t="s">
        <v>65</v>
      </c>
      <c r="F120" t="s">
        <v>144</v>
      </c>
      <c r="H120" s="2">
        <f>H112*H117</f>
        <v>0</v>
      </c>
      <c r="I120" s="2">
        <f t="shared" ref="I120:AA120" si="32">I112*I117</f>
        <v>0</v>
      </c>
      <c r="J120" s="2">
        <f t="shared" si="32"/>
        <v>0</v>
      </c>
      <c r="K120" s="2">
        <f t="shared" si="32"/>
        <v>0</v>
      </c>
      <c r="L120" s="2">
        <f t="shared" si="32"/>
        <v>0</v>
      </c>
      <c r="M120" s="2">
        <f t="shared" si="32"/>
        <v>0</v>
      </c>
      <c r="N120" s="2">
        <f t="shared" si="32"/>
        <v>0</v>
      </c>
      <c r="O120" s="2">
        <f t="shared" si="32"/>
        <v>0</v>
      </c>
      <c r="P120" s="2">
        <f t="shared" si="32"/>
        <v>0</v>
      </c>
      <c r="Q120" s="2">
        <f t="shared" si="32"/>
        <v>0</v>
      </c>
      <c r="R120" s="2">
        <f t="shared" si="32"/>
        <v>0</v>
      </c>
      <c r="S120" s="2">
        <f t="shared" si="32"/>
        <v>0</v>
      </c>
      <c r="T120" s="2">
        <f t="shared" si="32"/>
        <v>0</v>
      </c>
      <c r="U120" s="2">
        <f t="shared" si="32"/>
        <v>0</v>
      </c>
      <c r="V120" s="2">
        <f t="shared" si="32"/>
        <v>0</v>
      </c>
      <c r="W120" s="2">
        <f t="shared" si="32"/>
        <v>0</v>
      </c>
      <c r="X120" s="2">
        <f t="shared" si="32"/>
        <v>0</v>
      </c>
      <c r="Y120" s="2">
        <f t="shared" si="32"/>
        <v>0</v>
      </c>
      <c r="Z120" s="2">
        <f t="shared" si="32"/>
        <v>0</v>
      </c>
      <c r="AA120" s="2">
        <f t="shared" si="32"/>
        <v>0</v>
      </c>
    </row>
    <row r="121" spans="1:27" x14ac:dyDescent="0.25">
      <c r="C121" s="1"/>
      <c r="D121" s="1"/>
      <c r="E121" t="s">
        <v>141</v>
      </c>
      <c r="F121" t="s">
        <v>144</v>
      </c>
      <c r="H121" s="2">
        <f>H112*H118</f>
        <v>0</v>
      </c>
      <c r="I121" s="2">
        <f t="shared" ref="I121:AA121" si="33">I112*I118</f>
        <v>0</v>
      </c>
      <c r="J121" s="2">
        <f t="shared" si="33"/>
        <v>0</v>
      </c>
      <c r="K121" s="2">
        <f t="shared" si="33"/>
        <v>0</v>
      </c>
      <c r="L121" s="2">
        <f t="shared" si="33"/>
        <v>0</v>
      </c>
      <c r="M121" s="2">
        <f t="shared" si="33"/>
        <v>0</v>
      </c>
      <c r="N121" s="2">
        <f t="shared" si="33"/>
        <v>0</v>
      </c>
      <c r="O121" s="2">
        <f t="shared" si="33"/>
        <v>0</v>
      </c>
      <c r="P121" s="2">
        <f t="shared" si="33"/>
        <v>0</v>
      </c>
      <c r="Q121" s="2">
        <f t="shared" si="33"/>
        <v>0</v>
      </c>
      <c r="R121" s="2">
        <f t="shared" si="33"/>
        <v>0</v>
      </c>
      <c r="S121" s="2">
        <f t="shared" si="33"/>
        <v>0</v>
      </c>
      <c r="T121" s="2">
        <f t="shared" si="33"/>
        <v>0</v>
      </c>
      <c r="U121" s="2">
        <f t="shared" si="33"/>
        <v>0</v>
      </c>
      <c r="V121" s="2">
        <f t="shared" si="33"/>
        <v>0</v>
      </c>
      <c r="W121" s="2">
        <f t="shared" si="33"/>
        <v>0</v>
      </c>
      <c r="X121" s="2">
        <f t="shared" si="33"/>
        <v>0</v>
      </c>
      <c r="Y121" s="2">
        <f t="shared" si="33"/>
        <v>0</v>
      </c>
      <c r="Z121" s="2">
        <f t="shared" si="33"/>
        <v>0</v>
      </c>
      <c r="AA121" s="2">
        <f t="shared" si="33"/>
        <v>0</v>
      </c>
    </row>
    <row r="122" spans="1:27" x14ac:dyDescent="0.25">
      <c r="A122" s="14">
        <f>'Notes &amp; Assumptions'!A36</f>
        <v>23</v>
      </c>
      <c r="C122" s="1"/>
      <c r="D122" s="1"/>
      <c r="E122" t="s">
        <v>66</v>
      </c>
      <c r="F122" t="s">
        <v>8</v>
      </c>
      <c r="H122" s="11">
        <f>H101</f>
        <v>-4.24E-2</v>
      </c>
      <c r="I122" s="11">
        <f>I101</f>
        <v>-2.7400000000000001E-2</v>
      </c>
      <c r="J122" s="11">
        <v>0</v>
      </c>
      <c r="K122" s="11">
        <v>0</v>
      </c>
      <c r="L122" s="11">
        <v>0</v>
      </c>
      <c r="M122" s="11">
        <v>0</v>
      </c>
      <c r="N122" s="11">
        <v>0</v>
      </c>
      <c r="O122" s="11">
        <v>0</v>
      </c>
      <c r="P122" s="11">
        <v>0</v>
      </c>
      <c r="Q122" s="11">
        <v>0</v>
      </c>
      <c r="R122" s="11">
        <v>0</v>
      </c>
      <c r="S122" s="11">
        <v>0</v>
      </c>
      <c r="T122" s="11">
        <v>0</v>
      </c>
      <c r="U122" s="11">
        <v>0</v>
      </c>
      <c r="V122" s="11">
        <v>0</v>
      </c>
      <c r="W122" s="11">
        <v>0</v>
      </c>
      <c r="X122" s="11">
        <v>0</v>
      </c>
      <c r="Y122" s="11">
        <v>0</v>
      </c>
      <c r="Z122" s="11">
        <v>0</v>
      </c>
      <c r="AA122" s="11">
        <v>0</v>
      </c>
    </row>
    <row r="123" spans="1:27" x14ac:dyDescent="0.25">
      <c r="A123" s="14">
        <f>'Notes &amp; Assumptions'!A37</f>
        <v>24</v>
      </c>
      <c r="C123" s="1"/>
      <c r="D123" s="1"/>
      <c r="E123" t="s">
        <v>40</v>
      </c>
      <c r="F123" t="s">
        <v>41</v>
      </c>
      <c r="G123" s="20">
        <f>'YVW tariffs'!E18</f>
        <v>568.75825999999984</v>
      </c>
      <c r="H123" s="2">
        <f>G123*(1+$G$14)*(1+H122)</f>
        <v>556.08041088129585</v>
      </c>
      <c r="I123" s="2">
        <f t="shared" ref="I123:AA123" si="34">H123*(1+$G$14)*(1+I122)</f>
        <v>552.20152758323445</v>
      </c>
      <c r="J123" s="2">
        <f t="shared" si="34"/>
        <v>563.79775966248235</v>
      </c>
      <c r="K123" s="2">
        <f t="shared" si="34"/>
        <v>575.63751261539437</v>
      </c>
      <c r="L123" s="2">
        <f t="shared" si="34"/>
        <v>587.72590038031763</v>
      </c>
      <c r="M123" s="2">
        <f t="shared" si="34"/>
        <v>600.06814428830421</v>
      </c>
      <c r="N123" s="2">
        <f t="shared" si="34"/>
        <v>612.66957531835851</v>
      </c>
      <c r="O123" s="2">
        <f t="shared" si="34"/>
        <v>625.53563640004393</v>
      </c>
      <c r="P123" s="2">
        <f t="shared" si="34"/>
        <v>638.67188476444483</v>
      </c>
      <c r="Q123" s="2">
        <f t="shared" si="34"/>
        <v>652.08399434449814</v>
      </c>
      <c r="R123" s="2">
        <f t="shared" si="34"/>
        <v>665.77775822573255</v>
      </c>
      <c r="S123" s="2">
        <f t="shared" si="34"/>
        <v>679.75909114847286</v>
      </c>
      <c r="T123" s="2">
        <f t="shared" si="34"/>
        <v>694.03403206259077</v>
      </c>
      <c r="U123" s="2">
        <f t="shared" si="34"/>
        <v>708.60874673590513</v>
      </c>
      <c r="V123" s="2">
        <f t="shared" si="34"/>
        <v>723.48953041735911</v>
      </c>
      <c r="W123" s="2">
        <f t="shared" si="34"/>
        <v>738.68281055612363</v>
      </c>
      <c r="X123" s="2">
        <f t="shared" si="34"/>
        <v>754.19514957780211</v>
      </c>
      <c r="Y123" s="2">
        <f t="shared" si="34"/>
        <v>770.03324771893585</v>
      </c>
      <c r="Z123" s="2">
        <f t="shared" si="34"/>
        <v>786.20394592103344</v>
      </c>
      <c r="AA123" s="2">
        <f t="shared" si="34"/>
        <v>802.7142287853751</v>
      </c>
    </row>
    <row r="124" spans="1:27" x14ac:dyDescent="0.25">
      <c r="C124" s="1"/>
      <c r="D124" s="1"/>
      <c r="E124" t="s">
        <v>67</v>
      </c>
      <c r="F124" t="s">
        <v>143</v>
      </c>
      <c r="G124" s="20">
        <f>'YVW tariffs'!E19</f>
        <v>2.0661976999999996</v>
      </c>
      <c r="H124" s="21">
        <f>G124*(1+$G$14)*(1+H122)</f>
        <v>2.0201413267879191</v>
      </c>
      <c r="I124" s="21">
        <f t="shared" ref="I124:AA124" si="35">H124*(1+$G$14)*(1+I122)</f>
        <v>2.0060500329770425</v>
      </c>
      <c r="J124" s="21">
        <f t="shared" si="35"/>
        <v>2.0481770836695601</v>
      </c>
      <c r="K124" s="21">
        <f t="shared" si="35"/>
        <v>2.0911888024266205</v>
      </c>
      <c r="L124" s="21">
        <f t="shared" si="35"/>
        <v>2.1351037672775792</v>
      </c>
      <c r="M124" s="21">
        <f t="shared" si="35"/>
        <v>2.179940946390408</v>
      </c>
      <c r="N124" s="21">
        <f t="shared" si="35"/>
        <v>2.2257197062646066</v>
      </c>
      <c r="O124" s="21">
        <f t="shared" si="35"/>
        <v>2.272459820096163</v>
      </c>
      <c r="P124" s="21">
        <f t="shared" si="35"/>
        <v>2.3201814763181821</v>
      </c>
      <c r="Q124" s="21">
        <f t="shared" si="35"/>
        <v>2.3689052873208638</v>
      </c>
      <c r="R124" s="21">
        <f t="shared" si="35"/>
        <v>2.4186522983546017</v>
      </c>
      <c r="S124" s="21">
        <f t="shared" si="35"/>
        <v>2.4694439966200483</v>
      </c>
      <c r="T124" s="21">
        <f t="shared" si="35"/>
        <v>2.521302320549069</v>
      </c>
      <c r="U124" s="21">
        <f t="shared" si="35"/>
        <v>2.5742496692805994</v>
      </c>
      <c r="V124" s="21">
        <f t="shared" si="35"/>
        <v>2.6283089123354917</v>
      </c>
      <c r="W124" s="21">
        <f t="shared" si="35"/>
        <v>2.683503399494537</v>
      </c>
      <c r="X124" s="21">
        <f t="shared" si="35"/>
        <v>2.7398569708839222</v>
      </c>
      <c r="Y124" s="21">
        <f t="shared" si="35"/>
        <v>2.7973939672724843</v>
      </c>
      <c r="Z124" s="21">
        <f t="shared" si="35"/>
        <v>2.8561392405852062</v>
      </c>
      <c r="AA124" s="21">
        <f t="shared" si="35"/>
        <v>2.9161181646374952</v>
      </c>
    </row>
    <row r="125" spans="1:27" x14ac:dyDescent="0.25">
      <c r="C125" s="1"/>
      <c r="D125" s="1"/>
      <c r="E125" t="s">
        <v>68</v>
      </c>
      <c r="F125" t="s">
        <v>143</v>
      </c>
      <c r="G125" s="20"/>
      <c r="H125" s="21">
        <f>G125*(1+$G$14)*(1+H122)</f>
        <v>0</v>
      </c>
      <c r="I125" s="21">
        <f t="shared" ref="I125:AA125" si="36">H125*(1+$G$14)*(1+I122)</f>
        <v>0</v>
      </c>
      <c r="J125" s="21">
        <f t="shared" si="36"/>
        <v>0</v>
      </c>
      <c r="K125" s="21">
        <f t="shared" si="36"/>
        <v>0</v>
      </c>
      <c r="L125" s="21">
        <f t="shared" si="36"/>
        <v>0</v>
      </c>
      <c r="M125" s="21">
        <f t="shared" si="36"/>
        <v>0</v>
      </c>
      <c r="N125" s="21">
        <f t="shared" si="36"/>
        <v>0</v>
      </c>
      <c r="O125" s="21">
        <f t="shared" si="36"/>
        <v>0</v>
      </c>
      <c r="P125" s="21">
        <f t="shared" si="36"/>
        <v>0</v>
      </c>
      <c r="Q125" s="21">
        <f t="shared" si="36"/>
        <v>0</v>
      </c>
      <c r="R125" s="21">
        <f t="shared" si="36"/>
        <v>0</v>
      </c>
      <c r="S125" s="21">
        <f t="shared" si="36"/>
        <v>0</v>
      </c>
      <c r="T125" s="21">
        <f t="shared" si="36"/>
        <v>0</v>
      </c>
      <c r="U125" s="21">
        <f t="shared" si="36"/>
        <v>0</v>
      </c>
      <c r="V125" s="21">
        <f t="shared" si="36"/>
        <v>0</v>
      </c>
      <c r="W125" s="21">
        <f t="shared" si="36"/>
        <v>0</v>
      </c>
      <c r="X125" s="21">
        <f t="shared" si="36"/>
        <v>0</v>
      </c>
      <c r="Y125" s="21">
        <f t="shared" si="36"/>
        <v>0</v>
      </c>
      <c r="Z125" s="21">
        <f t="shared" si="36"/>
        <v>0</v>
      </c>
      <c r="AA125" s="21">
        <f t="shared" si="36"/>
        <v>0</v>
      </c>
    </row>
    <row r="126" spans="1:27" x14ac:dyDescent="0.25">
      <c r="C126" s="1"/>
      <c r="D126" s="1"/>
      <c r="E126" t="s">
        <v>142</v>
      </c>
      <c r="F126" t="s">
        <v>143</v>
      </c>
      <c r="G126" s="20"/>
      <c r="H126" s="21">
        <f>G126*(1+$G$14)*(1+H122)</f>
        <v>0</v>
      </c>
      <c r="I126" s="21">
        <f t="shared" ref="I126:AA126" si="37">H126*(1+$G$14)*(1+I122)</f>
        <v>0</v>
      </c>
      <c r="J126" s="21">
        <f t="shared" si="37"/>
        <v>0</v>
      </c>
      <c r="K126" s="21">
        <f t="shared" si="37"/>
        <v>0</v>
      </c>
      <c r="L126" s="21">
        <f t="shared" si="37"/>
        <v>0</v>
      </c>
      <c r="M126" s="21">
        <f t="shared" si="37"/>
        <v>0</v>
      </c>
      <c r="N126" s="21">
        <f t="shared" si="37"/>
        <v>0</v>
      </c>
      <c r="O126" s="21">
        <f t="shared" si="37"/>
        <v>0</v>
      </c>
      <c r="P126" s="21">
        <f t="shared" si="37"/>
        <v>0</v>
      </c>
      <c r="Q126" s="21">
        <f t="shared" si="37"/>
        <v>0</v>
      </c>
      <c r="R126" s="21">
        <f t="shared" si="37"/>
        <v>0</v>
      </c>
      <c r="S126" s="21">
        <f t="shared" si="37"/>
        <v>0</v>
      </c>
      <c r="T126" s="21">
        <f t="shared" si="37"/>
        <v>0</v>
      </c>
      <c r="U126" s="21">
        <f t="shared" si="37"/>
        <v>0</v>
      </c>
      <c r="V126" s="21">
        <f t="shared" si="37"/>
        <v>0</v>
      </c>
      <c r="W126" s="21">
        <f t="shared" si="37"/>
        <v>0</v>
      </c>
      <c r="X126" s="21">
        <f t="shared" si="37"/>
        <v>0</v>
      </c>
      <c r="Y126" s="21">
        <f t="shared" si="37"/>
        <v>0</v>
      </c>
      <c r="Z126" s="21">
        <f t="shared" si="37"/>
        <v>0</v>
      </c>
      <c r="AA126" s="21">
        <f t="shared" si="37"/>
        <v>0</v>
      </c>
    </row>
    <row r="127" spans="1:27" x14ac:dyDescent="0.25">
      <c r="C127" s="1"/>
      <c r="D127" s="1"/>
    </row>
    <row r="128" spans="1:27" x14ac:dyDescent="0.25">
      <c r="C128" s="1"/>
      <c r="D128" s="1"/>
      <c r="E128" t="s">
        <v>72</v>
      </c>
      <c r="F128" t="s">
        <v>58</v>
      </c>
      <c r="H128" s="2">
        <f>SUM(H119:H121)/1000</f>
        <v>207.636</v>
      </c>
      <c r="I128" s="2">
        <f t="shared" ref="I128:AA128" si="38">SUM(I119:I121)/1000</f>
        <v>415.27199999999999</v>
      </c>
      <c r="J128" s="2">
        <f t="shared" si="38"/>
        <v>627.48400000000004</v>
      </c>
      <c r="K128" s="2">
        <f t="shared" si="38"/>
        <v>830.54399999999998</v>
      </c>
      <c r="L128" s="2">
        <f t="shared" si="38"/>
        <v>1027.0260000000001</v>
      </c>
      <c r="M128" s="2">
        <f t="shared" si="38"/>
        <v>1214.356</v>
      </c>
      <c r="N128" s="2">
        <f t="shared" si="38"/>
        <v>1394.8219999999999</v>
      </c>
      <c r="O128" s="2">
        <f t="shared" si="38"/>
        <v>1568.71</v>
      </c>
      <c r="P128" s="2">
        <f t="shared" si="38"/>
        <v>1751.4639999999999</v>
      </c>
      <c r="Q128" s="2">
        <f t="shared" si="38"/>
        <v>1945.6579999999999</v>
      </c>
      <c r="R128" s="2">
        <f t="shared" si="38"/>
        <v>2151.0059999999999</v>
      </c>
      <c r="S128" s="2">
        <f t="shared" si="38"/>
        <v>2370.0819999999999</v>
      </c>
      <c r="T128" s="2">
        <f t="shared" si="38"/>
        <v>2600.3119999999999</v>
      </c>
      <c r="U128" s="2">
        <f t="shared" si="38"/>
        <v>2828.2539999999999</v>
      </c>
      <c r="V128" s="2">
        <f t="shared" si="38"/>
        <v>3056.1959999999999</v>
      </c>
      <c r="W128" s="2">
        <f t="shared" si="38"/>
        <v>3056.1959999999999</v>
      </c>
      <c r="X128" s="2">
        <f t="shared" si="38"/>
        <v>3056.1959999999999</v>
      </c>
      <c r="Y128" s="2">
        <f t="shared" si="38"/>
        <v>3056.1959999999999</v>
      </c>
      <c r="Z128" s="2">
        <f t="shared" si="38"/>
        <v>3056.1959999999999</v>
      </c>
      <c r="AA128" s="2">
        <f t="shared" si="38"/>
        <v>3056.1959999999999</v>
      </c>
    </row>
    <row r="129" spans="1:27" x14ac:dyDescent="0.25">
      <c r="C129" s="1"/>
      <c r="D129" s="1"/>
      <c r="E129" t="s">
        <v>73</v>
      </c>
      <c r="F129" t="s">
        <v>7</v>
      </c>
      <c r="H129" s="2">
        <f>H112*H123+H119*H124+H120*H125+H121*H126</f>
        <v>823168.44282875722</v>
      </c>
      <c r="I129" s="2">
        <f t="shared" ref="I129:AA129" si="39">I112*I123+I119*I124+I120*I125+I121*I126</f>
        <v>1634853.0273452988</v>
      </c>
      <c r="J129" s="2">
        <f t="shared" si="39"/>
        <v>2522170.6338687968</v>
      </c>
      <c r="K129" s="2">
        <f t="shared" si="39"/>
        <v>3408475.6493577203</v>
      </c>
      <c r="L129" s="2">
        <f t="shared" si="39"/>
        <v>4303330.7899577431</v>
      </c>
      <c r="M129" s="2">
        <f t="shared" si="39"/>
        <v>5195113.7085430101</v>
      </c>
      <c r="N129" s="2">
        <f t="shared" si="39"/>
        <v>6092472.3309590453</v>
      </c>
      <c r="O129" s="2">
        <f t="shared" si="39"/>
        <v>6995893.4100372922</v>
      </c>
      <c r="P129" s="2">
        <f t="shared" si="39"/>
        <v>7974940.9515356086</v>
      </c>
      <c r="Q129" s="2">
        <f t="shared" si="39"/>
        <v>9045206.9370437581</v>
      </c>
      <c r="R129" s="2">
        <f t="shared" si="39"/>
        <v>10209850.125290275</v>
      </c>
      <c r="S129" s="2">
        <f t="shared" si="39"/>
        <v>11485948.354744632</v>
      </c>
      <c r="T129" s="2">
        <f t="shared" si="39"/>
        <v>12866330.099264666</v>
      </c>
      <c r="U129" s="2">
        <f t="shared" si="39"/>
        <v>14288063.820612898</v>
      </c>
      <c r="V129" s="2">
        <f t="shared" si="39"/>
        <v>15763836.30668398</v>
      </c>
      <c r="W129" s="2">
        <f t="shared" si="39"/>
        <v>16094876.869124344</v>
      </c>
      <c r="X129" s="2">
        <f t="shared" si="39"/>
        <v>16432869.283375952</v>
      </c>
      <c r="Y129" s="2">
        <f t="shared" si="39"/>
        <v>16777959.538326845</v>
      </c>
      <c r="Z129" s="2">
        <f t="shared" si="39"/>
        <v>17130296.688631706</v>
      </c>
      <c r="AA129" s="2">
        <f t="shared" si="39"/>
        <v>17490032.919092972</v>
      </c>
    </row>
    <row r="130" spans="1:27" x14ac:dyDescent="0.25">
      <c r="C130" s="1"/>
      <c r="D130" s="1"/>
    </row>
    <row r="131" spans="1:27" x14ac:dyDescent="0.25">
      <c r="C131" s="1"/>
      <c r="D131" t="s">
        <v>74</v>
      </c>
    </row>
    <row r="132" spans="1:27" x14ac:dyDescent="0.25">
      <c r="A132" s="14">
        <f>'Notes &amp; Assumptions'!A38</f>
        <v>25</v>
      </c>
      <c r="C132" s="1"/>
      <c r="D132" s="1"/>
      <c r="E132" t="s">
        <v>87</v>
      </c>
      <c r="F132" t="s">
        <v>3</v>
      </c>
      <c r="H132" s="10">
        <v>0</v>
      </c>
      <c r="I132" s="10">
        <v>0</v>
      </c>
      <c r="J132" s="10">
        <v>0</v>
      </c>
      <c r="K132" s="10">
        <v>0</v>
      </c>
      <c r="L132" s="10">
        <v>0</v>
      </c>
      <c r="M132" s="10">
        <v>0</v>
      </c>
      <c r="N132" s="10">
        <v>0</v>
      </c>
      <c r="O132" s="10">
        <v>0</v>
      </c>
      <c r="P132" s="10">
        <v>0</v>
      </c>
      <c r="Q132" s="10">
        <v>0</v>
      </c>
      <c r="R132" s="10">
        <f>AVERAGE($O132:$Q132)</f>
        <v>0</v>
      </c>
      <c r="S132" s="10">
        <f t="shared" ref="S132:V132" si="40">AVERAGE($O132:$Q132)</f>
        <v>0</v>
      </c>
      <c r="T132" s="10">
        <f t="shared" si="40"/>
        <v>0</v>
      </c>
      <c r="U132" s="10">
        <f t="shared" si="40"/>
        <v>0</v>
      </c>
      <c r="V132" s="10">
        <f t="shared" si="40"/>
        <v>0</v>
      </c>
    </row>
    <row r="133" spans="1:27" x14ac:dyDescent="0.25">
      <c r="C133" s="1"/>
      <c r="D133" s="1"/>
      <c r="E133" t="s">
        <v>60</v>
      </c>
      <c r="F133" t="s">
        <v>3</v>
      </c>
      <c r="H133" s="2">
        <f>G133+H132</f>
        <v>0</v>
      </c>
      <c r="I133" s="2">
        <f t="shared" ref="I133:AA133" si="41">H133+I132</f>
        <v>0</v>
      </c>
      <c r="J133" s="2">
        <f t="shared" si="41"/>
        <v>0</v>
      </c>
      <c r="K133" s="2">
        <f t="shared" si="41"/>
        <v>0</v>
      </c>
      <c r="L133" s="2">
        <f t="shared" si="41"/>
        <v>0</v>
      </c>
      <c r="M133" s="2">
        <f t="shared" si="41"/>
        <v>0</v>
      </c>
      <c r="N133" s="2">
        <f t="shared" si="41"/>
        <v>0</v>
      </c>
      <c r="O133" s="2">
        <f t="shared" si="41"/>
        <v>0</v>
      </c>
      <c r="P133" s="2">
        <f t="shared" si="41"/>
        <v>0</v>
      </c>
      <c r="Q133" s="2">
        <f t="shared" si="41"/>
        <v>0</v>
      </c>
      <c r="R133" s="2">
        <f t="shared" si="41"/>
        <v>0</v>
      </c>
      <c r="S133" s="2">
        <f t="shared" si="41"/>
        <v>0</v>
      </c>
      <c r="T133" s="2">
        <f t="shared" si="41"/>
        <v>0</v>
      </c>
      <c r="U133" s="2">
        <f t="shared" si="41"/>
        <v>0</v>
      </c>
      <c r="V133" s="2">
        <f t="shared" si="41"/>
        <v>0</v>
      </c>
      <c r="W133" s="2">
        <f t="shared" si="41"/>
        <v>0</v>
      </c>
      <c r="X133" s="2">
        <f t="shared" si="41"/>
        <v>0</v>
      </c>
      <c r="Y133" s="2">
        <f t="shared" si="41"/>
        <v>0</v>
      </c>
      <c r="Z133" s="2">
        <f t="shared" si="41"/>
        <v>0</v>
      </c>
      <c r="AA133" s="2">
        <f t="shared" si="41"/>
        <v>0</v>
      </c>
    </row>
    <row r="134" spans="1:27" x14ac:dyDescent="0.25">
      <c r="A134" s="14">
        <f>'Notes &amp; Assumptions'!A39</f>
        <v>26</v>
      </c>
      <c r="C134" s="1"/>
      <c r="D134" s="1"/>
      <c r="E134" t="s">
        <v>61</v>
      </c>
      <c r="F134" t="s">
        <v>3</v>
      </c>
      <c r="G134" s="10">
        <v>1</v>
      </c>
    </row>
    <row r="135" spans="1:27" x14ac:dyDescent="0.25">
      <c r="C135" s="1"/>
      <c r="D135" s="1"/>
      <c r="E135" t="s">
        <v>88</v>
      </c>
      <c r="F135" t="s">
        <v>3</v>
      </c>
      <c r="H135">
        <f>H132*$G134</f>
        <v>0</v>
      </c>
      <c r="I135">
        <f t="shared" ref="I135:AA135" si="42">I132*$G134</f>
        <v>0</v>
      </c>
      <c r="J135">
        <f t="shared" si="42"/>
        <v>0</v>
      </c>
      <c r="K135">
        <f t="shared" si="42"/>
        <v>0</v>
      </c>
      <c r="L135">
        <f t="shared" si="42"/>
        <v>0</v>
      </c>
      <c r="M135">
        <f t="shared" si="42"/>
        <v>0</v>
      </c>
      <c r="N135">
        <f t="shared" si="42"/>
        <v>0</v>
      </c>
      <c r="O135">
        <f t="shared" si="42"/>
        <v>0</v>
      </c>
      <c r="P135">
        <f t="shared" si="42"/>
        <v>0</v>
      </c>
      <c r="Q135">
        <f t="shared" si="42"/>
        <v>0</v>
      </c>
      <c r="R135">
        <f t="shared" si="42"/>
        <v>0</v>
      </c>
      <c r="S135">
        <f t="shared" si="42"/>
        <v>0</v>
      </c>
      <c r="T135">
        <f t="shared" si="42"/>
        <v>0</v>
      </c>
      <c r="U135">
        <f t="shared" si="42"/>
        <v>0</v>
      </c>
      <c r="V135">
        <f t="shared" si="42"/>
        <v>0</v>
      </c>
      <c r="W135">
        <f t="shared" si="42"/>
        <v>0</v>
      </c>
      <c r="X135">
        <f t="shared" si="42"/>
        <v>0</v>
      </c>
      <c r="Y135">
        <f t="shared" si="42"/>
        <v>0</v>
      </c>
      <c r="Z135">
        <f t="shared" si="42"/>
        <v>0</v>
      </c>
      <c r="AA135">
        <f t="shared" si="42"/>
        <v>0</v>
      </c>
    </row>
    <row r="136" spans="1:27" x14ac:dyDescent="0.25">
      <c r="C136" s="1"/>
      <c r="D136" s="1"/>
      <c r="E136" t="s">
        <v>89</v>
      </c>
      <c r="F136" t="s">
        <v>3</v>
      </c>
      <c r="H136">
        <f>H133*$G134</f>
        <v>0</v>
      </c>
      <c r="I136">
        <f t="shared" ref="I136:AA136" si="43">I133*$G134</f>
        <v>0</v>
      </c>
      <c r="J136">
        <f t="shared" si="43"/>
        <v>0</v>
      </c>
      <c r="K136">
        <f t="shared" si="43"/>
        <v>0</v>
      </c>
      <c r="L136">
        <f t="shared" si="43"/>
        <v>0</v>
      </c>
      <c r="M136">
        <f t="shared" si="43"/>
        <v>0</v>
      </c>
      <c r="N136">
        <f t="shared" si="43"/>
        <v>0</v>
      </c>
      <c r="O136">
        <f t="shared" si="43"/>
        <v>0</v>
      </c>
      <c r="P136">
        <f t="shared" si="43"/>
        <v>0</v>
      </c>
      <c r="Q136">
        <f t="shared" si="43"/>
        <v>0</v>
      </c>
      <c r="R136">
        <f t="shared" si="43"/>
        <v>0</v>
      </c>
      <c r="S136">
        <f t="shared" si="43"/>
        <v>0</v>
      </c>
      <c r="T136">
        <f t="shared" si="43"/>
        <v>0</v>
      </c>
      <c r="U136">
        <f t="shared" si="43"/>
        <v>0</v>
      </c>
      <c r="V136">
        <f t="shared" si="43"/>
        <v>0</v>
      </c>
      <c r="W136">
        <f t="shared" si="43"/>
        <v>0</v>
      </c>
      <c r="X136">
        <f t="shared" si="43"/>
        <v>0</v>
      </c>
      <c r="Y136">
        <f t="shared" si="43"/>
        <v>0</v>
      </c>
      <c r="Z136">
        <f t="shared" si="43"/>
        <v>0</v>
      </c>
      <c r="AA136">
        <f t="shared" si="43"/>
        <v>0</v>
      </c>
    </row>
    <row r="137" spans="1:27" x14ac:dyDescent="0.25">
      <c r="A137" s="14">
        <f>'Notes &amp; Assumptions'!A40</f>
        <v>27</v>
      </c>
      <c r="C137" s="1"/>
      <c r="D137" s="1"/>
      <c r="E137" t="s">
        <v>62</v>
      </c>
      <c r="F137" t="s">
        <v>43</v>
      </c>
      <c r="H137" s="10"/>
      <c r="I137" s="10"/>
      <c r="J137" s="10"/>
      <c r="K137" s="10"/>
      <c r="L137" s="10"/>
      <c r="M137" s="10"/>
      <c r="N137" s="10"/>
      <c r="O137" s="10"/>
      <c r="P137" s="10"/>
      <c r="Q137" s="10"/>
      <c r="R137" s="10"/>
      <c r="S137" s="10"/>
      <c r="T137" s="10"/>
      <c r="U137" s="10"/>
      <c r="V137" s="10"/>
      <c r="W137" s="10"/>
      <c r="X137" s="10"/>
      <c r="Y137" s="10"/>
      <c r="Z137" s="10"/>
      <c r="AA137" s="10"/>
    </row>
    <row r="138" spans="1:27" x14ac:dyDescent="0.25">
      <c r="C138" s="1"/>
      <c r="D138" s="1"/>
      <c r="E138" t="s">
        <v>63</v>
      </c>
      <c r="F138" t="s">
        <v>43</v>
      </c>
      <c r="H138" s="10"/>
      <c r="I138" s="10"/>
      <c r="J138" s="10"/>
      <c r="K138" s="10"/>
      <c r="L138" s="10"/>
      <c r="M138" s="10"/>
      <c r="N138" s="10"/>
      <c r="O138" s="10"/>
      <c r="P138" s="10"/>
      <c r="Q138" s="10"/>
      <c r="R138" s="10"/>
      <c r="S138" s="10"/>
      <c r="T138" s="10"/>
      <c r="U138" s="10"/>
      <c r="V138" s="10"/>
      <c r="W138" s="10"/>
      <c r="X138" s="10"/>
      <c r="Y138" s="10"/>
      <c r="Z138" s="10"/>
      <c r="AA138" s="10"/>
    </row>
    <row r="139" spans="1:27" x14ac:dyDescent="0.25">
      <c r="A139" s="14">
        <f>'Notes &amp; Assumptions'!A41</f>
        <v>28</v>
      </c>
      <c r="C139" s="1"/>
      <c r="D139" s="1"/>
      <c r="E139" t="s">
        <v>140</v>
      </c>
      <c r="F139" t="s">
        <v>43</v>
      </c>
      <c r="H139" s="10"/>
      <c r="I139" s="10"/>
      <c r="J139" s="10"/>
      <c r="K139" s="10"/>
      <c r="L139" s="10"/>
      <c r="M139" s="10"/>
      <c r="N139" s="10"/>
      <c r="O139" s="10"/>
      <c r="P139" s="10"/>
      <c r="Q139" s="10"/>
      <c r="R139" s="10"/>
      <c r="S139" s="10"/>
      <c r="T139" s="10"/>
      <c r="U139" s="10"/>
      <c r="V139" s="10"/>
      <c r="W139" s="10"/>
      <c r="X139" s="10"/>
      <c r="Y139" s="10"/>
      <c r="Z139" s="10"/>
      <c r="AA139" s="10"/>
    </row>
    <row r="140" spans="1:27" x14ac:dyDescent="0.25">
      <c r="C140" s="1"/>
      <c r="D140" s="1"/>
      <c r="E140" t="s">
        <v>64</v>
      </c>
      <c r="F140" t="s">
        <v>144</v>
      </c>
      <c r="H140" s="2">
        <f>H133*H137</f>
        <v>0</v>
      </c>
      <c r="I140" s="2">
        <f t="shared" ref="I140:AA140" si="44">I133*I137</f>
        <v>0</v>
      </c>
      <c r="J140" s="2">
        <f t="shared" si="44"/>
        <v>0</v>
      </c>
      <c r="K140" s="2">
        <f t="shared" si="44"/>
        <v>0</v>
      </c>
      <c r="L140" s="2">
        <f t="shared" si="44"/>
        <v>0</v>
      </c>
      <c r="M140" s="2">
        <f t="shared" si="44"/>
        <v>0</v>
      </c>
      <c r="N140" s="2">
        <f t="shared" si="44"/>
        <v>0</v>
      </c>
      <c r="O140" s="2">
        <f t="shared" si="44"/>
        <v>0</v>
      </c>
      <c r="P140" s="2">
        <f t="shared" si="44"/>
        <v>0</v>
      </c>
      <c r="Q140" s="2">
        <f t="shared" si="44"/>
        <v>0</v>
      </c>
      <c r="R140" s="2">
        <f t="shared" si="44"/>
        <v>0</v>
      </c>
      <c r="S140" s="2">
        <f t="shared" si="44"/>
        <v>0</v>
      </c>
      <c r="T140" s="2">
        <f t="shared" si="44"/>
        <v>0</v>
      </c>
      <c r="U140" s="2">
        <f t="shared" si="44"/>
        <v>0</v>
      </c>
      <c r="V140" s="2">
        <f t="shared" si="44"/>
        <v>0</v>
      </c>
      <c r="W140" s="2">
        <f t="shared" si="44"/>
        <v>0</v>
      </c>
      <c r="X140" s="2">
        <f t="shared" si="44"/>
        <v>0</v>
      </c>
      <c r="Y140" s="2">
        <f t="shared" si="44"/>
        <v>0</v>
      </c>
      <c r="Z140" s="2">
        <f t="shared" si="44"/>
        <v>0</v>
      </c>
      <c r="AA140" s="2">
        <f t="shared" si="44"/>
        <v>0</v>
      </c>
    </row>
    <row r="141" spans="1:27" x14ac:dyDescent="0.25">
      <c r="C141" s="1"/>
      <c r="D141" s="1"/>
      <c r="E141" t="s">
        <v>65</v>
      </c>
      <c r="F141" t="s">
        <v>144</v>
      </c>
      <c r="H141" s="2">
        <f>H133*H138</f>
        <v>0</v>
      </c>
      <c r="I141" s="2">
        <f t="shared" ref="I141:AA141" si="45">I133*I138</f>
        <v>0</v>
      </c>
      <c r="J141" s="2">
        <f t="shared" si="45"/>
        <v>0</v>
      </c>
      <c r="K141" s="2">
        <f t="shared" si="45"/>
        <v>0</v>
      </c>
      <c r="L141" s="2">
        <f t="shared" si="45"/>
        <v>0</v>
      </c>
      <c r="M141" s="2">
        <f t="shared" si="45"/>
        <v>0</v>
      </c>
      <c r="N141" s="2">
        <f t="shared" si="45"/>
        <v>0</v>
      </c>
      <c r="O141" s="2">
        <f t="shared" si="45"/>
        <v>0</v>
      </c>
      <c r="P141" s="2">
        <f t="shared" si="45"/>
        <v>0</v>
      </c>
      <c r="Q141" s="2">
        <f t="shared" si="45"/>
        <v>0</v>
      </c>
      <c r="R141" s="2">
        <f t="shared" si="45"/>
        <v>0</v>
      </c>
      <c r="S141" s="2">
        <f t="shared" si="45"/>
        <v>0</v>
      </c>
      <c r="T141" s="2">
        <f t="shared" si="45"/>
        <v>0</v>
      </c>
      <c r="U141" s="2">
        <f t="shared" si="45"/>
        <v>0</v>
      </c>
      <c r="V141" s="2">
        <f t="shared" si="45"/>
        <v>0</v>
      </c>
      <c r="W141" s="2">
        <f t="shared" si="45"/>
        <v>0</v>
      </c>
      <c r="X141" s="2">
        <f t="shared" si="45"/>
        <v>0</v>
      </c>
      <c r="Y141" s="2">
        <f t="shared" si="45"/>
        <v>0</v>
      </c>
      <c r="Z141" s="2">
        <f t="shared" si="45"/>
        <v>0</v>
      </c>
      <c r="AA141" s="2">
        <f t="shared" si="45"/>
        <v>0</v>
      </c>
    </row>
    <row r="142" spans="1:27" x14ac:dyDescent="0.25">
      <c r="C142" s="1"/>
      <c r="D142" s="1"/>
      <c r="E142" t="s">
        <v>141</v>
      </c>
      <c r="F142" t="s">
        <v>144</v>
      </c>
      <c r="H142" s="2">
        <f>H133*H139</f>
        <v>0</v>
      </c>
      <c r="I142" s="2">
        <f t="shared" ref="I142:AA142" si="46">I133*I139</f>
        <v>0</v>
      </c>
      <c r="J142" s="2">
        <f t="shared" si="46"/>
        <v>0</v>
      </c>
      <c r="K142" s="2">
        <f t="shared" si="46"/>
        <v>0</v>
      </c>
      <c r="L142" s="2">
        <f t="shared" si="46"/>
        <v>0</v>
      </c>
      <c r="M142" s="2">
        <f t="shared" si="46"/>
        <v>0</v>
      </c>
      <c r="N142" s="2">
        <f t="shared" si="46"/>
        <v>0</v>
      </c>
      <c r="O142" s="2">
        <f t="shared" si="46"/>
        <v>0</v>
      </c>
      <c r="P142" s="2">
        <f t="shared" si="46"/>
        <v>0</v>
      </c>
      <c r="Q142" s="2">
        <f t="shared" si="46"/>
        <v>0</v>
      </c>
      <c r="R142" s="2">
        <f t="shared" si="46"/>
        <v>0</v>
      </c>
      <c r="S142" s="2">
        <f t="shared" si="46"/>
        <v>0</v>
      </c>
      <c r="T142" s="2">
        <f t="shared" si="46"/>
        <v>0</v>
      </c>
      <c r="U142" s="2">
        <f t="shared" si="46"/>
        <v>0</v>
      </c>
      <c r="V142" s="2">
        <f t="shared" si="46"/>
        <v>0</v>
      </c>
      <c r="W142" s="2">
        <f t="shared" si="46"/>
        <v>0</v>
      </c>
      <c r="X142" s="2">
        <f t="shared" si="46"/>
        <v>0</v>
      </c>
      <c r="Y142" s="2">
        <f t="shared" si="46"/>
        <v>0</v>
      </c>
      <c r="Z142" s="2">
        <f t="shared" si="46"/>
        <v>0</v>
      </c>
      <c r="AA142" s="2">
        <f t="shared" si="46"/>
        <v>0</v>
      </c>
    </row>
    <row r="143" spans="1:27" x14ac:dyDescent="0.25">
      <c r="A143" s="14">
        <f>'Notes &amp; Assumptions'!A42</f>
        <v>29</v>
      </c>
      <c r="C143" s="1"/>
      <c r="D143" s="1"/>
      <c r="E143" t="s">
        <v>66</v>
      </c>
      <c r="F143" t="s">
        <v>8</v>
      </c>
      <c r="H143" s="11"/>
      <c r="I143" s="11"/>
      <c r="J143" s="11"/>
      <c r="K143" s="11"/>
      <c r="L143" s="11"/>
      <c r="M143" s="11"/>
      <c r="N143" s="11"/>
      <c r="O143" s="11"/>
      <c r="P143" s="11"/>
      <c r="Q143" s="11"/>
      <c r="R143" s="11"/>
      <c r="S143" s="11"/>
      <c r="T143" s="11"/>
      <c r="U143" s="11"/>
      <c r="V143" s="11"/>
      <c r="W143" s="11"/>
      <c r="X143" s="11"/>
      <c r="Y143" s="11"/>
      <c r="Z143" s="11"/>
      <c r="AA143" s="11"/>
    </row>
    <row r="144" spans="1:27" x14ac:dyDescent="0.25">
      <c r="A144" s="14">
        <f>'Notes &amp; Assumptions'!A43</f>
        <v>30</v>
      </c>
      <c r="C144" s="1"/>
      <c r="D144" s="1"/>
      <c r="E144" t="s">
        <v>40</v>
      </c>
      <c r="F144" t="s">
        <v>41</v>
      </c>
      <c r="G144" s="10"/>
      <c r="H144" s="2">
        <f>G144*(1+$G$14)*(1+H143)</f>
        <v>0</v>
      </c>
      <c r="I144" s="2">
        <f t="shared" ref="I144:AA144" si="47">H144*(1+$G$14)*(1+I143)</f>
        <v>0</v>
      </c>
      <c r="J144" s="2">
        <f t="shared" si="47"/>
        <v>0</v>
      </c>
      <c r="K144" s="2">
        <f t="shared" si="47"/>
        <v>0</v>
      </c>
      <c r="L144" s="2">
        <f t="shared" si="47"/>
        <v>0</v>
      </c>
      <c r="M144" s="2">
        <f t="shared" si="47"/>
        <v>0</v>
      </c>
      <c r="N144" s="2">
        <f t="shared" si="47"/>
        <v>0</v>
      </c>
      <c r="O144" s="2">
        <f t="shared" si="47"/>
        <v>0</v>
      </c>
      <c r="P144" s="2">
        <f t="shared" si="47"/>
        <v>0</v>
      </c>
      <c r="Q144" s="2">
        <f t="shared" si="47"/>
        <v>0</v>
      </c>
      <c r="R144" s="2">
        <f t="shared" si="47"/>
        <v>0</v>
      </c>
      <c r="S144" s="2">
        <f t="shared" si="47"/>
        <v>0</v>
      </c>
      <c r="T144" s="2">
        <f t="shared" si="47"/>
        <v>0</v>
      </c>
      <c r="U144" s="2">
        <f t="shared" si="47"/>
        <v>0</v>
      </c>
      <c r="V144" s="2">
        <f t="shared" si="47"/>
        <v>0</v>
      </c>
      <c r="W144" s="2">
        <f t="shared" si="47"/>
        <v>0</v>
      </c>
      <c r="X144" s="2">
        <f t="shared" si="47"/>
        <v>0</v>
      </c>
      <c r="Y144" s="2">
        <f t="shared" si="47"/>
        <v>0</v>
      </c>
      <c r="Z144" s="2">
        <f t="shared" si="47"/>
        <v>0</v>
      </c>
      <c r="AA144" s="2">
        <f t="shared" si="47"/>
        <v>0</v>
      </c>
    </row>
    <row r="145" spans="1:27" x14ac:dyDescent="0.25">
      <c r="C145" s="1"/>
      <c r="D145" s="1"/>
      <c r="E145" t="s">
        <v>67</v>
      </c>
      <c r="F145" t="s">
        <v>143</v>
      </c>
      <c r="G145" s="20"/>
      <c r="H145" s="21">
        <f>G145*(1+$G$14)*(1+H143)</f>
        <v>0</v>
      </c>
      <c r="I145" s="21">
        <f t="shared" ref="I145:AA145" si="48">H145*(1+$G$14)*(1+I143)</f>
        <v>0</v>
      </c>
      <c r="J145" s="21">
        <f t="shared" si="48"/>
        <v>0</v>
      </c>
      <c r="K145" s="21">
        <f t="shared" si="48"/>
        <v>0</v>
      </c>
      <c r="L145" s="21">
        <f t="shared" si="48"/>
        <v>0</v>
      </c>
      <c r="M145" s="21">
        <f t="shared" si="48"/>
        <v>0</v>
      </c>
      <c r="N145" s="21">
        <f t="shared" si="48"/>
        <v>0</v>
      </c>
      <c r="O145" s="21">
        <f t="shared" si="48"/>
        <v>0</v>
      </c>
      <c r="P145" s="21">
        <f t="shared" si="48"/>
        <v>0</v>
      </c>
      <c r="Q145" s="21">
        <f t="shared" si="48"/>
        <v>0</v>
      </c>
      <c r="R145" s="21">
        <f t="shared" si="48"/>
        <v>0</v>
      </c>
      <c r="S145" s="21">
        <f t="shared" si="48"/>
        <v>0</v>
      </c>
      <c r="T145" s="21">
        <f t="shared" si="48"/>
        <v>0</v>
      </c>
      <c r="U145" s="21">
        <f t="shared" si="48"/>
        <v>0</v>
      </c>
      <c r="V145" s="21">
        <f t="shared" si="48"/>
        <v>0</v>
      </c>
      <c r="W145" s="21">
        <f t="shared" si="48"/>
        <v>0</v>
      </c>
      <c r="X145" s="21">
        <f t="shared" si="48"/>
        <v>0</v>
      </c>
      <c r="Y145" s="21">
        <f t="shared" si="48"/>
        <v>0</v>
      </c>
      <c r="Z145" s="21">
        <f t="shared" si="48"/>
        <v>0</v>
      </c>
      <c r="AA145" s="21">
        <f t="shared" si="48"/>
        <v>0</v>
      </c>
    </row>
    <row r="146" spans="1:27" x14ac:dyDescent="0.25">
      <c r="C146" s="1"/>
      <c r="D146" s="1"/>
      <c r="E146" t="s">
        <v>68</v>
      </c>
      <c r="F146" t="s">
        <v>143</v>
      </c>
      <c r="G146" s="20"/>
      <c r="H146" s="21">
        <f>G146*(1+$G$14)*(1+H143)</f>
        <v>0</v>
      </c>
      <c r="I146" s="21">
        <f t="shared" ref="I146:AA146" si="49">H146*(1+$G$14)*(1+I143)</f>
        <v>0</v>
      </c>
      <c r="J146" s="21">
        <f t="shared" si="49"/>
        <v>0</v>
      </c>
      <c r="K146" s="21">
        <f t="shared" si="49"/>
        <v>0</v>
      </c>
      <c r="L146" s="21">
        <f t="shared" si="49"/>
        <v>0</v>
      </c>
      <c r="M146" s="21">
        <f t="shared" si="49"/>
        <v>0</v>
      </c>
      <c r="N146" s="21">
        <f t="shared" si="49"/>
        <v>0</v>
      </c>
      <c r="O146" s="21">
        <f t="shared" si="49"/>
        <v>0</v>
      </c>
      <c r="P146" s="21">
        <f t="shared" si="49"/>
        <v>0</v>
      </c>
      <c r="Q146" s="21">
        <f t="shared" si="49"/>
        <v>0</v>
      </c>
      <c r="R146" s="21">
        <f t="shared" si="49"/>
        <v>0</v>
      </c>
      <c r="S146" s="21">
        <f t="shared" si="49"/>
        <v>0</v>
      </c>
      <c r="T146" s="21">
        <f t="shared" si="49"/>
        <v>0</v>
      </c>
      <c r="U146" s="21">
        <f t="shared" si="49"/>
        <v>0</v>
      </c>
      <c r="V146" s="21">
        <f t="shared" si="49"/>
        <v>0</v>
      </c>
      <c r="W146" s="21">
        <f t="shared" si="49"/>
        <v>0</v>
      </c>
      <c r="X146" s="21">
        <f t="shared" si="49"/>
        <v>0</v>
      </c>
      <c r="Y146" s="21">
        <f t="shared" si="49"/>
        <v>0</v>
      </c>
      <c r="Z146" s="21">
        <f t="shared" si="49"/>
        <v>0</v>
      </c>
      <c r="AA146" s="21">
        <f t="shared" si="49"/>
        <v>0</v>
      </c>
    </row>
    <row r="147" spans="1:27" x14ac:dyDescent="0.25">
      <c r="C147" s="1"/>
      <c r="D147" s="1"/>
      <c r="E147" t="s">
        <v>142</v>
      </c>
      <c r="F147" t="s">
        <v>143</v>
      </c>
      <c r="G147" s="20"/>
      <c r="H147" s="21">
        <f>G147*(1+$G$14)*(1+H143)</f>
        <v>0</v>
      </c>
      <c r="I147" s="21">
        <f t="shared" ref="I147:AA147" si="50">H147*(1+$G$14)*(1+I143)</f>
        <v>0</v>
      </c>
      <c r="J147" s="21">
        <f t="shared" si="50"/>
        <v>0</v>
      </c>
      <c r="K147" s="21">
        <f t="shared" si="50"/>
        <v>0</v>
      </c>
      <c r="L147" s="21">
        <f t="shared" si="50"/>
        <v>0</v>
      </c>
      <c r="M147" s="21">
        <f t="shared" si="50"/>
        <v>0</v>
      </c>
      <c r="N147" s="21">
        <f t="shared" si="50"/>
        <v>0</v>
      </c>
      <c r="O147" s="21">
        <f t="shared" si="50"/>
        <v>0</v>
      </c>
      <c r="P147" s="21">
        <f t="shared" si="50"/>
        <v>0</v>
      </c>
      <c r="Q147" s="21">
        <f t="shared" si="50"/>
        <v>0</v>
      </c>
      <c r="R147" s="21">
        <f t="shared" si="50"/>
        <v>0</v>
      </c>
      <c r="S147" s="21">
        <f t="shared" si="50"/>
        <v>0</v>
      </c>
      <c r="T147" s="21">
        <f t="shared" si="50"/>
        <v>0</v>
      </c>
      <c r="U147" s="21">
        <f t="shared" si="50"/>
        <v>0</v>
      </c>
      <c r="V147" s="21">
        <f t="shared" si="50"/>
        <v>0</v>
      </c>
      <c r="W147" s="21">
        <f t="shared" si="50"/>
        <v>0</v>
      </c>
      <c r="X147" s="21">
        <f t="shared" si="50"/>
        <v>0</v>
      </c>
      <c r="Y147" s="21">
        <f t="shared" si="50"/>
        <v>0</v>
      </c>
      <c r="Z147" s="21">
        <f t="shared" si="50"/>
        <v>0</v>
      </c>
      <c r="AA147" s="21">
        <f t="shared" si="50"/>
        <v>0</v>
      </c>
    </row>
    <row r="148" spans="1:27" x14ac:dyDescent="0.25">
      <c r="C148" s="1"/>
      <c r="D148" s="1"/>
    </row>
    <row r="149" spans="1:27" x14ac:dyDescent="0.25">
      <c r="C149" s="1"/>
      <c r="D149" s="1"/>
      <c r="E149" t="s">
        <v>75</v>
      </c>
      <c r="F149" t="s">
        <v>58</v>
      </c>
      <c r="H149" s="2">
        <f>SUM(H140:H142)/1000</f>
        <v>0</v>
      </c>
      <c r="I149" s="2">
        <f t="shared" ref="I149:AA149" si="51">SUM(I140:I142)/1000</f>
        <v>0</v>
      </c>
      <c r="J149" s="2">
        <f t="shared" si="51"/>
        <v>0</v>
      </c>
      <c r="K149" s="2">
        <f t="shared" si="51"/>
        <v>0</v>
      </c>
      <c r="L149" s="2">
        <f t="shared" si="51"/>
        <v>0</v>
      </c>
      <c r="M149" s="2">
        <f t="shared" si="51"/>
        <v>0</v>
      </c>
      <c r="N149" s="2">
        <f t="shared" si="51"/>
        <v>0</v>
      </c>
      <c r="O149" s="2">
        <f t="shared" si="51"/>
        <v>0</v>
      </c>
      <c r="P149" s="2">
        <f t="shared" si="51"/>
        <v>0</v>
      </c>
      <c r="Q149" s="2">
        <f t="shared" si="51"/>
        <v>0</v>
      </c>
      <c r="R149" s="2">
        <f t="shared" si="51"/>
        <v>0</v>
      </c>
      <c r="S149" s="2">
        <f t="shared" si="51"/>
        <v>0</v>
      </c>
      <c r="T149" s="2">
        <f t="shared" si="51"/>
        <v>0</v>
      </c>
      <c r="U149" s="2">
        <f t="shared" si="51"/>
        <v>0</v>
      </c>
      <c r="V149" s="2">
        <f t="shared" si="51"/>
        <v>0</v>
      </c>
      <c r="W149" s="2">
        <f t="shared" si="51"/>
        <v>0</v>
      </c>
      <c r="X149" s="2">
        <f t="shared" si="51"/>
        <v>0</v>
      </c>
      <c r="Y149" s="2">
        <f t="shared" si="51"/>
        <v>0</v>
      </c>
      <c r="Z149" s="2">
        <f t="shared" si="51"/>
        <v>0</v>
      </c>
      <c r="AA149" s="2">
        <f t="shared" si="51"/>
        <v>0</v>
      </c>
    </row>
    <row r="150" spans="1:27" x14ac:dyDescent="0.25">
      <c r="C150" s="1"/>
      <c r="D150" s="1"/>
      <c r="E150" t="s">
        <v>76</v>
      </c>
      <c r="F150" t="s">
        <v>7</v>
      </c>
      <c r="H150" s="2">
        <f>H133*H144+H140*H145+H141*H146+H142*H147</f>
        <v>0</v>
      </c>
      <c r="I150" s="2">
        <f t="shared" ref="I150:AA150" si="52">I133*I144+I140*I145+I141*I146+I142*I147</f>
        <v>0</v>
      </c>
      <c r="J150" s="2">
        <f t="shared" si="52"/>
        <v>0</v>
      </c>
      <c r="K150" s="2">
        <f t="shared" si="52"/>
        <v>0</v>
      </c>
      <c r="L150" s="2">
        <f t="shared" si="52"/>
        <v>0</v>
      </c>
      <c r="M150" s="2">
        <f t="shared" si="52"/>
        <v>0</v>
      </c>
      <c r="N150" s="2">
        <f t="shared" si="52"/>
        <v>0</v>
      </c>
      <c r="O150" s="2">
        <f t="shared" si="52"/>
        <v>0</v>
      </c>
      <c r="P150" s="2">
        <f t="shared" si="52"/>
        <v>0</v>
      </c>
      <c r="Q150" s="2">
        <f t="shared" si="52"/>
        <v>0</v>
      </c>
      <c r="R150" s="2">
        <f t="shared" si="52"/>
        <v>0</v>
      </c>
      <c r="S150" s="2">
        <f t="shared" si="52"/>
        <v>0</v>
      </c>
      <c r="T150" s="2">
        <f t="shared" si="52"/>
        <v>0</v>
      </c>
      <c r="U150" s="2">
        <f t="shared" si="52"/>
        <v>0</v>
      </c>
      <c r="V150" s="2">
        <f t="shared" si="52"/>
        <v>0</v>
      </c>
      <c r="W150" s="2">
        <f t="shared" si="52"/>
        <v>0</v>
      </c>
      <c r="X150" s="2">
        <f t="shared" si="52"/>
        <v>0</v>
      </c>
      <c r="Y150" s="2">
        <f t="shared" si="52"/>
        <v>0</v>
      </c>
      <c r="Z150" s="2">
        <f t="shared" si="52"/>
        <v>0</v>
      </c>
      <c r="AA150" s="2">
        <f t="shared" si="52"/>
        <v>0</v>
      </c>
    </row>
    <row r="151" spans="1:27" x14ac:dyDescent="0.25">
      <c r="C151" s="1"/>
      <c r="D151" s="1"/>
    </row>
    <row r="152" spans="1:27" x14ac:dyDescent="0.25">
      <c r="C152" s="1"/>
      <c r="D152" t="s">
        <v>77</v>
      </c>
    </row>
    <row r="153" spans="1:27" x14ac:dyDescent="0.25">
      <c r="A153" s="14">
        <f>'Notes &amp; Assumptions'!A44</f>
        <v>31</v>
      </c>
      <c r="C153" s="1"/>
      <c r="D153" s="1"/>
      <c r="E153" t="s">
        <v>87</v>
      </c>
      <c r="F153" t="s">
        <v>3</v>
      </c>
      <c r="H153" s="10">
        <v>0</v>
      </c>
      <c r="I153" s="10">
        <v>0</v>
      </c>
      <c r="J153" s="10">
        <v>0</v>
      </c>
      <c r="K153" s="10">
        <v>0</v>
      </c>
      <c r="L153" s="10">
        <v>0</v>
      </c>
      <c r="M153" s="10">
        <v>0</v>
      </c>
      <c r="N153" s="10">
        <v>0</v>
      </c>
      <c r="O153" s="10">
        <v>0</v>
      </c>
      <c r="P153" s="10">
        <v>0</v>
      </c>
      <c r="Q153" s="10">
        <v>0</v>
      </c>
      <c r="R153" s="10">
        <f>AVERAGE($O153:$Q153)</f>
        <v>0</v>
      </c>
      <c r="S153" s="10">
        <f t="shared" ref="S153:V153" si="53">AVERAGE($O153:$Q153)</f>
        <v>0</v>
      </c>
      <c r="T153" s="10">
        <f t="shared" si="53"/>
        <v>0</v>
      </c>
      <c r="U153" s="10">
        <f t="shared" si="53"/>
        <v>0</v>
      </c>
      <c r="V153" s="10">
        <f t="shared" si="53"/>
        <v>0</v>
      </c>
    </row>
    <row r="154" spans="1:27" x14ac:dyDescent="0.25">
      <c r="C154" s="1"/>
      <c r="D154" s="1"/>
      <c r="E154" t="s">
        <v>60</v>
      </c>
      <c r="F154" t="s">
        <v>3</v>
      </c>
      <c r="H154" s="2">
        <f>G154+H153</f>
        <v>0</v>
      </c>
      <c r="I154" s="2">
        <f t="shared" ref="I154:AA154" si="54">H154+I153</f>
        <v>0</v>
      </c>
      <c r="J154" s="2">
        <f t="shared" si="54"/>
        <v>0</v>
      </c>
      <c r="K154" s="2">
        <f t="shared" si="54"/>
        <v>0</v>
      </c>
      <c r="L154" s="2">
        <f t="shared" si="54"/>
        <v>0</v>
      </c>
      <c r="M154" s="2">
        <f t="shared" si="54"/>
        <v>0</v>
      </c>
      <c r="N154" s="2">
        <f t="shared" si="54"/>
        <v>0</v>
      </c>
      <c r="O154" s="2">
        <f t="shared" si="54"/>
        <v>0</v>
      </c>
      <c r="P154" s="2">
        <f t="shared" si="54"/>
        <v>0</v>
      </c>
      <c r="Q154" s="2">
        <f t="shared" si="54"/>
        <v>0</v>
      </c>
      <c r="R154" s="2">
        <f t="shared" si="54"/>
        <v>0</v>
      </c>
      <c r="S154" s="2">
        <f t="shared" si="54"/>
        <v>0</v>
      </c>
      <c r="T154" s="2">
        <f t="shared" si="54"/>
        <v>0</v>
      </c>
      <c r="U154" s="2">
        <f t="shared" si="54"/>
        <v>0</v>
      </c>
      <c r="V154" s="2">
        <f t="shared" si="54"/>
        <v>0</v>
      </c>
      <c r="W154" s="2">
        <f t="shared" si="54"/>
        <v>0</v>
      </c>
      <c r="X154" s="2">
        <f t="shared" si="54"/>
        <v>0</v>
      </c>
      <c r="Y154" s="2">
        <f t="shared" si="54"/>
        <v>0</v>
      </c>
      <c r="Z154" s="2">
        <f t="shared" si="54"/>
        <v>0</v>
      </c>
      <c r="AA154" s="2">
        <f t="shared" si="54"/>
        <v>0</v>
      </c>
    </row>
    <row r="155" spans="1:27" x14ac:dyDescent="0.25">
      <c r="A155" s="14">
        <f>'Notes &amp; Assumptions'!A45</f>
        <v>32</v>
      </c>
      <c r="C155" s="1"/>
      <c r="D155" s="1"/>
      <c r="E155" t="s">
        <v>61</v>
      </c>
      <c r="F155" t="s">
        <v>3</v>
      </c>
      <c r="G155" s="10">
        <v>1</v>
      </c>
    </row>
    <row r="156" spans="1:27" x14ac:dyDescent="0.25">
      <c r="C156" s="1"/>
      <c r="D156" s="1"/>
      <c r="E156" t="s">
        <v>88</v>
      </c>
      <c r="F156" t="s">
        <v>3</v>
      </c>
      <c r="H156">
        <f>H153*$G155</f>
        <v>0</v>
      </c>
      <c r="I156">
        <f t="shared" ref="I156:AA156" si="55">I153*$G155</f>
        <v>0</v>
      </c>
      <c r="J156">
        <f t="shared" si="55"/>
        <v>0</v>
      </c>
      <c r="K156">
        <f t="shared" si="55"/>
        <v>0</v>
      </c>
      <c r="L156">
        <f t="shared" si="55"/>
        <v>0</v>
      </c>
      <c r="M156">
        <f t="shared" si="55"/>
        <v>0</v>
      </c>
      <c r="N156">
        <f t="shared" si="55"/>
        <v>0</v>
      </c>
      <c r="O156">
        <f t="shared" si="55"/>
        <v>0</v>
      </c>
      <c r="P156">
        <f t="shared" si="55"/>
        <v>0</v>
      </c>
      <c r="Q156">
        <f t="shared" si="55"/>
        <v>0</v>
      </c>
      <c r="R156">
        <f t="shared" si="55"/>
        <v>0</v>
      </c>
      <c r="S156">
        <f t="shared" si="55"/>
        <v>0</v>
      </c>
      <c r="T156">
        <f t="shared" si="55"/>
        <v>0</v>
      </c>
      <c r="U156">
        <f t="shared" si="55"/>
        <v>0</v>
      </c>
      <c r="V156">
        <f t="shared" si="55"/>
        <v>0</v>
      </c>
      <c r="W156">
        <f t="shared" si="55"/>
        <v>0</v>
      </c>
      <c r="X156">
        <f t="shared" si="55"/>
        <v>0</v>
      </c>
      <c r="Y156">
        <f t="shared" si="55"/>
        <v>0</v>
      </c>
      <c r="Z156">
        <f t="shared" si="55"/>
        <v>0</v>
      </c>
      <c r="AA156">
        <f t="shared" si="55"/>
        <v>0</v>
      </c>
    </row>
    <row r="157" spans="1:27" x14ac:dyDescent="0.25">
      <c r="C157" s="1"/>
      <c r="D157" s="1"/>
      <c r="E157" t="s">
        <v>89</v>
      </c>
      <c r="F157" t="s">
        <v>3</v>
      </c>
      <c r="H157">
        <f>H154*$G155</f>
        <v>0</v>
      </c>
      <c r="I157">
        <f t="shared" ref="I157:AA157" si="56">I154*$G155</f>
        <v>0</v>
      </c>
      <c r="J157">
        <f t="shared" si="56"/>
        <v>0</v>
      </c>
      <c r="K157">
        <f t="shared" si="56"/>
        <v>0</v>
      </c>
      <c r="L157">
        <f t="shared" si="56"/>
        <v>0</v>
      </c>
      <c r="M157">
        <f t="shared" si="56"/>
        <v>0</v>
      </c>
      <c r="N157">
        <f t="shared" si="56"/>
        <v>0</v>
      </c>
      <c r="O157">
        <f t="shared" si="56"/>
        <v>0</v>
      </c>
      <c r="P157">
        <f t="shared" si="56"/>
        <v>0</v>
      </c>
      <c r="Q157">
        <f t="shared" si="56"/>
        <v>0</v>
      </c>
      <c r="R157">
        <f t="shared" si="56"/>
        <v>0</v>
      </c>
      <c r="S157">
        <f t="shared" si="56"/>
        <v>0</v>
      </c>
      <c r="T157">
        <f t="shared" si="56"/>
        <v>0</v>
      </c>
      <c r="U157">
        <f t="shared" si="56"/>
        <v>0</v>
      </c>
      <c r="V157">
        <f t="shared" si="56"/>
        <v>0</v>
      </c>
      <c r="W157">
        <f t="shared" si="56"/>
        <v>0</v>
      </c>
      <c r="X157">
        <f t="shared" si="56"/>
        <v>0</v>
      </c>
      <c r="Y157">
        <f t="shared" si="56"/>
        <v>0</v>
      </c>
      <c r="Z157">
        <f t="shared" si="56"/>
        <v>0</v>
      </c>
      <c r="AA157">
        <f t="shared" si="56"/>
        <v>0</v>
      </c>
    </row>
    <row r="158" spans="1:27" x14ac:dyDescent="0.25">
      <c r="A158" s="14">
        <f>'Notes &amp; Assumptions'!A46</f>
        <v>33</v>
      </c>
      <c r="C158" s="1"/>
      <c r="D158" s="1"/>
      <c r="E158" t="s">
        <v>62</v>
      </c>
      <c r="F158" t="s">
        <v>43</v>
      </c>
      <c r="H158" s="10"/>
      <c r="I158" s="10"/>
      <c r="J158" s="10"/>
      <c r="K158" s="10"/>
      <c r="L158" s="10"/>
      <c r="M158" s="10"/>
      <c r="N158" s="10"/>
      <c r="O158" s="10"/>
      <c r="P158" s="10"/>
      <c r="Q158" s="10"/>
      <c r="R158" s="10"/>
      <c r="S158" s="10"/>
      <c r="T158" s="10"/>
      <c r="U158" s="10"/>
      <c r="V158" s="10"/>
      <c r="W158" s="10"/>
      <c r="X158" s="10"/>
      <c r="Y158" s="10"/>
      <c r="Z158" s="10"/>
      <c r="AA158" s="10"/>
    </row>
    <row r="159" spans="1:27" x14ac:dyDescent="0.25">
      <c r="C159" s="1"/>
      <c r="D159" s="1"/>
      <c r="E159" t="s">
        <v>63</v>
      </c>
      <c r="F159" t="s">
        <v>43</v>
      </c>
      <c r="H159" s="10"/>
      <c r="I159" s="10"/>
      <c r="J159" s="10"/>
      <c r="K159" s="10"/>
      <c r="L159" s="10"/>
      <c r="M159" s="10"/>
      <c r="N159" s="10"/>
      <c r="O159" s="10"/>
      <c r="P159" s="10"/>
      <c r="Q159" s="10"/>
      <c r="R159" s="10"/>
      <c r="S159" s="10"/>
      <c r="T159" s="10"/>
      <c r="U159" s="10"/>
      <c r="V159" s="10"/>
      <c r="W159" s="10"/>
      <c r="X159" s="10"/>
      <c r="Y159" s="10"/>
      <c r="Z159" s="10"/>
      <c r="AA159" s="10"/>
    </row>
    <row r="160" spans="1:27" x14ac:dyDescent="0.25">
      <c r="A160" s="14">
        <f>'Notes &amp; Assumptions'!A47</f>
        <v>34</v>
      </c>
      <c r="C160" s="1"/>
      <c r="D160" s="1"/>
      <c r="E160" t="s">
        <v>140</v>
      </c>
      <c r="F160" t="s">
        <v>43</v>
      </c>
      <c r="H160" s="10"/>
      <c r="I160" s="10"/>
      <c r="J160" s="10"/>
      <c r="K160" s="10"/>
      <c r="L160" s="10"/>
      <c r="M160" s="10"/>
      <c r="N160" s="10"/>
      <c r="O160" s="10"/>
      <c r="P160" s="10"/>
      <c r="Q160" s="10"/>
      <c r="R160" s="10"/>
      <c r="S160" s="10"/>
      <c r="T160" s="10"/>
      <c r="U160" s="10"/>
      <c r="V160" s="10"/>
      <c r="W160" s="10"/>
      <c r="X160" s="10"/>
      <c r="Y160" s="10"/>
      <c r="Z160" s="10"/>
      <c r="AA160" s="10"/>
    </row>
    <row r="161" spans="1:27" x14ac:dyDescent="0.25">
      <c r="C161" s="1"/>
      <c r="D161" s="1"/>
      <c r="E161" t="s">
        <v>64</v>
      </c>
      <c r="F161" t="s">
        <v>144</v>
      </c>
      <c r="H161" s="2">
        <f>H154*H158</f>
        <v>0</v>
      </c>
      <c r="I161" s="2">
        <f t="shared" ref="I161:AA161" si="57">I154*I158</f>
        <v>0</v>
      </c>
      <c r="J161" s="2">
        <f t="shared" si="57"/>
        <v>0</v>
      </c>
      <c r="K161" s="2">
        <f t="shared" si="57"/>
        <v>0</v>
      </c>
      <c r="L161" s="2">
        <f t="shared" si="57"/>
        <v>0</v>
      </c>
      <c r="M161" s="2">
        <f t="shared" si="57"/>
        <v>0</v>
      </c>
      <c r="N161" s="2">
        <f t="shared" si="57"/>
        <v>0</v>
      </c>
      <c r="O161" s="2">
        <f t="shared" si="57"/>
        <v>0</v>
      </c>
      <c r="P161" s="2">
        <f t="shared" si="57"/>
        <v>0</v>
      </c>
      <c r="Q161" s="2">
        <f t="shared" si="57"/>
        <v>0</v>
      </c>
      <c r="R161" s="2">
        <f t="shared" si="57"/>
        <v>0</v>
      </c>
      <c r="S161" s="2">
        <f t="shared" si="57"/>
        <v>0</v>
      </c>
      <c r="T161" s="2">
        <f t="shared" si="57"/>
        <v>0</v>
      </c>
      <c r="U161" s="2">
        <f t="shared" si="57"/>
        <v>0</v>
      </c>
      <c r="V161" s="2">
        <f t="shared" si="57"/>
        <v>0</v>
      </c>
      <c r="W161" s="2">
        <f t="shared" si="57"/>
        <v>0</v>
      </c>
      <c r="X161" s="2">
        <f t="shared" si="57"/>
        <v>0</v>
      </c>
      <c r="Y161" s="2">
        <f t="shared" si="57"/>
        <v>0</v>
      </c>
      <c r="Z161" s="2">
        <f t="shared" si="57"/>
        <v>0</v>
      </c>
      <c r="AA161" s="2">
        <f t="shared" si="57"/>
        <v>0</v>
      </c>
    </row>
    <row r="162" spans="1:27" x14ac:dyDescent="0.25">
      <c r="C162" s="1"/>
      <c r="D162" s="1"/>
      <c r="E162" t="s">
        <v>65</v>
      </c>
      <c r="F162" t="s">
        <v>144</v>
      </c>
      <c r="H162" s="2">
        <f>H154*H159</f>
        <v>0</v>
      </c>
      <c r="I162" s="2">
        <f t="shared" ref="I162:AA162" si="58">I154*I159</f>
        <v>0</v>
      </c>
      <c r="J162" s="2">
        <f t="shared" si="58"/>
        <v>0</v>
      </c>
      <c r="K162" s="2">
        <f t="shared" si="58"/>
        <v>0</v>
      </c>
      <c r="L162" s="2">
        <f t="shared" si="58"/>
        <v>0</v>
      </c>
      <c r="M162" s="2">
        <f t="shared" si="58"/>
        <v>0</v>
      </c>
      <c r="N162" s="2">
        <f t="shared" si="58"/>
        <v>0</v>
      </c>
      <c r="O162" s="2">
        <f t="shared" si="58"/>
        <v>0</v>
      </c>
      <c r="P162" s="2">
        <f t="shared" si="58"/>
        <v>0</v>
      </c>
      <c r="Q162" s="2">
        <f t="shared" si="58"/>
        <v>0</v>
      </c>
      <c r="R162" s="2">
        <f t="shared" si="58"/>
        <v>0</v>
      </c>
      <c r="S162" s="2">
        <f t="shared" si="58"/>
        <v>0</v>
      </c>
      <c r="T162" s="2">
        <f t="shared" si="58"/>
        <v>0</v>
      </c>
      <c r="U162" s="2">
        <f t="shared" si="58"/>
        <v>0</v>
      </c>
      <c r="V162" s="2">
        <f t="shared" si="58"/>
        <v>0</v>
      </c>
      <c r="W162" s="2">
        <f t="shared" si="58"/>
        <v>0</v>
      </c>
      <c r="X162" s="2">
        <f t="shared" si="58"/>
        <v>0</v>
      </c>
      <c r="Y162" s="2">
        <f t="shared" si="58"/>
        <v>0</v>
      </c>
      <c r="Z162" s="2">
        <f t="shared" si="58"/>
        <v>0</v>
      </c>
      <c r="AA162" s="2">
        <f t="shared" si="58"/>
        <v>0</v>
      </c>
    </row>
    <row r="163" spans="1:27" x14ac:dyDescent="0.25">
      <c r="C163" s="1"/>
      <c r="D163" s="1"/>
      <c r="E163" t="s">
        <v>141</v>
      </c>
      <c r="F163" t="s">
        <v>144</v>
      </c>
      <c r="H163" s="2">
        <f>H154*H160</f>
        <v>0</v>
      </c>
      <c r="I163" s="2">
        <f t="shared" ref="I163:AA163" si="59">I154*I160</f>
        <v>0</v>
      </c>
      <c r="J163" s="2">
        <f t="shared" si="59"/>
        <v>0</v>
      </c>
      <c r="K163" s="2">
        <f t="shared" si="59"/>
        <v>0</v>
      </c>
      <c r="L163" s="2">
        <f t="shared" si="59"/>
        <v>0</v>
      </c>
      <c r="M163" s="2">
        <f t="shared" si="59"/>
        <v>0</v>
      </c>
      <c r="N163" s="2">
        <f t="shared" si="59"/>
        <v>0</v>
      </c>
      <c r="O163" s="2">
        <f t="shared" si="59"/>
        <v>0</v>
      </c>
      <c r="P163" s="2">
        <f t="shared" si="59"/>
        <v>0</v>
      </c>
      <c r="Q163" s="2">
        <f t="shared" si="59"/>
        <v>0</v>
      </c>
      <c r="R163" s="2">
        <f t="shared" si="59"/>
        <v>0</v>
      </c>
      <c r="S163" s="2">
        <f t="shared" si="59"/>
        <v>0</v>
      </c>
      <c r="T163" s="2">
        <f t="shared" si="59"/>
        <v>0</v>
      </c>
      <c r="U163" s="2">
        <f t="shared" si="59"/>
        <v>0</v>
      </c>
      <c r="V163" s="2">
        <f t="shared" si="59"/>
        <v>0</v>
      </c>
      <c r="W163" s="2">
        <f t="shared" si="59"/>
        <v>0</v>
      </c>
      <c r="X163" s="2">
        <f t="shared" si="59"/>
        <v>0</v>
      </c>
      <c r="Y163" s="2">
        <f t="shared" si="59"/>
        <v>0</v>
      </c>
      <c r="Z163" s="2">
        <f t="shared" si="59"/>
        <v>0</v>
      </c>
      <c r="AA163" s="2">
        <f t="shared" si="59"/>
        <v>0</v>
      </c>
    </row>
    <row r="164" spans="1:27" x14ac:dyDescent="0.25">
      <c r="A164" s="14">
        <f>'Notes &amp; Assumptions'!A48</f>
        <v>35</v>
      </c>
      <c r="C164" s="1"/>
      <c r="D164" s="1"/>
      <c r="E164" t="s">
        <v>66</v>
      </c>
      <c r="F164" t="s">
        <v>8</v>
      </c>
      <c r="H164" s="11"/>
      <c r="I164" s="11"/>
      <c r="J164" s="11"/>
      <c r="K164" s="11"/>
      <c r="L164" s="11"/>
      <c r="M164" s="11"/>
      <c r="N164" s="11"/>
      <c r="O164" s="11"/>
      <c r="P164" s="11"/>
      <c r="Q164" s="11"/>
      <c r="R164" s="11"/>
      <c r="S164" s="11"/>
      <c r="T164" s="11"/>
      <c r="U164" s="11"/>
      <c r="V164" s="11"/>
      <c r="W164" s="11"/>
      <c r="X164" s="11"/>
      <c r="Y164" s="11"/>
      <c r="Z164" s="11"/>
      <c r="AA164" s="11"/>
    </row>
    <row r="165" spans="1:27" x14ac:dyDescent="0.25">
      <c r="A165" s="14">
        <f>'Notes &amp; Assumptions'!A49</f>
        <v>36</v>
      </c>
      <c r="C165" s="1"/>
      <c r="D165" s="1"/>
      <c r="E165" t="s">
        <v>40</v>
      </c>
      <c r="F165" t="s">
        <v>41</v>
      </c>
      <c r="G165" s="10"/>
      <c r="H165" s="2">
        <f>G165*(1+$G$14)*(1+H164)</f>
        <v>0</v>
      </c>
      <c r="I165" s="2">
        <f t="shared" ref="I165:AA165" si="60">H165*(1+$G$14)*(1+I164)</f>
        <v>0</v>
      </c>
      <c r="J165" s="2">
        <f t="shared" si="60"/>
        <v>0</v>
      </c>
      <c r="K165" s="2">
        <f t="shared" si="60"/>
        <v>0</v>
      </c>
      <c r="L165" s="2">
        <f t="shared" si="60"/>
        <v>0</v>
      </c>
      <c r="M165" s="2">
        <f t="shared" si="60"/>
        <v>0</v>
      </c>
      <c r="N165" s="2">
        <f t="shared" si="60"/>
        <v>0</v>
      </c>
      <c r="O165" s="2">
        <f t="shared" si="60"/>
        <v>0</v>
      </c>
      <c r="P165" s="2">
        <f t="shared" si="60"/>
        <v>0</v>
      </c>
      <c r="Q165" s="2">
        <f t="shared" si="60"/>
        <v>0</v>
      </c>
      <c r="R165" s="2">
        <f t="shared" si="60"/>
        <v>0</v>
      </c>
      <c r="S165" s="2">
        <f t="shared" si="60"/>
        <v>0</v>
      </c>
      <c r="T165" s="2">
        <f t="shared" si="60"/>
        <v>0</v>
      </c>
      <c r="U165" s="2">
        <f t="shared" si="60"/>
        <v>0</v>
      </c>
      <c r="V165" s="2">
        <f t="shared" si="60"/>
        <v>0</v>
      </c>
      <c r="W165" s="2">
        <f t="shared" si="60"/>
        <v>0</v>
      </c>
      <c r="X165" s="2">
        <f t="shared" si="60"/>
        <v>0</v>
      </c>
      <c r="Y165" s="2">
        <f t="shared" si="60"/>
        <v>0</v>
      </c>
      <c r="Z165" s="2">
        <f t="shared" si="60"/>
        <v>0</v>
      </c>
      <c r="AA165" s="2">
        <f t="shared" si="60"/>
        <v>0</v>
      </c>
    </row>
    <row r="166" spans="1:27" x14ac:dyDescent="0.25">
      <c r="C166" s="1"/>
      <c r="D166" s="1"/>
      <c r="E166" t="s">
        <v>67</v>
      </c>
      <c r="F166" t="s">
        <v>143</v>
      </c>
      <c r="G166" s="20"/>
      <c r="H166" s="21">
        <f>G166*(1+$G$14)*(1+H164)</f>
        <v>0</v>
      </c>
      <c r="I166" s="21">
        <f t="shared" ref="I166:AA166" si="61">H166*(1+$G$14)*(1+I164)</f>
        <v>0</v>
      </c>
      <c r="J166" s="21">
        <f t="shared" si="61"/>
        <v>0</v>
      </c>
      <c r="K166" s="21">
        <f t="shared" si="61"/>
        <v>0</v>
      </c>
      <c r="L166" s="21">
        <f t="shared" si="61"/>
        <v>0</v>
      </c>
      <c r="M166" s="21">
        <f t="shared" si="61"/>
        <v>0</v>
      </c>
      <c r="N166" s="21">
        <f t="shared" si="61"/>
        <v>0</v>
      </c>
      <c r="O166" s="21">
        <f t="shared" si="61"/>
        <v>0</v>
      </c>
      <c r="P166" s="21">
        <f t="shared" si="61"/>
        <v>0</v>
      </c>
      <c r="Q166" s="21">
        <f t="shared" si="61"/>
        <v>0</v>
      </c>
      <c r="R166" s="21">
        <f t="shared" si="61"/>
        <v>0</v>
      </c>
      <c r="S166" s="21">
        <f t="shared" si="61"/>
        <v>0</v>
      </c>
      <c r="T166" s="21">
        <f t="shared" si="61"/>
        <v>0</v>
      </c>
      <c r="U166" s="21">
        <f t="shared" si="61"/>
        <v>0</v>
      </c>
      <c r="V166" s="21">
        <f t="shared" si="61"/>
        <v>0</v>
      </c>
      <c r="W166" s="21">
        <f t="shared" si="61"/>
        <v>0</v>
      </c>
      <c r="X166" s="21">
        <f t="shared" si="61"/>
        <v>0</v>
      </c>
      <c r="Y166" s="21">
        <f t="shared" si="61"/>
        <v>0</v>
      </c>
      <c r="Z166" s="21">
        <f t="shared" si="61"/>
        <v>0</v>
      </c>
      <c r="AA166" s="21">
        <f t="shared" si="61"/>
        <v>0</v>
      </c>
    </row>
    <row r="167" spans="1:27" x14ac:dyDescent="0.25">
      <c r="C167" s="1"/>
      <c r="D167" s="1"/>
      <c r="E167" t="s">
        <v>68</v>
      </c>
      <c r="F167" t="s">
        <v>143</v>
      </c>
      <c r="G167" s="20"/>
      <c r="H167" s="21">
        <f>G167*(1+$G$14)*(1+H164)</f>
        <v>0</v>
      </c>
      <c r="I167" s="21">
        <f t="shared" ref="I167:AA167" si="62">H167*(1+$G$14)*(1+I164)</f>
        <v>0</v>
      </c>
      <c r="J167" s="21">
        <f t="shared" si="62"/>
        <v>0</v>
      </c>
      <c r="K167" s="21">
        <f t="shared" si="62"/>
        <v>0</v>
      </c>
      <c r="L167" s="21">
        <f t="shared" si="62"/>
        <v>0</v>
      </c>
      <c r="M167" s="21">
        <f t="shared" si="62"/>
        <v>0</v>
      </c>
      <c r="N167" s="21">
        <f t="shared" si="62"/>
        <v>0</v>
      </c>
      <c r="O167" s="21">
        <f t="shared" si="62"/>
        <v>0</v>
      </c>
      <c r="P167" s="21">
        <f t="shared" si="62"/>
        <v>0</v>
      </c>
      <c r="Q167" s="21">
        <f t="shared" si="62"/>
        <v>0</v>
      </c>
      <c r="R167" s="21">
        <f t="shared" si="62"/>
        <v>0</v>
      </c>
      <c r="S167" s="21">
        <f t="shared" si="62"/>
        <v>0</v>
      </c>
      <c r="T167" s="21">
        <f t="shared" si="62"/>
        <v>0</v>
      </c>
      <c r="U167" s="21">
        <f t="shared" si="62"/>
        <v>0</v>
      </c>
      <c r="V167" s="21">
        <f t="shared" si="62"/>
        <v>0</v>
      </c>
      <c r="W167" s="21">
        <f t="shared" si="62"/>
        <v>0</v>
      </c>
      <c r="X167" s="21">
        <f t="shared" si="62"/>
        <v>0</v>
      </c>
      <c r="Y167" s="21">
        <f t="shared" si="62"/>
        <v>0</v>
      </c>
      <c r="Z167" s="21">
        <f t="shared" si="62"/>
        <v>0</v>
      </c>
      <c r="AA167" s="21">
        <f t="shared" si="62"/>
        <v>0</v>
      </c>
    </row>
    <row r="168" spans="1:27" x14ac:dyDescent="0.25">
      <c r="C168" s="1"/>
      <c r="D168" s="1"/>
      <c r="E168" t="s">
        <v>142</v>
      </c>
      <c r="F168" t="s">
        <v>143</v>
      </c>
      <c r="G168" s="20"/>
      <c r="H168" s="21">
        <f>G168*(1+$G$14)*(1+H164)</f>
        <v>0</v>
      </c>
      <c r="I168" s="21">
        <f t="shared" ref="I168:AA168" si="63">H168*(1+$G$14)*(1+I164)</f>
        <v>0</v>
      </c>
      <c r="J168" s="21">
        <f t="shared" si="63"/>
        <v>0</v>
      </c>
      <c r="K168" s="21">
        <f t="shared" si="63"/>
        <v>0</v>
      </c>
      <c r="L168" s="21">
        <f t="shared" si="63"/>
        <v>0</v>
      </c>
      <c r="M168" s="21">
        <f t="shared" si="63"/>
        <v>0</v>
      </c>
      <c r="N168" s="21">
        <f t="shared" si="63"/>
        <v>0</v>
      </c>
      <c r="O168" s="21">
        <f t="shared" si="63"/>
        <v>0</v>
      </c>
      <c r="P168" s="21">
        <f t="shared" si="63"/>
        <v>0</v>
      </c>
      <c r="Q168" s="21">
        <f t="shared" si="63"/>
        <v>0</v>
      </c>
      <c r="R168" s="21">
        <f t="shared" si="63"/>
        <v>0</v>
      </c>
      <c r="S168" s="21">
        <f t="shared" si="63"/>
        <v>0</v>
      </c>
      <c r="T168" s="21">
        <f t="shared" si="63"/>
        <v>0</v>
      </c>
      <c r="U168" s="21">
        <f t="shared" si="63"/>
        <v>0</v>
      </c>
      <c r="V168" s="21">
        <f t="shared" si="63"/>
        <v>0</v>
      </c>
      <c r="W168" s="21">
        <f t="shared" si="63"/>
        <v>0</v>
      </c>
      <c r="X168" s="21">
        <f t="shared" si="63"/>
        <v>0</v>
      </c>
      <c r="Y168" s="21">
        <f t="shared" si="63"/>
        <v>0</v>
      </c>
      <c r="Z168" s="21">
        <f t="shared" si="63"/>
        <v>0</v>
      </c>
      <c r="AA168" s="21">
        <f t="shared" si="63"/>
        <v>0</v>
      </c>
    </row>
    <row r="169" spans="1:27" x14ac:dyDescent="0.25">
      <c r="C169" s="1"/>
      <c r="D169" s="1"/>
    </row>
    <row r="170" spans="1:27" x14ac:dyDescent="0.25">
      <c r="C170" s="1"/>
      <c r="D170" s="1"/>
      <c r="E170" t="s">
        <v>78</v>
      </c>
      <c r="F170" t="s">
        <v>58</v>
      </c>
      <c r="H170" s="2">
        <f>SUM(H161:H163)/1000</f>
        <v>0</v>
      </c>
      <c r="I170" s="2">
        <f t="shared" ref="I170:AA170" si="64">SUM(I161:I163)/1000</f>
        <v>0</v>
      </c>
      <c r="J170" s="2">
        <f t="shared" si="64"/>
        <v>0</v>
      </c>
      <c r="K170" s="2">
        <f t="shared" si="64"/>
        <v>0</v>
      </c>
      <c r="L170" s="2">
        <f t="shared" si="64"/>
        <v>0</v>
      </c>
      <c r="M170" s="2">
        <f t="shared" si="64"/>
        <v>0</v>
      </c>
      <c r="N170" s="2">
        <f t="shared" si="64"/>
        <v>0</v>
      </c>
      <c r="O170" s="2">
        <f t="shared" si="64"/>
        <v>0</v>
      </c>
      <c r="P170" s="2">
        <f t="shared" si="64"/>
        <v>0</v>
      </c>
      <c r="Q170" s="2">
        <f t="shared" si="64"/>
        <v>0</v>
      </c>
      <c r="R170" s="2">
        <f t="shared" si="64"/>
        <v>0</v>
      </c>
      <c r="S170" s="2">
        <f t="shared" si="64"/>
        <v>0</v>
      </c>
      <c r="T170" s="2">
        <f t="shared" si="64"/>
        <v>0</v>
      </c>
      <c r="U170" s="2">
        <f t="shared" si="64"/>
        <v>0</v>
      </c>
      <c r="V170" s="2">
        <f t="shared" si="64"/>
        <v>0</v>
      </c>
      <c r="W170" s="2">
        <f t="shared" si="64"/>
        <v>0</v>
      </c>
      <c r="X170" s="2">
        <f t="shared" si="64"/>
        <v>0</v>
      </c>
      <c r="Y170" s="2">
        <f t="shared" si="64"/>
        <v>0</v>
      </c>
      <c r="Z170" s="2">
        <f t="shared" si="64"/>
        <v>0</v>
      </c>
      <c r="AA170" s="2">
        <f t="shared" si="64"/>
        <v>0</v>
      </c>
    </row>
    <row r="171" spans="1:27" x14ac:dyDescent="0.25">
      <c r="C171" s="1"/>
      <c r="D171" s="1"/>
      <c r="E171" t="s">
        <v>79</v>
      </c>
      <c r="F171" t="s">
        <v>7</v>
      </c>
      <c r="H171" s="2">
        <f>H154*H165+H161*H166+H162*H167+H163*H168</f>
        <v>0</v>
      </c>
      <c r="I171" s="2">
        <f t="shared" ref="I171:AA171" si="65">I154*I165+I161*I166+I162*I167+I163*I168</f>
        <v>0</v>
      </c>
      <c r="J171" s="2">
        <f t="shared" si="65"/>
        <v>0</v>
      </c>
      <c r="K171" s="2">
        <f t="shared" si="65"/>
        <v>0</v>
      </c>
      <c r="L171" s="2">
        <f t="shared" si="65"/>
        <v>0</v>
      </c>
      <c r="M171" s="2">
        <f t="shared" si="65"/>
        <v>0</v>
      </c>
      <c r="N171" s="2">
        <f t="shared" si="65"/>
        <v>0</v>
      </c>
      <c r="O171" s="2">
        <f t="shared" si="65"/>
        <v>0</v>
      </c>
      <c r="P171" s="2">
        <f t="shared" si="65"/>
        <v>0</v>
      </c>
      <c r="Q171" s="2">
        <f t="shared" si="65"/>
        <v>0</v>
      </c>
      <c r="R171" s="2">
        <f t="shared" si="65"/>
        <v>0</v>
      </c>
      <c r="S171" s="2">
        <f t="shared" si="65"/>
        <v>0</v>
      </c>
      <c r="T171" s="2">
        <f t="shared" si="65"/>
        <v>0</v>
      </c>
      <c r="U171" s="2">
        <f t="shared" si="65"/>
        <v>0</v>
      </c>
      <c r="V171" s="2">
        <f t="shared" si="65"/>
        <v>0</v>
      </c>
      <c r="W171" s="2">
        <f t="shared" si="65"/>
        <v>0</v>
      </c>
      <c r="X171" s="2">
        <f t="shared" si="65"/>
        <v>0</v>
      </c>
      <c r="Y171" s="2">
        <f t="shared" si="65"/>
        <v>0</v>
      </c>
      <c r="Z171" s="2">
        <f t="shared" si="65"/>
        <v>0</v>
      </c>
      <c r="AA171" s="2">
        <f t="shared" si="65"/>
        <v>0</v>
      </c>
    </row>
    <row r="172" spans="1:27" x14ac:dyDescent="0.25">
      <c r="C172" s="1"/>
      <c r="D172" s="1"/>
    </row>
    <row r="173" spans="1:27" x14ac:dyDescent="0.25">
      <c r="C173" s="1"/>
      <c r="D173" t="s">
        <v>80</v>
      </c>
    </row>
    <row r="174" spans="1:27" x14ac:dyDescent="0.25">
      <c r="C174" s="1"/>
      <c r="E174" t="s">
        <v>91</v>
      </c>
      <c r="F174" t="s">
        <v>3</v>
      </c>
      <c r="H174">
        <f t="shared" ref="H174:AA175" si="66">SUM(H93,H114,H135,H156)</f>
        <v>11453</v>
      </c>
      <c r="I174">
        <f t="shared" si="66"/>
        <v>10932</v>
      </c>
      <c r="J174">
        <f t="shared" si="66"/>
        <v>10605.699999999999</v>
      </c>
      <c r="K174">
        <f t="shared" si="66"/>
        <v>9776.5999999999985</v>
      </c>
      <c r="L174">
        <f t="shared" si="66"/>
        <v>8966.9999999999982</v>
      </c>
      <c r="M174">
        <f t="shared" si="66"/>
        <v>8194.9999999999982</v>
      </c>
      <c r="N174">
        <f t="shared" si="66"/>
        <v>7462.9999999999973</v>
      </c>
      <c r="O174">
        <f t="shared" si="66"/>
        <v>6769.699999999998</v>
      </c>
      <c r="P174">
        <f t="shared" si="66"/>
        <v>6680.9999999999982</v>
      </c>
      <c r="Q174">
        <f t="shared" si="66"/>
        <v>6578.5999999999985</v>
      </c>
      <c r="R174">
        <f t="shared" si="66"/>
        <v>6940.9999999999982</v>
      </c>
      <c r="S174">
        <f t="shared" si="66"/>
        <v>7346.699999999998</v>
      </c>
      <c r="T174">
        <f t="shared" si="66"/>
        <v>7762.9999999999982</v>
      </c>
      <c r="U174">
        <f t="shared" si="66"/>
        <v>7725.5999999999976</v>
      </c>
      <c r="V174">
        <f t="shared" si="66"/>
        <v>7691.2999999999975</v>
      </c>
      <c r="W174">
        <f t="shared" si="66"/>
        <v>0</v>
      </c>
      <c r="X174">
        <f t="shared" si="66"/>
        <v>0</v>
      </c>
      <c r="Y174">
        <f t="shared" si="66"/>
        <v>0</v>
      </c>
      <c r="Z174">
        <f t="shared" si="66"/>
        <v>0</v>
      </c>
      <c r="AA174">
        <f t="shared" si="66"/>
        <v>0</v>
      </c>
    </row>
    <row r="175" spans="1:27" x14ac:dyDescent="0.25">
      <c r="C175" s="1"/>
      <c r="D175" s="1"/>
      <c r="E175" t="s">
        <v>90</v>
      </c>
      <c r="F175" t="s">
        <v>3</v>
      </c>
      <c r="H175">
        <f t="shared" si="66"/>
        <v>11453</v>
      </c>
      <c r="I175">
        <f t="shared" si="66"/>
        <v>22385</v>
      </c>
      <c r="J175">
        <f t="shared" si="66"/>
        <v>32990.699999999997</v>
      </c>
      <c r="K175">
        <f t="shared" si="66"/>
        <v>42767.299999999996</v>
      </c>
      <c r="L175">
        <f t="shared" si="66"/>
        <v>51734.299999999996</v>
      </c>
      <c r="M175">
        <f t="shared" si="66"/>
        <v>59929.299999999996</v>
      </c>
      <c r="N175">
        <f t="shared" si="66"/>
        <v>67392.299999999988</v>
      </c>
      <c r="O175">
        <f t="shared" si="66"/>
        <v>74162</v>
      </c>
      <c r="P175">
        <f t="shared" si="66"/>
        <v>80843</v>
      </c>
      <c r="Q175">
        <f t="shared" si="66"/>
        <v>87421.6</v>
      </c>
      <c r="R175">
        <f t="shared" si="66"/>
        <v>94362.6</v>
      </c>
      <c r="S175">
        <f t="shared" si="66"/>
        <v>101709.3</v>
      </c>
      <c r="T175">
        <f t="shared" si="66"/>
        <v>109472.3</v>
      </c>
      <c r="U175">
        <f t="shared" si="66"/>
        <v>117197.9</v>
      </c>
      <c r="V175">
        <f t="shared" si="66"/>
        <v>124889.2</v>
      </c>
      <c r="W175">
        <f t="shared" si="66"/>
        <v>124889.2</v>
      </c>
      <c r="X175">
        <f t="shared" si="66"/>
        <v>124889.2</v>
      </c>
      <c r="Y175">
        <f t="shared" si="66"/>
        <v>124889.2</v>
      </c>
      <c r="Z175">
        <f t="shared" si="66"/>
        <v>124889.2</v>
      </c>
      <c r="AA175">
        <f t="shared" si="66"/>
        <v>124889.2</v>
      </c>
    </row>
    <row r="176" spans="1:27" x14ac:dyDescent="0.25">
      <c r="C176" s="1"/>
      <c r="D176" s="1"/>
      <c r="E176" t="s">
        <v>81</v>
      </c>
      <c r="F176" t="s">
        <v>58</v>
      </c>
      <c r="H176" s="2">
        <f>SUM(H107,H128,H149,H170)</f>
        <v>1414.4234999999999</v>
      </c>
      <c r="I176" s="2">
        <f t="shared" ref="H176:AA177" si="67">SUM(I107,I128,I149,I170)</f>
        <v>2770.2345</v>
      </c>
      <c r="J176" s="2">
        <f t="shared" si="67"/>
        <v>4092.1127499999993</v>
      </c>
      <c r="K176" s="2">
        <f t="shared" si="67"/>
        <v>5315.1652499999991</v>
      </c>
      <c r="L176" s="2">
        <f t="shared" si="67"/>
        <v>6443.1472499999991</v>
      </c>
      <c r="M176" s="2">
        <f t="shared" si="67"/>
        <v>7478.727249999999</v>
      </c>
      <c r="N176" s="2">
        <f t="shared" si="67"/>
        <v>8427.7932499999988</v>
      </c>
      <c r="O176" s="2">
        <f t="shared" si="67"/>
        <v>9294.8725000000013</v>
      </c>
      <c r="P176" s="2">
        <f t="shared" si="67"/>
        <v>10157.351500000001</v>
      </c>
      <c r="Q176" s="2">
        <f t="shared" si="67"/>
        <v>11015.2505</v>
      </c>
      <c r="R176" s="2">
        <f t="shared" si="67"/>
        <v>11920.686</v>
      </c>
      <c r="S176" s="2">
        <f t="shared" si="67"/>
        <v>12880.090750000001</v>
      </c>
      <c r="T176" s="2">
        <f t="shared" si="67"/>
        <v>13893.09575</v>
      </c>
      <c r="U176" s="2">
        <f t="shared" si="67"/>
        <v>14900.505249999998</v>
      </c>
      <c r="V176" s="2">
        <f t="shared" si="67"/>
        <v>15904.056</v>
      </c>
      <c r="W176" s="2">
        <f t="shared" si="67"/>
        <v>15904.056</v>
      </c>
      <c r="X176" s="2">
        <f t="shared" si="67"/>
        <v>15904.056</v>
      </c>
      <c r="Y176" s="2">
        <f t="shared" si="67"/>
        <v>15904.056</v>
      </c>
      <c r="Z176" s="2">
        <f t="shared" si="67"/>
        <v>15904.056</v>
      </c>
      <c r="AA176" s="2">
        <f t="shared" si="67"/>
        <v>15904.056</v>
      </c>
    </row>
    <row r="177" spans="1:27" x14ac:dyDescent="0.25">
      <c r="C177" s="1"/>
      <c r="D177" s="1"/>
      <c r="E177" t="s">
        <v>82</v>
      </c>
      <c r="F177" t="s">
        <v>7</v>
      </c>
      <c r="H177" s="2">
        <f t="shared" si="67"/>
        <v>5730279.1154912952</v>
      </c>
      <c r="I177" s="2">
        <f t="shared" si="67"/>
        <v>11143945.112955689</v>
      </c>
      <c r="J177" s="2">
        <f t="shared" si="67"/>
        <v>16805764.863735929</v>
      </c>
      <c r="K177" s="2">
        <f t="shared" si="67"/>
        <v>22285446.789206967</v>
      </c>
      <c r="L177" s="2">
        <f t="shared" si="67"/>
        <v>27579990.726674557</v>
      </c>
      <c r="M177" s="2">
        <f t="shared" si="67"/>
        <v>32682630.855425775</v>
      </c>
      <c r="N177" s="2">
        <f t="shared" si="67"/>
        <v>37600600.956364922</v>
      </c>
      <c r="O177" s="2">
        <f t="shared" si="67"/>
        <v>42336446.976104259</v>
      </c>
      <c r="P177" s="2">
        <f t="shared" si="67"/>
        <v>47232096.173268065</v>
      </c>
      <c r="Q177" s="2">
        <f t="shared" si="67"/>
        <v>52291488.187219672</v>
      </c>
      <c r="R177" s="2">
        <f t="shared" si="67"/>
        <v>57772613.051332116</v>
      </c>
      <c r="S177" s="2">
        <f t="shared" si="67"/>
        <v>63727438.421148002</v>
      </c>
      <c r="T177" s="2">
        <f t="shared" si="67"/>
        <v>70177494.464348316</v>
      </c>
      <c r="U177" s="2">
        <f t="shared" si="67"/>
        <v>76841652.162715748</v>
      </c>
      <c r="V177" s="2">
        <f t="shared" si="67"/>
        <v>83734341.822200477</v>
      </c>
      <c r="W177" s="2">
        <f t="shared" si="67"/>
        <v>85492763.000466675</v>
      </c>
      <c r="X177" s="2">
        <f t="shared" si="67"/>
        <v>87288111.023476467</v>
      </c>
      <c r="Y177" s="2">
        <f t="shared" si="67"/>
        <v>89121161.354969457</v>
      </c>
      <c r="Z177" s="2">
        <f t="shared" si="67"/>
        <v>90992705.74342382</v>
      </c>
      <c r="AA177" s="2">
        <f t="shared" si="67"/>
        <v>92903552.564035699</v>
      </c>
    </row>
    <row r="178" spans="1:27" x14ac:dyDescent="0.25">
      <c r="C178" s="1"/>
      <c r="D178" s="1"/>
    </row>
    <row r="179" spans="1:27" x14ac:dyDescent="0.25">
      <c r="C179" s="1"/>
      <c r="D179" s="1"/>
      <c r="E179" s="3" t="s">
        <v>84</v>
      </c>
      <c r="F179" s="3" t="s">
        <v>85</v>
      </c>
      <c r="G179" s="3"/>
      <c r="H179" s="9">
        <f>H176*1000/H175</f>
        <v>123.49807910591109</v>
      </c>
      <c r="I179" s="9">
        <f t="shared" ref="I179:AA179" si="68">I176*1000/I175</f>
        <v>123.75405405405405</v>
      </c>
      <c r="J179" s="9">
        <f t="shared" si="68"/>
        <v>124.038372935403</v>
      </c>
      <c r="K179" s="9">
        <f t="shared" si="68"/>
        <v>124.28105702253823</v>
      </c>
      <c r="L179" s="9">
        <f t="shared" si="68"/>
        <v>124.54304494310351</v>
      </c>
      <c r="M179" s="9">
        <f t="shared" si="68"/>
        <v>124.79250133073471</v>
      </c>
      <c r="N179" s="9">
        <f t="shared" si="68"/>
        <v>125.05572966051017</v>
      </c>
      <c r="O179" s="9">
        <f t="shared" si="68"/>
        <v>125.33200965454009</v>
      </c>
      <c r="P179" s="9">
        <f t="shared" si="68"/>
        <v>125.64293136078572</v>
      </c>
      <c r="Q179" s="9">
        <f t="shared" si="68"/>
        <v>126.00147446397686</v>
      </c>
      <c r="R179" s="9">
        <f t="shared" si="68"/>
        <v>126.32850302980205</v>
      </c>
      <c r="S179" s="9">
        <f t="shared" si="68"/>
        <v>126.63631300185924</v>
      </c>
      <c r="T179" s="9">
        <f t="shared" si="68"/>
        <v>126.90969085330261</v>
      </c>
      <c r="U179" s="9">
        <f t="shared" si="68"/>
        <v>127.13969490920911</v>
      </c>
      <c r="V179" s="9">
        <f t="shared" si="68"/>
        <v>127.34532689776218</v>
      </c>
      <c r="W179" s="9">
        <f t="shared" si="68"/>
        <v>127.34532689776218</v>
      </c>
      <c r="X179" s="9">
        <f t="shared" si="68"/>
        <v>127.34532689776218</v>
      </c>
      <c r="Y179" s="9">
        <f t="shared" si="68"/>
        <v>127.34532689776218</v>
      </c>
      <c r="Z179" s="9">
        <f t="shared" si="68"/>
        <v>127.34532689776218</v>
      </c>
      <c r="AA179" s="9">
        <f t="shared" si="68"/>
        <v>127.34532689776218</v>
      </c>
    </row>
    <row r="180" spans="1:27" x14ac:dyDescent="0.25">
      <c r="C180" s="1"/>
      <c r="D180" s="1"/>
      <c r="E180" s="3" t="s">
        <v>83</v>
      </c>
      <c r="F180" s="3" t="s">
        <v>22</v>
      </c>
      <c r="G180" s="3"/>
      <c r="H180" s="9">
        <f>H177/H175</f>
        <v>500.32996730038377</v>
      </c>
      <c r="I180" s="9">
        <f t="shared" ref="I180:AA180" si="69">I177/I175</f>
        <v>497.83091860423002</v>
      </c>
      <c r="J180" s="9">
        <f t="shared" si="69"/>
        <v>509.40916269542419</v>
      </c>
      <c r="K180" s="9">
        <f t="shared" si="69"/>
        <v>521.08612863582619</v>
      </c>
      <c r="L180" s="9">
        <f t="shared" si="69"/>
        <v>533.1084160155749</v>
      </c>
      <c r="M180" s="9">
        <f t="shared" si="69"/>
        <v>545.35312201920897</v>
      </c>
      <c r="N180" s="9">
        <f t="shared" si="69"/>
        <v>557.93615823120638</v>
      </c>
      <c r="O180" s="9">
        <f t="shared" si="69"/>
        <v>570.86441811310726</v>
      </c>
      <c r="P180" s="9">
        <f t="shared" si="69"/>
        <v>584.24472339309602</v>
      </c>
      <c r="Q180" s="9">
        <f t="shared" si="69"/>
        <v>598.15295289973722</v>
      </c>
      <c r="R180" s="9">
        <f t="shared" si="69"/>
        <v>612.24058102820516</v>
      </c>
      <c r="S180" s="9">
        <f t="shared" si="69"/>
        <v>626.5645169237032</v>
      </c>
      <c r="T180" s="9">
        <f t="shared" si="69"/>
        <v>641.05252620387364</v>
      </c>
      <c r="U180" s="9">
        <f t="shared" si="69"/>
        <v>655.65724439359201</v>
      </c>
      <c r="V180" s="9">
        <f t="shared" si="69"/>
        <v>670.46903833318231</v>
      </c>
      <c r="W180" s="9">
        <f t="shared" si="69"/>
        <v>684.54888813817911</v>
      </c>
      <c r="X180" s="9">
        <f t="shared" si="69"/>
        <v>698.92441478908074</v>
      </c>
      <c r="Y180" s="9">
        <f t="shared" si="69"/>
        <v>713.60182749965134</v>
      </c>
      <c r="Z180" s="9">
        <f t="shared" si="69"/>
        <v>728.58746587714404</v>
      </c>
      <c r="AA180" s="9">
        <f t="shared" si="69"/>
        <v>743.88780266056392</v>
      </c>
    </row>
    <row r="181" spans="1:27" x14ac:dyDescent="0.25">
      <c r="C181" s="1"/>
      <c r="D181" s="1"/>
      <c r="E181" s="3" t="s">
        <v>86</v>
      </c>
      <c r="F181" s="3" t="s">
        <v>4</v>
      </c>
      <c r="G181" s="3"/>
      <c r="H181" s="9">
        <f>H177/H176</f>
        <v>4051.3178093345423</v>
      </c>
      <c r="I181" s="9">
        <f t="shared" ref="I181:AA181" si="70">I177/I176</f>
        <v>4022.7443246973098</v>
      </c>
      <c r="J181" s="9">
        <f t="shared" si="70"/>
        <v>4106.8675010814231</v>
      </c>
      <c r="K181" s="9">
        <f t="shared" si="70"/>
        <v>4192.804125743216</v>
      </c>
      <c r="L181" s="9">
        <f t="shared" si="70"/>
        <v>4280.5153532188106</v>
      </c>
      <c r="M181" s="9">
        <f t="shared" si="70"/>
        <v>4370.0792612039404</v>
      </c>
      <c r="N181" s="9">
        <f t="shared" si="70"/>
        <v>4461.500162734169</v>
      </c>
      <c r="O181" s="9">
        <f t="shared" si="70"/>
        <v>4554.8173980981719</v>
      </c>
      <c r="P181" s="9">
        <f t="shared" si="70"/>
        <v>4650.0405320489363</v>
      </c>
      <c r="Q181" s="9">
        <f t="shared" si="70"/>
        <v>4747.1901058645626</v>
      </c>
      <c r="R181" s="9">
        <f t="shared" si="70"/>
        <v>4846.4168128690008</v>
      </c>
      <c r="S181" s="9">
        <f t="shared" si="70"/>
        <v>4947.7476252368797</v>
      </c>
      <c r="T181" s="9">
        <f t="shared" si="70"/>
        <v>5051.2496082342423</v>
      </c>
      <c r="U181" s="9">
        <f t="shared" si="70"/>
        <v>5156.9829930911746</v>
      </c>
      <c r="V181" s="9">
        <f t="shared" si="70"/>
        <v>5264.967742958178</v>
      </c>
      <c r="W181" s="9">
        <f t="shared" si="70"/>
        <v>5375.5320655602991</v>
      </c>
      <c r="X181" s="9">
        <f t="shared" si="70"/>
        <v>5488.4182389370653</v>
      </c>
      <c r="Y181" s="9">
        <f t="shared" si="70"/>
        <v>5603.6750219547421</v>
      </c>
      <c r="Z181" s="9">
        <f t="shared" si="70"/>
        <v>5721.352197415792</v>
      </c>
      <c r="AA181" s="9">
        <f t="shared" si="70"/>
        <v>5841.5005935615227</v>
      </c>
    </row>
    <row r="182" spans="1:27" x14ac:dyDescent="0.25">
      <c r="C182" s="1"/>
      <c r="D182" s="1"/>
    </row>
    <row r="183" spans="1:27" x14ac:dyDescent="0.25">
      <c r="C183" s="1" t="str">
        <f>"Incremental "&amp;VLOOKUP(G4,E320:F322,2,FALSE)&amp;" Charges"</f>
        <v>Incremental Bulk Wastewater Charges</v>
      </c>
      <c r="G183" t="s">
        <v>323</v>
      </c>
      <c r="H183" s="53">
        <v>1</v>
      </c>
      <c r="I183" s="2"/>
      <c r="J183" s="2"/>
      <c r="K183" s="2"/>
      <c r="L183" s="2"/>
      <c r="M183" s="2"/>
      <c r="N183" s="2"/>
      <c r="O183" s="2"/>
      <c r="P183" s="2"/>
      <c r="Q183" s="2"/>
      <c r="R183" s="2"/>
      <c r="S183" s="2"/>
      <c r="T183" s="2"/>
      <c r="U183" s="2"/>
      <c r="V183" s="2"/>
      <c r="W183" s="2"/>
      <c r="X183" s="2"/>
      <c r="Y183" s="2"/>
      <c r="Z183" s="2"/>
      <c r="AA183" s="2"/>
    </row>
    <row r="184" spans="1:27" x14ac:dyDescent="0.25">
      <c r="A184" s="14">
        <f>'Notes &amp; Assumptions'!A50</f>
        <v>37</v>
      </c>
      <c r="E184" t="s">
        <v>118</v>
      </c>
      <c r="F184" t="s">
        <v>8</v>
      </c>
      <c r="H184" s="11">
        <f>'Bulk charges'!E29</f>
        <v>3.2399999999999998E-2</v>
      </c>
      <c r="I184" s="11">
        <f>'Bulk charges'!F29</f>
        <v>3.2399999999999998E-2</v>
      </c>
      <c r="J184" s="11">
        <f>'Bulk charges'!G29</f>
        <v>3.2399999999999998E-2</v>
      </c>
      <c r="K184" s="11"/>
      <c r="L184" s="11"/>
      <c r="M184" s="11"/>
      <c r="N184" s="11"/>
      <c r="O184" s="11"/>
      <c r="P184" s="11"/>
      <c r="Q184" s="11"/>
      <c r="R184" s="11"/>
      <c r="S184" s="11"/>
      <c r="T184" s="11"/>
      <c r="U184" s="11"/>
      <c r="V184" s="11"/>
      <c r="W184" s="11"/>
      <c r="X184" s="11"/>
      <c r="Y184" s="11"/>
      <c r="Z184" s="11"/>
      <c r="AA184" s="11"/>
    </row>
    <row r="185" spans="1:27" x14ac:dyDescent="0.25">
      <c r="A185" s="14">
        <f>'Notes &amp; Assumptions'!A51</f>
        <v>38</v>
      </c>
      <c r="E185" t="s">
        <v>122</v>
      </c>
      <c r="F185" t="s">
        <v>4</v>
      </c>
      <c r="G185" s="10">
        <f>AVERAGE('Bulk charges'!D34:D35)</f>
        <v>74.83235719999999</v>
      </c>
      <c r="H185" s="2">
        <f>G185*(1+$G$14)</f>
        <v>76.403836701199978</v>
      </c>
      <c r="I185" s="2">
        <f t="shared" ref="I185:K185" si="71">H185*(1+$G$14)</f>
        <v>78.008317271925165</v>
      </c>
      <c r="J185" s="2">
        <f t="shared" si="71"/>
        <v>79.646491934635591</v>
      </c>
      <c r="K185" s="2">
        <f t="shared" si="71"/>
        <v>81.319068265262928</v>
      </c>
      <c r="L185" s="2">
        <f t="shared" ref="L185:AA185" si="72">K185*(1+$G$14)*(1+L184)</f>
        <v>83.026768698833436</v>
      </c>
      <c r="M185" s="2">
        <f t="shared" si="72"/>
        <v>84.770330841508937</v>
      </c>
      <c r="N185" s="2">
        <f t="shared" si="72"/>
        <v>86.550507789180614</v>
      </c>
      <c r="O185" s="2">
        <f t="shared" si="72"/>
        <v>88.368068452753405</v>
      </c>
      <c r="P185" s="2">
        <f t="shared" si="72"/>
        <v>90.223797890261224</v>
      </c>
      <c r="Q185" s="2">
        <f t="shared" si="72"/>
        <v>92.118497645956708</v>
      </c>
      <c r="R185" s="2">
        <f t="shared" si="72"/>
        <v>94.052986096521792</v>
      </c>
      <c r="S185" s="2">
        <f t="shared" si="72"/>
        <v>96.028098804548748</v>
      </c>
      <c r="T185" s="2">
        <f t="shared" si="72"/>
        <v>98.044688879444266</v>
      </c>
      <c r="U185" s="2">
        <f t="shared" si="72"/>
        <v>100.10362734591259</v>
      </c>
      <c r="V185" s="2">
        <f t="shared" si="72"/>
        <v>102.20580352017674</v>
      </c>
      <c r="W185" s="2">
        <f t="shared" si="72"/>
        <v>104.35212539410044</v>
      </c>
      <c r="X185" s="2">
        <f t="shared" si="72"/>
        <v>106.54352002737654</v>
      </c>
      <c r="Y185" s="2">
        <f t="shared" si="72"/>
        <v>108.78093394795144</v>
      </c>
      <c r="Z185" s="2">
        <f t="shared" si="72"/>
        <v>111.06533356085841</v>
      </c>
      <c r="AA185" s="2">
        <f t="shared" si="72"/>
        <v>113.39770556563643</v>
      </c>
    </row>
    <row r="186" spans="1:27" x14ac:dyDescent="0.25">
      <c r="A186" s="14">
        <f>'Notes &amp; Assumptions'!A52</f>
        <v>39</v>
      </c>
      <c r="E186" t="s">
        <v>123</v>
      </c>
      <c r="F186" t="s">
        <v>7</v>
      </c>
      <c r="G186" s="23">
        <f>'Bulk charges'!D32*H183</f>
        <v>190.24571706250899</v>
      </c>
      <c r="H186" s="10">
        <f>G186*(1+$G$14)*(1+H184)*(H154+H133+H112+H91)</f>
        <v>2296719.1264723092</v>
      </c>
      <c r="I186" s="10">
        <f>H186/(H154+H133+H112+H91)*(1+$G$14)*(1+I184)*(I154+I133+I112+I91)</f>
        <v>4731724.6388200335</v>
      </c>
      <c r="J186" s="10">
        <f>I186/(I154+I133+I112+I91)*(1+$G$14)*(1+J184)*(J154+J133+J112+J91)</f>
        <v>7350681.9633678934</v>
      </c>
      <c r="K186" s="10">
        <f t="shared" ref="K186:AA186" si="73">J186/(J154+J133+J112+J91)*(1+$G$14)*(1+K184)*(K154+K133+K112+K91)</f>
        <v>9729122.630538743</v>
      </c>
      <c r="L186" s="10">
        <f t="shared" si="73"/>
        <v>12016172.758908959</v>
      </c>
      <c r="M186" s="10">
        <f t="shared" si="73"/>
        <v>14211912.780979211</v>
      </c>
      <c r="N186" s="10">
        <f t="shared" si="73"/>
        <v>16317339.481580568</v>
      </c>
      <c r="O186" s="10">
        <f t="shared" si="73"/>
        <v>18333536.439270817</v>
      </c>
      <c r="P186" s="10">
        <f t="shared" si="73"/>
        <v>20404829.780393325</v>
      </c>
      <c r="Q186" s="10">
        <f t="shared" si="73"/>
        <v>22528643.758140534</v>
      </c>
      <c r="R186" s="10">
        <f t="shared" si="73"/>
        <v>24828011.485505205</v>
      </c>
      <c r="S186" s="10">
        <f t="shared" si="73"/>
        <v>27323004.046337537</v>
      </c>
      <c r="T186" s="10">
        <f t="shared" si="73"/>
        <v>30026019.743277911</v>
      </c>
      <c r="U186" s="10">
        <f t="shared" si="73"/>
        <v>32820039.17808792</v>
      </c>
      <c r="V186" s="10">
        <f t="shared" si="73"/>
        <v>35708358.887790471</v>
      </c>
      <c r="W186" s="10">
        <f t="shared" si="73"/>
        <v>36458234.424434073</v>
      </c>
      <c r="X186" s="10">
        <f t="shared" si="73"/>
        <v>37223857.347347185</v>
      </c>
      <c r="Y186" s="10">
        <f t="shared" si="73"/>
        <v>38005558.351641469</v>
      </c>
      <c r="Z186" s="10">
        <f t="shared" si="73"/>
        <v>38803675.077025935</v>
      </c>
      <c r="AA186" s="10">
        <f t="shared" si="73"/>
        <v>39618552.253643475</v>
      </c>
    </row>
    <row r="187" spans="1:27" x14ac:dyDescent="0.25">
      <c r="E187" t="s">
        <v>57</v>
      </c>
      <c r="F187" t="s">
        <v>7</v>
      </c>
      <c r="H187" s="2">
        <f>H185*H176+H186</f>
        <v>2404786.5085926489</v>
      </c>
      <c r="I187" s="2">
        <f t="shared" ref="I187:AA187" si="74">I185*I176+I186</f>
        <v>4947825.9706136668</v>
      </c>
      <c r="J187" s="2">
        <f t="shared" si="74"/>
        <v>7676604.3885063874</v>
      </c>
      <c r="K187" s="2">
        <f t="shared" si="74"/>
        <v>10161346.916344646</v>
      </c>
      <c r="L187" s="2">
        <f t="shared" si="74"/>
        <v>12551126.455327233</v>
      </c>
      <c r="M187" s="2">
        <f t="shared" si="74"/>
        <v>14845886.96423512</v>
      </c>
      <c r="N187" s="2">
        <f t="shared" si="74"/>
        <v>17046769.266910296</v>
      </c>
      <c r="O187" s="2">
        <f t="shared" si="74"/>
        <v>19154906.368610431</v>
      </c>
      <c r="P187" s="2">
        <f t="shared" si="74"/>
        <v>21321264.609229665</v>
      </c>
      <c r="Q187" s="2">
        <f t="shared" si="74"/>
        <v>23543352.085394409</v>
      </c>
      <c r="R187" s="2">
        <f t="shared" si="74"/>
        <v>25949187.600124206</v>
      </c>
      <c r="S187" s="2">
        <f t="shared" si="74"/>
        <v>28559854.673490092</v>
      </c>
      <c r="T187" s="2">
        <f t="shared" si="74"/>
        <v>31388163.99365899</v>
      </c>
      <c r="U187" s="2">
        <f t="shared" si="74"/>
        <v>34311633.802899733</v>
      </c>
      <c r="V187" s="2">
        <f t="shared" si="74"/>
        <v>37333845.71050036</v>
      </c>
      <c r="W187" s="2">
        <f t="shared" si="74"/>
        <v>38117856.470420867</v>
      </c>
      <c r="X187" s="2">
        <f t="shared" si="74"/>
        <v>38918331.4562997</v>
      </c>
      <c r="Y187" s="2">
        <f t="shared" si="74"/>
        <v>39735616.416881986</v>
      </c>
      <c r="Z187" s="2">
        <f t="shared" si="74"/>
        <v>40570064.361636505</v>
      </c>
      <c r="AA187" s="2">
        <f t="shared" si="74"/>
        <v>41422035.713230871</v>
      </c>
    </row>
    <row r="188" spans="1:27" x14ac:dyDescent="0.25">
      <c r="H188" s="2"/>
      <c r="I188" s="2"/>
      <c r="J188" s="2"/>
      <c r="K188" s="2"/>
      <c r="L188" s="2"/>
      <c r="M188" s="2"/>
      <c r="N188" s="2"/>
      <c r="O188" s="2"/>
      <c r="P188" s="2"/>
      <c r="Q188" s="2"/>
      <c r="R188" s="2"/>
      <c r="S188" s="2"/>
      <c r="T188" s="2"/>
      <c r="U188" s="2"/>
      <c r="V188" s="2"/>
      <c r="W188" s="2"/>
      <c r="X188" s="2"/>
      <c r="Y188" s="2"/>
      <c r="Z188" s="2"/>
      <c r="AA188" s="2"/>
    </row>
    <row r="189" spans="1:27" x14ac:dyDescent="0.25">
      <c r="C189" s="1" t="s">
        <v>10</v>
      </c>
      <c r="G189" s="2"/>
    </row>
    <row r="190" spans="1:27" x14ac:dyDescent="0.25">
      <c r="C190" s="1"/>
      <c r="D190" t="s">
        <v>149</v>
      </c>
      <c r="G190" s="2"/>
    </row>
    <row r="191" spans="1:27" x14ac:dyDescent="0.25">
      <c r="A191" s="14">
        <f>'Notes &amp; Assumptions'!A53</f>
        <v>40</v>
      </c>
      <c r="C191" s="1"/>
      <c r="E191" t="s">
        <v>125</v>
      </c>
      <c r="G191" s="2"/>
      <c r="H191" s="11"/>
      <c r="I191" s="11"/>
      <c r="J191" s="11"/>
      <c r="K191" s="11"/>
      <c r="L191" s="11"/>
      <c r="M191" s="11"/>
      <c r="N191" s="11"/>
      <c r="O191" s="11"/>
      <c r="P191" s="11"/>
      <c r="Q191" s="11"/>
      <c r="R191" s="11"/>
      <c r="S191" s="11"/>
      <c r="T191" s="11"/>
      <c r="U191" s="11"/>
      <c r="V191" s="11"/>
      <c r="W191" s="11"/>
      <c r="X191" s="11"/>
      <c r="Y191" s="11"/>
      <c r="Z191" s="11"/>
      <c r="AA191" s="11"/>
    </row>
    <row r="192" spans="1:27" x14ac:dyDescent="0.25">
      <c r="A192" s="14">
        <f>'Notes &amp; Assumptions'!A54</f>
        <v>41</v>
      </c>
      <c r="E192" t="s">
        <v>26</v>
      </c>
      <c r="F192" t="s">
        <v>22</v>
      </c>
      <c r="G192" s="10">
        <f>'Key assumptions'!B13</f>
        <v>72</v>
      </c>
      <c r="H192" s="2">
        <f t="shared" ref="H192:W193" si="75">G192*(1+$G$14)*(1+H$191)</f>
        <v>73.512</v>
      </c>
      <c r="I192" s="2">
        <f t="shared" si="75"/>
        <v>75.055751999999998</v>
      </c>
      <c r="J192" s="2">
        <f t="shared" si="75"/>
        <v>76.631922791999997</v>
      </c>
      <c r="K192" s="2">
        <f t="shared" si="75"/>
        <v>78.241193170631988</v>
      </c>
      <c r="L192" s="2">
        <f t="shared" si="75"/>
        <v>79.884258227215255</v>
      </c>
      <c r="M192" s="2">
        <f t="shared" si="75"/>
        <v>81.561827649986768</v>
      </c>
      <c r="N192" s="2">
        <f t="shared" si="75"/>
        <v>83.274626030636483</v>
      </c>
      <c r="O192" s="2">
        <f t="shared" si="75"/>
        <v>85.023393177279843</v>
      </c>
      <c r="P192" s="2">
        <f t="shared" si="75"/>
        <v>86.808884434002707</v>
      </c>
      <c r="Q192" s="2">
        <f t="shared" si="75"/>
        <v>88.631871007116757</v>
      </c>
      <c r="R192" s="2">
        <f t="shared" si="75"/>
        <v>90.493140298266198</v>
      </c>
      <c r="S192" s="2">
        <f t="shared" si="75"/>
        <v>92.393496244529786</v>
      </c>
      <c r="T192" s="2">
        <f t="shared" si="75"/>
        <v>94.3337596656649</v>
      </c>
      <c r="U192" s="2">
        <f t="shared" si="75"/>
        <v>96.314768618643853</v>
      </c>
      <c r="V192" s="2">
        <f t="shared" si="75"/>
        <v>98.337378759635371</v>
      </c>
      <c r="W192" s="2">
        <f t="shared" si="75"/>
        <v>100.40246371358771</v>
      </c>
      <c r="X192" s="2">
        <f t="shared" ref="X192:AA193" si="76">W192*(1+$G$14)*(1+X$191)</f>
        <v>102.51091545157304</v>
      </c>
      <c r="Y192" s="2">
        <f t="shared" si="76"/>
        <v>104.66364467605607</v>
      </c>
      <c r="Z192" s="2">
        <f t="shared" si="76"/>
        <v>106.86158121425323</v>
      </c>
      <c r="AA192" s="2">
        <f t="shared" si="76"/>
        <v>109.10567441975255</v>
      </c>
    </row>
    <row r="193" spans="1:29" x14ac:dyDescent="0.25">
      <c r="A193" s="14">
        <f>'Notes &amp; Assumptions'!A55</f>
        <v>42</v>
      </c>
      <c r="E193" t="s">
        <v>27</v>
      </c>
      <c r="F193" t="s">
        <v>4</v>
      </c>
      <c r="G193" s="10"/>
      <c r="H193" s="2">
        <f t="shared" si="75"/>
        <v>0</v>
      </c>
      <c r="I193" s="2">
        <f t="shared" si="75"/>
        <v>0</v>
      </c>
      <c r="J193" s="2">
        <f t="shared" si="75"/>
        <v>0</v>
      </c>
      <c r="K193" s="2">
        <f t="shared" si="75"/>
        <v>0</v>
      </c>
      <c r="L193" s="2">
        <f t="shared" si="75"/>
        <v>0</v>
      </c>
      <c r="M193" s="2">
        <f t="shared" si="75"/>
        <v>0</v>
      </c>
      <c r="N193" s="2">
        <f t="shared" si="75"/>
        <v>0</v>
      </c>
      <c r="O193" s="2">
        <f t="shared" si="75"/>
        <v>0</v>
      </c>
      <c r="P193" s="2">
        <f t="shared" si="75"/>
        <v>0</v>
      </c>
      <c r="Q193" s="2">
        <f t="shared" si="75"/>
        <v>0</v>
      </c>
      <c r="R193" s="2">
        <f t="shared" si="75"/>
        <v>0</v>
      </c>
      <c r="S193" s="2">
        <f t="shared" si="75"/>
        <v>0</v>
      </c>
      <c r="T193" s="2">
        <f t="shared" si="75"/>
        <v>0</v>
      </c>
      <c r="U193" s="2">
        <f t="shared" si="75"/>
        <v>0</v>
      </c>
      <c r="V193" s="2">
        <f t="shared" si="75"/>
        <v>0</v>
      </c>
      <c r="W193" s="2">
        <f t="shared" si="75"/>
        <v>0</v>
      </c>
      <c r="X193" s="2">
        <f t="shared" si="76"/>
        <v>0</v>
      </c>
      <c r="Y193" s="2">
        <f t="shared" si="76"/>
        <v>0</v>
      </c>
      <c r="Z193" s="2">
        <f t="shared" si="76"/>
        <v>0</v>
      </c>
      <c r="AA193" s="2">
        <f t="shared" si="76"/>
        <v>0</v>
      </c>
    </row>
    <row r="194" spans="1:29" x14ac:dyDescent="0.25">
      <c r="A194" s="14">
        <f>'Notes &amp; Assumptions'!A56</f>
        <v>43</v>
      </c>
      <c r="E194" t="s">
        <v>39</v>
      </c>
      <c r="F194" t="s">
        <v>7</v>
      </c>
      <c r="G194" s="2"/>
      <c r="H194" s="10"/>
      <c r="I194" s="10"/>
      <c r="J194" s="10"/>
      <c r="K194" s="10"/>
      <c r="L194" s="10"/>
      <c r="M194" s="10"/>
      <c r="N194" s="10"/>
      <c r="O194" s="10"/>
      <c r="P194" s="10"/>
      <c r="Q194" s="10"/>
      <c r="R194" s="10"/>
      <c r="S194" s="10"/>
      <c r="T194" s="10"/>
      <c r="U194" s="10"/>
      <c r="V194" s="10"/>
      <c r="W194" s="10"/>
      <c r="X194" s="10"/>
      <c r="Y194" s="10"/>
      <c r="Z194" s="10"/>
      <c r="AA194" s="10"/>
    </row>
    <row r="195" spans="1:29" x14ac:dyDescent="0.25">
      <c r="B195" s="14"/>
      <c r="C195" s="14"/>
      <c r="D195" s="14"/>
      <c r="E195" s="14"/>
      <c r="F195" s="14"/>
      <c r="G195" s="14"/>
      <c r="H195" s="14"/>
      <c r="I195" s="14"/>
      <c r="J195" s="14"/>
      <c r="K195" s="14"/>
      <c r="L195" s="14"/>
      <c r="M195" s="14"/>
      <c r="N195" s="14"/>
      <c r="O195" s="14"/>
      <c r="P195" s="14"/>
      <c r="Q195" s="14"/>
      <c r="R195" s="14"/>
      <c r="S195" s="14"/>
      <c r="T195" s="14"/>
      <c r="U195" s="14"/>
      <c r="V195" s="14"/>
      <c r="W195" s="14"/>
      <c r="X195" s="14"/>
      <c r="Y195" s="14"/>
      <c r="Z195" s="14"/>
      <c r="AA195" s="14"/>
      <c r="AB195" s="14"/>
      <c r="AC195" s="14"/>
    </row>
    <row r="196" spans="1:29" x14ac:dyDescent="0.25">
      <c r="D196" t="s">
        <v>124</v>
      </c>
      <c r="G196" s="14"/>
      <c r="H196" s="14"/>
      <c r="I196" s="14"/>
      <c r="J196" s="14"/>
      <c r="K196" s="14"/>
      <c r="L196" s="14"/>
      <c r="M196" s="14"/>
      <c r="N196" s="14"/>
      <c r="O196" s="14"/>
      <c r="P196" s="14"/>
      <c r="Q196" s="14"/>
      <c r="R196" s="14"/>
      <c r="S196" s="14"/>
      <c r="T196" s="14"/>
      <c r="U196" s="14"/>
      <c r="V196" s="14"/>
      <c r="W196" s="14"/>
      <c r="X196" s="14"/>
      <c r="Y196" s="14"/>
      <c r="Z196" s="14"/>
      <c r="AA196" s="14"/>
    </row>
    <row r="197" spans="1:29" x14ac:dyDescent="0.25">
      <c r="A197" s="14">
        <f>'Notes &amp; Assumptions'!A57</f>
        <v>44</v>
      </c>
      <c r="E197" t="s">
        <v>27</v>
      </c>
      <c r="F197" t="s">
        <v>4</v>
      </c>
      <c r="G197" s="14"/>
      <c r="H197" s="10"/>
      <c r="I197" s="10"/>
      <c r="J197" s="10"/>
      <c r="K197" s="10"/>
      <c r="L197" s="10"/>
      <c r="M197" s="10"/>
      <c r="N197" s="10"/>
      <c r="O197" s="10"/>
      <c r="P197" s="10"/>
      <c r="Q197" s="10"/>
      <c r="R197" s="10"/>
      <c r="S197" s="10"/>
      <c r="T197" s="10"/>
      <c r="U197" s="10"/>
      <c r="V197" s="10"/>
      <c r="W197" s="10"/>
      <c r="X197" s="10"/>
      <c r="Y197" s="10"/>
      <c r="Z197" s="10"/>
      <c r="AA197" s="10"/>
    </row>
    <row r="198" spans="1:29" x14ac:dyDescent="0.25">
      <c r="A198" s="14">
        <f>'Notes &amp; Assumptions'!A58</f>
        <v>45</v>
      </c>
      <c r="E198" t="s">
        <v>39</v>
      </c>
      <c r="F198" t="s">
        <v>7</v>
      </c>
      <c r="G198" s="2"/>
      <c r="H198" s="10"/>
      <c r="I198" s="10"/>
      <c r="J198" s="10"/>
      <c r="K198" s="10"/>
      <c r="L198" s="10"/>
      <c r="M198" s="10"/>
      <c r="N198" s="10"/>
      <c r="O198" s="10"/>
      <c r="P198" s="10"/>
      <c r="Q198" s="10"/>
      <c r="R198" s="10"/>
      <c r="S198" s="10"/>
      <c r="T198" s="10"/>
      <c r="U198" s="10"/>
      <c r="V198" s="10"/>
      <c r="W198" s="10"/>
      <c r="X198" s="10"/>
      <c r="Y198" s="10"/>
      <c r="Z198" s="10"/>
      <c r="AA198" s="10"/>
    </row>
    <row r="199" spans="1:29" x14ac:dyDescent="0.25">
      <c r="G199" s="2"/>
    </row>
    <row r="200" spans="1:29" x14ac:dyDescent="0.25">
      <c r="E200" t="s">
        <v>10</v>
      </c>
      <c r="F200" t="s">
        <v>7</v>
      </c>
      <c r="G200" s="2"/>
      <c r="H200" s="2">
        <f>H192*H175+(H193+H197)*H176+H194+H198</f>
        <v>841932.93599999999</v>
      </c>
      <c r="I200" s="2">
        <f t="shared" ref="I200:AA200" si="77">I192*I175+(I193+I197)*I176+I194+I198</f>
        <v>1680123.0085199999</v>
      </c>
      <c r="J200" s="2">
        <f t="shared" si="77"/>
        <v>2528140.775254034</v>
      </c>
      <c r="K200" s="2">
        <f t="shared" si="77"/>
        <v>3346164.580686369</v>
      </c>
      <c r="L200" s="2">
        <f t="shared" si="77"/>
        <v>4132756.1804042216</v>
      </c>
      <c r="M200" s="2">
        <f t="shared" si="77"/>
        <v>4887943.2377843512</v>
      </c>
      <c r="N200" s="2">
        <f t="shared" si="77"/>
        <v>5612068.5798444618</v>
      </c>
      <c r="O200" s="2">
        <f t="shared" si="77"/>
        <v>6305504.8848134279</v>
      </c>
      <c r="P200" s="2">
        <f t="shared" si="77"/>
        <v>7017890.6442980804</v>
      </c>
      <c r="Q200" s="2">
        <f t="shared" si="77"/>
        <v>7748339.9744357588</v>
      </c>
      <c r="R200" s="2">
        <f t="shared" si="77"/>
        <v>8539168.0007091742</v>
      </c>
      <c r="S200" s="2">
        <f t="shared" si="77"/>
        <v>9397277.8275837544</v>
      </c>
      <c r="T200" s="2">
        <f t="shared" si="77"/>
        <v>10326933.638247568</v>
      </c>
      <c r="U200" s="2">
        <f t="shared" si="77"/>
        <v>11287888.62109096</v>
      </c>
      <c r="V200" s="2">
        <f t="shared" si="77"/>
        <v>12281276.563387854</v>
      </c>
      <c r="W200" s="2">
        <f t="shared" si="77"/>
        <v>12539183.371218998</v>
      </c>
      <c r="X200" s="2">
        <f t="shared" si="77"/>
        <v>12802506.222014595</v>
      </c>
      <c r="Y200" s="2">
        <f t="shared" si="77"/>
        <v>13071358.8526769</v>
      </c>
      <c r="Z200" s="2">
        <f t="shared" si="77"/>
        <v>13345857.388583114</v>
      </c>
      <c r="AA200" s="2">
        <f t="shared" si="77"/>
        <v>13626120.393743359</v>
      </c>
    </row>
    <row r="201" spans="1:29" x14ac:dyDescent="0.25">
      <c r="G201" s="2"/>
      <c r="H201" s="2"/>
      <c r="I201" s="2"/>
      <c r="J201" s="2"/>
      <c r="K201" s="2"/>
      <c r="L201" s="2"/>
      <c r="M201" s="2"/>
      <c r="N201" s="2"/>
      <c r="O201" s="2"/>
      <c r="P201" s="2"/>
      <c r="Q201" s="2"/>
      <c r="R201" s="2"/>
      <c r="S201" s="2"/>
      <c r="T201" s="2"/>
      <c r="U201" s="2"/>
      <c r="V201" s="2"/>
      <c r="W201" s="2"/>
      <c r="X201" s="2"/>
      <c r="Y201" s="2"/>
      <c r="Z201" s="2"/>
      <c r="AA201" s="2"/>
    </row>
    <row r="202" spans="1:29" x14ac:dyDescent="0.25">
      <c r="C202" s="1" t="s">
        <v>48</v>
      </c>
      <c r="G202" s="2"/>
      <c r="H202" s="2"/>
      <c r="I202" s="2"/>
      <c r="J202" s="2"/>
      <c r="K202" s="2"/>
      <c r="L202" s="2"/>
      <c r="M202" s="2"/>
      <c r="N202" s="2"/>
      <c r="O202" s="2"/>
      <c r="P202" s="2"/>
      <c r="Q202" s="2"/>
      <c r="R202" s="2"/>
      <c r="S202" s="2"/>
      <c r="T202" s="2"/>
      <c r="U202" s="2"/>
      <c r="V202" s="2"/>
      <c r="W202" s="2"/>
      <c r="X202" s="2"/>
      <c r="Y202" s="2"/>
      <c r="Z202" s="2"/>
      <c r="AA202" s="2"/>
    </row>
    <row r="203" spans="1:29" x14ac:dyDescent="0.25">
      <c r="A203" s="14">
        <f>'Notes &amp; Assumptions'!A59</f>
        <v>46</v>
      </c>
      <c r="E203" s="10" t="s">
        <v>44</v>
      </c>
      <c r="F203" t="s">
        <v>7</v>
      </c>
      <c r="G203" s="2"/>
      <c r="H203" s="10"/>
      <c r="I203" s="10"/>
      <c r="J203" s="10"/>
      <c r="K203" s="10"/>
      <c r="L203" s="10"/>
      <c r="M203" s="10"/>
      <c r="N203" s="10"/>
      <c r="O203" s="10"/>
      <c r="P203" s="10"/>
      <c r="Q203" s="10"/>
      <c r="R203" s="10"/>
      <c r="S203" s="10"/>
      <c r="T203" s="10"/>
      <c r="U203" s="10"/>
      <c r="V203" s="10"/>
      <c r="W203" s="10"/>
      <c r="X203" s="10"/>
      <c r="Y203" s="10"/>
      <c r="Z203" s="10"/>
      <c r="AA203" s="10"/>
    </row>
    <row r="204" spans="1:29" x14ac:dyDescent="0.25">
      <c r="A204" s="14">
        <f>'Notes &amp; Assumptions'!A60</f>
        <v>47</v>
      </c>
      <c r="E204" s="10" t="s">
        <v>45</v>
      </c>
      <c r="F204" t="s">
        <v>7</v>
      </c>
      <c r="G204" s="2"/>
      <c r="H204" s="10"/>
      <c r="I204" s="10"/>
      <c r="J204" s="10"/>
      <c r="K204" s="10"/>
      <c r="L204" s="10"/>
      <c r="M204" s="10"/>
      <c r="N204" s="10"/>
      <c r="O204" s="10"/>
      <c r="P204" s="10"/>
      <c r="Q204" s="10"/>
      <c r="R204" s="10"/>
      <c r="S204" s="10"/>
      <c r="T204" s="10"/>
      <c r="U204" s="10"/>
      <c r="V204" s="10"/>
      <c r="W204" s="10"/>
      <c r="X204" s="10"/>
      <c r="Y204" s="10"/>
      <c r="Z204" s="10"/>
      <c r="AA204" s="10"/>
    </row>
    <row r="205" spans="1:29" x14ac:dyDescent="0.25">
      <c r="A205" s="14">
        <f>'Notes &amp; Assumptions'!A61</f>
        <v>48</v>
      </c>
      <c r="E205" s="10" t="s">
        <v>46</v>
      </c>
      <c r="F205" t="s">
        <v>7</v>
      </c>
      <c r="G205" s="2"/>
      <c r="H205" s="10"/>
      <c r="I205" s="10"/>
      <c r="J205" s="10"/>
      <c r="K205" s="10"/>
      <c r="L205" s="10"/>
      <c r="M205" s="10"/>
      <c r="N205" s="10"/>
      <c r="O205" s="10"/>
      <c r="P205" s="10"/>
      <c r="Q205" s="10"/>
      <c r="R205" s="10"/>
      <c r="S205" s="10"/>
      <c r="T205" s="10"/>
      <c r="U205" s="10"/>
      <c r="V205" s="10"/>
      <c r="W205" s="10"/>
      <c r="X205" s="10"/>
      <c r="Y205" s="10"/>
      <c r="Z205" s="10"/>
      <c r="AA205" s="10"/>
    </row>
    <row r="206" spans="1:29" x14ac:dyDescent="0.25">
      <c r="A206" s="14">
        <f>'Notes &amp; Assumptions'!A62</f>
        <v>49</v>
      </c>
      <c r="E206" s="10" t="s">
        <v>47</v>
      </c>
      <c r="F206" t="s">
        <v>7</v>
      </c>
      <c r="G206" s="2"/>
      <c r="H206" s="10"/>
      <c r="I206" s="10"/>
      <c r="J206" s="10"/>
      <c r="K206" s="10"/>
      <c r="L206" s="10"/>
      <c r="M206" s="10"/>
      <c r="N206" s="10"/>
      <c r="O206" s="10"/>
      <c r="P206" s="10"/>
      <c r="Q206" s="10"/>
      <c r="R206" s="10"/>
      <c r="S206" s="10"/>
      <c r="T206" s="10"/>
      <c r="U206" s="10"/>
      <c r="V206" s="10"/>
      <c r="W206" s="10"/>
      <c r="X206" s="10"/>
      <c r="Y206" s="10"/>
      <c r="Z206" s="10"/>
      <c r="AA206" s="10"/>
    </row>
    <row r="207" spans="1:29" x14ac:dyDescent="0.25">
      <c r="E207" t="s">
        <v>17</v>
      </c>
      <c r="G207" s="2"/>
      <c r="H207" s="2">
        <f>SUM(H203:H206)</f>
        <v>0</v>
      </c>
      <c r="I207" s="2">
        <f t="shared" ref="I207:AA207" si="78">SUM(I203:I206)</f>
        <v>0</v>
      </c>
      <c r="J207" s="2">
        <f t="shared" si="78"/>
        <v>0</v>
      </c>
      <c r="K207" s="2">
        <f t="shared" si="78"/>
        <v>0</v>
      </c>
      <c r="L207" s="2">
        <f t="shared" si="78"/>
        <v>0</v>
      </c>
      <c r="M207" s="2">
        <f t="shared" si="78"/>
        <v>0</v>
      </c>
      <c r="N207" s="2">
        <f t="shared" si="78"/>
        <v>0</v>
      </c>
      <c r="O207" s="2">
        <f t="shared" si="78"/>
        <v>0</v>
      </c>
      <c r="P207" s="2">
        <f t="shared" si="78"/>
        <v>0</v>
      </c>
      <c r="Q207" s="2">
        <f t="shared" si="78"/>
        <v>0</v>
      </c>
      <c r="R207" s="2">
        <f t="shared" si="78"/>
        <v>0</v>
      </c>
      <c r="S207" s="2">
        <f t="shared" si="78"/>
        <v>0</v>
      </c>
      <c r="T207" s="2">
        <f t="shared" si="78"/>
        <v>0</v>
      </c>
      <c r="U207" s="2">
        <f t="shared" si="78"/>
        <v>0</v>
      </c>
      <c r="V207" s="2">
        <f t="shared" si="78"/>
        <v>0</v>
      </c>
      <c r="W207" s="2">
        <f t="shared" si="78"/>
        <v>0</v>
      </c>
      <c r="X207" s="2">
        <f t="shared" si="78"/>
        <v>0</v>
      </c>
      <c r="Y207" s="2">
        <f t="shared" si="78"/>
        <v>0</v>
      </c>
      <c r="Z207" s="2">
        <f t="shared" si="78"/>
        <v>0</v>
      </c>
      <c r="AA207" s="2">
        <f t="shared" si="78"/>
        <v>0</v>
      </c>
    </row>
    <row r="208" spans="1:29" x14ac:dyDescent="0.25">
      <c r="G208" s="2"/>
      <c r="H208" s="2"/>
      <c r="I208" s="2"/>
      <c r="J208" s="2"/>
      <c r="K208" s="2"/>
      <c r="L208" s="2"/>
      <c r="M208" s="2"/>
      <c r="N208" s="2"/>
      <c r="O208" s="2"/>
      <c r="P208" s="2"/>
      <c r="Q208" s="2"/>
      <c r="R208" s="2"/>
      <c r="S208" s="2"/>
      <c r="T208" s="2"/>
      <c r="U208" s="2"/>
      <c r="V208" s="2"/>
      <c r="W208" s="2"/>
      <c r="X208" s="2"/>
      <c r="Y208" s="2"/>
      <c r="Z208" s="2"/>
      <c r="AA208" s="2"/>
    </row>
    <row r="209" spans="1:27" x14ac:dyDescent="0.25">
      <c r="C209" s="1" t="s">
        <v>49</v>
      </c>
      <c r="G209" s="2"/>
      <c r="H209" s="2"/>
      <c r="I209" s="2"/>
      <c r="J209" s="2"/>
      <c r="K209" s="2"/>
      <c r="L209" s="2"/>
      <c r="M209" s="2"/>
      <c r="N209" s="2"/>
      <c r="O209" s="2"/>
      <c r="P209" s="2"/>
      <c r="Q209" s="2"/>
      <c r="R209" s="2"/>
      <c r="S209" s="2"/>
      <c r="T209" s="2"/>
      <c r="U209" s="2"/>
      <c r="V209" s="2"/>
      <c r="W209" s="2"/>
      <c r="X209" s="2"/>
      <c r="Y209" s="2"/>
      <c r="Z209" s="2"/>
      <c r="AA209" s="2"/>
    </row>
    <row r="210" spans="1:27" x14ac:dyDescent="0.25">
      <c r="A210" s="14">
        <f>'Notes &amp; Assumptions'!A63</f>
        <v>50</v>
      </c>
      <c r="E210" s="10" t="s">
        <v>174</v>
      </c>
      <c r="F210" t="s">
        <v>7</v>
      </c>
      <c r="G210" s="24">
        <v>0</v>
      </c>
      <c r="H210" s="10">
        <f>H107*($G$210*(1+$G$14)^(H2))</f>
        <v>0</v>
      </c>
      <c r="I210" s="10">
        <f>I107*($G$210*(1+$G$14)^(I2))</f>
        <v>0</v>
      </c>
      <c r="J210" s="10">
        <f t="shared" ref="J210:AA210" si="79">J107*($G$210*(1+$G$14)^(J2))</f>
        <v>0</v>
      </c>
      <c r="K210" s="10">
        <f t="shared" si="79"/>
        <v>0</v>
      </c>
      <c r="L210" s="10">
        <f t="shared" si="79"/>
        <v>0</v>
      </c>
      <c r="M210" s="10">
        <f t="shared" si="79"/>
        <v>0</v>
      </c>
      <c r="N210" s="10">
        <f t="shared" si="79"/>
        <v>0</v>
      </c>
      <c r="O210" s="10">
        <f t="shared" si="79"/>
        <v>0</v>
      </c>
      <c r="P210" s="10">
        <f t="shared" si="79"/>
        <v>0</v>
      </c>
      <c r="Q210" s="10">
        <f t="shared" si="79"/>
        <v>0</v>
      </c>
      <c r="R210" s="10">
        <f t="shared" si="79"/>
        <v>0</v>
      </c>
      <c r="S210" s="10">
        <f t="shared" si="79"/>
        <v>0</v>
      </c>
      <c r="T210" s="10">
        <f t="shared" si="79"/>
        <v>0</v>
      </c>
      <c r="U210" s="10">
        <f t="shared" si="79"/>
        <v>0</v>
      </c>
      <c r="V210" s="10">
        <f t="shared" si="79"/>
        <v>0</v>
      </c>
      <c r="W210" s="10">
        <f t="shared" si="79"/>
        <v>0</v>
      </c>
      <c r="X210" s="10">
        <f t="shared" si="79"/>
        <v>0</v>
      </c>
      <c r="Y210" s="10">
        <f t="shared" si="79"/>
        <v>0</v>
      </c>
      <c r="Z210" s="10">
        <f t="shared" si="79"/>
        <v>0</v>
      </c>
      <c r="AA210" s="10">
        <f t="shared" si="79"/>
        <v>0</v>
      </c>
    </row>
    <row r="211" spans="1:27" x14ac:dyDescent="0.25">
      <c r="A211" s="14">
        <f>'Notes &amp; Assumptions'!A64</f>
        <v>51</v>
      </c>
      <c r="E211" s="10" t="s">
        <v>50</v>
      </c>
      <c r="F211" t="s">
        <v>7</v>
      </c>
      <c r="G211" s="2"/>
      <c r="H211" s="10"/>
      <c r="I211" s="10"/>
      <c r="J211" s="10"/>
      <c r="K211" s="10"/>
      <c r="L211" s="10"/>
      <c r="M211" s="10"/>
      <c r="N211" s="10"/>
      <c r="O211" s="10"/>
      <c r="P211" s="10"/>
      <c r="Q211" s="10"/>
      <c r="R211" s="10"/>
      <c r="S211" s="10"/>
      <c r="T211" s="10"/>
      <c r="U211" s="10"/>
      <c r="V211" s="10"/>
      <c r="W211" s="10"/>
      <c r="X211" s="10"/>
      <c r="Y211" s="10"/>
      <c r="Z211" s="10"/>
      <c r="AA211" s="10"/>
    </row>
    <row r="212" spans="1:27" x14ac:dyDescent="0.25">
      <c r="A212" s="14">
        <f>'Notes &amp; Assumptions'!A65</f>
        <v>52</v>
      </c>
      <c r="E212" s="10" t="s">
        <v>51</v>
      </c>
      <c r="F212" t="s">
        <v>7</v>
      </c>
      <c r="G212" s="2"/>
      <c r="H212" s="10"/>
      <c r="I212" s="10"/>
      <c r="J212" s="10"/>
      <c r="K212" s="10"/>
      <c r="L212" s="10"/>
      <c r="M212" s="10"/>
      <c r="N212" s="10"/>
      <c r="O212" s="10"/>
      <c r="P212" s="10"/>
      <c r="Q212" s="10"/>
      <c r="R212" s="10"/>
      <c r="S212" s="10"/>
      <c r="T212" s="10"/>
      <c r="U212" s="10"/>
      <c r="V212" s="10"/>
      <c r="W212" s="10"/>
      <c r="X212" s="10"/>
      <c r="Y212" s="10"/>
      <c r="Z212" s="10"/>
      <c r="AA212" s="10"/>
    </row>
    <row r="213" spans="1:27" x14ac:dyDescent="0.25">
      <c r="A213" s="14">
        <f>'Notes &amp; Assumptions'!A66</f>
        <v>53</v>
      </c>
      <c r="E213" s="10" t="s">
        <v>52</v>
      </c>
      <c r="F213" t="s">
        <v>7</v>
      </c>
      <c r="G213" s="2"/>
      <c r="H213" s="10"/>
      <c r="I213" s="10"/>
      <c r="J213" s="10"/>
      <c r="K213" s="10"/>
      <c r="L213" s="10"/>
      <c r="M213" s="10"/>
      <c r="N213" s="10"/>
      <c r="O213" s="10"/>
      <c r="P213" s="10"/>
      <c r="Q213" s="10"/>
      <c r="R213" s="10"/>
      <c r="S213" s="10"/>
      <c r="T213" s="10"/>
      <c r="U213" s="10"/>
      <c r="V213" s="10"/>
      <c r="W213" s="10"/>
      <c r="X213" s="10"/>
      <c r="Y213" s="10"/>
      <c r="Z213" s="10"/>
      <c r="AA213" s="10"/>
    </row>
    <row r="214" spans="1:27" x14ac:dyDescent="0.25">
      <c r="E214" t="s">
        <v>17</v>
      </c>
      <c r="G214" s="2"/>
      <c r="H214" s="2">
        <f>SUM(H210:H213)</f>
        <v>0</v>
      </c>
      <c r="I214" s="2">
        <f t="shared" ref="I214:AA214" si="80">SUM(I210:I213)</f>
        <v>0</v>
      </c>
      <c r="J214" s="2">
        <f t="shared" si="80"/>
        <v>0</v>
      </c>
      <c r="K214" s="2">
        <f t="shared" si="80"/>
        <v>0</v>
      </c>
      <c r="L214" s="2">
        <f t="shared" si="80"/>
        <v>0</v>
      </c>
      <c r="M214" s="2">
        <f t="shared" si="80"/>
        <v>0</v>
      </c>
      <c r="N214" s="2">
        <f t="shared" si="80"/>
        <v>0</v>
      </c>
      <c r="O214" s="2">
        <f t="shared" si="80"/>
        <v>0</v>
      </c>
      <c r="P214" s="2">
        <f t="shared" si="80"/>
        <v>0</v>
      </c>
      <c r="Q214" s="2">
        <f t="shared" si="80"/>
        <v>0</v>
      </c>
      <c r="R214" s="2">
        <f t="shared" si="80"/>
        <v>0</v>
      </c>
      <c r="S214" s="2">
        <f t="shared" si="80"/>
        <v>0</v>
      </c>
      <c r="T214" s="2">
        <f t="shared" si="80"/>
        <v>0</v>
      </c>
      <c r="U214" s="2">
        <f t="shared" si="80"/>
        <v>0</v>
      </c>
      <c r="V214" s="2">
        <f t="shared" si="80"/>
        <v>0</v>
      </c>
      <c r="W214" s="2">
        <f t="shared" si="80"/>
        <v>0</v>
      </c>
      <c r="X214" s="2">
        <f t="shared" si="80"/>
        <v>0</v>
      </c>
      <c r="Y214" s="2">
        <f t="shared" si="80"/>
        <v>0</v>
      </c>
      <c r="Z214" s="2">
        <f t="shared" si="80"/>
        <v>0</v>
      </c>
      <c r="AA214" s="2">
        <f t="shared" si="80"/>
        <v>0</v>
      </c>
    </row>
    <row r="215" spans="1:27" x14ac:dyDescent="0.25">
      <c r="G215" s="2"/>
      <c r="H215" s="2"/>
      <c r="I215" s="2"/>
      <c r="J215" s="2"/>
      <c r="K215" s="2"/>
      <c r="L215" s="2"/>
      <c r="M215" s="2"/>
      <c r="N215" s="2"/>
      <c r="O215" s="2"/>
      <c r="P215" s="2"/>
      <c r="Q215" s="2"/>
      <c r="R215" s="2"/>
      <c r="S215" s="2"/>
      <c r="T215" s="2"/>
      <c r="U215" s="2"/>
      <c r="V215" s="2"/>
      <c r="W215" s="2"/>
      <c r="X215" s="2"/>
      <c r="Y215" s="2"/>
      <c r="Z215" s="2"/>
      <c r="AA215" s="2"/>
    </row>
    <row r="216" spans="1:27" x14ac:dyDescent="0.25">
      <c r="C216" s="1" t="s">
        <v>33</v>
      </c>
      <c r="G216" s="2"/>
      <c r="H216" s="2"/>
      <c r="I216" s="2"/>
      <c r="J216" s="2"/>
      <c r="K216" s="2"/>
      <c r="L216" s="2"/>
      <c r="M216" s="2"/>
      <c r="N216" s="2"/>
      <c r="O216" s="2"/>
      <c r="P216" s="2"/>
      <c r="Q216" s="2"/>
      <c r="R216" s="2"/>
      <c r="S216" s="2"/>
      <c r="T216" s="2"/>
      <c r="U216" s="2"/>
      <c r="V216" s="2"/>
      <c r="W216" s="2"/>
      <c r="X216" s="2"/>
      <c r="Y216" s="2"/>
      <c r="Z216" s="2"/>
      <c r="AA216" s="2"/>
    </row>
    <row r="217" spans="1:27" x14ac:dyDescent="0.25">
      <c r="C217" s="1"/>
      <c r="D217" s="1"/>
      <c r="E217" t="s">
        <v>29</v>
      </c>
      <c r="F217" t="s">
        <v>3</v>
      </c>
      <c r="G217" s="44"/>
      <c r="H217" s="2">
        <f t="shared" ref="H217:AA217" si="81">H174</f>
        <v>11453</v>
      </c>
      <c r="I217" s="2">
        <f t="shared" si="81"/>
        <v>10932</v>
      </c>
      <c r="J217" s="2">
        <f t="shared" si="81"/>
        <v>10605.699999999999</v>
      </c>
      <c r="K217" s="2">
        <f t="shared" si="81"/>
        <v>9776.5999999999985</v>
      </c>
      <c r="L217" s="2">
        <f t="shared" si="81"/>
        <v>8966.9999999999982</v>
      </c>
      <c r="M217" s="2">
        <f t="shared" si="81"/>
        <v>8194.9999999999982</v>
      </c>
      <c r="N217" s="2">
        <f t="shared" si="81"/>
        <v>7462.9999999999973</v>
      </c>
      <c r="O217" s="2">
        <f t="shared" si="81"/>
        <v>6769.699999999998</v>
      </c>
      <c r="P217" s="2">
        <f t="shared" si="81"/>
        <v>6680.9999999999982</v>
      </c>
      <c r="Q217" s="2">
        <f t="shared" si="81"/>
        <v>6578.5999999999985</v>
      </c>
      <c r="R217" s="2">
        <f t="shared" si="81"/>
        <v>6940.9999999999982</v>
      </c>
      <c r="S217" s="2">
        <f t="shared" si="81"/>
        <v>7346.699999999998</v>
      </c>
      <c r="T217" s="2">
        <f t="shared" si="81"/>
        <v>7762.9999999999982</v>
      </c>
      <c r="U217" s="2">
        <f t="shared" si="81"/>
        <v>7725.5999999999976</v>
      </c>
      <c r="V217" s="2">
        <f t="shared" si="81"/>
        <v>7691.2999999999975</v>
      </c>
      <c r="W217" s="2">
        <f t="shared" si="81"/>
        <v>0</v>
      </c>
      <c r="X217" s="2">
        <f t="shared" si="81"/>
        <v>0</v>
      </c>
      <c r="Y217" s="2">
        <f t="shared" si="81"/>
        <v>0</v>
      </c>
      <c r="Z217" s="2">
        <f t="shared" si="81"/>
        <v>0</v>
      </c>
      <c r="AA217" s="2">
        <f t="shared" si="81"/>
        <v>0</v>
      </c>
    </row>
    <row r="218" spans="1:27" x14ac:dyDescent="0.25">
      <c r="E218" t="s">
        <v>18</v>
      </c>
      <c r="F218" t="s">
        <v>22</v>
      </c>
      <c r="G218" s="8">
        <f ca="1">MAX(0,-G245/(NPV($G$16,H217:AA217)))</f>
        <v>3608.1999781813183</v>
      </c>
      <c r="H218" s="2">
        <f t="shared" ref="H218:AA218" ca="1" si="82">G218*(1+$G$14)</f>
        <v>3683.9721777231257</v>
      </c>
      <c r="I218" s="2">
        <f t="shared" ca="1" si="82"/>
        <v>3761.335593455311</v>
      </c>
      <c r="J218" s="2">
        <f t="shared" ca="1" si="82"/>
        <v>3840.3236409178721</v>
      </c>
      <c r="K218" s="2">
        <f t="shared" ca="1" si="82"/>
        <v>3920.9704373771469</v>
      </c>
      <c r="L218" s="2">
        <f t="shared" ca="1" si="82"/>
        <v>4003.3108165620665</v>
      </c>
      <c r="M218" s="2">
        <f t="shared" ca="1" si="82"/>
        <v>4087.3803437098695</v>
      </c>
      <c r="N218" s="2">
        <f t="shared" ca="1" si="82"/>
        <v>4173.2153309277764</v>
      </c>
      <c r="O218" s="2">
        <f t="shared" ca="1" si="82"/>
        <v>4260.8528528772595</v>
      </c>
      <c r="P218" s="2">
        <f t="shared" ca="1" si="82"/>
        <v>4350.3307627876811</v>
      </c>
      <c r="Q218" s="2">
        <f t="shared" ca="1" si="82"/>
        <v>4441.687708806222</v>
      </c>
      <c r="R218" s="2">
        <f t="shared" ca="1" si="82"/>
        <v>4534.9631506911519</v>
      </c>
      <c r="S218" s="2">
        <f t="shared" ca="1" si="82"/>
        <v>4630.1973768556654</v>
      </c>
      <c r="T218" s="2">
        <f t="shared" ca="1" si="82"/>
        <v>4727.4315217696339</v>
      </c>
      <c r="U218" s="2">
        <f t="shared" ca="1" si="82"/>
        <v>4826.7075837267957</v>
      </c>
      <c r="V218" s="2">
        <f t="shared" ca="1" si="82"/>
        <v>4928.068442985058</v>
      </c>
      <c r="W218" s="2">
        <f t="shared" ca="1" si="82"/>
        <v>5031.5578802877435</v>
      </c>
      <c r="X218" s="2">
        <f t="shared" ca="1" si="82"/>
        <v>5137.220595773786</v>
      </c>
      <c r="Y218" s="2">
        <f t="shared" ca="1" si="82"/>
        <v>5245.1022282850354</v>
      </c>
      <c r="Z218" s="2">
        <f t="shared" ca="1" si="82"/>
        <v>5355.2493750790209</v>
      </c>
      <c r="AA218" s="2">
        <f t="shared" ca="1" si="82"/>
        <v>5467.70961195568</v>
      </c>
    </row>
    <row r="219" spans="1:27" x14ac:dyDescent="0.25">
      <c r="E219" t="s">
        <v>21</v>
      </c>
      <c r="F219" t="s">
        <v>7</v>
      </c>
      <c r="H219" s="2">
        <f ca="1">H218*H217</f>
        <v>42192533.35146296</v>
      </c>
      <c r="I219" s="2">
        <f t="shared" ref="I219:AA219" ca="1" si="83">I218*I217</f>
        <v>41118920.707653463</v>
      </c>
      <c r="J219" s="2">
        <f t="shared" ca="1" si="83"/>
        <v>40729320.438482672</v>
      </c>
      <c r="K219" s="2">
        <f t="shared" ca="1" si="83"/>
        <v>38333759.578061409</v>
      </c>
      <c r="L219" s="2">
        <f t="shared" ca="1" si="83"/>
        <v>35897688.092112042</v>
      </c>
      <c r="M219" s="2">
        <f t="shared" ca="1" si="83"/>
        <v>33496081.916702375</v>
      </c>
      <c r="N219" s="2">
        <f t="shared" ca="1" si="83"/>
        <v>31144706.014713984</v>
      </c>
      <c r="O219" s="2">
        <f t="shared" ca="1" si="83"/>
        <v>28844695.558123175</v>
      </c>
      <c r="P219" s="2">
        <f t="shared" ca="1" si="83"/>
        <v>29064559.826184489</v>
      </c>
      <c r="Q219" s="2">
        <f t="shared" ca="1" si="83"/>
        <v>29220086.761152606</v>
      </c>
      <c r="R219" s="2">
        <f t="shared" ca="1" si="83"/>
        <v>31477179.228947278</v>
      </c>
      <c r="S219" s="2">
        <f t="shared" ca="1" si="83"/>
        <v>34016671.068545505</v>
      </c>
      <c r="T219" s="2">
        <f t="shared" ca="1" si="83"/>
        <v>36699050.903497659</v>
      </c>
      <c r="U219" s="2">
        <f t="shared" ca="1" si="83"/>
        <v>37289212.10883972</v>
      </c>
      <c r="V219" s="2">
        <f t="shared" ca="1" si="83"/>
        <v>37903252.815530963</v>
      </c>
      <c r="W219" s="2">
        <f t="shared" ca="1" si="83"/>
        <v>0</v>
      </c>
      <c r="X219" s="2">
        <f t="shared" ca="1" si="83"/>
        <v>0</v>
      </c>
      <c r="Y219" s="2">
        <f t="shared" ca="1" si="83"/>
        <v>0</v>
      </c>
      <c r="Z219" s="2">
        <f t="shared" ca="1" si="83"/>
        <v>0</v>
      </c>
      <c r="AA219" s="2">
        <f t="shared" ca="1" si="83"/>
        <v>0</v>
      </c>
    </row>
    <row r="220" spans="1:27" x14ac:dyDescent="0.25">
      <c r="G220" s="8">
        <f ca="1">-G245/(NPV($G$16,H217:AA217))</f>
        <v>3608.1999781813183</v>
      </c>
    </row>
    <row r="221" spans="1:27" x14ac:dyDescent="0.25">
      <c r="D221" t="s">
        <v>9</v>
      </c>
    </row>
    <row r="222" spans="1:27" x14ac:dyDescent="0.25">
      <c r="E222" t="s">
        <v>107</v>
      </c>
      <c r="F222" t="s">
        <v>7</v>
      </c>
      <c r="G222" s="2">
        <f t="shared" ref="G222:AA222" si="84">G42</f>
        <v>0</v>
      </c>
      <c r="H222" s="2">
        <f t="shared" si="84"/>
        <v>91460158.999999985</v>
      </c>
      <c r="I222" s="2">
        <f t="shared" si="84"/>
        <v>89564445.83799997</v>
      </c>
      <c r="J222" s="2">
        <f t="shared" si="84"/>
        <v>89185615.377268866</v>
      </c>
      <c r="K222" s="2">
        <f t="shared" si="84"/>
        <v>84424638.134236529</v>
      </c>
      <c r="L222" s="2">
        <f t="shared" si="84"/>
        <v>79568049.705065817</v>
      </c>
      <c r="M222" s="2">
        <f t="shared" si="84"/>
        <v>74768407.088639915</v>
      </c>
      <c r="N222" s="2">
        <f t="shared" si="84"/>
        <v>70064031.884498522</v>
      </c>
      <c r="O222" s="2">
        <f t="shared" si="84"/>
        <v>65465532.89753776</v>
      </c>
      <c r="P222" s="2">
        <f t="shared" si="84"/>
        <v>66614967.692542769</v>
      </c>
      <c r="Q222" s="2">
        <f t="shared" si="84"/>
        <v>67726074.632954717</v>
      </c>
      <c r="R222" s="2">
        <f t="shared" si="84"/>
        <v>72952553.270452216</v>
      </c>
      <c r="S222" s="2">
        <f t="shared" si="84"/>
        <v>78838472.075354815</v>
      </c>
      <c r="T222" s="2">
        <f t="shared" si="84"/>
        <v>85054986.249661505</v>
      </c>
      <c r="U222" s="2">
        <f t="shared" si="84"/>
        <v>86425382.20970057</v>
      </c>
      <c r="V222" s="2">
        <f t="shared" si="84"/>
        <v>87845463.344445795</v>
      </c>
      <c r="W222" s="2">
        <f t="shared" si="84"/>
        <v>0</v>
      </c>
      <c r="X222" s="2">
        <f t="shared" si="84"/>
        <v>0</v>
      </c>
      <c r="Y222" s="2">
        <f t="shared" si="84"/>
        <v>0</v>
      </c>
      <c r="Z222" s="2">
        <f t="shared" si="84"/>
        <v>0</v>
      </c>
      <c r="AA222" s="2">
        <f t="shared" si="84"/>
        <v>0</v>
      </c>
    </row>
    <row r="223" spans="1:27" x14ac:dyDescent="0.25">
      <c r="E223" t="s">
        <v>11</v>
      </c>
      <c r="F223" t="s">
        <v>7</v>
      </c>
      <c r="G223" s="2">
        <f t="shared" ref="G223:AA223" si="85">G177</f>
        <v>0</v>
      </c>
      <c r="H223" s="2">
        <f t="shared" si="85"/>
        <v>5730279.1154912952</v>
      </c>
      <c r="I223" s="2">
        <f t="shared" si="85"/>
        <v>11143945.112955689</v>
      </c>
      <c r="J223" s="2">
        <f t="shared" si="85"/>
        <v>16805764.863735929</v>
      </c>
      <c r="K223" s="2">
        <f t="shared" si="85"/>
        <v>22285446.789206967</v>
      </c>
      <c r="L223" s="2">
        <f t="shared" si="85"/>
        <v>27579990.726674557</v>
      </c>
      <c r="M223" s="2">
        <f t="shared" si="85"/>
        <v>32682630.855425775</v>
      </c>
      <c r="N223" s="2">
        <f t="shared" si="85"/>
        <v>37600600.956364922</v>
      </c>
      <c r="O223" s="2">
        <f t="shared" si="85"/>
        <v>42336446.976104259</v>
      </c>
      <c r="P223" s="2">
        <f t="shared" si="85"/>
        <v>47232096.173268065</v>
      </c>
      <c r="Q223" s="2">
        <f t="shared" si="85"/>
        <v>52291488.187219672</v>
      </c>
      <c r="R223" s="2">
        <f t="shared" si="85"/>
        <v>57772613.051332116</v>
      </c>
      <c r="S223" s="2">
        <f t="shared" si="85"/>
        <v>63727438.421148002</v>
      </c>
      <c r="T223" s="2">
        <f t="shared" si="85"/>
        <v>70177494.464348316</v>
      </c>
      <c r="U223" s="2">
        <f t="shared" si="85"/>
        <v>76841652.162715748</v>
      </c>
      <c r="V223" s="2">
        <f t="shared" si="85"/>
        <v>83734341.822200477</v>
      </c>
      <c r="W223" s="2">
        <f t="shared" si="85"/>
        <v>85492763.000466675</v>
      </c>
      <c r="X223" s="2">
        <f t="shared" si="85"/>
        <v>87288111.023476467</v>
      </c>
      <c r="Y223" s="2">
        <f t="shared" si="85"/>
        <v>89121161.354969457</v>
      </c>
      <c r="Z223" s="2">
        <f t="shared" si="85"/>
        <v>90992705.74342382</v>
      </c>
      <c r="AA223" s="2">
        <f t="shared" si="85"/>
        <v>92903552.564035699</v>
      </c>
    </row>
    <row r="224" spans="1:27" x14ac:dyDescent="0.25">
      <c r="E224" t="s">
        <v>57</v>
      </c>
      <c r="F224" t="s">
        <v>7</v>
      </c>
      <c r="G224" s="2">
        <f t="shared" ref="G224:AA224" si="86">-G187</f>
        <v>0</v>
      </c>
      <c r="H224" s="2">
        <f t="shared" si="86"/>
        <v>-2404786.5085926489</v>
      </c>
      <c r="I224" s="2">
        <f t="shared" si="86"/>
        <v>-4947825.9706136668</v>
      </c>
      <c r="J224" s="2">
        <f t="shared" si="86"/>
        <v>-7676604.3885063874</v>
      </c>
      <c r="K224" s="2">
        <f t="shared" si="86"/>
        <v>-10161346.916344646</v>
      </c>
      <c r="L224" s="2">
        <f t="shared" si="86"/>
        <v>-12551126.455327233</v>
      </c>
      <c r="M224" s="2">
        <f t="shared" si="86"/>
        <v>-14845886.96423512</v>
      </c>
      <c r="N224" s="2">
        <f t="shared" si="86"/>
        <v>-17046769.266910296</v>
      </c>
      <c r="O224" s="2">
        <f t="shared" si="86"/>
        <v>-19154906.368610431</v>
      </c>
      <c r="P224" s="2">
        <f t="shared" si="86"/>
        <v>-21321264.609229665</v>
      </c>
      <c r="Q224" s="2">
        <f t="shared" si="86"/>
        <v>-23543352.085394409</v>
      </c>
      <c r="R224" s="2">
        <f t="shared" si="86"/>
        <v>-25949187.600124206</v>
      </c>
      <c r="S224" s="2">
        <f t="shared" si="86"/>
        <v>-28559854.673490092</v>
      </c>
      <c r="T224" s="2">
        <f t="shared" si="86"/>
        <v>-31388163.99365899</v>
      </c>
      <c r="U224" s="2">
        <f t="shared" si="86"/>
        <v>-34311633.802899733</v>
      </c>
      <c r="V224" s="2">
        <f t="shared" si="86"/>
        <v>-37333845.71050036</v>
      </c>
      <c r="W224" s="2">
        <f t="shared" si="86"/>
        <v>-38117856.470420867</v>
      </c>
      <c r="X224" s="2">
        <f t="shared" si="86"/>
        <v>-38918331.4562997</v>
      </c>
      <c r="Y224" s="2">
        <f t="shared" si="86"/>
        <v>-39735616.416881986</v>
      </c>
      <c r="Z224" s="2">
        <f t="shared" si="86"/>
        <v>-40570064.361636505</v>
      </c>
      <c r="AA224" s="2">
        <f t="shared" si="86"/>
        <v>-41422035.713230871</v>
      </c>
    </row>
    <row r="225" spans="4:28" customFormat="1" x14ac:dyDescent="0.25">
      <c r="E225" t="s">
        <v>10</v>
      </c>
      <c r="F225" t="s">
        <v>7</v>
      </c>
      <c r="G225" s="2">
        <f t="shared" ref="G225:AA225" si="87">-G200</f>
        <v>0</v>
      </c>
      <c r="H225" s="2">
        <f t="shared" si="87"/>
        <v>-841932.93599999999</v>
      </c>
      <c r="I225" s="2">
        <f t="shared" si="87"/>
        <v>-1680123.0085199999</v>
      </c>
      <c r="J225" s="2">
        <f t="shared" si="87"/>
        <v>-2528140.775254034</v>
      </c>
      <c r="K225" s="2">
        <f t="shared" si="87"/>
        <v>-3346164.580686369</v>
      </c>
      <c r="L225" s="2">
        <f t="shared" si="87"/>
        <v>-4132756.1804042216</v>
      </c>
      <c r="M225" s="2">
        <f t="shared" si="87"/>
        <v>-4887943.2377843512</v>
      </c>
      <c r="N225" s="2">
        <f t="shared" si="87"/>
        <v>-5612068.5798444618</v>
      </c>
      <c r="O225" s="2">
        <f t="shared" si="87"/>
        <v>-6305504.8848134279</v>
      </c>
      <c r="P225" s="2">
        <f t="shared" si="87"/>
        <v>-7017890.6442980804</v>
      </c>
      <c r="Q225" s="2">
        <f t="shared" si="87"/>
        <v>-7748339.9744357588</v>
      </c>
      <c r="R225" s="2">
        <f t="shared" si="87"/>
        <v>-8539168.0007091742</v>
      </c>
      <c r="S225" s="2">
        <f t="shared" si="87"/>
        <v>-9397277.8275837544</v>
      </c>
      <c r="T225" s="2">
        <f t="shared" si="87"/>
        <v>-10326933.638247568</v>
      </c>
      <c r="U225" s="2">
        <f t="shared" si="87"/>
        <v>-11287888.62109096</v>
      </c>
      <c r="V225" s="2">
        <f t="shared" si="87"/>
        <v>-12281276.563387854</v>
      </c>
      <c r="W225" s="2">
        <f t="shared" si="87"/>
        <v>-12539183.371218998</v>
      </c>
      <c r="X225" s="2">
        <f t="shared" si="87"/>
        <v>-12802506.222014595</v>
      </c>
      <c r="Y225" s="2">
        <f t="shared" si="87"/>
        <v>-13071358.8526769</v>
      </c>
      <c r="Z225" s="2">
        <f t="shared" si="87"/>
        <v>-13345857.388583114</v>
      </c>
      <c r="AA225" s="2">
        <f t="shared" si="87"/>
        <v>-13626120.393743359</v>
      </c>
    </row>
    <row r="226" spans="4:28" customFormat="1" x14ac:dyDescent="0.25">
      <c r="E226" t="s">
        <v>12</v>
      </c>
      <c r="F226" t="s">
        <v>7</v>
      </c>
      <c r="G226" s="2">
        <f t="shared" ref="G226:AA226" si="88">-G34-G50-G85</f>
        <v>-3093038.6926384564</v>
      </c>
      <c r="H226" s="2">
        <f t="shared" si="88"/>
        <v>-6016568.740789148</v>
      </c>
      <c r="I226" s="2">
        <f t="shared" si="88"/>
        <v>-7558748.8567222096</v>
      </c>
      <c r="J226" s="2">
        <f t="shared" si="88"/>
        <v>-8985376.984263733</v>
      </c>
      <c r="K226" s="2">
        <f t="shared" si="88"/>
        <v>-10356016.897802398</v>
      </c>
      <c r="L226" s="2">
        <f t="shared" si="88"/>
        <v>-11672017.507737894</v>
      </c>
      <c r="M226" s="2">
        <f t="shared" si="88"/>
        <v>-12930663.542037137</v>
      </c>
      <c r="N226" s="2">
        <f t="shared" si="88"/>
        <v>-14137662.695131421</v>
      </c>
      <c r="O226" s="2">
        <f t="shared" si="88"/>
        <v>-15300335.45130071</v>
      </c>
      <c r="P226" s="2">
        <f t="shared" si="88"/>
        <v>-16479399.228769001</v>
      </c>
      <c r="Q226" s="2">
        <f t="shared" si="88"/>
        <v>-17681565.322829757</v>
      </c>
      <c r="R226" s="2">
        <f t="shared" si="88"/>
        <v>-18953090.324269261</v>
      </c>
      <c r="S226" s="2">
        <f t="shared" si="88"/>
        <v>-20299862.469077222</v>
      </c>
      <c r="T226" s="2">
        <f t="shared" si="88"/>
        <v>-21724686.594602551</v>
      </c>
      <c r="U226" s="2">
        <f t="shared" si="88"/>
        <v>-23174138.456588764</v>
      </c>
      <c r="V226" s="2">
        <f t="shared" si="88"/>
        <v>-24650247.002486296</v>
      </c>
      <c r="W226" s="2">
        <f t="shared" si="88"/>
        <v>-24786569.97706015</v>
      </c>
      <c r="X226" s="2">
        <f t="shared" si="88"/>
        <v>-24925635.191135623</v>
      </c>
      <c r="Y226" s="2">
        <f t="shared" si="88"/>
        <v>-25067434.959178321</v>
      </c>
      <c r="Z226" s="2">
        <f t="shared" si="88"/>
        <v>-25212190.344986781</v>
      </c>
      <c r="AA226" s="2">
        <f t="shared" si="88"/>
        <v>-25360111.130513988</v>
      </c>
    </row>
    <row r="227" spans="4:28" customFormat="1" x14ac:dyDescent="0.25">
      <c r="E227" t="s">
        <v>48</v>
      </c>
      <c r="F227" t="s">
        <v>7</v>
      </c>
      <c r="G227" s="2">
        <f t="shared" ref="G227:AA227" si="89">G207</f>
        <v>0</v>
      </c>
      <c r="H227" s="2">
        <f t="shared" si="89"/>
        <v>0</v>
      </c>
      <c r="I227" s="2">
        <f t="shared" si="89"/>
        <v>0</v>
      </c>
      <c r="J227" s="2">
        <f t="shared" si="89"/>
        <v>0</v>
      </c>
      <c r="K227" s="2">
        <f t="shared" si="89"/>
        <v>0</v>
      </c>
      <c r="L227" s="2">
        <f t="shared" si="89"/>
        <v>0</v>
      </c>
      <c r="M227" s="2">
        <f t="shared" si="89"/>
        <v>0</v>
      </c>
      <c r="N227" s="2">
        <f t="shared" si="89"/>
        <v>0</v>
      </c>
      <c r="O227" s="2">
        <f t="shared" si="89"/>
        <v>0</v>
      </c>
      <c r="P227" s="2">
        <f t="shared" si="89"/>
        <v>0</v>
      </c>
      <c r="Q227" s="2">
        <f t="shared" si="89"/>
        <v>0</v>
      </c>
      <c r="R227" s="2">
        <f t="shared" si="89"/>
        <v>0</v>
      </c>
      <c r="S227" s="2">
        <f t="shared" si="89"/>
        <v>0</v>
      </c>
      <c r="T227" s="2">
        <f t="shared" si="89"/>
        <v>0</v>
      </c>
      <c r="U227" s="2">
        <f t="shared" si="89"/>
        <v>0</v>
      </c>
      <c r="V227" s="2">
        <f t="shared" si="89"/>
        <v>0</v>
      </c>
      <c r="W227" s="2">
        <f t="shared" si="89"/>
        <v>0</v>
      </c>
      <c r="X227" s="2">
        <f t="shared" si="89"/>
        <v>0</v>
      </c>
      <c r="Y227" s="2">
        <f t="shared" si="89"/>
        <v>0</v>
      </c>
      <c r="Z227" s="2">
        <f t="shared" si="89"/>
        <v>0</v>
      </c>
      <c r="AA227" s="2">
        <f t="shared" si="89"/>
        <v>0</v>
      </c>
    </row>
    <row r="228" spans="4:28" customFormat="1" x14ac:dyDescent="0.25">
      <c r="E228" t="s">
        <v>13</v>
      </c>
      <c r="F228" t="s">
        <v>7</v>
      </c>
      <c r="H228" s="2">
        <f t="shared" ref="H228:AA228" ca="1" si="90">H219</f>
        <v>42192533.35146296</v>
      </c>
      <c r="I228" s="2">
        <f t="shared" ca="1" si="90"/>
        <v>41118920.707653463</v>
      </c>
      <c r="J228" s="2">
        <f t="shared" ca="1" si="90"/>
        <v>40729320.438482672</v>
      </c>
      <c r="K228" s="2">
        <f t="shared" ca="1" si="90"/>
        <v>38333759.578061409</v>
      </c>
      <c r="L228" s="2">
        <f t="shared" ca="1" si="90"/>
        <v>35897688.092112042</v>
      </c>
      <c r="M228" s="2">
        <f t="shared" ca="1" si="90"/>
        <v>33496081.916702375</v>
      </c>
      <c r="N228" s="2">
        <f t="shared" ca="1" si="90"/>
        <v>31144706.014713984</v>
      </c>
      <c r="O228" s="2">
        <f t="shared" ca="1" si="90"/>
        <v>28844695.558123175</v>
      </c>
      <c r="P228" s="2">
        <f t="shared" ca="1" si="90"/>
        <v>29064559.826184489</v>
      </c>
      <c r="Q228" s="2">
        <f t="shared" ca="1" si="90"/>
        <v>29220086.761152606</v>
      </c>
      <c r="R228" s="2">
        <f t="shared" ca="1" si="90"/>
        <v>31477179.228947278</v>
      </c>
      <c r="S228" s="2">
        <f t="shared" ca="1" si="90"/>
        <v>34016671.068545505</v>
      </c>
      <c r="T228" s="2">
        <f t="shared" ca="1" si="90"/>
        <v>36699050.903497659</v>
      </c>
      <c r="U228" s="2">
        <f t="shared" ca="1" si="90"/>
        <v>37289212.10883972</v>
      </c>
      <c r="V228" s="2">
        <f t="shared" ca="1" si="90"/>
        <v>37903252.815530963</v>
      </c>
      <c r="W228" s="2">
        <f t="shared" ca="1" si="90"/>
        <v>0</v>
      </c>
      <c r="X228" s="2">
        <f t="shared" ca="1" si="90"/>
        <v>0</v>
      </c>
      <c r="Y228" s="2">
        <f t="shared" ca="1" si="90"/>
        <v>0</v>
      </c>
      <c r="Z228" s="2">
        <f t="shared" ca="1" si="90"/>
        <v>0</v>
      </c>
      <c r="AA228" s="2">
        <f t="shared" ca="1" si="90"/>
        <v>0</v>
      </c>
    </row>
    <row r="229" spans="4:28" customFormat="1" x14ac:dyDescent="0.25"/>
    <row r="230" spans="4:28" customFormat="1" x14ac:dyDescent="0.25">
      <c r="E230" t="s">
        <v>14</v>
      </c>
      <c r="F230" t="s">
        <v>7</v>
      </c>
      <c r="G230" s="2">
        <f t="shared" ref="G230:AA230" si="91">SUM(G222:G228)</f>
        <v>-3093038.6926384564</v>
      </c>
      <c r="H230" s="2">
        <f t="shared" ca="1" si="91"/>
        <v>130119683.28157245</v>
      </c>
      <c r="I230" s="2">
        <f t="shared" ca="1" si="91"/>
        <v>127640613.82275324</v>
      </c>
      <c r="J230" s="2">
        <f t="shared" ca="1" si="91"/>
        <v>127530578.53146331</v>
      </c>
      <c r="K230" s="2">
        <f t="shared" ca="1" si="91"/>
        <v>121180316.10667148</v>
      </c>
      <c r="L230" s="2">
        <f t="shared" ca="1" si="91"/>
        <v>114689828.38038307</v>
      </c>
      <c r="M230" s="2">
        <f t="shared" ca="1" si="91"/>
        <v>108282626.11671145</v>
      </c>
      <c r="N230" s="2">
        <f t="shared" ca="1" si="91"/>
        <v>102012838.31369124</v>
      </c>
      <c r="O230" s="2">
        <f t="shared" ca="1" si="91"/>
        <v>95885928.727040634</v>
      </c>
      <c r="P230" s="2">
        <f t="shared" ca="1" si="91"/>
        <v>98093069.209698588</v>
      </c>
      <c r="Q230" s="2">
        <f t="shared" ca="1" si="91"/>
        <v>100264392.19866708</v>
      </c>
      <c r="R230" s="2">
        <f t="shared" ca="1" si="91"/>
        <v>108760899.62562896</v>
      </c>
      <c r="S230" s="2">
        <f t="shared" ca="1" si="91"/>
        <v>118325586.59489726</v>
      </c>
      <c r="T230" s="2">
        <f t="shared" ca="1" si="91"/>
        <v>128491747.39099836</v>
      </c>
      <c r="U230" s="2">
        <f t="shared" ca="1" si="91"/>
        <v>131782585.60067658</v>
      </c>
      <c r="V230" s="2">
        <f t="shared" ca="1" si="91"/>
        <v>135217688.70580271</v>
      </c>
      <c r="W230" s="2">
        <f t="shared" ca="1" si="91"/>
        <v>10049153.181766663</v>
      </c>
      <c r="X230" s="2">
        <f t="shared" ca="1" si="91"/>
        <v>10641638.154026546</v>
      </c>
      <c r="Y230" s="2">
        <f t="shared" ca="1" si="91"/>
        <v>11246751.126232252</v>
      </c>
      <c r="Z230" s="2">
        <f t="shared" ca="1" si="91"/>
        <v>11864593.648217417</v>
      </c>
      <c r="AA230" s="2">
        <f t="shared" ca="1" si="91"/>
        <v>12495285.326547481</v>
      </c>
    </row>
    <row r="231" spans="4:28" customFormat="1" x14ac:dyDescent="0.25">
      <c r="E231" t="s">
        <v>15</v>
      </c>
      <c r="F231" t="s">
        <v>7</v>
      </c>
      <c r="G231" s="2">
        <f>-G230*G$18</f>
        <v>927911.60779153684</v>
      </c>
      <c r="H231" s="2">
        <f t="shared" ref="H231:AA231" ca="1" si="92">-H230*H$18</f>
        <v>-39035904.984471731</v>
      </c>
      <c r="I231" s="2">
        <f t="shared" ca="1" si="92"/>
        <v>-38292184.146825969</v>
      </c>
      <c r="J231" s="2">
        <f t="shared" ca="1" si="92"/>
        <v>-38259173.559438989</v>
      </c>
      <c r="K231" s="2">
        <f t="shared" ca="1" si="92"/>
        <v>-36354094.83200144</v>
      </c>
      <c r="L231" s="2">
        <f t="shared" ca="1" si="92"/>
        <v>-34406948.514114924</v>
      </c>
      <c r="M231" s="2">
        <f t="shared" ca="1" si="92"/>
        <v>-32484787.835013434</v>
      </c>
      <c r="N231" s="2">
        <f t="shared" ca="1" si="92"/>
        <v>-30603851.494107373</v>
      </c>
      <c r="O231" s="2">
        <f t="shared" ca="1" si="92"/>
        <v>-28765778.618112188</v>
      </c>
      <c r="P231" s="2">
        <f t="shared" ca="1" si="92"/>
        <v>-29427920.762909576</v>
      </c>
      <c r="Q231" s="2">
        <f t="shared" ca="1" si="92"/>
        <v>-30079317.659600124</v>
      </c>
      <c r="R231" s="2">
        <f t="shared" ca="1" si="92"/>
        <v>-32628269.887688689</v>
      </c>
      <c r="S231" s="2">
        <f t="shared" ca="1" si="92"/>
        <v>-35497675.978469178</v>
      </c>
      <c r="T231" s="2">
        <f t="shared" ca="1" si="92"/>
        <v>-38547524.217299506</v>
      </c>
      <c r="U231" s="2">
        <f t="shared" ca="1" si="92"/>
        <v>-39534775.680202976</v>
      </c>
      <c r="V231" s="2">
        <f t="shared" ca="1" si="92"/>
        <v>-40565306.611740813</v>
      </c>
      <c r="W231" s="2">
        <f t="shared" ca="1" si="92"/>
        <v>-3014745.9545299988</v>
      </c>
      <c r="X231" s="2">
        <f t="shared" ca="1" si="92"/>
        <v>-3192491.4462079634</v>
      </c>
      <c r="Y231" s="2">
        <f t="shared" ca="1" si="92"/>
        <v>-3374025.3378696754</v>
      </c>
      <c r="Z231" s="2">
        <f t="shared" ca="1" si="92"/>
        <v>-3559378.094465225</v>
      </c>
      <c r="AA231" s="2">
        <f t="shared" ca="1" si="92"/>
        <v>-3748585.5979642444</v>
      </c>
    </row>
    <row r="232" spans="4:28" customFormat="1" x14ac:dyDescent="0.25"/>
    <row r="233" spans="4:28" customFormat="1" x14ac:dyDescent="0.25">
      <c r="D233" t="s">
        <v>28</v>
      </c>
    </row>
    <row r="234" spans="4:28" customFormat="1" x14ac:dyDescent="0.25">
      <c r="E234" t="s">
        <v>1</v>
      </c>
      <c r="F234" t="s">
        <v>7</v>
      </c>
      <c r="G234" s="2">
        <f t="shared" ref="G234:AA234" si="93">-G26</f>
        <v>-278373482.33746105</v>
      </c>
      <c r="H234" s="2">
        <f t="shared" si="93"/>
        <v>-171657545.33356231</v>
      </c>
      <c r="I234" s="2">
        <f t="shared" si="93"/>
        <v>-49231764.595975578</v>
      </c>
      <c r="J234" s="2">
        <f t="shared" si="93"/>
        <v>-39210916.101468235</v>
      </c>
      <c r="K234" s="2">
        <f t="shared" si="93"/>
        <v>-38932954.084243372</v>
      </c>
      <c r="L234" s="2">
        <f t="shared" si="93"/>
        <v>-38872005.189128622</v>
      </c>
      <c r="M234" s="2">
        <f t="shared" si="93"/>
        <v>-38509735.998292193</v>
      </c>
      <c r="N234" s="2">
        <f t="shared" si="93"/>
        <v>-38565891.893987045</v>
      </c>
      <c r="O234" s="2">
        <f t="shared" si="93"/>
        <v>-39175015.157698087</v>
      </c>
      <c r="P234" s="2">
        <f t="shared" si="93"/>
        <v>-39500772.279603362</v>
      </c>
      <c r="Q234" s="2">
        <f t="shared" si="93"/>
        <v>-40468873.832513496</v>
      </c>
      <c r="R234" s="2">
        <f t="shared" si="93"/>
        <v>-41484696.859103203</v>
      </c>
      <c r="S234" s="2">
        <f t="shared" si="93"/>
        <v>-42371020.957361422</v>
      </c>
      <c r="T234" s="2">
        <f t="shared" si="93"/>
        <v>-43179185.047618181</v>
      </c>
      <c r="U234" s="2">
        <f t="shared" si="93"/>
        <v>-44025285.369058631</v>
      </c>
      <c r="V234" s="2">
        <f t="shared" si="93"/>
        <v>-45004305.786332041</v>
      </c>
      <c r="W234" s="2">
        <f t="shared" si="93"/>
        <v>-12269067.711646918</v>
      </c>
      <c r="X234" s="2">
        <f t="shared" si="93"/>
        <v>-12515869.266792528</v>
      </c>
      <c r="Y234" s="2">
        <f t="shared" si="93"/>
        <v>-12761979.123842647</v>
      </c>
      <c r="Z234" s="2">
        <f t="shared" si="93"/>
        <v>-13027984.722761476</v>
      </c>
      <c r="AA234" s="2">
        <f t="shared" si="93"/>
        <v>-13312870.697448894</v>
      </c>
    </row>
    <row r="235" spans="4:28" customFormat="1" x14ac:dyDescent="0.25">
      <c r="E235" t="s">
        <v>19</v>
      </c>
      <c r="F235" t="s">
        <v>7</v>
      </c>
      <c r="G235" s="2">
        <f t="shared" ref="G235:AA235" si="94">G84</f>
        <v>0</v>
      </c>
      <c r="H235" s="2">
        <f t="shared" si="94"/>
        <v>0</v>
      </c>
      <c r="I235" s="2">
        <f t="shared" si="94"/>
        <v>0</v>
      </c>
      <c r="J235" s="2">
        <f t="shared" si="94"/>
        <v>0</v>
      </c>
      <c r="K235" s="2">
        <f t="shared" si="94"/>
        <v>0</v>
      </c>
      <c r="L235" s="2">
        <f t="shared" si="94"/>
        <v>0</v>
      </c>
      <c r="M235" s="2">
        <f t="shared" si="94"/>
        <v>0</v>
      </c>
      <c r="N235" s="2">
        <f t="shared" si="94"/>
        <v>0</v>
      </c>
      <c r="O235" s="2">
        <f t="shared" si="94"/>
        <v>0</v>
      </c>
      <c r="P235" s="2">
        <f t="shared" si="94"/>
        <v>0</v>
      </c>
      <c r="Q235" s="2">
        <f t="shared" si="94"/>
        <v>0</v>
      </c>
      <c r="R235" s="2">
        <f t="shared" si="94"/>
        <v>0</v>
      </c>
      <c r="S235" s="2">
        <f t="shared" si="94"/>
        <v>0</v>
      </c>
      <c r="T235" s="2">
        <f t="shared" si="94"/>
        <v>0</v>
      </c>
      <c r="U235" s="2">
        <f t="shared" si="94"/>
        <v>0</v>
      </c>
      <c r="V235" s="2">
        <f t="shared" si="94"/>
        <v>0</v>
      </c>
      <c r="W235" s="2">
        <f t="shared" si="94"/>
        <v>0</v>
      </c>
      <c r="X235" s="2">
        <f t="shared" si="94"/>
        <v>0</v>
      </c>
      <c r="Y235" s="2">
        <f t="shared" si="94"/>
        <v>0</v>
      </c>
      <c r="Z235" s="2">
        <f t="shared" si="94"/>
        <v>0</v>
      </c>
      <c r="AA235" s="2">
        <f t="shared" si="94"/>
        <v>0</v>
      </c>
    </row>
    <row r="236" spans="4:28" customFormat="1" x14ac:dyDescent="0.25">
      <c r="E236" t="s">
        <v>109</v>
      </c>
      <c r="F236" t="s">
        <v>7</v>
      </c>
      <c r="G236" s="2">
        <f t="shared" ref="G236:AA236" si="95">G53</f>
        <v>0</v>
      </c>
      <c r="H236" s="2">
        <f t="shared" si="95"/>
        <v>0</v>
      </c>
      <c r="I236" s="2">
        <f t="shared" si="95"/>
        <v>0</v>
      </c>
      <c r="J236" s="2">
        <f t="shared" si="95"/>
        <v>0</v>
      </c>
      <c r="K236" s="2">
        <f t="shared" si="95"/>
        <v>0</v>
      </c>
      <c r="L236" s="2">
        <f t="shared" si="95"/>
        <v>0</v>
      </c>
      <c r="M236" s="2">
        <f t="shared" si="95"/>
        <v>0</v>
      </c>
      <c r="N236" s="2">
        <f t="shared" si="95"/>
        <v>0</v>
      </c>
      <c r="O236" s="2">
        <f t="shared" si="95"/>
        <v>0</v>
      </c>
      <c r="P236" s="2">
        <f t="shared" si="95"/>
        <v>0</v>
      </c>
      <c r="Q236" s="2">
        <f t="shared" si="95"/>
        <v>0</v>
      </c>
      <c r="R236" s="2">
        <f t="shared" si="95"/>
        <v>0</v>
      </c>
      <c r="S236" s="2">
        <f t="shared" si="95"/>
        <v>0</v>
      </c>
      <c r="T236" s="2">
        <f t="shared" si="95"/>
        <v>0</v>
      </c>
      <c r="U236" s="2">
        <f t="shared" si="95"/>
        <v>0</v>
      </c>
      <c r="V236" s="2">
        <f t="shared" si="95"/>
        <v>0</v>
      </c>
      <c r="W236" s="2">
        <f t="shared" si="95"/>
        <v>0</v>
      </c>
      <c r="X236" s="2">
        <f t="shared" si="95"/>
        <v>0</v>
      </c>
      <c r="Y236" s="2">
        <f t="shared" si="95"/>
        <v>0</v>
      </c>
      <c r="Z236" s="2">
        <f t="shared" si="95"/>
        <v>0</v>
      </c>
      <c r="AA236" s="2">
        <f t="shared" si="95"/>
        <v>0</v>
      </c>
    </row>
    <row r="237" spans="4:28" customFormat="1" x14ac:dyDescent="0.25">
      <c r="E237" t="s">
        <v>11</v>
      </c>
      <c r="F237" t="s">
        <v>7</v>
      </c>
      <c r="G237" s="2">
        <f t="shared" ref="G237:AA237" si="96">G177</f>
        <v>0</v>
      </c>
      <c r="H237" s="2">
        <f t="shared" si="96"/>
        <v>5730279.1154912952</v>
      </c>
      <c r="I237" s="2">
        <f t="shared" si="96"/>
        <v>11143945.112955689</v>
      </c>
      <c r="J237" s="2">
        <f t="shared" si="96"/>
        <v>16805764.863735929</v>
      </c>
      <c r="K237" s="2">
        <f t="shared" si="96"/>
        <v>22285446.789206967</v>
      </c>
      <c r="L237" s="2">
        <f t="shared" si="96"/>
        <v>27579990.726674557</v>
      </c>
      <c r="M237" s="2">
        <f t="shared" si="96"/>
        <v>32682630.855425775</v>
      </c>
      <c r="N237" s="2">
        <f t="shared" si="96"/>
        <v>37600600.956364922</v>
      </c>
      <c r="O237" s="2">
        <f t="shared" si="96"/>
        <v>42336446.976104259</v>
      </c>
      <c r="P237" s="2">
        <f t="shared" si="96"/>
        <v>47232096.173268065</v>
      </c>
      <c r="Q237" s="2">
        <f t="shared" si="96"/>
        <v>52291488.187219672</v>
      </c>
      <c r="R237" s="2">
        <f t="shared" si="96"/>
        <v>57772613.051332116</v>
      </c>
      <c r="S237" s="2">
        <f t="shared" si="96"/>
        <v>63727438.421148002</v>
      </c>
      <c r="T237" s="2">
        <f t="shared" si="96"/>
        <v>70177494.464348316</v>
      </c>
      <c r="U237" s="2">
        <f t="shared" si="96"/>
        <v>76841652.162715748</v>
      </c>
      <c r="V237" s="2">
        <f t="shared" si="96"/>
        <v>83734341.822200477</v>
      </c>
      <c r="W237" s="2">
        <f t="shared" si="96"/>
        <v>85492763.000466675</v>
      </c>
      <c r="X237" s="2">
        <f t="shared" si="96"/>
        <v>87288111.023476467</v>
      </c>
      <c r="Y237" s="2">
        <f t="shared" si="96"/>
        <v>89121161.354969457</v>
      </c>
      <c r="Z237" s="2">
        <f t="shared" si="96"/>
        <v>90992705.74342382</v>
      </c>
      <c r="AA237" s="2">
        <f t="shared" si="96"/>
        <v>92903552.564035699</v>
      </c>
      <c r="AB237" s="2">
        <f t="shared" ref="AB237:AB241" si="97">IF(V237=0,0,IF($G$15&gt;(AA237/V237)^(1/5)-1+2%,AA237*(AA237/V237)^(1/5)/($G$15-((AA237/V237)^(1/5)-1)),AA237*(1+$G$14)/$G$16))</f>
        <v>3096785085.4678631</v>
      </c>
    </row>
    <row r="238" spans="4:28" customFormat="1" x14ac:dyDescent="0.25">
      <c r="E238" t="s">
        <v>57</v>
      </c>
      <c r="F238" t="s">
        <v>7</v>
      </c>
      <c r="G238" s="2">
        <f t="shared" ref="G238:AA238" si="98">G224</f>
        <v>0</v>
      </c>
      <c r="H238" s="2">
        <f t="shared" si="98"/>
        <v>-2404786.5085926489</v>
      </c>
      <c r="I238" s="2">
        <f t="shared" si="98"/>
        <v>-4947825.9706136668</v>
      </c>
      <c r="J238" s="2">
        <f t="shared" si="98"/>
        <v>-7676604.3885063874</v>
      </c>
      <c r="K238" s="2">
        <f t="shared" si="98"/>
        <v>-10161346.916344646</v>
      </c>
      <c r="L238" s="2">
        <f t="shared" si="98"/>
        <v>-12551126.455327233</v>
      </c>
      <c r="M238" s="2">
        <f t="shared" si="98"/>
        <v>-14845886.96423512</v>
      </c>
      <c r="N238" s="2">
        <f t="shared" si="98"/>
        <v>-17046769.266910296</v>
      </c>
      <c r="O238" s="2">
        <f t="shared" si="98"/>
        <v>-19154906.368610431</v>
      </c>
      <c r="P238" s="2">
        <f t="shared" si="98"/>
        <v>-21321264.609229665</v>
      </c>
      <c r="Q238" s="2">
        <f t="shared" si="98"/>
        <v>-23543352.085394409</v>
      </c>
      <c r="R238" s="2">
        <f t="shared" si="98"/>
        <v>-25949187.600124206</v>
      </c>
      <c r="S238" s="2">
        <f t="shared" si="98"/>
        <v>-28559854.673490092</v>
      </c>
      <c r="T238" s="2">
        <f t="shared" si="98"/>
        <v>-31388163.99365899</v>
      </c>
      <c r="U238" s="2">
        <f t="shared" si="98"/>
        <v>-34311633.802899733</v>
      </c>
      <c r="V238" s="2">
        <f t="shared" si="98"/>
        <v>-37333845.71050036</v>
      </c>
      <c r="W238" s="2">
        <f t="shared" si="98"/>
        <v>-38117856.470420867</v>
      </c>
      <c r="X238" s="2">
        <f t="shared" si="98"/>
        <v>-38918331.4562997</v>
      </c>
      <c r="Y238" s="2">
        <f t="shared" si="98"/>
        <v>-39735616.416881986</v>
      </c>
      <c r="Z238" s="2">
        <f t="shared" si="98"/>
        <v>-40570064.361636505</v>
      </c>
      <c r="AA238" s="2">
        <f t="shared" si="98"/>
        <v>-41422035.713230871</v>
      </c>
      <c r="AB238" s="2">
        <f t="shared" si="97"/>
        <v>-1380734523.7743652</v>
      </c>
    </row>
    <row r="239" spans="4:28" customFormat="1" x14ac:dyDescent="0.25">
      <c r="E239" t="s">
        <v>10</v>
      </c>
      <c r="F239" t="s">
        <v>7</v>
      </c>
      <c r="G239" s="2">
        <f t="shared" ref="G239:AA239" si="99">-G200</f>
        <v>0</v>
      </c>
      <c r="H239" s="2">
        <f t="shared" si="99"/>
        <v>-841932.93599999999</v>
      </c>
      <c r="I239" s="2">
        <f t="shared" si="99"/>
        <v>-1680123.0085199999</v>
      </c>
      <c r="J239" s="2">
        <f t="shared" si="99"/>
        <v>-2528140.775254034</v>
      </c>
      <c r="K239" s="2">
        <f t="shared" si="99"/>
        <v>-3346164.580686369</v>
      </c>
      <c r="L239" s="2">
        <f t="shared" si="99"/>
        <v>-4132756.1804042216</v>
      </c>
      <c r="M239" s="2">
        <f t="shared" si="99"/>
        <v>-4887943.2377843512</v>
      </c>
      <c r="N239" s="2">
        <f t="shared" si="99"/>
        <v>-5612068.5798444618</v>
      </c>
      <c r="O239" s="2">
        <f t="shared" si="99"/>
        <v>-6305504.8848134279</v>
      </c>
      <c r="P239" s="2">
        <f t="shared" si="99"/>
        <v>-7017890.6442980804</v>
      </c>
      <c r="Q239" s="2">
        <f t="shared" si="99"/>
        <v>-7748339.9744357588</v>
      </c>
      <c r="R239" s="2">
        <f t="shared" si="99"/>
        <v>-8539168.0007091742</v>
      </c>
      <c r="S239" s="2">
        <f t="shared" si="99"/>
        <v>-9397277.8275837544</v>
      </c>
      <c r="T239" s="2">
        <f t="shared" si="99"/>
        <v>-10326933.638247568</v>
      </c>
      <c r="U239" s="2">
        <f t="shared" si="99"/>
        <v>-11287888.62109096</v>
      </c>
      <c r="V239" s="2">
        <f t="shared" si="99"/>
        <v>-12281276.563387854</v>
      </c>
      <c r="W239" s="2">
        <f t="shared" si="99"/>
        <v>-12539183.371218998</v>
      </c>
      <c r="X239" s="2">
        <f t="shared" si="99"/>
        <v>-12802506.222014595</v>
      </c>
      <c r="Y239" s="2">
        <f t="shared" si="99"/>
        <v>-13071358.8526769</v>
      </c>
      <c r="Z239" s="2">
        <f t="shared" si="99"/>
        <v>-13345857.388583114</v>
      </c>
      <c r="AA239" s="2">
        <f t="shared" si="99"/>
        <v>-13626120.393743359</v>
      </c>
      <c r="AB239" s="2">
        <f t="shared" si="97"/>
        <v>-454204013.12477952</v>
      </c>
    </row>
    <row r="240" spans="4:28" customFormat="1" x14ac:dyDescent="0.25">
      <c r="E240" t="s">
        <v>48</v>
      </c>
      <c r="F240" t="s">
        <v>7</v>
      </c>
      <c r="G240" s="2">
        <f t="shared" ref="G240:AA240" si="100">G207</f>
        <v>0</v>
      </c>
      <c r="H240" s="2">
        <f t="shared" si="100"/>
        <v>0</v>
      </c>
      <c r="I240" s="2">
        <f t="shared" si="100"/>
        <v>0</v>
      </c>
      <c r="J240" s="2">
        <f t="shared" si="100"/>
        <v>0</v>
      </c>
      <c r="K240" s="2">
        <f t="shared" si="100"/>
        <v>0</v>
      </c>
      <c r="L240" s="2">
        <f t="shared" si="100"/>
        <v>0</v>
      </c>
      <c r="M240" s="2">
        <f t="shared" si="100"/>
        <v>0</v>
      </c>
      <c r="N240" s="2">
        <f t="shared" si="100"/>
        <v>0</v>
      </c>
      <c r="O240" s="2">
        <f t="shared" si="100"/>
        <v>0</v>
      </c>
      <c r="P240" s="2">
        <f t="shared" si="100"/>
        <v>0</v>
      </c>
      <c r="Q240" s="2">
        <f t="shared" si="100"/>
        <v>0</v>
      </c>
      <c r="R240" s="2">
        <f t="shared" si="100"/>
        <v>0</v>
      </c>
      <c r="S240" s="2">
        <f t="shared" si="100"/>
        <v>0</v>
      </c>
      <c r="T240" s="2">
        <f t="shared" si="100"/>
        <v>0</v>
      </c>
      <c r="U240" s="2">
        <f t="shared" si="100"/>
        <v>0</v>
      </c>
      <c r="V240" s="2">
        <f t="shared" si="100"/>
        <v>0</v>
      </c>
      <c r="W240" s="2">
        <f t="shared" si="100"/>
        <v>0</v>
      </c>
      <c r="X240" s="2">
        <f t="shared" si="100"/>
        <v>0</v>
      </c>
      <c r="Y240" s="2">
        <f t="shared" si="100"/>
        <v>0</v>
      </c>
      <c r="Z240" s="2">
        <f t="shared" si="100"/>
        <v>0</v>
      </c>
      <c r="AA240" s="2">
        <f t="shared" si="100"/>
        <v>0</v>
      </c>
      <c r="AB240" s="2">
        <f t="shared" si="97"/>
        <v>0</v>
      </c>
    </row>
    <row r="241" spans="1:28" x14ac:dyDescent="0.25">
      <c r="A241"/>
      <c r="E241" t="s">
        <v>49</v>
      </c>
      <c r="F241" t="s">
        <v>7</v>
      </c>
      <c r="G241" s="2">
        <f t="shared" ref="G241:AA241" si="101">G214</f>
        <v>0</v>
      </c>
      <c r="H241" s="2">
        <f t="shared" si="101"/>
        <v>0</v>
      </c>
      <c r="I241" s="2">
        <f t="shared" si="101"/>
        <v>0</v>
      </c>
      <c r="J241" s="2">
        <f t="shared" si="101"/>
        <v>0</v>
      </c>
      <c r="K241" s="2">
        <f t="shared" si="101"/>
        <v>0</v>
      </c>
      <c r="L241" s="2">
        <f t="shared" si="101"/>
        <v>0</v>
      </c>
      <c r="M241" s="2">
        <f t="shared" si="101"/>
        <v>0</v>
      </c>
      <c r="N241" s="2">
        <f t="shared" si="101"/>
        <v>0</v>
      </c>
      <c r="O241" s="2">
        <f t="shared" si="101"/>
        <v>0</v>
      </c>
      <c r="P241" s="2">
        <f t="shared" si="101"/>
        <v>0</v>
      </c>
      <c r="Q241" s="2">
        <f t="shared" si="101"/>
        <v>0</v>
      </c>
      <c r="R241" s="2">
        <f t="shared" si="101"/>
        <v>0</v>
      </c>
      <c r="S241" s="2">
        <f t="shared" si="101"/>
        <v>0</v>
      </c>
      <c r="T241" s="2">
        <f t="shared" si="101"/>
        <v>0</v>
      </c>
      <c r="U241" s="2">
        <f t="shared" si="101"/>
        <v>0</v>
      </c>
      <c r="V241" s="2">
        <f t="shared" si="101"/>
        <v>0</v>
      </c>
      <c r="W241" s="2">
        <f t="shared" si="101"/>
        <v>0</v>
      </c>
      <c r="X241" s="2">
        <f t="shared" si="101"/>
        <v>0</v>
      </c>
      <c r="Y241" s="2">
        <f t="shared" si="101"/>
        <v>0</v>
      </c>
      <c r="Z241" s="2">
        <f t="shared" si="101"/>
        <v>0</v>
      </c>
      <c r="AA241" s="2">
        <f t="shared" si="101"/>
        <v>0</v>
      </c>
      <c r="AB241" s="2">
        <f t="shared" si="97"/>
        <v>0</v>
      </c>
    </row>
    <row r="242" spans="1:28" x14ac:dyDescent="0.25">
      <c r="A242"/>
      <c r="E242" t="s">
        <v>20</v>
      </c>
      <c r="F242" t="s">
        <v>7</v>
      </c>
      <c r="G242" s="2">
        <f t="shared" ref="G242:AA242" si="102">G231</f>
        <v>927911.60779153684</v>
      </c>
      <c r="H242" s="2">
        <f t="shared" ca="1" si="102"/>
        <v>-39035904.984471731</v>
      </c>
      <c r="I242" s="2">
        <f t="shared" ca="1" si="102"/>
        <v>-38292184.146825969</v>
      </c>
      <c r="J242" s="2">
        <f t="shared" ca="1" si="102"/>
        <v>-38259173.559438989</v>
      </c>
      <c r="K242" s="2">
        <f t="shared" ca="1" si="102"/>
        <v>-36354094.83200144</v>
      </c>
      <c r="L242" s="2">
        <f t="shared" ca="1" si="102"/>
        <v>-34406948.514114924</v>
      </c>
      <c r="M242" s="2">
        <f t="shared" ca="1" si="102"/>
        <v>-32484787.835013434</v>
      </c>
      <c r="N242" s="2">
        <f t="shared" ca="1" si="102"/>
        <v>-30603851.494107373</v>
      </c>
      <c r="O242" s="2">
        <f t="shared" ca="1" si="102"/>
        <v>-28765778.618112188</v>
      </c>
      <c r="P242" s="2">
        <f t="shared" ca="1" si="102"/>
        <v>-29427920.762909576</v>
      </c>
      <c r="Q242" s="2">
        <f t="shared" ca="1" si="102"/>
        <v>-30079317.659600124</v>
      </c>
      <c r="R242" s="2">
        <f t="shared" ca="1" si="102"/>
        <v>-32628269.887688689</v>
      </c>
      <c r="S242" s="2">
        <f t="shared" ca="1" si="102"/>
        <v>-35497675.978469178</v>
      </c>
      <c r="T242" s="2">
        <f t="shared" ca="1" si="102"/>
        <v>-38547524.217299506</v>
      </c>
      <c r="U242" s="2">
        <f t="shared" ca="1" si="102"/>
        <v>-39534775.680202976</v>
      </c>
      <c r="V242" s="2">
        <f t="shared" ca="1" si="102"/>
        <v>-40565306.611740813</v>
      </c>
      <c r="W242" s="2">
        <f t="shared" ca="1" si="102"/>
        <v>-3014745.9545299988</v>
      </c>
      <c r="X242" s="2">
        <f t="shared" ca="1" si="102"/>
        <v>-3192491.4462079634</v>
      </c>
      <c r="Y242" s="2">
        <f t="shared" ca="1" si="102"/>
        <v>-3374025.3378696754</v>
      </c>
      <c r="Z242" s="2">
        <f t="shared" ca="1" si="102"/>
        <v>-3559378.094465225</v>
      </c>
      <c r="AA242" s="2">
        <f t="shared" ca="1" si="102"/>
        <v>-3748585.5979642444</v>
      </c>
      <c r="AB242" s="2">
        <f ca="1">IF(V242=0,0,IF($G$15&gt;(AA242/V242)^(1/5)-1+2%,AA242*(AA242/V242)^(1/5)/($G$15-((AA242/V242)^(1/5)-1)),AA242*(1+$G$14)/$G$16))</f>
        <v>-5407283.5629956899</v>
      </c>
    </row>
    <row r="243" spans="1:28" x14ac:dyDescent="0.25">
      <c r="A243"/>
      <c r="E243" t="s">
        <v>173</v>
      </c>
      <c r="F243" t="s">
        <v>7</v>
      </c>
      <c r="G243" s="2">
        <f>-$G$17*G242</f>
        <v>-463955.80389576842</v>
      </c>
      <c r="H243" s="2">
        <f t="shared" ref="H243:AA243" ca="1" si="103">-$G$17*H242</f>
        <v>19517952.492235865</v>
      </c>
      <c r="I243" s="2">
        <f t="shared" ca="1" si="103"/>
        <v>19146092.073412985</v>
      </c>
      <c r="J243" s="2">
        <f t="shared" ca="1" si="103"/>
        <v>19129586.779719494</v>
      </c>
      <c r="K243" s="2">
        <f t="shared" ca="1" si="103"/>
        <v>18177047.41600072</v>
      </c>
      <c r="L243" s="2">
        <f t="shared" ca="1" si="103"/>
        <v>17203474.257057462</v>
      </c>
      <c r="M243" s="2">
        <f t="shared" ca="1" si="103"/>
        <v>16242393.917506717</v>
      </c>
      <c r="N243" s="2">
        <f t="shared" ca="1" si="103"/>
        <v>15301925.747053687</v>
      </c>
      <c r="O243" s="2">
        <f t="shared" ca="1" si="103"/>
        <v>14382889.309056094</v>
      </c>
      <c r="P243" s="2">
        <f t="shared" ca="1" si="103"/>
        <v>14713960.381454788</v>
      </c>
      <c r="Q243" s="2">
        <f t="shared" ca="1" si="103"/>
        <v>15039658.829800062</v>
      </c>
      <c r="R243" s="2">
        <f t="shared" ca="1" si="103"/>
        <v>16314134.943844344</v>
      </c>
      <c r="S243" s="2">
        <f t="shared" ca="1" si="103"/>
        <v>17748837.989234589</v>
      </c>
      <c r="T243" s="2">
        <f t="shared" ca="1" si="103"/>
        <v>19273762.108649753</v>
      </c>
      <c r="U243" s="2">
        <f t="shared" ca="1" si="103"/>
        <v>19767387.840101488</v>
      </c>
      <c r="V243" s="2">
        <f t="shared" ca="1" si="103"/>
        <v>20282653.305870406</v>
      </c>
      <c r="W243" s="2">
        <f t="shared" ca="1" si="103"/>
        <v>1507372.9772649994</v>
      </c>
      <c r="X243" s="2">
        <f t="shared" ca="1" si="103"/>
        <v>1596245.7231039817</v>
      </c>
      <c r="Y243" s="2">
        <f t="shared" ca="1" si="103"/>
        <v>1687012.6689348377</v>
      </c>
      <c r="Z243" s="2">
        <f t="shared" ca="1" si="103"/>
        <v>1779689.0472326125</v>
      </c>
      <c r="AA243" s="2">
        <f t="shared" ca="1" si="103"/>
        <v>1874292.7989821222</v>
      </c>
      <c r="AB243" s="2">
        <f t="shared" ref="AB243" ca="1" si="104">IF(V243=0,0,IF($G$15&gt;(AA243/V243)^(1/5)-1+2%,AA243*(AA243/V243)^(1/5)/($G$15-((AA243/V243)^(1/5)-1)),AA243*(1+$G$14)/$G$16))</f>
        <v>2703641.781497845</v>
      </c>
    </row>
    <row r="244" spans="1:28" x14ac:dyDescent="0.25">
      <c r="A244"/>
      <c r="E244" t="s">
        <v>23</v>
      </c>
      <c r="F244" t="s">
        <v>7</v>
      </c>
      <c r="G244" s="2">
        <f>SUM(G234:G243)</f>
        <v>-277909526.53356528</v>
      </c>
      <c r="H244" s="2">
        <f t="shared" ref="H244:AB244" ca="1" si="105">SUM(H234:H243)</f>
        <v>-188691938.15489951</v>
      </c>
      <c r="I244" s="2">
        <f t="shared" ca="1" si="105"/>
        <v>-63861860.535566539</v>
      </c>
      <c r="J244" s="2">
        <f t="shared" ca="1" si="105"/>
        <v>-51739483.181212224</v>
      </c>
      <c r="K244" s="2">
        <f t="shared" ca="1" si="105"/>
        <v>-48332066.208068132</v>
      </c>
      <c r="L244" s="2">
        <f t="shared" ca="1" si="105"/>
        <v>-45179371.355242983</v>
      </c>
      <c r="M244" s="2">
        <f t="shared" ca="1" si="105"/>
        <v>-41803329.262392603</v>
      </c>
      <c r="N244" s="2">
        <f t="shared" ca="1" si="105"/>
        <v>-38926054.531430572</v>
      </c>
      <c r="O244" s="2">
        <f t="shared" ca="1" si="105"/>
        <v>-36681868.744073778</v>
      </c>
      <c r="P244" s="2">
        <f t="shared" ca="1" si="105"/>
        <v>-35321791.741317831</v>
      </c>
      <c r="Q244" s="2">
        <f t="shared" ca="1" si="105"/>
        <v>-34508736.534924053</v>
      </c>
      <c r="R244" s="2">
        <f t="shared" ca="1" si="105"/>
        <v>-34514574.352448806</v>
      </c>
      <c r="S244" s="2">
        <f t="shared" ca="1" si="105"/>
        <v>-34349553.026521854</v>
      </c>
      <c r="T244" s="2">
        <f t="shared" ca="1" si="105"/>
        <v>-33990550.323826171</v>
      </c>
      <c r="U244" s="2">
        <f t="shared" ca="1" si="105"/>
        <v>-32550543.470435061</v>
      </c>
      <c r="V244" s="2">
        <f t="shared" ca="1" si="105"/>
        <v>-31167739.543890186</v>
      </c>
      <c r="W244" s="2">
        <f t="shared" ca="1" si="105"/>
        <v>21059282.469914898</v>
      </c>
      <c r="X244" s="2">
        <f t="shared" ca="1" si="105"/>
        <v>21455158.35526567</v>
      </c>
      <c r="Y244" s="2">
        <f t="shared" ca="1" si="105"/>
        <v>21865194.292633094</v>
      </c>
      <c r="Z244" s="2">
        <f t="shared" ca="1" si="105"/>
        <v>22269110.223210104</v>
      </c>
      <c r="AA244" s="2">
        <f t="shared" ca="1" si="105"/>
        <v>22668232.96063045</v>
      </c>
      <c r="AB244" s="2">
        <f t="shared" ca="1" si="105"/>
        <v>1259142906.7872207</v>
      </c>
    </row>
    <row r="245" spans="1:28" x14ac:dyDescent="0.25">
      <c r="A245"/>
      <c r="E245" t="s">
        <v>31</v>
      </c>
      <c r="F245" t="s">
        <v>7</v>
      </c>
      <c r="G245" s="2">
        <f ca="1">NPV($G$15,H244:AB244)+G244</f>
        <v>-365653283.62937117</v>
      </c>
    </row>
    <row r="247" spans="1:28" x14ac:dyDescent="0.25">
      <c r="A247"/>
      <c r="E247" t="s">
        <v>13</v>
      </c>
      <c r="F247" t="s">
        <v>7</v>
      </c>
      <c r="H247" s="2">
        <f t="shared" ref="H247:AA247" ca="1" si="106">H219</f>
        <v>42192533.35146296</v>
      </c>
      <c r="I247" s="2">
        <f t="shared" ca="1" si="106"/>
        <v>41118920.707653463</v>
      </c>
      <c r="J247" s="2">
        <f t="shared" ca="1" si="106"/>
        <v>40729320.438482672</v>
      </c>
      <c r="K247" s="2">
        <f t="shared" ca="1" si="106"/>
        <v>38333759.578061409</v>
      </c>
      <c r="L247" s="2">
        <f t="shared" ca="1" si="106"/>
        <v>35897688.092112042</v>
      </c>
      <c r="M247" s="2">
        <f t="shared" ca="1" si="106"/>
        <v>33496081.916702375</v>
      </c>
      <c r="N247" s="2">
        <f t="shared" ca="1" si="106"/>
        <v>31144706.014713984</v>
      </c>
      <c r="O247" s="2">
        <f t="shared" ca="1" si="106"/>
        <v>28844695.558123175</v>
      </c>
      <c r="P247" s="2">
        <f t="shared" ca="1" si="106"/>
        <v>29064559.826184489</v>
      </c>
      <c r="Q247" s="2">
        <f t="shared" ca="1" si="106"/>
        <v>29220086.761152606</v>
      </c>
      <c r="R247" s="2">
        <f t="shared" ca="1" si="106"/>
        <v>31477179.228947278</v>
      </c>
      <c r="S247" s="2">
        <f t="shared" ca="1" si="106"/>
        <v>34016671.068545505</v>
      </c>
      <c r="T247" s="2">
        <f t="shared" ca="1" si="106"/>
        <v>36699050.903497659</v>
      </c>
      <c r="U247" s="2">
        <f t="shared" ca="1" si="106"/>
        <v>37289212.10883972</v>
      </c>
      <c r="V247" s="2">
        <f t="shared" ca="1" si="106"/>
        <v>37903252.815530963</v>
      </c>
      <c r="W247" s="2">
        <f t="shared" ca="1" si="106"/>
        <v>0</v>
      </c>
      <c r="X247" s="2">
        <f t="shared" ca="1" si="106"/>
        <v>0</v>
      </c>
      <c r="Y247" s="2">
        <f t="shared" ca="1" si="106"/>
        <v>0</v>
      </c>
      <c r="Z247" s="2">
        <f t="shared" ca="1" si="106"/>
        <v>0</v>
      </c>
      <c r="AA247" s="2">
        <f t="shared" ca="1" si="106"/>
        <v>0</v>
      </c>
    </row>
    <row r="248" spans="1:28" x14ac:dyDescent="0.25">
      <c r="A248"/>
      <c r="E248" t="s">
        <v>24</v>
      </c>
      <c r="F248" t="s">
        <v>7</v>
      </c>
      <c r="G248" s="2">
        <f ca="1">NPV($G$15,H247:AA247)+G247</f>
        <v>365653283.62937123</v>
      </c>
    </row>
    <row r="249" spans="1:28" x14ac:dyDescent="0.25">
      <c r="A249"/>
      <c r="E249" s="3" t="s">
        <v>34</v>
      </c>
      <c r="F249" s="3"/>
      <c r="G249" s="4" t="str">
        <f ca="1">IF(G245&gt;0,"N/A",IF(ABS(G245+G248)&gt;1,"Error","OK"))</f>
        <v>OK</v>
      </c>
    </row>
    <row r="251" spans="1:28" x14ac:dyDescent="0.25">
      <c r="A251"/>
      <c r="C251" s="1" t="s">
        <v>35</v>
      </c>
      <c r="D251" s="1"/>
    </row>
    <row r="252" spans="1:28" x14ac:dyDescent="0.25">
      <c r="A252"/>
      <c r="C252" s="1"/>
      <c r="D252" s="1"/>
      <c r="G252" s="44"/>
    </row>
    <row r="253" spans="1:28" x14ac:dyDescent="0.25">
      <c r="A253"/>
      <c r="C253" s="1"/>
      <c r="D253" t="s">
        <v>35</v>
      </c>
      <c r="F253" t="s">
        <v>7</v>
      </c>
      <c r="G253" s="8">
        <f ca="1">MAX(0,-G279)</f>
        <v>365856793.39025241</v>
      </c>
    </row>
    <row r="255" spans="1:28" x14ac:dyDescent="0.25">
      <c r="A255"/>
      <c r="D255" t="s">
        <v>9</v>
      </c>
    </row>
    <row r="256" spans="1:28" x14ac:dyDescent="0.25">
      <c r="A256"/>
      <c r="E256" t="s">
        <v>107</v>
      </c>
      <c r="F256" t="s">
        <v>7</v>
      </c>
      <c r="G256" s="2">
        <f t="shared" ref="G256:AA261" si="107">G222</f>
        <v>0</v>
      </c>
      <c r="H256" s="2">
        <f t="shared" si="107"/>
        <v>91460158.999999985</v>
      </c>
      <c r="I256" s="2">
        <f t="shared" si="107"/>
        <v>89564445.83799997</v>
      </c>
      <c r="J256" s="2">
        <f t="shared" si="107"/>
        <v>89185615.377268866</v>
      </c>
      <c r="K256" s="2">
        <f t="shared" si="107"/>
        <v>84424638.134236529</v>
      </c>
      <c r="L256" s="2">
        <f t="shared" si="107"/>
        <v>79568049.705065817</v>
      </c>
      <c r="M256" s="2">
        <f t="shared" si="107"/>
        <v>74768407.088639915</v>
      </c>
      <c r="N256" s="2">
        <f t="shared" si="107"/>
        <v>70064031.884498522</v>
      </c>
      <c r="O256" s="2">
        <f t="shared" si="107"/>
        <v>65465532.89753776</v>
      </c>
      <c r="P256" s="2">
        <f t="shared" si="107"/>
        <v>66614967.692542769</v>
      </c>
      <c r="Q256" s="2">
        <f t="shared" si="107"/>
        <v>67726074.632954717</v>
      </c>
      <c r="R256" s="2">
        <f t="shared" si="107"/>
        <v>72952553.270452216</v>
      </c>
      <c r="S256" s="2">
        <f t="shared" si="107"/>
        <v>78838472.075354815</v>
      </c>
      <c r="T256" s="2">
        <f t="shared" si="107"/>
        <v>85054986.249661505</v>
      </c>
      <c r="U256" s="2">
        <f t="shared" si="107"/>
        <v>86425382.20970057</v>
      </c>
      <c r="V256" s="2">
        <f t="shared" si="107"/>
        <v>87845463.344445795</v>
      </c>
      <c r="W256" s="2">
        <f t="shared" si="107"/>
        <v>0</v>
      </c>
      <c r="X256" s="2">
        <f t="shared" si="107"/>
        <v>0</v>
      </c>
      <c r="Y256" s="2">
        <f t="shared" si="107"/>
        <v>0</v>
      </c>
      <c r="Z256" s="2">
        <f t="shared" si="107"/>
        <v>0</v>
      </c>
      <c r="AA256" s="2">
        <f t="shared" si="107"/>
        <v>0</v>
      </c>
    </row>
    <row r="257" spans="4:28" customFormat="1" x14ac:dyDescent="0.25">
      <c r="E257" t="s">
        <v>11</v>
      </c>
      <c r="F257" t="s">
        <v>7</v>
      </c>
      <c r="G257" s="2">
        <f t="shared" si="107"/>
        <v>0</v>
      </c>
      <c r="H257" s="2">
        <f t="shared" si="107"/>
        <v>5730279.1154912952</v>
      </c>
      <c r="I257" s="2">
        <f t="shared" si="107"/>
        <v>11143945.112955689</v>
      </c>
      <c r="J257" s="2">
        <f t="shared" si="107"/>
        <v>16805764.863735929</v>
      </c>
      <c r="K257" s="2">
        <f t="shared" si="107"/>
        <v>22285446.789206967</v>
      </c>
      <c r="L257" s="2">
        <f t="shared" si="107"/>
        <v>27579990.726674557</v>
      </c>
      <c r="M257" s="2">
        <f t="shared" si="107"/>
        <v>32682630.855425775</v>
      </c>
      <c r="N257" s="2">
        <f t="shared" si="107"/>
        <v>37600600.956364922</v>
      </c>
      <c r="O257" s="2">
        <f t="shared" si="107"/>
        <v>42336446.976104259</v>
      </c>
      <c r="P257" s="2">
        <f t="shared" si="107"/>
        <v>47232096.173268065</v>
      </c>
      <c r="Q257" s="2">
        <f t="shared" si="107"/>
        <v>52291488.187219672</v>
      </c>
      <c r="R257" s="2">
        <f t="shared" si="107"/>
        <v>57772613.051332116</v>
      </c>
      <c r="S257" s="2">
        <f t="shared" si="107"/>
        <v>63727438.421148002</v>
      </c>
      <c r="T257" s="2">
        <f t="shared" si="107"/>
        <v>70177494.464348316</v>
      </c>
      <c r="U257" s="2">
        <f t="shared" si="107"/>
        <v>76841652.162715748</v>
      </c>
      <c r="V257" s="2">
        <f t="shared" si="107"/>
        <v>83734341.822200477</v>
      </c>
      <c r="W257" s="2">
        <f t="shared" si="107"/>
        <v>85492763.000466675</v>
      </c>
      <c r="X257" s="2">
        <f t="shared" si="107"/>
        <v>87288111.023476467</v>
      </c>
      <c r="Y257" s="2">
        <f t="shared" si="107"/>
        <v>89121161.354969457</v>
      </c>
      <c r="Z257" s="2">
        <f t="shared" si="107"/>
        <v>90992705.74342382</v>
      </c>
      <c r="AA257" s="2">
        <f t="shared" si="107"/>
        <v>92903552.564035699</v>
      </c>
    </row>
    <row r="258" spans="4:28" customFormat="1" x14ac:dyDescent="0.25">
      <c r="E258" t="s">
        <v>57</v>
      </c>
      <c r="F258" t="s">
        <v>7</v>
      </c>
      <c r="G258" s="2">
        <f t="shared" si="107"/>
        <v>0</v>
      </c>
      <c r="H258" s="2">
        <f t="shared" si="107"/>
        <v>-2404786.5085926489</v>
      </c>
      <c r="I258" s="2">
        <f t="shared" si="107"/>
        <v>-4947825.9706136668</v>
      </c>
      <c r="J258" s="2">
        <f t="shared" si="107"/>
        <v>-7676604.3885063874</v>
      </c>
      <c r="K258" s="2">
        <f t="shared" si="107"/>
        <v>-10161346.916344646</v>
      </c>
      <c r="L258" s="2">
        <f t="shared" si="107"/>
        <v>-12551126.455327233</v>
      </c>
      <c r="M258" s="2">
        <f t="shared" si="107"/>
        <v>-14845886.96423512</v>
      </c>
      <c r="N258" s="2">
        <f t="shared" si="107"/>
        <v>-17046769.266910296</v>
      </c>
      <c r="O258" s="2">
        <f t="shared" si="107"/>
        <v>-19154906.368610431</v>
      </c>
      <c r="P258" s="2">
        <f t="shared" si="107"/>
        <v>-21321264.609229665</v>
      </c>
      <c r="Q258" s="2">
        <f t="shared" si="107"/>
        <v>-23543352.085394409</v>
      </c>
      <c r="R258" s="2">
        <f t="shared" si="107"/>
        <v>-25949187.600124206</v>
      </c>
      <c r="S258" s="2">
        <f t="shared" si="107"/>
        <v>-28559854.673490092</v>
      </c>
      <c r="T258" s="2">
        <f t="shared" si="107"/>
        <v>-31388163.99365899</v>
      </c>
      <c r="U258" s="2">
        <f t="shared" si="107"/>
        <v>-34311633.802899733</v>
      </c>
      <c r="V258" s="2">
        <f t="shared" si="107"/>
        <v>-37333845.71050036</v>
      </c>
      <c r="W258" s="2">
        <f t="shared" si="107"/>
        <v>-38117856.470420867</v>
      </c>
      <c r="X258" s="2">
        <f t="shared" si="107"/>
        <v>-38918331.4562997</v>
      </c>
      <c r="Y258" s="2">
        <f t="shared" si="107"/>
        <v>-39735616.416881986</v>
      </c>
      <c r="Z258" s="2">
        <f t="shared" si="107"/>
        <v>-40570064.361636505</v>
      </c>
      <c r="AA258" s="2">
        <f t="shared" si="107"/>
        <v>-41422035.713230871</v>
      </c>
    </row>
    <row r="259" spans="4:28" customFormat="1" x14ac:dyDescent="0.25">
      <c r="E259" t="s">
        <v>10</v>
      </c>
      <c r="F259" t="s">
        <v>7</v>
      </c>
      <c r="G259" s="2">
        <f t="shared" si="107"/>
        <v>0</v>
      </c>
      <c r="H259" s="2">
        <f t="shared" si="107"/>
        <v>-841932.93599999999</v>
      </c>
      <c r="I259" s="2">
        <f t="shared" si="107"/>
        <v>-1680123.0085199999</v>
      </c>
      <c r="J259" s="2">
        <f t="shared" si="107"/>
        <v>-2528140.775254034</v>
      </c>
      <c r="K259" s="2">
        <f t="shared" si="107"/>
        <v>-3346164.580686369</v>
      </c>
      <c r="L259" s="2">
        <f t="shared" si="107"/>
        <v>-4132756.1804042216</v>
      </c>
      <c r="M259" s="2">
        <f t="shared" si="107"/>
        <v>-4887943.2377843512</v>
      </c>
      <c r="N259" s="2">
        <f t="shared" si="107"/>
        <v>-5612068.5798444618</v>
      </c>
      <c r="O259" s="2">
        <f t="shared" si="107"/>
        <v>-6305504.8848134279</v>
      </c>
      <c r="P259" s="2">
        <f t="shared" si="107"/>
        <v>-7017890.6442980804</v>
      </c>
      <c r="Q259" s="2">
        <f t="shared" si="107"/>
        <v>-7748339.9744357588</v>
      </c>
      <c r="R259" s="2">
        <f t="shared" si="107"/>
        <v>-8539168.0007091742</v>
      </c>
      <c r="S259" s="2">
        <f t="shared" si="107"/>
        <v>-9397277.8275837544</v>
      </c>
      <c r="T259" s="2">
        <f t="shared" si="107"/>
        <v>-10326933.638247568</v>
      </c>
      <c r="U259" s="2">
        <f t="shared" si="107"/>
        <v>-11287888.62109096</v>
      </c>
      <c r="V259" s="2">
        <f t="shared" si="107"/>
        <v>-12281276.563387854</v>
      </c>
      <c r="W259" s="2">
        <f t="shared" si="107"/>
        <v>-12539183.371218998</v>
      </c>
      <c r="X259" s="2">
        <f t="shared" si="107"/>
        <v>-12802506.222014595</v>
      </c>
      <c r="Y259" s="2">
        <f t="shared" si="107"/>
        <v>-13071358.8526769</v>
      </c>
      <c r="Z259" s="2">
        <f t="shared" si="107"/>
        <v>-13345857.388583114</v>
      </c>
      <c r="AA259" s="2">
        <f t="shared" si="107"/>
        <v>-13626120.393743359</v>
      </c>
    </row>
    <row r="260" spans="4:28" customFormat="1" x14ac:dyDescent="0.25">
      <c r="E260" t="s">
        <v>12</v>
      </c>
      <c r="F260" t="s">
        <v>7</v>
      </c>
      <c r="G260" s="2">
        <f t="shared" si="107"/>
        <v>-3093038.6926384564</v>
      </c>
      <c r="H260" s="2">
        <f t="shared" si="107"/>
        <v>-6016568.740789148</v>
      </c>
      <c r="I260" s="2">
        <f t="shared" si="107"/>
        <v>-7558748.8567222096</v>
      </c>
      <c r="J260" s="2">
        <f t="shared" si="107"/>
        <v>-8985376.984263733</v>
      </c>
      <c r="K260" s="2">
        <f t="shared" si="107"/>
        <v>-10356016.897802398</v>
      </c>
      <c r="L260" s="2">
        <f t="shared" si="107"/>
        <v>-11672017.507737894</v>
      </c>
      <c r="M260" s="2">
        <f t="shared" si="107"/>
        <v>-12930663.542037137</v>
      </c>
      <c r="N260" s="2">
        <f t="shared" si="107"/>
        <v>-14137662.695131421</v>
      </c>
      <c r="O260" s="2">
        <f t="shared" si="107"/>
        <v>-15300335.45130071</v>
      </c>
      <c r="P260" s="2">
        <f t="shared" si="107"/>
        <v>-16479399.228769001</v>
      </c>
      <c r="Q260" s="2">
        <f t="shared" si="107"/>
        <v>-17681565.322829757</v>
      </c>
      <c r="R260" s="2">
        <f t="shared" si="107"/>
        <v>-18953090.324269261</v>
      </c>
      <c r="S260" s="2">
        <f t="shared" si="107"/>
        <v>-20299862.469077222</v>
      </c>
      <c r="T260" s="2">
        <f t="shared" si="107"/>
        <v>-21724686.594602551</v>
      </c>
      <c r="U260" s="2">
        <f t="shared" si="107"/>
        <v>-23174138.456588764</v>
      </c>
      <c r="V260" s="2">
        <f t="shared" si="107"/>
        <v>-24650247.002486296</v>
      </c>
      <c r="W260" s="2">
        <f t="shared" si="107"/>
        <v>-24786569.97706015</v>
      </c>
      <c r="X260" s="2">
        <f t="shared" si="107"/>
        <v>-24925635.191135623</v>
      </c>
      <c r="Y260" s="2">
        <f t="shared" si="107"/>
        <v>-25067434.959178321</v>
      </c>
      <c r="Z260" s="2">
        <f t="shared" si="107"/>
        <v>-25212190.344986781</v>
      </c>
      <c r="AA260" s="2">
        <f t="shared" si="107"/>
        <v>-25360111.130513988</v>
      </c>
    </row>
    <row r="261" spans="4:28" customFormat="1" x14ac:dyDescent="0.25">
      <c r="E261" t="s">
        <v>48</v>
      </c>
      <c r="F261" t="s">
        <v>7</v>
      </c>
      <c r="G261" s="2">
        <f t="shared" si="107"/>
        <v>0</v>
      </c>
      <c r="H261" s="2">
        <f t="shared" si="107"/>
        <v>0</v>
      </c>
      <c r="I261" s="2">
        <f t="shared" si="107"/>
        <v>0</v>
      </c>
      <c r="J261" s="2">
        <f t="shared" si="107"/>
        <v>0</v>
      </c>
      <c r="K261" s="2">
        <f t="shared" si="107"/>
        <v>0</v>
      </c>
      <c r="L261" s="2">
        <f t="shared" si="107"/>
        <v>0</v>
      </c>
      <c r="M261" s="2">
        <f t="shared" si="107"/>
        <v>0</v>
      </c>
      <c r="N261" s="2">
        <f t="shared" si="107"/>
        <v>0</v>
      </c>
      <c r="O261" s="2">
        <f t="shared" si="107"/>
        <v>0</v>
      </c>
      <c r="P261" s="2">
        <f t="shared" si="107"/>
        <v>0</v>
      </c>
      <c r="Q261" s="2">
        <f t="shared" si="107"/>
        <v>0</v>
      </c>
      <c r="R261" s="2">
        <f t="shared" si="107"/>
        <v>0</v>
      </c>
      <c r="S261" s="2">
        <f t="shared" si="107"/>
        <v>0</v>
      </c>
      <c r="T261" s="2">
        <f t="shared" si="107"/>
        <v>0</v>
      </c>
      <c r="U261" s="2">
        <f t="shared" si="107"/>
        <v>0</v>
      </c>
      <c r="V261" s="2">
        <f t="shared" si="107"/>
        <v>0</v>
      </c>
      <c r="W261" s="2">
        <f t="shared" si="107"/>
        <v>0</v>
      </c>
      <c r="X261" s="2">
        <f t="shared" si="107"/>
        <v>0</v>
      </c>
      <c r="Y261" s="2">
        <f t="shared" si="107"/>
        <v>0</v>
      </c>
      <c r="Z261" s="2">
        <f t="shared" si="107"/>
        <v>0</v>
      </c>
      <c r="AA261" s="2">
        <f t="shared" si="107"/>
        <v>0</v>
      </c>
    </row>
    <row r="262" spans="4:28" customFormat="1" x14ac:dyDescent="0.25">
      <c r="E262" t="s">
        <v>13</v>
      </c>
      <c r="F262" t="s">
        <v>7</v>
      </c>
      <c r="G262" s="2">
        <f ca="1">G253</f>
        <v>365856793.39025241</v>
      </c>
      <c r="H262" s="2"/>
      <c r="I262" s="2"/>
      <c r="J262" s="2"/>
      <c r="K262" s="2"/>
      <c r="L262" s="2"/>
      <c r="M262" s="2"/>
      <c r="N262" s="2"/>
      <c r="O262" s="2"/>
      <c r="P262" s="2"/>
      <c r="Q262" s="2"/>
      <c r="R262" s="2"/>
      <c r="S262" s="2"/>
      <c r="T262" s="2"/>
      <c r="U262" s="2"/>
      <c r="V262" s="2"/>
      <c r="W262" s="2"/>
      <c r="X262" s="2"/>
      <c r="Y262" s="2"/>
      <c r="Z262" s="2"/>
      <c r="AA262" s="2"/>
    </row>
    <row r="263" spans="4:28" customFormat="1" x14ac:dyDescent="0.25"/>
    <row r="264" spans="4:28" customFormat="1" x14ac:dyDescent="0.25">
      <c r="E264" t="s">
        <v>14</v>
      </c>
      <c r="F264" t="s">
        <v>7</v>
      </c>
      <c r="G264" s="2">
        <f t="shared" ref="G264:AA264" ca="1" si="108">SUM(G256:G262)</f>
        <v>362763754.69761395</v>
      </c>
      <c r="H264" s="2">
        <f t="shared" si="108"/>
        <v>87927149.930109486</v>
      </c>
      <c r="I264" s="2">
        <f t="shared" si="108"/>
        <v>86521693.115099773</v>
      </c>
      <c r="J264" s="2">
        <f t="shared" si="108"/>
        <v>86801258.092980638</v>
      </c>
      <c r="K264" s="2">
        <f t="shared" si="108"/>
        <v>82846556.52861008</v>
      </c>
      <c r="L264" s="2">
        <f t="shared" si="108"/>
        <v>78792140.28827104</v>
      </c>
      <c r="M264" s="2">
        <f t="shared" si="108"/>
        <v>74786544.200009078</v>
      </c>
      <c r="N264" s="2">
        <f t="shared" si="108"/>
        <v>70868132.298977256</v>
      </c>
      <c r="O264" s="2">
        <f t="shared" si="108"/>
        <v>67041233.168917462</v>
      </c>
      <c r="P264" s="2">
        <f t="shared" si="108"/>
        <v>69028509.383514091</v>
      </c>
      <c r="Q264" s="2">
        <f t="shared" si="108"/>
        <v>71044305.437514469</v>
      </c>
      <c r="R264" s="2">
        <f t="shared" si="108"/>
        <v>77283720.396681681</v>
      </c>
      <c r="S264" s="2">
        <f t="shared" si="108"/>
        <v>84308915.52635175</v>
      </c>
      <c r="T264" s="2">
        <f t="shared" si="108"/>
        <v>91792696.487500712</v>
      </c>
      <c r="U264" s="2">
        <f t="shared" si="108"/>
        <v>94493373.491836861</v>
      </c>
      <c r="V264" s="2">
        <f t="shared" si="108"/>
        <v>97314435.890271753</v>
      </c>
      <c r="W264" s="2">
        <f t="shared" si="108"/>
        <v>10049153.181766663</v>
      </c>
      <c r="X264" s="2">
        <f t="shared" si="108"/>
        <v>10641638.154026546</v>
      </c>
      <c r="Y264" s="2">
        <f t="shared" si="108"/>
        <v>11246751.126232252</v>
      </c>
      <c r="Z264" s="2">
        <f t="shared" si="108"/>
        <v>11864593.648217417</v>
      </c>
      <c r="AA264" s="2">
        <f t="shared" si="108"/>
        <v>12495285.326547481</v>
      </c>
    </row>
    <row r="265" spans="4:28" customFormat="1" x14ac:dyDescent="0.25">
      <c r="E265" t="s">
        <v>15</v>
      </c>
      <c r="F265" t="s">
        <v>7</v>
      </c>
      <c r="G265" s="2">
        <f ca="1">-G264*G$18</f>
        <v>-108829126.40928419</v>
      </c>
      <c r="H265" s="2">
        <f t="shared" ref="H265:AA265" si="109">-H264*H$18</f>
        <v>-26378144.979032844</v>
      </c>
      <c r="I265" s="2">
        <f t="shared" si="109"/>
        <v>-25956507.93452993</v>
      </c>
      <c r="J265" s="2">
        <f t="shared" si="109"/>
        <v>-26040377.42789419</v>
      </c>
      <c r="K265" s="2">
        <f t="shared" si="109"/>
        <v>-24853966.958583023</v>
      </c>
      <c r="L265" s="2">
        <f t="shared" si="109"/>
        <v>-23637642.08648131</v>
      </c>
      <c r="M265" s="2">
        <f t="shared" si="109"/>
        <v>-22435963.260002721</v>
      </c>
      <c r="N265" s="2">
        <f t="shared" si="109"/>
        <v>-21260439.689693175</v>
      </c>
      <c r="O265" s="2">
        <f t="shared" si="109"/>
        <v>-20112369.950675238</v>
      </c>
      <c r="P265" s="2">
        <f t="shared" si="109"/>
        <v>-20708552.815054227</v>
      </c>
      <c r="Q265" s="2">
        <f t="shared" si="109"/>
        <v>-21313291.631254341</v>
      </c>
      <c r="R265" s="2">
        <f t="shared" si="109"/>
        <v>-23185116.119004503</v>
      </c>
      <c r="S265" s="2">
        <f t="shared" si="109"/>
        <v>-25292674.657905523</v>
      </c>
      <c r="T265" s="2">
        <f t="shared" si="109"/>
        <v>-27537808.946250211</v>
      </c>
      <c r="U265" s="2">
        <f t="shared" si="109"/>
        <v>-28348012.047551058</v>
      </c>
      <c r="V265" s="2">
        <f t="shared" si="109"/>
        <v>-29194330.767081525</v>
      </c>
      <c r="W265" s="2">
        <f t="shared" si="109"/>
        <v>-3014745.9545299988</v>
      </c>
      <c r="X265" s="2">
        <f t="shared" si="109"/>
        <v>-3192491.4462079634</v>
      </c>
      <c r="Y265" s="2">
        <f t="shared" si="109"/>
        <v>-3374025.3378696754</v>
      </c>
      <c r="Z265" s="2">
        <f t="shared" si="109"/>
        <v>-3559378.094465225</v>
      </c>
      <c r="AA265" s="2">
        <f t="shared" si="109"/>
        <v>-3748585.5979642444</v>
      </c>
    </row>
    <row r="266" spans="4:28" customFormat="1" x14ac:dyDescent="0.25"/>
    <row r="267" spans="4:28" customFormat="1" x14ac:dyDescent="0.25">
      <c r="D267" t="s">
        <v>28</v>
      </c>
    </row>
    <row r="268" spans="4:28" customFormat="1" x14ac:dyDescent="0.25">
      <c r="E268" t="s">
        <v>1</v>
      </c>
      <c r="F268" t="s">
        <v>7</v>
      </c>
      <c r="G268" s="2">
        <f t="shared" ref="G268:AA275" si="110">G234</f>
        <v>-278373482.33746105</v>
      </c>
      <c r="H268" s="2">
        <f t="shared" si="110"/>
        <v>-171657545.33356231</v>
      </c>
      <c r="I268" s="2">
        <f t="shared" si="110"/>
        <v>-49231764.595975578</v>
      </c>
      <c r="J268" s="2">
        <f t="shared" si="110"/>
        <v>-39210916.101468235</v>
      </c>
      <c r="K268" s="2">
        <f t="shared" si="110"/>
        <v>-38932954.084243372</v>
      </c>
      <c r="L268" s="2">
        <f t="shared" si="110"/>
        <v>-38872005.189128622</v>
      </c>
      <c r="M268" s="2">
        <f t="shared" si="110"/>
        <v>-38509735.998292193</v>
      </c>
      <c r="N268" s="2">
        <f t="shared" si="110"/>
        <v>-38565891.893987045</v>
      </c>
      <c r="O268" s="2">
        <f t="shared" si="110"/>
        <v>-39175015.157698087</v>
      </c>
      <c r="P268" s="2">
        <f t="shared" si="110"/>
        <v>-39500772.279603362</v>
      </c>
      <c r="Q268" s="2">
        <f t="shared" si="110"/>
        <v>-40468873.832513496</v>
      </c>
      <c r="R268" s="2">
        <f t="shared" si="110"/>
        <v>-41484696.859103203</v>
      </c>
      <c r="S268" s="2">
        <f t="shared" si="110"/>
        <v>-42371020.957361422</v>
      </c>
      <c r="T268" s="2">
        <f t="shared" si="110"/>
        <v>-43179185.047618181</v>
      </c>
      <c r="U268" s="2">
        <f t="shared" si="110"/>
        <v>-44025285.369058631</v>
      </c>
      <c r="V268" s="2">
        <f t="shared" si="110"/>
        <v>-45004305.786332041</v>
      </c>
      <c r="W268" s="2">
        <f t="shared" si="110"/>
        <v>-12269067.711646918</v>
      </c>
      <c r="X268" s="2">
        <f t="shared" si="110"/>
        <v>-12515869.266792528</v>
      </c>
      <c r="Y268" s="2">
        <f t="shared" si="110"/>
        <v>-12761979.123842647</v>
      </c>
      <c r="Z268" s="2">
        <f t="shared" si="110"/>
        <v>-13027984.722761476</v>
      </c>
      <c r="AA268" s="2">
        <f t="shared" si="110"/>
        <v>-13312870.697448894</v>
      </c>
    </row>
    <row r="269" spans="4:28" customFormat="1" x14ac:dyDescent="0.25">
      <c r="E269" t="s">
        <v>19</v>
      </c>
      <c r="F269" t="s">
        <v>7</v>
      </c>
      <c r="G269" s="2">
        <f t="shared" si="110"/>
        <v>0</v>
      </c>
      <c r="H269" s="2">
        <f t="shared" si="110"/>
        <v>0</v>
      </c>
      <c r="I269" s="2">
        <f t="shared" si="110"/>
        <v>0</v>
      </c>
      <c r="J269" s="2">
        <f t="shared" si="110"/>
        <v>0</v>
      </c>
      <c r="K269" s="2">
        <f t="shared" si="110"/>
        <v>0</v>
      </c>
      <c r="L269" s="2">
        <f t="shared" si="110"/>
        <v>0</v>
      </c>
      <c r="M269" s="2">
        <f t="shared" si="110"/>
        <v>0</v>
      </c>
      <c r="N269" s="2">
        <f t="shared" si="110"/>
        <v>0</v>
      </c>
      <c r="O269" s="2">
        <f t="shared" si="110"/>
        <v>0</v>
      </c>
      <c r="P269" s="2">
        <f t="shared" si="110"/>
        <v>0</v>
      </c>
      <c r="Q269" s="2">
        <f t="shared" si="110"/>
        <v>0</v>
      </c>
      <c r="R269" s="2">
        <f t="shared" si="110"/>
        <v>0</v>
      </c>
      <c r="S269" s="2">
        <f t="shared" si="110"/>
        <v>0</v>
      </c>
      <c r="T269" s="2">
        <f t="shared" si="110"/>
        <v>0</v>
      </c>
      <c r="U269" s="2">
        <f t="shared" si="110"/>
        <v>0</v>
      </c>
      <c r="V269" s="2">
        <f t="shared" si="110"/>
        <v>0</v>
      </c>
      <c r="W269" s="2">
        <f t="shared" si="110"/>
        <v>0</v>
      </c>
      <c r="X269" s="2">
        <f t="shared" si="110"/>
        <v>0</v>
      </c>
      <c r="Y269" s="2">
        <f t="shared" si="110"/>
        <v>0</v>
      </c>
      <c r="Z269" s="2">
        <f t="shared" si="110"/>
        <v>0</v>
      </c>
      <c r="AA269" s="2">
        <f t="shared" si="110"/>
        <v>0</v>
      </c>
    </row>
    <row r="270" spans="4:28" customFormat="1" x14ac:dyDescent="0.25">
      <c r="E270" t="s">
        <v>109</v>
      </c>
      <c r="F270" t="s">
        <v>7</v>
      </c>
      <c r="G270" s="2">
        <f t="shared" si="110"/>
        <v>0</v>
      </c>
      <c r="H270" s="2">
        <f t="shared" si="110"/>
        <v>0</v>
      </c>
      <c r="I270" s="2">
        <f t="shared" si="110"/>
        <v>0</v>
      </c>
      <c r="J270" s="2">
        <f t="shared" si="110"/>
        <v>0</v>
      </c>
      <c r="K270" s="2">
        <f t="shared" si="110"/>
        <v>0</v>
      </c>
      <c r="L270" s="2">
        <f t="shared" si="110"/>
        <v>0</v>
      </c>
      <c r="M270" s="2">
        <f t="shared" si="110"/>
        <v>0</v>
      </c>
      <c r="N270" s="2">
        <f t="shared" si="110"/>
        <v>0</v>
      </c>
      <c r="O270" s="2">
        <f t="shared" si="110"/>
        <v>0</v>
      </c>
      <c r="P270" s="2">
        <f t="shared" si="110"/>
        <v>0</v>
      </c>
      <c r="Q270" s="2">
        <f t="shared" si="110"/>
        <v>0</v>
      </c>
      <c r="R270" s="2">
        <f t="shared" si="110"/>
        <v>0</v>
      </c>
      <c r="S270" s="2">
        <f t="shared" si="110"/>
        <v>0</v>
      </c>
      <c r="T270" s="2">
        <f t="shared" si="110"/>
        <v>0</v>
      </c>
      <c r="U270" s="2">
        <f t="shared" si="110"/>
        <v>0</v>
      </c>
      <c r="V270" s="2">
        <f t="shared" si="110"/>
        <v>0</v>
      </c>
      <c r="W270" s="2">
        <f t="shared" si="110"/>
        <v>0</v>
      </c>
      <c r="X270" s="2">
        <f t="shared" si="110"/>
        <v>0</v>
      </c>
      <c r="Y270" s="2">
        <f t="shared" si="110"/>
        <v>0</v>
      </c>
      <c r="Z270" s="2">
        <f t="shared" si="110"/>
        <v>0</v>
      </c>
      <c r="AA270" s="2">
        <f t="shared" si="110"/>
        <v>0</v>
      </c>
    </row>
    <row r="271" spans="4:28" customFormat="1" x14ac:dyDescent="0.25">
      <c r="E271" t="s">
        <v>11</v>
      </c>
      <c r="F271" t="s">
        <v>7</v>
      </c>
      <c r="G271" s="2">
        <f t="shared" si="110"/>
        <v>0</v>
      </c>
      <c r="H271" s="2">
        <f t="shared" si="110"/>
        <v>5730279.1154912952</v>
      </c>
      <c r="I271" s="2">
        <f t="shared" si="110"/>
        <v>11143945.112955689</v>
      </c>
      <c r="J271" s="2">
        <f t="shared" si="110"/>
        <v>16805764.863735929</v>
      </c>
      <c r="K271" s="2">
        <f t="shared" si="110"/>
        <v>22285446.789206967</v>
      </c>
      <c r="L271" s="2">
        <f t="shared" si="110"/>
        <v>27579990.726674557</v>
      </c>
      <c r="M271" s="2">
        <f t="shared" si="110"/>
        <v>32682630.855425775</v>
      </c>
      <c r="N271" s="2">
        <f t="shared" si="110"/>
        <v>37600600.956364922</v>
      </c>
      <c r="O271" s="2">
        <f t="shared" si="110"/>
        <v>42336446.976104259</v>
      </c>
      <c r="P271" s="2">
        <f t="shared" si="110"/>
        <v>47232096.173268065</v>
      </c>
      <c r="Q271" s="2">
        <f t="shared" si="110"/>
        <v>52291488.187219672</v>
      </c>
      <c r="R271" s="2">
        <f t="shared" si="110"/>
        <v>57772613.051332116</v>
      </c>
      <c r="S271" s="2">
        <f t="shared" si="110"/>
        <v>63727438.421148002</v>
      </c>
      <c r="T271" s="2">
        <f t="shared" si="110"/>
        <v>70177494.464348316</v>
      </c>
      <c r="U271" s="2">
        <f t="shared" si="110"/>
        <v>76841652.162715748</v>
      </c>
      <c r="V271" s="2">
        <f t="shared" si="110"/>
        <v>83734341.822200477</v>
      </c>
      <c r="W271" s="2">
        <f t="shared" si="110"/>
        <v>85492763.000466675</v>
      </c>
      <c r="X271" s="2">
        <f t="shared" si="110"/>
        <v>87288111.023476467</v>
      </c>
      <c r="Y271" s="2">
        <f t="shared" si="110"/>
        <v>89121161.354969457</v>
      </c>
      <c r="Z271" s="2">
        <f t="shared" si="110"/>
        <v>90992705.74342382</v>
      </c>
      <c r="AA271" s="2">
        <f t="shared" si="110"/>
        <v>92903552.564035699</v>
      </c>
      <c r="AB271" s="2">
        <f t="shared" ref="AB271:AB275" si="111">IF(V271=0,0,IF($G$15&gt;(AA271/V271)^(1/5)-1+2%,AA271*(AA271/V271)^(1/5)/($G$15-((AA271/V271)^(1/5)-1)),AA271*(1+$G$14)/$G$16))</f>
        <v>3096785085.4678631</v>
      </c>
    </row>
    <row r="272" spans="4:28" customFormat="1" x14ac:dyDescent="0.25">
      <c r="E272" t="s">
        <v>57</v>
      </c>
      <c r="F272" t="s">
        <v>7</v>
      </c>
      <c r="G272" s="2">
        <f t="shared" si="110"/>
        <v>0</v>
      </c>
      <c r="H272" s="2">
        <f t="shared" si="110"/>
        <v>-2404786.5085926489</v>
      </c>
      <c r="I272" s="2">
        <f t="shared" si="110"/>
        <v>-4947825.9706136668</v>
      </c>
      <c r="J272" s="2">
        <f t="shared" si="110"/>
        <v>-7676604.3885063874</v>
      </c>
      <c r="K272" s="2">
        <f t="shared" si="110"/>
        <v>-10161346.916344646</v>
      </c>
      <c r="L272" s="2">
        <f t="shared" si="110"/>
        <v>-12551126.455327233</v>
      </c>
      <c r="M272" s="2">
        <f t="shared" si="110"/>
        <v>-14845886.96423512</v>
      </c>
      <c r="N272" s="2">
        <f t="shared" si="110"/>
        <v>-17046769.266910296</v>
      </c>
      <c r="O272" s="2">
        <f t="shared" si="110"/>
        <v>-19154906.368610431</v>
      </c>
      <c r="P272" s="2">
        <f t="shared" si="110"/>
        <v>-21321264.609229665</v>
      </c>
      <c r="Q272" s="2">
        <f t="shared" si="110"/>
        <v>-23543352.085394409</v>
      </c>
      <c r="R272" s="2">
        <f t="shared" si="110"/>
        <v>-25949187.600124206</v>
      </c>
      <c r="S272" s="2">
        <f t="shared" si="110"/>
        <v>-28559854.673490092</v>
      </c>
      <c r="T272" s="2">
        <f t="shared" si="110"/>
        <v>-31388163.99365899</v>
      </c>
      <c r="U272" s="2">
        <f t="shared" si="110"/>
        <v>-34311633.802899733</v>
      </c>
      <c r="V272" s="2">
        <f t="shared" si="110"/>
        <v>-37333845.71050036</v>
      </c>
      <c r="W272" s="2">
        <f t="shared" si="110"/>
        <v>-38117856.470420867</v>
      </c>
      <c r="X272" s="2">
        <f t="shared" si="110"/>
        <v>-38918331.4562997</v>
      </c>
      <c r="Y272" s="2">
        <f t="shared" si="110"/>
        <v>-39735616.416881986</v>
      </c>
      <c r="Z272" s="2">
        <f t="shared" si="110"/>
        <v>-40570064.361636505</v>
      </c>
      <c r="AA272" s="2">
        <f t="shared" si="110"/>
        <v>-41422035.713230871</v>
      </c>
      <c r="AB272" s="2">
        <f t="shared" si="111"/>
        <v>-1380734523.7743652</v>
      </c>
    </row>
    <row r="273" spans="1:28" x14ac:dyDescent="0.25">
      <c r="E273" t="s">
        <v>10</v>
      </c>
      <c r="F273" t="s">
        <v>7</v>
      </c>
      <c r="G273" s="2">
        <f t="shared" si="110"/>
        <v>0</v>
      </c>
      <c r="H273" s="2">
        <f t="shared" si="110"/>
        <v>-841932.93599999999</v>
      </c>
      <c r="I273" s="2">
        <f t="shared" si="110"/>
        <v>-1680123.0085199999</v>
      </c>
      <c r="J273" s="2">
        <f t="shared" si="110"/>
        <v>-2528140.775254034</v>
      </c>
      <c r="K273" s="2">
        <f t="shared" si="110"/>
        <v>-3346164.580686369</v>
      </c>
      <c r="L273" s="2">
        <f t="shared" si="110"/>
        <v>-4132756.1804042216</v>
      </c>
      <c r="M273" s="2">
        <f t="shared" si="110"/>
        <v>-4887943.2377843512</v>
      </c>
      <c r="N273" s="2">
        <f t="shared" si="110"/>
        <v>-5612068.5798444618</v>
      </c>
      <c r="O273" s="2">
        <f t="shared" si="110"/>
        <v>-6305504.8848134279</v>
      </c>
      <c r="P273" s="2">
        <f t="shared" si="110"/>
        <v>-7017890.6442980804</v>
      </c>
      <c r="Q273" s="2">
        <f t="shared" si="110"/>
        <v>-7748339.9744357588</v>
      </c>
      <c r="R273" s="2">
        <f t="shared" si="110"/>
        <v>-8539168.0007091742</v>
      </c>
      <c r="S273" s="2">
        <f t="shared" si="110"/>
        <v>-9397277.8275837544</v>
      </c>
      <c r="T273" s="2">
        <f t="shared" si="110"/>
        <v>-10326933.638247568</v>
      </c>
      <c r="U273" s="2">
        <f t="shared" si="110"/>
        <v>-11287888.62109096</v>
      </c>
      <c r="V273" s="2">
        <f t="shared" si="110"/>
        <v>-12281276.563387854</v>
      </c>
      <c r="W273" s="2">
        <f t="shared" si="110"/>
        <v>-12539183.371218998</v>
      </c>
      <c r="X273" s="2">
        <f t="shared" si="110"/>
        <v>-12802506.222014595</v>
      </c>
      <c r="Y273" s="2">
        <f t="shared" si="110"/>
        <v>-13071358.8526769</v>
      </c>
      <c r="Z273" s="2">
        <f t="shared" si="110"/>
        <v>-13345857.388583114</v>
      </c>
      <c r="AA273" s="2">
        <f t="shared" si="110"/>
        <v>-13626120.393743359</v>
      </c>
      <c r="AB273" s="2">
        <f t="shared" si="111"/>
        <v>-454204013.12477952</v>
      </c>
    </row>
    <row r="274" spans="1:28" x14ac:dyDescent="0.25">
      <c r="E274" t="s">
        <v>48</v>
      </c>
      <c r="F274" t="s">
        <v>7</v>
      </c>
      <c r="G274" s="2">
        <f t="shared" si="110"/>
        <v>0</v>
      </c>
      <c r="H274" s="2">
        <f t="shared" si="110"/>
        <v>0</v>
      </c>
      <c r="I274" s="2">
        <f t="shared" si="110"/>
        <v>0</v>
      </c>
      <c r="J274" s="2">
        <f t="shared" si="110"/>
        <v>0</v>
      </c>
      <c r="K274" s="2">
        <f t="shared" si="110"/>
        <v>0</v>
      </c>
      <c r="L274" s="2">
        <f t="shared" si="110"/>
        <v>0</v>
      </c>
      <c r="M274" s="2">
        <f t="shared" si="110"/>
        <v>0</v>
      </c>
      <c r="N274" s="2">
        <f t="shared" si="110"/>
        <v>0</v>
      </c>
      <c r="O274" s="2">
        <f t="shared" si="110"/>
        <v>0</v>
      </c>
      <c r="P274" s="2">
        <f t="shared" si="110"/>
        <v>0</v>
      </c>
      <c r="Q274" s="2">
        <f t="shared" si="110"/>
        <v>0</v>
      </c>
      <c r="R274" s="2">
        <f t="shared" si="110"/>
        <v>0</v>
      </c>
      <c r="S274" s="2">
        <f t="shared" si="110"/>
        <v>0</v>
      </c>
      <c r="T274" s="2">
        <f t="shared" si="110"/>
        <v>0</v>
      </c>
      <c r="U274" s="2">
        <f t="shared" si="110"/>
        <v>0</v>
      </c>
      <c r="V274" s="2">
        <f t="shared" si="110"/>
        <v>0</v>
      </c>
      <c r="W274" s="2">
        <f t="shared" si="110"/>
        <v>0</v>
      </c>
      <c r="X274" s="2">
        <f t="shared" si="110"/>
        <v>0</v>
      </c>
      <c r="Y274" s="2">
        <f t="shared" si="110"/>
        <v>0</v>
      </c>
      <c r="Z274" s="2">
        <f t="shared" si="110"/>
        <v>0</v>
      </c>
      <c r="AA274" s="2">
        <f t="shared" si="110"/>
        <v>0</v>
      </c>
      <c r="AB274" s="2">
        <f t="shared" si="111"/>
        <v>0</v>
      </c>
    </row>
    <row r="275" spans="1:28" x14ac:dyDescent="0.25">
      <c r="E275" t="s">
        <v>49</v>
      </c>
      <c r="F275" t="s">
        <v>7</v>
      </c>
      <c r="G275" s="2">
        <f t="shared" si="110"/>
        <v>0</v>
      </c>
      <c r="H275" s="2">
        <f t="shared" si="110"/>
        <v>0</v>
      </c>
      <c r="I275" s="2">
        <f t="shared" si="110"/>
        <v>0</v>
      </c>
      <c r="J275" s="2">
        <f t="shared" si="110"/>
        <v>0</v>
      </c>
      <c r="K275" s="2">
        <f t="shared" si="110"/>
        <v>0</v>
      </c>
      <c r="L275" s="2">
        <f t="shared" si="110"/>
        <v>0</v>
      </c>
      <c r="M275" s="2">
        <f t="shared" si="110"/>
        <v>0</v>
      </c>
      <c r="N275" s="2">
        <f t="shared" si="110"/>
        <v>0</v>
      </c>
      <c r="O275" s="2">
        <f t="shared" si="110"/>
        <v>0</v>
      </c>
      <c r="P275" s="2">
        <f t="shared" si="110"/>
        <v>0</v>
      </c>
      <c r="Q275" s="2">
        <f t="shared" si="110"/>
        <v>0</v>
      </c>
      <c r="R275" s="2">
        <f t="shared" si="110"/>
        <v>0</v>
      </c>
      <c r="S275" s="2">
        <f t="shared" si="110"/>
        <v>0</v>
      </c>
      <c r="T275" s="2">
        <f t="shared" si="110"/>
        <v>0</v>
      </c>
      <c r="U275" s="2">
        <f t="shared" si="110"/>
        <v>0</v>
      </c>
      <c r="V275" s="2">
        <f t="shared" si="110"/>
        <v>0</v>
      </c>
      <c r="W275" s="2">
        <f t="shared" si="110"/>
        <v>0</v>
      </c>
      <c r="X275" s="2">
        <f t="shared" si="110"/>
        <v>0</v>
      </c>
      <c r="Y275" s="2">
        <f t="shared" si="110"/>
        <v>0</v>
      </c>
      <c r="Z275" s="2">
        <f t="shared" si="110"/>
        <v>0</v>
      </c>
      <c r="AA275" s="2">
        <f t="shared" si="110"/>
        <v>0</v>
      </c>
      <c r="AB275" s="2">
        <f t="shared" si="111"/>
        <v>0</v>
      </c>
    </row>
    <row r="276" spans="1:28" x14ac:dyDescent="0.25">
      <c r="E276" t="s">
        <v>20</v>
      </c>
      <c r="F276" t="s">
        <v>7</v>
      </c>
      <c r="G276" s="2">
        <f t="shared" ref="G276:AA276" ca="1" si="112">G265</f>
        <v>-108829126.40928419</v>
      </c>
      <c r="H276" s="2">
        <f t="shared" si="112"/>
        <v>-26378144.979032844</v>
      </c>
      <c r="I276" s="2">
        <f t="shared" si="112"/>
        <v>-25956507.93452993</v>
      </c>
      <c r="J276" s="2">
        <f t="shared" si="112"/>
        <v>-26040377.42789419</v>
      </c>
      <c r="K276" s="2">
        <f t="shared" si="112"/>
        <v>-24853966.958583023</v>
      </c>
      <c r="L276" s="2">
        <f t="shared" si="112"/>
        <v>-23637642.08648131</v>
      </c>
      <c r="M276" s="2">
        <f t="shared" si="112"/>
        <v>-22435963.260002721</v>
      </c>
      <c r="N276" s="2">
        <f t="shared" si="112"/>
        <v>-21260439.689693175</v>
      </c>
      <c r="O276" s="2">
        <f t="shared" si="112"/>
        <v>-20112369.950675238</v>
      </c>
      <c r="P276" s="2">
        <f t="shared" si="112"/>
        <v>-20708552.815054227</v>
      </c>
      <c r="Q276" s="2">
        <f t="shared" si="112"/>
        <v>-21313291.631254341</v>
      </c>
      <c r="R276" s="2">
        <f t="shared" si="112"/>
        <v>-23185116.119004503</v>
      </c>
      <c r="S276" s="2">
        <f t="shared" si="112"/>
        <v>-25292674.657905523</v>
      </c>
      <c r="T276" s="2">
        <f t="shared" si="112"/>
        <v>-27537808.946250211</v>
      </c>
      <c r="U276" s="2">
        <f t="shared" si="112"/>
        <v>-28348012.047551058</v>
      </c>
      <c r="V276" s="2">
        <f t="shared" si="112"/>
        <v>-29194330.767081525</v>
      </c>
      <c r="W276" s="2">
        <f t="shared" si="112"/>
        <v>-3014745.9545299988</v>
      </c>
      <c r="X276" s="2">
        <f t="shared" si="112"/>
        <v>-3192491.4462079634</v>
      </c>
      <c r="Y276" s="2">
        <f t="shared" si="112"/>
        <v>-3374025.3378696754</v>
      </c>
      <c r="Z276" s="2">
        <f t="shared" si="112"/>
        <v>-3559378.094465225</v>
      </c>
      <c r="AA276" s="2">
        <f t="shared" si="112"/>
        <v>-3748585.5979642444</v>
      </c>
      <c r="AB276" s="2">
        <f>IF(V276=0,0,IF($G$15&gt;(AA276/V276)^(1/5)-1+2%,AA276*(AA276/V276)^(1/5)/($G$15-((AA276/V276)^(1/5)-1)),AA276*(1+$G$14)/$G$16))</f>
        <v>-6403047.6705395142</v>
      </c>
    </row>
    <row r="277" spans="1:28" x14ac:dyDescent="0.25">
      <c r="E277" t="s">
        <v>173</v>
      </c>
      <c r="F277" t="s">
        <v>7</v>
      </c>
      <c r="G277" s="2">
        <f ca="1">-$G$17*G276</f>
        <v>54414563.204642095</v>
      </c>
      <c r="H277" s="2">
        <f t="shared" ref="H277:AA277" si="113">-$G$17*H276</f>
        <v>13189072.489516422</v>
      </c>
      <c r="I277" s="2">
        <f t="shared" si="113"/>
        <v>12978253.967264965</v>
      </c>
      <c r="J277" s="2">
        <f t="shared" si="113"/>
        <v>13020188.713947095</v>
      </c>
      <c r="K277" s="2">
        <f t="shared" si="113"/>
        <v>12426983.479291512</v>
      </c>
      <c r="L277" s="2">
        <f t="shared" si="113"/>
        <v>11818821.043240655</v>
      </c>
      <c r="M277" s="2">
        <f t="shared" si="113"/>
        <v>11217981.630001361</v>
      </c>
      <c r="N277" s="2">
        <f t="shared" si="113"/>
        <v>10630219.844846588</v>
      </c>
      <c r="O277" s="2">
        <f t="shared" si="113"/>
        <v>10056184.975337619</v>
      </c>
      <c r="P277" s="2">
        <f t="shared" si="113"/>
        <v>10354276.407527113</v>
      </c>
      <c r="Q277" s="2">
        <f t="shared" si="113"/>
        <v>10656645.815627171</v>
      </c>
      <c r="R277" s="2">
        <f t="shared" si="113"/>
        <v>11592558.059502251</v>
      </c>
      <c r="S277" s="2">
        <f t="shared" si="113"/>
        <v>12646337.328952761</v>
      </c>
      <c r="T277" s="2">
        <f t="shared" si="113"/>
        <v>13768904.473125106</v>
      </c>
      <c r="U277" s="2">
        <f t="shared" si="113"/>
        <v>14174006.023775529</v>
      </c>
      <c r="V277" s="2">
        <f t="shared" si="113"/>
        <v>14597165.383540763</v>
      </c>
      <c r="W277" s="2">
        <f t="shared" si="113"/>
        <v>1507372.9772649994</v>
      </c>
      <c r="X277" s="2">
        <f t="shared" si="113"/>
        <v>1596245.7231039817</v>
      </c>
      <c r="Y277" s="2">
        <f t="shared" si="113"/>
        <v>1687012.6689348377</v>
      </c>
      <c r="Z277" s="2">
        <f t="shared" si="113"/>
        <v>1779689.0472326125</v>
      </c>
      <c r="AA277" s="2">
        <f t="shared" si="113"/>
        <v>1874292.7989821222</v>
      </c>
      <c r="AB277" s="2">
        <f t="shared" ref="AB277" si="114">IF(V277=0,0,IF($G$15&gt;(AA277/V277)^(1/5)-1+2%,AA277*(AA277/V277)^(1/5)/($G$15-((AA277/V277)^(1/5)-1)),AA277*(1+$G$14)/$G$16))</f>
        <v>3201523.8352697571</v>
      </c>
    </row>
    <row r="278" spans="1:28" x14ac:dyDescent="0.25">
      <c r="E278" t="s">
        <v>23</v>
      </c>
      <c r="F278" t="s">
        <v>7</v>
      </c>
      <c r="G278" s="2">
        <f t="shared" ref="G278:AB278" ca="1" si="115">SUM(G268:G277)</f>
        <v>-332788045.54210311</v>
      </c>
      <c r="H278" s="2">
        <f t="shared" si="115"/>
        <v>-182363058.15218008</v>
      </c>
      <c r="I278" s="2">
        <f t="shared" si="115"/>
        <v>-57694022.429418519</v>
      </c>
      <c r="J278" s="2">
        <f t="shared" si="115"/>
        <v>-45630085.115439825</v>
      </c>
      <c r="K278" s="2">
        <f t="shared" si="115"/>
        <v>-42582002.27135893</v>
      </c>
      <c r="L278" s="2">
        <f t="shared" si="115"/>
        <v>-39794718.141426176</v>
      </c>
      <c r="M278" s="2">
        <f t="shared" si="115"/>
        <v>-36778916.974887252</v>
      </c>
      <c r="N278" s="2">
        <f t="shared" si="115"/>
        <v>-34254348.629223466</v>
      </c>
      <c r="O278" s="2">
        <f t="shared" si="115"/>
        <v>-32355164.410355307</v>
      </c>
      <c r="P278" s="2">
        <f t="shared" si="115"/>
        <v>-30962107.767390154</v>
      </c>
      <c r="Q278" s="2">
        <f t="shared" si="115"/>
        <v>-30125723.520751163</v>
      </c>
      <c r="R278" s="2">
        <f t="shared" si="115"/>
        <v>-29792997.468106717</v>
      </c>
      <c r="S278" s="2">
        <f t="shared" si="115"/>
        <v>-29247052.366240032</v>
      </c>
      <c r="T278" s="2">
        <f t="shared" si="115"/>
        <v>-28485692.688301526</v>
      </c>
      <c r="U278" s="2">
        <f t="shared" si="115"/>
        <v>-26957161.654109109</v>
      </c>
      <c r="V278" s="2">
        <f t="shared" si="115"/>
        <v>-25482251.621560536</v>
      </c>
      <c r="W278" s="2">
        <f t="shared" si="115"/>
        <v>21059282.469914898</v>
      </c>
      <c r="X278" s="2">
        <f t="shared" si="115"/>
        <v>21455158.35526567</v>
      </c>
      <c r="Y278" s="2">
        <f t="shared" si="115"/>
        <v>21865194.292633094</v>
      </c>
      <c r="Z278" s="2">
        <f t="shared" si="115"/>
        <v>22269110.223210104</v>
      </c>
      <c r="AA278" s="2">
        <f t="shared" si="115"/>
        <v>22668232.96063045</v>
      </c>
      <c r="AB278" s="2">
        <f t="shared" si="115"/>
        <v>1258645024.7334485</v>
      </c>
    </row>
    <row r="279" spans="1:28" x14ac:dyDescent="0.25">
      <c r="E279" t="s">
        <v>31</v>
      </c>
      <c r="F279" t="s">
        <v>7</v>
      </c>
      <c r="G279" s="2">
        <f ca="1">NPV($G$15,H278:AB278)+G278</f>
        <v>-365856793.39025241</v>
      </c>
    </row>
    <row r="280" spans="1:28" x14ac:dyDescent="0.25">
      <c r="E280" s="3" t="s">
        <v>34</v>
      </c>
      <c r="F280" s="3"/>
      <c r="G280" s="4" t="str">
        <f ca="1">IF(G279&gt;0,"N/A",IF(ABS(G279+G253)&gt;1,"Error","OK"))</f>
        <v>OK</v>
      </c>
    </row>
    <row r="282" spans="1:28" x14ac:dyDescent="0.25">
      <c r="C282" s="1" t="s">
        <v>36</v>
      </c>
      <c r="D282" s="1"/>
      <c r="G282" s="44"/>
    </row>
    <row r="283" spans="1:28" x14ac:dyDescent="0.25">
      <c r="A283" s="14">
        <f>'Notes &amp; Assumptions'!A67</f>
        <v>54</v>
      </c>
      <c r="C283" s="1"/>
      <c r="D283" s="1"/>
      <c r="E283" t="s">
        <v>42</v>
      </c>
      <c r="F283" t="s">
        <v>3</v>
      </c>
      <c r="G283" s="10"/>
      <c r="H283" s="10">
        <v>1</v>
      </c>
      <c r="I283" s="10">
        <v>1</v>
      </c>
      <c r="J283" s="10">
        <v>1</v>
      </c>
      <c r="K283" s="10">
        <v>1</v>
      </c>
      <c r="L283" s="10">
        <v>1</v>
      </c>
      <c r="M283" s="10">
        <v>1</v>
      </c>
      <c r="N283" s="10">
        <v>1</v>
      </c>
      <c r="O283" s="10">
        <v>1</v>
      </c>
      <c r="P283" s="10">
        <v>1</v>
      </c>
      <c r="Q283" s="10">
        <v>1</v>
      </c>
      <c r="R283" s="10">
        <v>1</v>
      </c>
      <c r="S283" s="10">
        <v>1</v>
      </c>
      <c r="T283" s="10">
        <v>1</v>
      </c>
      <c r="U283" s="10">
        <v>1</v>
      </c>
      <c r="V283" s="10">
        <v>1</v>
      </c>
      <c r="W283" s="10">
        <v>0</v>
      </c>
      <c r="X283" s="10">
        <v>0</v>
      </c>
      <c r="Y283" s="10">
        <v>0</v>
      </c>
      <c r="Z283" s="10">
        <v>0</v>
      </c>
      <c r="AA283" s="10">
        <v>0</v>
      </c>
    </row>
    <row r="284" spans="1:28" x14ac:dyDescent="0.25">
      <c r="E284" t="s">
        <v>37</v>
      </c>
      <c r="F284" t="s">
        <v>38</v>
      </c>
      <c r="G284" s="8">
        <f ca="1">MAX(0,-G311/(NPV($G$16,H283:AA283)+G283))</f>
        <v>30628244.301127195</v>
      </c>
      <c r="H284" s="2">
        <f t="shared" ref="H284:AA284" ca="1" si="116">G284*(1+$G$14)</f>
        <v>31271437.431450862</v>
      </c>
      <c r="I284" s="2">
        <f t="shared" ca="1" si="116"/>
        <v>31928137.617511328</v>
      </c>
      <c r="J284" s="2">
        <f t="shared" ca="1" si="116"/>
        <v>32598628.507479064</v>
      </c>
      <c r="K284" s="2">
        <f t="shared" ca="1" si="116"/>
        <v>33283199.706136122</v>
      </c>
      <c r="L284" s="2">
        <f t="shared" ca="1" si="116"/>
        <v>33982146.899964981</v>
      </c>
      <c r="M284" s="2">
        <f t="shared" ca="1" si="116"/>
        <v>34695771.984864242</v>
      </c>
      <c r="N284" s="2">
        <f t="shared" ca="1" si="116"/>
        <v>35424383.196546391</v>
      </c>
      <c r="O284" s="2">
        <f t="shared" ca="1" si="116"/>
        <v>36168295.243673861</v>
      </c>
      <c r="P284" s="2">
        <f t="shared" ca="1" si="116"/>
        <v>36927829.443791009</v>
      </c>
      <c r="Q284" s="2">
        <f t="shared" ca="1" si="116"/>
        <v>37703313.862110615</v>
      </c>
      <c r="R284" s="2">
        <f t="shared" ca="1" si="116"/>
        <v>38495083.453214936</v>
      </c>
      <c r="S284" s="2">
        <f t="shared" ca="1" si="116"/>
        <v>39303480.205732442</v>
      </c>
      <c r="T284" s="2">
        <f t="shared" ca="1" si="116"/>
        <v>40128853.290052824</v>
      </c>
      <c r="U284" s="2">
        <f t="shared" ca="1" si="116"/>
        <v>40971559.209143929</v>
      </c>
      <c r="V284" s="2">
        <f t="shared" ca="1" si="116"/>
        <v>41831961.95253595</v>
      </c>
      <c r="W284" s="2">
        <f t="shared" ca="1" si="116"/>
        <v>42710433.153539203</v>
      </c>
      <c r="X284" s="2">
        <f t="shared" ca="1" si="116"/>
        <v>43607352.249763526</v>
      </c>
      <c r="Y284" s="2">
        <f t="shared" ca="1" si="116"/>
        <v>44523106.647008553</v>
      </c>
      <c r="Z284" s="2">
        <f t="shared" ca="1" si="116"/>
        <v>45458091.886595726</v>
      </c>
      <c r="AA284" s="2">
        <f t="shared" ca="1" si="116"/>
        <v>46412711.816214234</v>
      </c>
    </row>
    <row r="285" spans="1:28" x14ac:dyDescent="0.25">
      <c r="E285" t="s">
        <v>21</v>
      </c>
      <c r="F285" t="s">
        <v>7</v>
      </c>
      <c r="G285" s="2">
        <f ca="1">G283*G284</f>
        <v>0</v>
      </c>
      <c r="H285" s="2">
        <f t="shared" ref="H285:AA285" ca="1" si="117">H283*H284</f>
        <v>31271437.431450862</v>
      </c>
      <c r="I285" s="2">
        <f t="shared" ca="1" si="117"/>
        <v>31928137.617511328</v>
      </c>
      <c r="J285" s="2">
        <f t="shared" ca="1" si="117"/>
        <v>32598628.507479064</v>
      </c>
      <c r="K285" s="2">
        <f t="shared" ca="1" si="117"/>
        <v>33283199.706136122</v>
      </c>
      <c r="L285" s="2">
        <f t="shared" ca="1" si="117"/>
        <v>33982146.899964981</v>
      </c>
      <c r="M285" s="2">
        <f t="shared" ca="1" si="117"/>
        <v>34695771.984864242</v>
      </c>
      <c r="N285" s="2">
        <f t="shared" ca="1" si="117"/>
        <v>35424383.196546391</v>
      </c>
      <c r="O285" s="2">
        <f t="shared" ca="1" si="117"/>
        <v>36168295.243673861</v>
      </c>
      <c r="P285" s="2">
        <f t="shared" ca="1" si="117"/>
        <v>36927829.443791009</v>
      </c>
      <c r="Q285" s="2">
        <f t="shared" ca="1" si="117"/>
        <v>37703313.862110615</v>
      </c>
      <c r="R285" s="2">
        <f t="shared" ca="1" si="117"/>
        <v>38495083.453214936</v>
      </c>
      <c r="S285" s="2">
        <f t="shared" ca="1" si="117"/>
        <v>39303480.205732442</v>
      </c>
      <c r="T285" s="2">
        <f t="shared" ca="1" si="117"/>
        <v>40128853.290052824</v>
      </c>
      <c r="U285" s="2">
        <f t="shared" ca="1" si="117"/>
        <v>40971559.209143929</v>
      </c>
      <c r="V285" s="2">
        <f t="shared" ca="1" si="117"/>
        <v>41831961.95253595</v>
      </c>
      <c r="W285" s="2">
        <f t="shared" ca="1" si="117"/>
        <v>0</v>
      </c>
      <c r="X285" s="2">
        <f t="shared" ca="1" si="117"/>
        <v>0</v>
      </c>
      <c r="Y285" s="2">
        <f t="shared" ca="1" si="117"/>
        <v>0</v>
      </c>
      <c r="Z285" s="2">
        <f t="shared" ca="1" si="117"/>
        <v>0</v>
      </c>
      <c r="AA285" s="2">
        <f t="shared" ca="1" si="117"/>
        <v>0</v>
      </c>
    </row>
    <row r="286" spans="1:28" x14ac:dyDescent="0.25">
      <c r="G286" s="8">
        <f ca="1">-G311/(NPV($G$16,H283:AA283)+G283)</f>
        <v>30628244.301127195</v>
      </c>
    </row>
    <row r="287" spans="1:28" x14ac:dyDescent="0.25">
      <c r="D287" t="s">
        <v>9</v>
      </c>
    </row>
    <row r="288" spans="1:28" x14ac:dyDescent="0.25">
      <c r="E288" t="s">
        <v>107</v>
      </c>
      <c r="F288" t="s">
        <v>7</v>
      </c>
      <c r="G288" s="2">
        <f t="shared" ref="G288:AA293" si="118">G222</f>
        <v>0</v>
      </c>
      <c r="H288" s="2">
        <f t="shared" si="118"/>
        <v>91460158.999999985</v>
      </c>
      <c r="I288" s="2">
        <f t="shared" si="118"/>
        <v>89564445.83799997</v>
      </c>
      <c r="J288" s="2">
        <f t="shared" si="118"/>
        <v>89185615.377268866</v>
      </c>
      <c r="K288" s="2">
        <f t="shared" si="118"/>
        <v>84424638.134236529</v>
      </c>
      <c r="L288" s="2">
        <f t="shared" si="118"/>
        <v>79568049.705065817</v>
      </c>
      <c r="M288" s="2">
        <f t="shared" si="118"/>
        <v>74768407.088639915</v>
      </c>
      <c r="N288" s="2">
        <f t="shared" si="118"/>
        <v>70064031.884498522</v>
      </c>
      <c r="O288" s="2">
        <f t="shared" si="118"/>
        <v>65465532.89753776</v>
      </c>
      <c r="P288" s="2">
        <f t="shared" si="118"/>
        <v>66614967.692542769</v>
      </c>
      <c r="Q288" s="2">
        <f t="shared" si="118"/>
        <v>67726074.632954717</v>
      </c>
      <c r="R288" s="2">
        <f t="shared" si="118"/>
        <v>72952553.270452216</v>
      </c>
      <c r="S288" s="2">
        <f t="shared" si="118"/>
        <v>78838472.075354815</v>
      </c>
      <c r="T288" s="2">
        <f t="shared" si="118"/>
        <v>85054986.249661505</v>
      </c>
      <c r="U288" s="2">
        <f t="shared" si="118"/>
        <v>86425382.20970057</v>
      </c>
      <c r="V288" s="2">
        <f t="shared" si="118"/>
        <v>87845463.344445795</v>
      </c>
      <c r="W288" s="2">
        <f t="shared" si="118"/>
        <v>0</v>
      </c>
      <c r="X288" s="2">
        <f t="shared" si="118"/>
        <v>0</v>
      </c>
      <c r="Y288" s="2">
        <f t="shared" si="118"/>
        <v>0</v>
      </c>
      <c r="Z288" s="2">
        <f t="shared" si="118"/>
        <v>0</v>
      </c>
      <c r="AA288" s="2">
        <f t="shared" si="118"/>
        <v>0</v>
      </c>
    </row>
    <row r="289" spans="4:28" customFormat="1" x14ac:dyDescent="0.25">
      <c r="E289" t="s">
        <v>11</v>
      </c>
      <c r="F289" t="s">
        <v>7</v>
      </c>
      <c r="G289" s="2">
        <f t="shared" si="118"/>
        <v>0</v>
      </c>
      <c r="H289" s="2">
        <f t="shared" si="118"/>
        <v>5730279.1154912952</v>
      </c>
      <c r="I289" s="2">
        <f t="shared" si="118"/>
        <v>11143945.112955689</v>
      </c>
      <c r="J289" s="2">
        <f t="shared" si="118"/>
        <v>16805764.863735929</v>
      </c>
      <c r="K289" s="2">
        <f t="shared" si="118"/>
        <v>22285446.789206967</v>
      </c>
      <c r="L289" s="2">
        <f t="shared" si="118"/>
        <v>27579990.726674557</v>
      </c>
      <c r="M289" s="2">
        <f t="shared" si="118"/>
        <v>32682630.855425775</v>
      </c>
      <c r="N289" s="2">
        <f t="shared" si="118"/>
        <v>37600600.956364922</v>
      </c>
      <c r="O289" s="2">
        <f t="shared" si="118"/>
        <v>42336446.976104259</v>
      </c>
      <c r="P289" s="2">
        <f t="shared" si="118"/>
        <v>47232096.173268065</v>
      </c>
      <c r="Q289" s="2">
        <f t="shared" si="118"/>
        <v>52291488.187219672</v>
      </c>
      <c r="R289" s="2">
        <f t="shared" si="118"/>
        <v>57772613.051332116</v>
      </c>
      <c r="S289" s="2">
        <f t="shared" si="118"/>
        <v>63727438.421148002</v>
      </c>
      <c r="T289" s="2">
        <f t="shared" si="118"/>
        <v>70177494.464348316</v>
      </c>
      <c r="U289" s="2">
        <f t="shared" si="118"/>
        <v>76841652.162715748</v>
      </c>
      <c r="V289" s="2">
        <f t="shared" si="118"/>
        <v>83734341.822200477</v>
      </c>
      <c r="W289" s="2">
        <f t="shared" si="118"/>
        <v>85492763.000466675</v>
      </c>
      <c r="X289" s="2">
        <f t="shared" si="118"/>
        <v>87288111.023476467</v>
      </c>
      <c r="Y289" s="2">
        <f t="shared" si="118"/>
        <v>89121161.354969457</v>
      </c>
      <c r="Z289" s="2">
        <f t="shared" si="118"/>
        <v>90992705.74342382</v>
      </c>
      <c r="AA289" s="2">
        <f t="shared" si="118"/>
        <v>92903552.564035699</v>
      </c>
    </row>
    <row r="290" spans="4:28" customFormat="1" x14ac:dyDescent="0.25">
      <c r="E290" t="s">
        <v>57</v>
      </c>
      <c r="F290" t="s">
        <v>7</v>
      </c>
      <c r="G290" s="2">
        <f t="shared" si="118"/>
        <v>0</v>
      </c>
      <c r="H290" s="2">
        <f t="shared" si="118"/>
        <v>-2404786.5085926489</v>
      </c>
      <c r="I290" s="2">
        <f t="shared" si="118"/>
        <v>-4947825.9706136668</v>
      </c>
      <c r="J290" s="2">
        <f t="shared" si="118"/>
        <v>-7676604.3885063874</v>
      </c>
      <c r="K290" s="2">
        <f t="shared" si="118"/>
        <v>-10161346.916344646</v>
      </c>
      <c r="L290" s="2">
        <f t="shared" si="118"/>
        <v>-12551126.455327233</v>
      </c>
      <c r="M290" s="2">
        <f t="shared" si="118"/>
        <v>-14845886.96423512</v>
      </c>
      <c r="N290" s="2">
        <f t="shared" si="118"/>
        <v>-17046769.266910296</v>
      </c>
      <c r="O290" s="2">
        <f t="shared" si="118"/>
        <v>-19154906.368610431</v>
      </c>
      <c r="P290" s="2">
        <f t="shared" si="118"/>
        <v>-21321264.609229665</v>
      </c>
      <c r="Q290" s="2">
        <f t="shared" si="118"/>
        <v>-23543352.085394409</v>
      </c>
      <c r="R290" s="2">
        <f t="shared" si="118"/>
        <v>-25949187.600124206</v>
      </c>
      <c r="S290" s="2">
        <f t="shared" si="118"/>
        <v>-28559854.673490092</v>
      </c>
      <c r="T290" s="2">
        <f t="shared" si="118"/>
        <v>-31388163.99365899</v>
      </c>
      <c r="U290" s="2">
        <f t="shared" si="118"/>
        <v>-34311633.802899733</v>
      </c>
      <c r="V290" s="2">
        <f t="shared" si="118"/>
        <v>-37333845.71050036</v>
      </c>
      <c r="W290" s="2">
        <f t="shared" si="118"/>
        <v>-38117856.470420867</v>
      </c>
      <c r="X290" s="2">
        <f t="shared" si="118"/>
        <v>-38918331.4562997</v>
      </c>
      <c r="Y290" s="2">
        <f t="shared" si="118"/>
        <v>-39735616.416881986</v>
      </c>
      <c r="Z290" s="2">
        <f t="shared" si="118"/>
        <v>-40570064.361636505</v>
      </c>
      <c r="AA290" s="2">
        <f t="shared" si="118"/>
        <v>-41422035.713230871</v>
      </c>
    </row>
    <row r="291" spans="4:28" customFormat="1" x14ac:dyDescent="0.25">
      <c r="E291" t="s">
        <v>10</v>
      </c>
      <c r="F291" t="s">
        <v>7</v>
      </c>
      <c r="G291" s="2">
        <f t="shared" si="118"/>
        <v>0</v>
      </c>
      <c r="H291" s="2">
        <f t="shared" si="118"/>
        <v>-841932.93599999999</v>
      </c>
      <c r="I291" s="2">
        <f t="shared" si="118"/>
        <v>-1680123.0085199999</v>
      </c>
      <c r="J291" s="2">
        <f t="shared" si="118"/>
        <v>-2528140.775254034</v>
      </c>
      <c r="K291" s="2">
        <f t="shared" si="118"/>
        <v>-3346164.580686369</v>
      </c>
      <c r="L291" s="2">
        <f t="shared" si="118"/>
        <v>-4132756.1804042216</v>
      </c>
      <c r="M291" s="2">
        <f t="shared" si="118"/>
        <v>-4887943.2377843512</v>
      </c>
      <c r="N291" s="2">
        <f t="shared" si="118"/>
        <v>-5612068.5798444618</v>
      </c>
      <c r="O291" s="2">
        <f t="shared" si="118"/>
        <v>-6305504.8848134279</v>
      </c>
      <c r="P291" s="2">
        <f t="shared" si="118"/>
        <v>-7017890.6442980804</v>
      </c>
      <c r="Q291" s="2">
        <f t="shared" si="118"/>
        <v>-7748339.9744357588</v>
      </c>
      <c r="R291" s="2">
        <f t="shared" si="118"/>
        <v>-8539168.0007091742</v>
      </c>
      <c r="S291" s="2">
        <f t="shared" si="118"/>
        <v>-9397277.8275837544</v>
      </c>
      <c r="T291" s="2">
        <f t="shared" si="118"/>
        <v>-10326933.638247568</v>
      </c>
      <c r="U291" s="2">
        <f t="shared" si="118"/>
        <v>-11287888.62109096</v>
      </c>
      <c r="V291" s="2">
        <f t="shared" si="118"/>
        <v>-12281276.563387854</v>
      </c>
      <c r="W291" s="2">
        <f t="shared" si="118"/>
        <v>-12539183.371218998</v>
      </c>
      <c r="X291" s="2">
        <f t="shared" si="118"/>
        <v>-12802506.222014595</v>
      </c>
      <c r="Y291" s="2">
        <f t="shared" si="118"/>
        <v>-13071358.8526769</v>
      </c>
      <c r="Z291" s="2">
        <f t="shared" si="118"/>
        <v>-13345857.388583114</v>
      </c>
      <c r="AA291" s="2">
        <f t="shared" si="118"/>
        <v>-13626120.393743359</v>
      </c>
    </row>
    <row r="292" spans="4:28" customFormat="1" x14ac:dyDescent="0.25">
      <c r="E292" t="s">
        <v>12</v>
      </c>
      <c r="F292" t="s">
        <v>7</v>
      </c>
      <c r="G292" s="2">
        <f t="shared" si="118"/>
        <v>-3093038.6926384564</v>
      </c>
      <c r="H292" s="2">
        <f t="shared" si="118"/>
        <v>-6016568.740789148</v>
      </c>
      <c r="I292" s="2">
        <f t="shared" si="118"/>
        <v>-7558748.8567222096</v>
      </c>
      <c r="J292" s="2">
        <f t="shared" si="118"/>
        <v>-8985376.984263733</v>
      </c>
      <c r="K292" s="2">
        <f t="shared" si="118"/>
        <v>-10356016.897802398</v>
      </c>
      <c r="L292" s="2">
        <f t="shared" si="118"/>
        <v>-11672017.507737894</v>
      </c>
      <c r="M292" s="2">
        <f t="shared" si="118"/>
        <v>-12930663.542037137</v>
      </c>
      <c r="N292" s="2">
        <f t="shared" si="118"/>
        <v>-14137662.695131421</v>
      </c>
      <c r="O292" s="2">
        <f t="shared" si="118"/>
        <v>-15300335.45130071</v>
      </c>
      <c r="P292" s="2">
        <f t="shared" si="118"/>
        <v>-16479399.228769001</v>
      </c>
      <c r="Q292" s="2">
        <f t="shared" si="118"/>
        <v>-17681565.322829757</v>
      </c>
      <c r="R292" s="2">
        <f t="shared" si="118"/>
        <v>-18953090.324269261</v>
      </c>
      <c r="S292" s="2">
        <f t="shared" si="118"/>
        <v>-20299862.469077222</v>
      </c>
      <c r="T292" s="2">
        <f t="shared" si="118"/>
        <v>-21724686.594602551</v>
      </c>
      <c r="U292" s="2">
        <f t="shared" si="118"/>
        <v>-23174138.456588764</v>
      </c>
      <c r="V292" s="2">
        <f t="shared" si="118"/>
        <v>-24650247.002486296</v>
      </c>
      <c r="W292" s="2">
        <f t="shared" si="118"/>
        <v>-24786569.97706015</v>
      </c>
      <c r="X292" s="2">
        <f t="shared" si="118"/>
        <v>-24925635.191135623</v>
      </c>
      <c r="Y292" s="2">
        <f t="shared" si="118"/>
        <v>-25067434.959178321</v>
      </c>
      <c r="Z292" s="2">
        <f t="shared" si="118"/>
        <v>-25212190.344986781</v>
      </c>
      <c r="AA292" s="2">
        <f t="shared" si="118"/>
        <v>-25360111.130513988</v>
      </c>
    </row>
    <row r="293" spans="4:28" customFormat="1" x14ac:dyDescent="0.25">
      <c r="E293" t="s">
        <v>48</v>
      </c>
      <c r="F293" t="s">
        <v>7</v>
      </c>
      <c r="G293" s="2">
        <f t="shared" si="118"/>
        <v>0</v>
      </c>
      <c r="H293" s="2">
        <f t="shared" si="118"/>
        <v>0</v>
      </c>
      <c r="I293" s="2">
        <f t="shared" si="118"/>
        <v>0</v>
      </c>
      <c r="J293" s="2">
        <f t="shared" si="118"/>
        <v>0</v>
      </c>
      <c r="K293" s="2">
        <f t="shared" si="118"/>
        <v>0</v>
      </c>
      <c r="L293" s="2">
        <f t="shared" si="118"/>
        <v>0</v>
      </c>
      <c r="M293" s="2">
        <f t="shared" si="118"/>
        <v>0</v>
      </c>
      <c r="N293" s="2">
        <f t="shared" si="118"/>
        <v>0</v>
      </c>
      <c r="O293" s="2">
        <f t="shared" si="118"/>
        <v>0</v>
      </c>
      <c r="P293" s="2">
        <f t="shared" si="118"/>
        <v>0</v>
      </c>
      <c r="Q293" s="2">
        <f t="shared" si="118"/>
        <v>0</v>
      </c>
      <c r="R293" s="2">
        <f t="shared" si="118"/>
        <v>0</v>
      </c>
      <c r="S293" s="2">
        <f t="shared" si="118"/>
        <v>0</v>
      </c>
      <c r="T293" s="2">
        <f t="shared" si="118"/>
        <v>0</v>
      </c>
      <c r="U293" s="2">
        <f t="shared" si="118"/>
        <v>0</v>
      </c>
      <c r="V293" s="2">
        <f t="shared" si="118"/>
        <v>0</v>
      </c>
      <c r="W293" s="2">
        <f t="shared" si="118"/>
        <v>0</v>
      </c>
      <c r="X293" s="2">
        <f t="shared" si="118"/>
        <v>0</v>
      </c>
      <c r="Y293" s="2">
        <f t="shared" si="118"/>
        <v>0</v>
      </c>
      <c r="Z293" s="2">
        <f t="shared" si="118"/>
        <v>0</v>
      </c>
      <c r="AA293" s="2">
        <f t="shared" si="118"/>
        <v>0</v>
      </c>
    </row>
    <row r="294" spans="4:28" customFormat="1" x14ac:dyDescent="0.25">
      <c r="E294" t="s">
        <v>13</v>
      </c>
      <c r="F294" t="s">
        <v>7</v>
      </c>
      <c r="G294" s="2">
        <f t="shared" ref="G294:AA294" ca="1" si="119">G285</f>
        <v>0</v>
      </c>
      <c r="H294" s="2">
        <f t="shared" ca="1" si="119"/>
        <v>31271437.431450862</v>
      </c>
      <c r="I294" s="2">
        <f t="shared" ca="1" si="119"/>
        <v>31928137.617511328</v>
      </c>
      <c r="J294" s="2">
        <f t="shared" ca="1" si="119"/>
        <v>32598628.507479064</v>
      </c>
      <c r="K294" s="2">
        <f t="shared" ca="1" si="119"/>
        <v>33283199.706136122</v>
      </c>
      <c r="L294" s="2">
        <f t="shared" ca="1" si="119"/>
        <v>33982146.899964981</v>
      </c>
      <c r="M294" s="2">
        <f t="shared" ca="1" si="119"/>
        <v>34695771.984864242</v>
      </c>
      <c r="N294" s="2">
        <f t="shared" ca="1" si="119"/>
        <v>35424383.196546391</v>
      </c>
      <c r="O294" s="2">
        <f t="shared" ca="1" si="119"/>
        <v>36168295.243673861</v>
      </c>
      <c r="P294" s="2">
        <f t="shared" ca="1" si="119"/>
        <v>36927829.443791009</v>
      </c>
      <c r="Q294" s="2">
        <f t="shared" ca="1" si="119"/>
        <v>37703313.862110615</v>
      </c>
      <c r="R294" s="2">
        <f t="shared" ca="1" si="119"/>
        <v>38495083.453214936</v>
      </c>
      <c r="S294" s="2">
        <f t="shared" ca="1" si="119"/>
        <v>39303480.205732442</v>
      </c>
      <c r="T294" s="2">
        <f t="shared" ca="1" si="119"/>
        <v>40128853.290052824</v>
      </c>
      <c r="U294" s="2">
        <f t="shared" ca="1" si="119"/>
        <v>40971559.209143929</v>
      </c>
      <c r="V294" s="2">
        <f t="shared" ca="1" si="119"/>
        <v>41831961.95253595</v>
      </c>
      <c r="W294" s="2">
        <f t="shared" ca="1" si="119"/>
        <v>0</v>
      </c>
      <c r="X294" s="2">
        <f t="shared" ca="1" si="119"/>
        <v>0</v>
      </c>
      <c r="Y294" s="2">
        <f t="shared" ca="1" si="119"/>
        <v>0</v>
      </c>
      <c r="Z294" s="2">
        <f t="shared" ca="1" si="119"/>
        <v>0</v>
      </c>
      <c r="AA294" s="2">
        <f t="shared" ca="1" si="119"/>
        <v>0</v>
      </c>
    </row>
    <row r="295" spans="4:28" customFormat="1" x14ac:dyDescent="0.25"/>
    <row r="296" spans="4:28" customFormat="1" x14ac:dyDescent="0.25">
      <c r="E296" t="s">
        <v>14</v>
      </c>
      <c r="F296" t="s">
        <v>7</v>
      </c>
      <c r="G296" s="2">
        <f t="shared" ref="G296:AA296" ca="1" si="120">SUM(G288:G294)</f>
        <v>-3093038.6926384564</v>
      </c>
      <c r="H296" s="2">
        <f t="shared" ca="1" si="120"/>
        <v>119198587.36156034</v>
      </c>
      <c r="I296" s="2">
        <f t="shared" ca="1" si="120"/>
        <v>118449830.7326111</v>
      </c>
      <c r="J296" s="2">
        <f t="shared" ca="1" si="120"/>
        <v>119399886.60045969</v>
      </c>
      <c r="K296" s="2">
        <f t="shared" ca="1" si="120"/>
        <v>116129756.2347462</v>
      </c>
      <c r="L296" s="2">
        <f t="shared" ca="1" si="120"/>
        <v>112774287.18823603</v>
      </c>
      <c r="M296" s="2">
        <f t="shared" ca="1" si="120"/>
        <v>109482316.18487331</v>
      </c>
      <c r="N296" s="2">
        <f t="shared" ca="1" si="120"/>
        <v>106292515.49552365</v>
      </c>
      <c r="O296" s="2">
        <f t="shared" ca="1" si="120"/>
        <v>103209528.41259132</v>
      </c>
      <c r="P296" s="2">
        <f t="shared" ca="1" si="120"/>
        <v>105956338.82730511</v>
      </c>
      <c r="Q296" s="2">
        <f t="shared" ca="1" si="120"/>
        <v>108747619.29962508</v>
      </c>
      <c r="R296" s="2">
        <f t="shared" ca="1" si="120"/>
        <v>115778803.84989661</v>
      </c>
      <c r="S296" s="2">
        <f t="shared" ca="1" si="120"/>
        <v>123612395.73208418</v>
      </c>
      <c r="T296" s="2">
        <f t="shared" ca="1" si="120"/>
        <v>131921549.77755353</v>
      </c>
      <c r="U296" s="2">
        <f t="shared" ca="1" si="120"/>
        <v>135464932.70098078</v>
      </c>
      <c r="V296" s="2">
        <f t="shared" ca="1" si="120"/>
        <v>139146397.84280771</v>
      </c>
      <c r="W296" s="2">
        <f t="shared" ca="1" si="120"/>
        <v>10049153.181766663</v>
      </c>
      <c r="X296" s="2">
        <f t="shared" ca="1" si="120"/>
        <v>10641638.154026546</v>
      </c>
      <c r="Y296" s="2">
        <f t="shared" ca="1" si="120"/>
        <v>11246751.126232252</v>
      </c>
      <c r="Z296" s="2">
        <f t="shared" ca="1" si="120"/>
        <v>11864593.648217417</v>
      </c>
      <c r="AA296" s="2">
        <f t="shared" ca="1" si="120"/>
        <v>12495285.326547481</v>
      </c>
    </row>
    <row r="297" spans="4:28" customFormat="1" x14ac:dyDescent="0.25">
      <c r="E297" t="s">
        <v>15</v>
      </c>
      <c r="F297" t="s">
        <v>7</v>
      </c>
      <c r="G297" s="2">
        <f t="shared" ref="G297:AA297" ca="1" si="121">-G296*G$18</f>
        <v>927911.60779153684</v>
      </c>
      <c r="H297" s="2">
        <f t="shared" ca="1" si="121"/>
        <v>-35759576.208468102</v>
      </c>
      <c r="I297" s="2">
        <f t="shared" ca="1" si="121"/>
        <v>-35534949.219783328</v>
      </c>
      <c r="J297" s="2">
        <f t="shared" ca="1" si="121"/>
        <v>-35819965.980137907</v>
      </c>
      <c r="K297" s="2">
        <f t="shared" ca="1" si="121"/>
        <v>-34838926.870423861</v>
      </c>
      <c r="L297" s="2">
        <f t="shared" ca="1" si="121"/>
        <v>-33832286.156470805</v>
      </c>
      <c r="M297" s="2">
        <f t="shared" ca="1" si="121"/>
        <v>-32844694.855461992</v>
      </c>
      <c r="N297" s="2">
        <f t="shared" ca="1" si="121"/>
        <v>-31887754.648657091</v>
      </c>
      <c r="O297" s="2">
        <f t="shared" ca="1" si="121"/>
        <v>-30962858.523777395</v>
      </c>
      <c r="P297" s="2">
        <f t="shared" ca="1" si="121"/>
        <v>-31786901.64819153</v>
      </c>
      <c r="Q297" s="2">
        <f t="shared" ca="1" si="121"/>
        <v>-32624285.789887525</v>
      </c>
      <c r="R297" s="2">
        <f t="shared" ca="1" si="121"/>
        <v>-34733641.154968984</v>
      </c>
      <c r="S297" s="2">
        <f t="shared" ca="1" si="121"/>
        <v>-37083718.719625257</v>
      </c>
      <c r="T297" s="2">
        <f t="shared" ca="1" si="121"/>
        <v>-39576464.933266059</v>
      </c>
      <c r="U297" s="2">
        <f t="shared" ca="1" si="121"/>
        <v>-40639479.810294233</v>
      </c>
      <c r="V297" s="2">
        <f t="shared" ca="1" si="121"/>
        <v>-41743919.352842309</v>
      </c>
      <c r="W297" s="2">
        <f t="shared" ca="1" si="121"/>
        <v>-3014745.9545299988</v>
      </c>
      <c r="X297" s="2">
        <f t="shared" ca="1" si="121"/>
        <v>-3192491.4462079634</v>
      </c>
      <c r="Y297" s="2">
        <f t="shared" ca="1" si="121"/>
        <v>-3374025.3378696754</v>
      </c>
      <c r="Z297" s="2">
        <f t="shared" ca="1" si="121"/>
        <v>-3559378.094465225</v>
      </c>
      <c r="AA297" s="2">
        <f t="shared" ca="1" si="121"/>
        <v>-3748585.5979642444</v>
      </c>
    </row>
    <row r="298" spans="4:28" customFormat="1" x14ac:dyDescent="0.25"/>
    <row r="299" spans="4:28" customFormat="1" x14ac:dyDescent="0.25">
      <c r="D299" t="s">
        <v>28</v>
      </c>
    </row>
    <row r="300" spans="4:28" customFormat="1" x14ac:dyDescent="0.25">
      <c r="E300" t="s">
        <v>1</v>
      </c>
      <c r="F300" t="s">
        <v>7</v>
      </c>
      <c r="G300" s="2">
        <f t="shared" ref="G300:AA307" si="122">G234</f>
        <v>-278373482.33746105</v>
      </c>
      <c r="H300" s="2">
        <f t="shared" si="122"/>
        <v>-171657545.33356231</v>
      </c>
      <c r="I300" s="2">
        <f t="shared" si="122"/>
        <v>-49231764.595975578</v>
      </c>
      <c r="J300" s="2">
        <f t="shared" si="122"/>
        <v>-39210916.101468235</v>
      </c>
      <c r="K300" s="2">
        <f t="shared" si="122"/>
        <v>-38932954.084243372</v>
      </c>
      <c r="L300" s="2">
        <f t="shared" si="122"/>
        <v>-38872005.189128622</v>
      </c>
      <c r="M300" s="2">
        <f t="shared" si="122"/>
        <v>-38509735.998292193</v>
      </c>
      <c r="N300" s="2">
        <f t="shared" si="122"/>
        <v>-38565891.893987045</v>
      </c>
      <c r="O300" s="2">
        <f t="shared" si="122"/>
        <v>-39175015.157698087</v>
      </c>
      <c r="P300" s="2">
        <f t="shared" si="122"/>
        <v>-39500772.279603362</v>
      </c>
      <c r="Q300" s="2">
        <f t="shared" si="122"/>
        <v>-40468873.832513496</v>
      </c>
      <c r="R300" s="2">
        <f t="shared" si="122"/>
        <v>-41484696.859103203</v>
      </c>
      <c r="S300" s="2">
        <f t="shared" si="122"/>
        <v>-42371020.957361422</v>
      </c>
      <c r="T300" s="2">
        <f t="shared" si="122"/>
        <v>-43179185.047618181</v>
      </c>
      <c r="U300" s="2">
        <f t="shared" si="122"/>
        <v>-44025285.369058631</v>
      </c>
      <c r="V300" s="2">
        <f t="shared" si="122"/>
        <v>-45004305.786332041</v>
      </c>
      <c r="W300" s="2">
        <f t="shared" si="122"/>
        <v>-12269067.711646918</v>
      </c>
      <c r="X300" s="2">
        <f t="shared" si="122"/>
        <v>-12515869.266792528</v>
      </c>
      <c r="Y300" s="2">
        <f t="shared" si="122"/>
        <v>-12761979.123842647</v>
      </c>
      <c r="Z300" s="2">
        <f t="shared" si="122"/>
        <v>-13027984.722761476</v>
      </c>
      <c r="AA300" s="2">
        <f t="shared" si="122"/>
        <v>-13312870.697448894</v>
      </c>
    </row>
    <row r="301" spans="4:28" customFormat="1" x14ac:dyDescent="0.25">
      <c r="E301" t="s">
        <v>19</v>
      </c>
      <c r="F301" t="s">
        <v>7</v>
      </c>
      <c r="G301" s="2">
        <f t="shared" si="122"/>
        <v>0</v>
      </c>
      <c r="H301" s="2">
        <f t="shared" si="122"/>
        <v>0</v>
      </c>
      <c r="I301" s="2">
        <f t="shared" si="122"/>
        <v>0</v>
      </c>
      <c r="J301" s="2">
        <f t="shared" si="122"/>
        <v>0</v>
      </c>
      <c r="K301" s="2">
        <f t="shared" si="122"/>
        <v>0</v>
      </c>
      <c r="L301" s="2">
        <f t="shared" si="122"/>
        <v>0</v>
      </c>
      <c r="M301" s="2">
        <f t="shared" si="122"/>
        <v>0</v>
      </c>
      <c r="N301" s="2">
        <f t="shared" si="122"/>
        <v>0</v>
      </c>
      <c r="O301" s="2">
        <f t="shared" si="122"/>
        <v>0</v>
      </c>
      <c r="P301" s="2">
        <f t="shared" si="122"/>
        <v>0</v>
      </c>
      <c r="Q301" s="2">
        <f t="shared" si="122"/>
        <v>0</v>
      </c>
      <c r="R301" s="2">
        <f t="shared" si="122"/>
        <v>0</v>
      </c>
      <c r="S301" s="2">
        <f t="shared" si="122"/>
        <v>0</v>
      </c>
      <c r="T301" s="2">
        <f t="shared" si="122"/>
        <v>0</v>
      </c>
      <c r="U301" s="2">
        <f t="shared" si="122"/>
        <v>0</v>
      </c>
      <c r="V301" s="2">
        <f t="shared" si="122"/>
        <v>0</v>
      </c>
      <c r="W301" s="2">
        <f t="shared" si="122"/>
        <v>0</v>
      </c>
      <c r="X301" s="2">
        <f t="shared" si="122"/>
        <v>0</v>
      </c>
      <c r="Y301" s="2">
        <f t="shared" si="122"/>
        <v>0</v>
      </c>
      <c r="Z301" s="2">
        <f t="shared" si="122"/>
        <v>0</v>
      </c>
      <c r="AA301" s="2">
        <f t="shared" si="122"/>
        <v>0</v>
      </c>
    </row>
    <row r="302" spans="4:28" customFormat="1" x14ac:dyDescent="0.25">
      <c r="E302" t="s">
        <v>109</v>
      </c>
      <c r="F302" t="s">
        <v>7</v>
      </c>
      <c r="G302" s="2">
        <f t="shared" si="122"/>
        <v>0</v>
      </c>
      <c r="H302" s="2">
        <f t="shared" si="122"/>
        <v>0</v>
      </c>
      <c r="I302" s="2">
        <f t="shared" si="122"/>
        <v>0</v>
      </c>
      <c r="J302" s="2">
        <f t="shared" si="122"/>
        <v>0</v>
      </c>
      <c r="K302" s="2">
        <f t="shared" si="122"/>
        <v>0</v>
      </c>
      <c r="L302" s="2">
        <f t="shared" si="122"/>
        <v>0</v>
      </c>
      <c r="M302" s="2">
        <f t="shared" si="122"/>
        <v>0</v>
      </c>
      <c r="N302" s="2">
        <f t="shared" si="122"/>
        <v>0</v>
      </c>
      <c r="O302" s="2">
        <f t="shared" si="122"/>
        <v>0</v>
      </c>
      <c r="P302" s="2">
        <f t="shared" si="122"/>
        <v>0</v>
      </c>
      <c r="Q302" s="2">
        <f t="shared" si="122"/>
        <v>0</v>
      </c>
      <c r="R302" s="2">
        <f t="shared" si="122"/>
        <v>0</v>
      </c>
      <c r="S302" s="2">
        <f t="shared" si="122"/>
        <v>0</v>
      </c>
      <c r="T302" s="2">
        <f t="shared" si="122"/>
        <v>0</v>
      </c>
      <c r="U302" s="2">
        <f t="shared" si="122"/>
        <v>0</v>
      </c>
      <c r="V302" s="2">
        <f t="shared" si="122"/>
        <v>0</v>
      </c>
      <c r="W302" s="2">
        <f t="shared" si="122"/>
        <v>0</v>
      </c>
      <c r="X302" s="2">
        <f t="shared" si="122"/>
        <v>0</v>
      </c>
      <c r="Y302" s="2">
        <f t="shared" si="122"/>
        <v>0</v>
      </c>
      <c r="Z302" s="2">
        <f t="shared" si="122"/>
        <v>0</v>
      </c>
      <c r="AA302" s="2">
        <f t="shared" si="122"/>
        <v>0</v>
      </c>
    </row>
    <row r="303" spans="4:28" customFormat="1" x14ac:dyDescent="0.25">
      <c r="E303" t="s">
        <v>11</v>
      </c>
      <c r="F303" t="s">
        <v>7</v>
      </c>
      <c r="G303" s="2">
        <f t="shared" si="122"/>
        <v>0</v>
      </c>
      <c r="H303" s="2">
        <f t="shared" si="122"/>
        <v>5730279.1154912952</v>
      </c>
      <c r="I303" s="2">
        <f t="shared" si="122"/>
        <v>11143945.112955689</v>
      </c>
      <c r="J303" s="2">
        <f t="shared" si="122"/>
        <v>16805764.863735929</v>
      </c>
      <c r="K303" s="2">
        <f t="shared" si="122"/>
        <v>22285446.789206967</v>
      </c>
      <c r="L303" s="2">
        <f t="shared" si="122"/>
        <v>27579990.726674557</v>
      </c>
      <c r="M303" s="2">
        <f t="shared" si="122"/>
        <v>32682630.855425775</v>
      </c>
      <c r="N303" s="2">
        <f t="shared" si="122"/>
        <v>37600600.956364922</v>
      </c>
      <c r="O303" s="2">
        <f t="shared" si="122"/>
        <v>42336446.976104259</v>
      </c>
      <c r="P303" s="2">
        <f t="shared" si="122"/>
        <v>47232096.173268065</v>
      </c>
      <c r="Q303" s="2">
        <f t="shared" si="122"/>
        <v>52291488.187219672</v>
      </c>
      <c r="R303" s="2">
        <f t="shared" si="122"/>
        <v>57772613.051332116</v>
      </c>
      <c r="S303" s="2">
        <f t="shared" si="122"/>
        <v>63727438.421148002</v>
      </c>
      <c r="T303" s="2">
        <f t="shared" si="122"/>
        <v>70177494.464348316</v>
      </c>
      <c r="U303" s="2">
        <f t="shared" si="122"/>
        <v>76841652.162715748</v>
      </c>
      <c r="V303" s="2">
        <f t="shared" si="122"/>
        <v>83734341.822200477</v>
      </c>
      <c r="W303" s="2">
        <f t="shared" si="122"/>
        <v>85492763.000466675</v>
      </c>
      <c r="X303" s="2">
        <f t="shared" si="122"/>
        <v>87288111.023476467</v>
      </c>
      <c r="Y303" s="2">
        <f t="shared" si="122"/>
        <v>89121161.354969457</v>
      </c>
      <c r="Z303" s="2">
        <f t="shared" si="122"/>
        <v>90992705.74342382</v>
      </c>
      <c r="AA303" s="2">
        <f t="shared" si="122"/>
        <v>92903552.564035699</v>
      </c>
      <c r="AB303" s="2">
        <f t="shared" ref="AB303:AB307" si="123">IF(V303=0,0,IF($G$15&gt;(AA303/V303)^(1/5)-1+2%,AA303*(AA303/V303)^(1/5)/($G$15-((AA303/V303)^(1/5)-1)),AA303*(1+$G$14)/$G$16))</f>
        <v>3096785085.4678631</v>
      </c>
    </row>
    <row r="304" spans="4:28" customFormat="1" x14ac:dyDescent="0.25">
      <c r="E304" t="s">
        <v>57</v>
      </c>
      <c r="F304" t="s">
        <v>7</v>
      </c>
      <c r="G304" s="2">
        <f t="shared" si="122"/>
        <v>0</v>
      </c>
      <c r="H304" s="2">
        <f t="shared" si="122"/>
        <v>-2404786.5085926489</v>
      </c>
      <c r="I304" s="2">
        <f t="shared" si="122"/>
        <v>-4947825.9706136668</v>
      </c>
      <c r="J304" s="2">
        <f t="shared" si="122"/>
        <v>-7676604.3885063874</v>
      </c>
      <c r="K304" s="2">
        <f t="shared" si="122"/>
        <v>-10161346.916344646</v>
      </c>
      <c r="L304" s="2">
        <f t="shared" si="122"/>
        <v>-12551126.455327233</v>
      </c>
      <c r="M304" s="2">
        <f t="shared" si="122"/>
        <v>-14845886.96423512</v>
      </c>
      <c r="N304" s="2">
        <f t="shared" si="122"/>
        <v>-17046769.266910296</v>
      </c>
      <c r="O304" s="2">
        <f t="shared" si="122"/>
        <v>-19154906.368610431</v>
      </c>
      <c r="P304" s="2">
        <f t="shared" si="122"/>
        <v>-21321264.609229665</v>
      </c>
      <c r="Q304" s="2">
        <f t="shared" si="122"/>
        <v>-23543352.085394409</v>
      </c>
      <c r="R304" s="2">
        <f t="shared" si="122"/>
        <v>-25949187.600124206</v>
      </c>
      <c r="S304" s="2">
        <f t="shared" si="122"/>
        <v>-28559854.673490092</v>
      </c>
      <c r="T304" s="2">
        <f t="shared" si="122"/>
        <v>-31388163.99365899</v>
      </c>
      <c r="U304" s="2">
        <f t="shared" si="122"/>
        <v>-34311633.802899733</v>
      </c>
      <c r="V304" s="2">
        <f t="shared" si="122"/>
        <v>-37333845.71050036</v>
      </c>
      <c r="W304" s="2">
        <f t="shared" si="122"/>
        <v>-38117856.470420867</v>
      </c>
      <c r="X304" s="2">
        <f t="shared" si="122"/>
        <v>-38918331.4562997</v>
      </c>
      <c r="Y304" s="2">
        <f t="shared" si="122"/>
        <v>-39735616.416881986</v>
      </c>
      <c r="Z304" s="2">
        <f t="shared" si="122"/>
        <v>-40570064.361636505</v>
      </c>
      <c r="AA304" s="2">
        <f t="shared" si="122"/>
        <v>-41422035.713230871</v>
      </c>
      <c r="AB304" s="2">
        <f t="shared" si="123"/>
        <v>-1380734523.7743652</v>
      </c>
    </row>
    <row r="305" spans="1:28" x14ac:dyDescent="0.25">
      <c r="E305" t="s">
        <v>10</v>
      </c>
      <c r="F305" t="s">
        <v>7</v>
      </c>
      <c r="G305" s="2">
        <f t="shared" si="122"/>
        <v>0</v>
      </c>
      <c r="H305" s="2">
        <f t="shared" si="122"/>
        <v>-841932.93599999999</v>
      </c>
      <c r="I305" s="2">
        <f t="shared" si="122"/>
        <v>-1680123.0085199999</v>
      </c>
      <c r="J305" s="2">
        <f t="shared" si="122"/>
        <v>-2528140.775254034</v>
      </c>
      <c r="K305" s="2">
        <f t="shared" si="122"/>
        <v>-3346164.580686369</v>
      </c>
      <c r="L305" s="2">
        <f t="shared" si="122"/>
        <v>-4132756.1804042216</v>
      </c>
      <c r="M305" s="2">
        <f t="shared" si="122"/>
        <v>-4887943.2377843512</v>
      </c>
      <c r="N305" s="2">
        <f t="shared" si="122"/>
        <v>-5612068.5798444618</v>
      </c>
      <c r="O305" s="2">
        <f t="shared" si="122"/>
        <v>-6305504.8848134279</v>
      </c>
      <c r="P305" s="2">
        <f t="shared" si="122"/>
        <v>-7017890.6442980804</v>
      </c>
      <c r="Q305" s="2">
        <f t="shared" si="122"/>
        <v>-7748339.9744357588</v>
      </c>
      <c r="R305" s="2">
        <f t="shared" si="122"/>
        <v>-8539168.0007091742</v>
      </c>
      <c r="S305" s="2">
        <f t="shared" si="122"/>
        <v>-9397277.8275837544</v>
      </c>
      <c r="T305" s="2">
        <f t="shared" si="122"/>
        <v>-10326933.638247568</v>
      </c>
      <c r="U305" s="2">
        <f t="shared" si="122"/>
        <v>-11287888.62109096</v>
      </c>
      <c r="V305" s="2">
        <f t="shared" si="122"/>
        <v>-12281276.563387854</v>
      </c>
      <c r="W305" s="2">
        <f t="shared" si="122"/>
        <v>-12539183.371218998</v>
      </c>
      <c r="X305" s="2">
        <f t="shared" si="122"/>
        <v>-12802506.222014595</v>
      </c>
      <c r="Y305" s="2">
        <f t="shared" si="122"/>
        <v>-13071358.8526769</v>
      </c>
      <c r="Z305" s="2">
        <f t="shared" si="122"/>
        <v>-13345857.388583114</v>
      </c>
      <c r="AA305" s="2">
        <f t="shared" si="122"/>
        <v>-13626120.393743359</v>
      </c>
      <c r="AB305" s="2">
        <f t="shared" si="123"/>
        <v>-454204013.12477952</v>
      </c>
    </row>
    <row r="306" spans="1:28" x14ac:dyDescent="0.25">
      <c r="E306" t="s">
        <v>48</v>
      </c>
      <c r="F306" t="s">
        <v>7</v>
      </c>
      <c r="G306" s="2">
        <f t="shared" si="122"/>
        <v>0</v>
      </c>
      <c r="H306" s="2">
        <f t="shared" si="122"/>
        <v>0</v>
      </c>
      <c r="I306" s="2">
        <f t="shared" si="122"/>
        <v>0</v>
      </c>
      <c r="J306" s="2">
        <f t="shared" si="122"/>
        <v>0</v>
      </c>
      <c r="K306" s="2">
        <f t="shared" si="122"/>
        <v>0</v>
      </c>
      <c r="L306" s="2">
        <f t="shared" si="122"/>
        <v>0</v>
      </c>
      <c r="M306" s="2">
        <f t="shared" si="122"/>
        <v>0</v>
      </c>
      <c r="N306" s="2">
        <f t="shared" si="122"/>
        <v>0</v>
      </c>
      <c r="O306" s="2">
        <f t="shared" si="122"/>
        <v>0</v>
      </c>
      <c r="P306" s="2">
        <f t="shared" si="122"/>
        <v>0</v>
      </c>
      <c r="Q306" s="2">
        <f t="shared" si="122"/>
        <v>0</v>
      </c>
      <c r="R306" s="2">
        <f t="shared" si="122"/>
        <v>0</v>
      </c>
      <c r="S306" s="2">
        <f t="shared" si="122"/>
        <v>0</v>
      </c>
      <c r="T306" s="2">
        <f t="shared" si="122"/>
        <v>0</v>
      </c>
      <c r="U306" s="2">
        <f t="shared" si="122"/>
        <v>0</v>
      </c>
      <c r="V306" s="2">
        <f t="shared" si="122"/>
        <v>0</v>
      </c>
      <c r="W306" s="2">
        <f t="shared" si="122"/>
        <v>0</v>
      </c>
      <c r="X306" s="2">
        <f t="shared" si="122"/>
        <v>0</v>
      </c>
      <c r="Y306" s="2">
        <f t="shared" si="122"/>
        <v>0</v>
      </c>
      <c r="Z306" s="2">
        <f t="shared" si="122"/>
        <v>0</v>
      </c>
      <c r="AA306" s="2">
        <f t="shared" si="122"/>
        <v>0</v>
      </c>
      <c r="AB306" s="2">
        <f t="shared" si="123"/>
        <v>0</v>
      </c>
    </row>
    <row r="307" spans="1:28" x14ac:dyDescent="0.25">
      <c r="E307" t="s">
        <v>49</v>
      </c>
      <c r="F307" t="s">
        <v>7</v>
      </c>
      <c r="G307" s="2">
        <f t="shared" si="122"/>
        <v>0</v>
      </c>
      <c r="H307" s="2">
        <f t="shared" si="122"/>
        <v>0</v>
      </c>
      <c r="I307" s="2">
        <f t="shared" si="122"/>
        <v>0</v>
      </c>
      <c r="J307" s="2">
        <f t="shared" si="122"/>
        <v>0</v>
      </c>
      <c r="K307" s="2">
        <f t="shared" si="122"/>
        <v>0</v>
      </c>
      <c r="L307" s="2">
        <f t="shared" si="122"/>
        <v>0</v>
      </c>
      <c r="M307" s="2">
        <f t="shared" si="122"/>
        <v>0</v>
      </c>
      <c r="N307" s="2">
        <f t="shared" si="122"/>
        <v>0</v>
      </c>
      <c r="O307" s="2">
        <f t="shared" si="122"/>
        <v>0</v>
      </c>
      <c r="P307" s="2">
        <f t="shared" si="122"/>
        <v>0</v>
      </c>
      <c r="Q307" s="2">
        <f t="shared" si="122"/>
        <v>0</v>
      </c>
      <c r="R307" s="2">
        <f t="shared" si="122"/>
        <v>0</v>
      </c>
      <c r="S307" s="2">
        <f t="shared" si="122"/>
        <v>0</v>
      </c>
      <c r="T307" s="2">
        <f t="shared" si="122"/>
        <v>0</v>
      </c>
      <c r="U307" s="2">
        <f t="shared" si="122"/>
        <v>0</v>
      </c>
      <c r="V307" s="2">
        <f t="shared" si="122"/>
        <v>0</v>
      </c>
      <c r="W307" s="2">
        <f t="shared" si="122"/>
        <v>0</v>
      </c>
      <c r="X307" s="2">
        <f t="shared" si="122"/>
        <v>0</v>
      </c>
      <c r="Y307" s="2">
        <f t="shared" si="122"/>
        <v>0</v>
      </c>
      <c r="Z307" s="2">
        <f t="shared" si="122"/>
        <v>0</v>
      </c>
      <c r="AA307" s="2">
        <f t="shared" si="122"/>
        <v>0</v>
      </c>
      <c r="AB307" s="2">
        <f t="shared" si="123"/>
        <v>0</v>
      </c>
    </row>
    <row r="308" spans="1:28" x14ac:dyDescent="0.25">
      <c r="E308" t="s">
        <v>20</v>
      </c>
      <c r="F308" t="s">
        <v>7</v>
      </c>
      <c r="G308" s="2">
        <f t="shared" ref="G308:AA308" ca="1" si="124">G297</f>
        <v>927911.60779153684</v>
      </c>
      <c r="H308" s="2">
        <f t="shared" ca="1" si="124"/>
        <v>-35759576.208468102</v>
      </c>
      <c r="I308" s="2">
        <f t="shared" ca="1" si="124"/>
        <v>-35534949.219783328</v>
      </c>
      <c r="J308" s="2">
        <f t="shared" ca="1" si="124"/>
        <v>-35819965.980137907</v>
      </c>
      <c r="K308" s="2">
        <f t="shared" ca="1" si="124"/>
        <v>-34838926.870423861</v>
      </c>
      <c r="L308" s="2">
        <f t="shared" ca="1" si="124"/>
        <v>-33832286.156470805</v>
      </c>
      <c r="M308" s="2">
        <f t="shared" ca="1" si="124"/>
        <v>-32844694.855461992</v>
      </c>
      <c r="N308" s="2">
        <f t="shared" ca="1" si="124"/>
        <v>-31887754.648657091</v>
      </c>
      <c r="O308" s="2">
        <f t="shared" ca="1" si="124"/>
        <v>-30962858.523777395</v>
      </c>
      <c r="P308" s="2">
        <f t="shared" ca="1" si="124"/>
        <v>-31786901.64819153</v>
      </c>
      <c r="Q308" s="2">
        <f t="shared" ca="1" si="124"/>
        <v>-32624285.789887525</v>
      </c>
      <c r="R308" s="2">
        <f t="shared" ca="1" si="124"/>
        <v>-34733641.154968984</v>
      </c>
      <c r="S308" s="2">
        <f t="shared" ca="1" si="124"/>
        <v>-37083718.719625257</v>
      </c>
      <c r="T308" s="2">
        <f t="shared" ca="1" si="124"/>
        <v>-39576464.933266059</v>
      </c>
      <c r="U308" s="2">
        <f t="shared" ca="1" si="124"/>
        <v>-40639479.810294233</v>
      </c>
      <c r="V308" s="2">
        <f t="shared" ca="1" si="124"/>
        <v>-41743919.352842309</v>
      </c>
      <c r="W308" s="2">
        <f t="shared" ca="1" si="124"/>
        <v>-3014745.9545299988</v>
      </c>
      <c r="X308" s="2">
        <f t="shared" ca="1" si="124"/>
        <v>-3192491.4462079634</v>
      </c>
      <c r="Y308" s="2">
        <f t="shared" ca="1" si="124"/>
        <v>-3374025.3378696754</v>
      </c>
      <c r="Z308" s="2">
        <f t="shared" ca="1" si="124"/>
        <v>-3559378.094465225</v>
      </c>
      <c r="AA308" s="2">
        <f t="shared" ca="1" si="124"/>
        <v>-3748585.5979642444</v>
      </c>
      <c r="AB308" s="2">
        <f ca="1">IF(V308=0,0,IF($G$15&gt;(AA308/V308)^(1/5)-1+2%,AA308*(AA308/V308)^(1/5)/($G$15-((AA308/V308)^(1/5)-1)),AA308*(1+$G$14)/$G$16))</f>
        <v>-5332463.7211599927</v>
      </c>
    </row>
    <row r="309" spans="1:28" x14ac:dyDescent="0.25">
      <c r="E309" t="s">
        <v>173</v>
      </c>
      <c r="F309" t="s">
        <v>7</v>
      </c>
      <c r="G309" s="2">
        <f ca="1">-$G$17*G308</f>
        <v>-463955.80389576842</v>
      </c>
      <c r="H309" s="2">
        <f t="shared" ref="H309:AA309" ca="1" si="125">-$G$17*H308</f>
        <v>17879788.104234051</v>
      </c>
      <c r="I309" s="2">
        <f t="shared" ca="1" si="125"/>
        <v>17767474.609891664</v>
      </c>
      <c r="J309" s="2">
        <f t="shared" ca="1" si="125"/>
        <v>17909982.990068953</v>
      </c>
      <c r="K309" s="2">
        <f t="shared" ca="1" si="125"/>
        <v>17419463.43521193</v>
      </c>
      <c r="L309" s="2">
        <f t="shared" ca="1" si="125"/>
        <v>16916143.078235403</v>
      </c>
      <c r="M309" s="2">
        <f t="shared" ca="1" si="125"/>
        <v>16422347.427730996</v>
      </c>
      <c r="N309" s="2">
        <f t="shared" ca="1" si="125"/>
        <v>15943877.324328545</v>
      </c>
      <c r="O309" s="2">
        <f t="shared" ca="1" si="125"/>
        <v>15481429.261888698</v>
      </c>
      <c r="P309" s="2">
        <f t="shared" ca="1" si="125"/>
        <v>15893450.824095765</v>
      </c>
      <c r="Q309" s="2">
        <f t="shared" ca="1" si="125"/>
        <v>16312142.894943763</v>
      </c>
      <c r="R309" s="2">
        <f t="shared" ca="1" si="125"/>
        <v>17366820.577484492</v>
      </c>
      <c r="S309" s="2">
        <f t="shared" ca="1" si="125"/>
        <v>18541859.359812628</v>
      </c>
      <c r="T309" s="2">
        <f t="shared" ca="1" si="125"/>
        <v>19788232.466633029</v>
      </c>
      <c r="U309" s="2">
        <f t="shared" ca="1" si="125"/>
        <v>20319739.905147117</v>
      </c>
      <c r="V309" s="2">
        <f t="shared" ca="1" si="125"/>
        <v>20871959.676421154</v>
      </c>
      <c r="W309" s="2">
        <f t="shared" ca="1" si="125"/>
        <v>1507372.9772649994</v>
      </c>
      <c r="X309" s="2">
        <f t="shared" ca="1" si="125"/>
        <v>1596245.7231039817</v>
      </c>
      <c r="Y309" s="2">
        <f t="shared" ca="1" si="125"/>
        <v>1687012.6689348377</v>
      </c>
      <c r="Z309" s="2">
        <f t="shared" ca="1" si="125"/>
        <v>1779689.0472326125</v>
      </c>
      <c r="AA309" s="2">
        <f t="shared" ca="1" si="125"/>
        <v>1874292.7989821222</v>
      </c>
      <c r="AB309" s="2">
        <f t="shared" ref="AB309" ca="1" si="126">IF(V309=0,0,IF($G$15&gt;(AA309/V309)^(1/5)-1+2%,AA309*(AA309/V309)^(1/5)/($G$15-((AA309/V309)^(1/5)-1)),AA309*(1+$G$14)/$G$16))</f>
        <v>2666231.8605799964</v>
      </c>
    </row>
    <row r="310" spans="1:28" x14ac:dyDescent="0.25">
      <c r="E310" t="s">
        <v>23</v>
      </c>
      <c r="F310" t="s">
        <v>7</v>
      </c>
      <c r="G310" s="2">
        <f t="shared" ref="G310:AB310" ca="1" si="127">SUM(G300:G309)</f>
        <v>-277909526.53356528</v>
      </c>
      <c r="H310" s="2">
        <f t="shared" ca="1" si="127"/>
        <v>-187053773.76689771</v>
      </c>
      <c r="I310" s="2">
        <f t="shared" ca="1" si="127"/>
        <v>-62483243.072045222</v>
      </c>
      <c r="J310" s="2">
        <f t="shared" ca="1" si="127"/>
        <v>-50519879.391561672</v>
      </c>
      <c r="K310" s="2">
        <f t="shared" ca="1" si="127"/>
        <v>-47574482.22727935</v>
      </c>
      <c r="L310" s="2">
        <f t="shared" ca="1" si="127"/>
        <v>-44892040.176420927</v>
      </c>
      <c r="M310" s="2">
        <f t="shared" ca="1" si="127"/>
        <v>-41983282.772616893</v>
      </c>
      <c r="N310" s="2">
        <f t="shared" ca="1" si="127"/>
        <v>-39568006.108705431</v>
      </c>
      <c r="O310" s="2">
        <f t="shared" ca="1" si="127"/>
        <v>-37780408.696906388</v>
      </c>
      <c r="P310" s="2">
        <f t="shared" ca="1" si="127"/>
        <v>-36501282.183958806</v>
      </c>
      <c r="Q310" s="2">
        <f t="shared" ca="1" si="127"/>
        <v>-35781220.60006775</v>
      </c>
      <c r="R310" s="2">
        <f t="shared" ca="1" si="127"/>
        <v>-35567259.986088961</v>
      </c>
      <c r="S310" s="2">
        <f t="shared" ca="1" si="127"/>
        <v>-35142574.397099897</v>
      </c>
      <c r="T310" s="2">
        <f t="shared" ca="1" si="127"/>
        <v>-34505020.681809448</v>
      </c>
      <c r="U310" s="2">
        <f t="shared" ca="1" si="127"/>
        <v>-33102895.535480697</v>
      </c>
      <c r="V310" s="2">
        <f t="shared" ca="1" si="127"/>
        <v>-31757045.914440934</v>
      </c>
      <c r="W310" s="2">
        <f t="shared" ca="1" si="127"/>
        <v>21059282.469914898</v>
      </c>
      <c r="X310" s="2">
        <f t="shared" ca="1" si="127"/>
        <v>21455158.35526567</v>
      </c>
      <c r="Y310" s="2">
        <f t="shared" ca="1" si="127"/>
        <v>21865194.292633094</v>
      </c>
      <c r="Z310" s="2">
        <f t="shared" ca="1" si="127"/>
        <v>22269110.223210104</v>
      </c>
      <c r="AA310" s="2">
        <f t="shared" ca="1" si="127"/>
        <v>22668232.96063045</v>
      </c>
      <c r="AB310" s="2">
        <f t="shared" ca="1" si="127"/>
        <v>1259180316.7081385</v>
      </c>
    </row>
    <row r="311" spans="1:28" x14ac:dyDescent="0.25">
      <c r="E311" t="s">
        <v>31</v>
      </c>
      <c r="F311" t="s">
        <v>7</v>
      </c>
      <c r="G311" s="2">
        <f ca="1">NPV($G$15,H310:AB310)+G310</f>
        <v>-365637992.2887758</v>
      </c>
    </row>
    <row r="313" spans="1:28" x14ac:dyDescent="0.25">
      <c r="E313" t="s">
        <v>13</v>
      </c>
      <c r="F313" t="s">
        <v>7</v>
      </c>
      <c r="G313" s="2">
        <f t="shared" ref="G313:AA313" ca="1" si="128">G285</f>
        <v>0</v>
      </c>
      <c r="H313" s="2">
        <f t="shared" ca="1" si="128"/>
        <v>31271437.431450862</v>
      </c>
      <c r="I313" s="2">
        <f t="shared" ca="1" si="128"/>
        <v>31928137.617511328</v>
      </c>
      <c r="J313" s="2">
        <f t="shared" ca="1" si="128"/>
        <v>32598628.507479064</v>
      </c>
      <c r="K313" s="2">
        <f t="shared" ca="1" si="128"/>
        <v>33283199.706136122</v>
      </c>
      <c r="L313" s="2">
        <f t="shared" ca="1" si="128"/>
        <v>33982146.899964981</v>
      </c>
      <c r="M313" s="2">
        <f t="shared" ca="1" si="128"/>
        <v>34695771.984864242</v>
      </c>
      <c r="N313" s="2">
        <f t="shared" ca="1" si="128"/>
        <v>35424383.196546391</v>
      </c>
      <c r="O313" s="2">
        <f t="shared" ca="1" si="128"/>
        <v>36168295.243673861</v>
      </c>
      <c r="P313" s="2">
        <f t="shared" ca="1" si="128"/>
        <v>36927829.443791009</v>
      </c>
      <c r="Q313" s="2">
        <f t="shared" ca="1" si="128"/>
        <v>37703313.862110615</v>
      </c>
      <c r="R313" s="2">
        <f t="shared" ca="1" si="128"/>
        <v>38495083.453214936</v>
      </c>
      <c r="S313" s="2">
        <f t="shared" ca="1" si="128"/>
        <v>39303480.205732442</v>
      </c>
      <c r="T313" s="2">
        <f t="shared" ca="1" si="128"/>
        <v>40128853.290052824</v>
      </c>
      <c r="U313" s="2">
        <f t="shared" ca="1" si="128"/>
        <v>40971559.209143929</v>
      </c>
      <c r="V313" s="2">
        <f t="shared" ca="1" si="128"/>
        <v>41831961.95253595</v>
      </c>
      <c r="W313" s="2">
        <f t="shared" ca="1" si="128"/>
        <v>0</v>
      </c>
      <c r="X313" s="2">
        <f t="shared" ca="1" si="128"/>
        <v>0</v>
      </c>
      <c r="Y313" s="2">
        <f t="shared" ca="1" si="128"/>
        <v>0</v>
      </c>
      <c r="Z313" s="2">
        <f t="shared" ca="1" si="128"/>
        <v>0</v>
      </c>
      <c r="AA313" s="2">
        <f t="shared" ca="1" si="128"/>
        <v>0</v>
      </c>
    </row>
    <row r="314" spans="1:28" x14ac:dyDescent="0.25">
      <c r="E314" t="s">
        <v>24</v>
      </c>
      <c r="F314" t="s">
        <v>7</v>
      </c>
      <c r="G314" s="2">
        <f ca="1">NPV($G$15,H313:AA313)+G313</f>
        <v>365637992.28877598</v>
      </c>
    </row>
    <row r="315" spans="1:28" x14ac:dyDescent="0.25">
      <c r="E315" s="3" t="s">
        <v>34</v>
      </c>
      <c r="F315" s="3"/>
      <c r="G315" s="4" t="str">
        <f ca="1">IF(G311&gt;0,"N/A",IF(ABS(G311+G314)&gt;1,"Error","OK"))</f>
        <v>OK</v>
      </c>
    </row>
    <row r="318" spans="1:28" x14ac:dyDescent="0.25">
      <c r="C318" s="1" t="s">
        <v>110</v>
      </c>
    </row>
    <row r="319" spans="1:28" x14ac:dyDescent="0.25">
      <c r="E319" t="s">
        <v>116</v>
      </c>
      <c r="F319" t="s">
        <v>117</v>
      </c>
    </row>
    <row r="320" spans="1:28" x14ac:dyDescent="0.25">
      <c r="A320" s="14">
        <f>'Notes &amp; Assumptions'!A68</f>
        <v>55</v>
      </c>
      <c r="E320" s="19" t="s">
        <v>111</v>
      </c>
      <c r="F320" s="19" t="s">
        <v>119</v>
      </c>
    </row>
    <row r="321" spans="5:6" customFormat="1" x14ac:dyDescent="0.25">
      <c r="E321" s="19" t="s">
        <v>112</v>
      </c>
      <c r="F321" s="19" t="s">
        <v>120</v>
      </c>
    </row>
    <row r="322" spans="5:6" customFormat="1" x14ac:dyDescent="0.25">
      <c r="E322" s="19" t="s">
        <v>113</v>
      </c>
      <c r="F322" s="19" t="s">
        <v>121</v>
      </c>
    </row>
  </sheetData>
  <mergeCells count="1">
    <mergeCell ref="G4:H4"/>
  </mergeCells>
  <dataValidations count="1">
    <dataValidation type="list" showInputMessage="1" showErrorMessage="1" sqref="G4" xr:uid="{D00C209A-24C4-4ED1-9C5E-DED26D27654D}">
      <formula1>$E$320:$E$322</formula1>
    </dataValidation>
  </dataValidation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66B60B-600F-4FFA-9D9B-83596B4358C8}">
  <dimension ref="A2:AC322"/>
  <sheetViews>
    <sheetView showGridLines="0" workbookViewId="0">
      <selection activeCell="L21" sqref="L21"/>
    </sheetView>
  </sheetViews>
  <sheetFormatPr defaultColWidth="11" defaultRowHeight="15.75" x14ac:dyDescent="0.25"/>
  <cols>
    <col min="1" max="1" width="7.625" style="14" customWidth="1"/>
    <col min="2" max="2" width="3.125" customWidth="1"/>
    <col min="3" max="3" width="3.375" customWidth="1"/>
    <col min="4" max="4" width="2.875" customWidth="1"/>
    <col min="5" max="5" width="36.5" bestFit="1" customWidth="1"/>
    <col min="6" max="6" width="17.5" customWidth="1"/>
    <col min="7" max="27" width="15.625" customWidth="1"/>
    <col min="28" max="28" width="11.125" customWidth="1"/>
  </cols>
  <sheetData>
    <row r="2" spans="1:27" x14ac:dyDescent="0.25">
      <c r="C2" s="1" t="s">
        <v>0</v>
      </c>
      <c r="D2" s="1"/>
      <c r="G2">
        <v>0</v>
      </c>
      <c r="H2">
        <v>1</v>
      </c>
      <c r="I2">
        <v>2</v>
      </c>
      <c r="J2">
        <v>3</v>
      </c>
      <c r="K2">
        <v>4</v>
      </c>
      <c r="L2">
        <v>5</v>
      </c>
      <c r="M2">
        <v>6</v>
      </c>
      <c r="N2">
        <v>7</v>
      </c>
      <c r="O2">
        <v>8</v>
      </c>
      <c r="P2">
        <v>9</v>
      </c>
      <c r="Q2">
        <v>10</v>
      </c>
      <c r="R2">
        <v>11</v>
      </c>
      <c r="S2">
        <v>12</v>
      </c>
      <c r="T2">
        <v>13</v>
      </c>
      <c r="U2">
        <v>14</v>
      </c>
      <c r="V2">
        <v>15</v>
      </c>
      <c r="W2">
        <v>16</v>
      </c>
      <c r="X2">
        <v>17</v>
      </c>
      <c r="Y2">
        <v>18</v>
      </c>
      <c r="Z2">
        <v>19</v>
      </c>
      <c r="AA2">
        <v>20</v>
      </c>
    </row>
    <row r="4" spans="1:27" x14ac:dyDescent="0.25">
      <c r="A4" s="14">
        <f>'Notes &amp; Assumptions'!A14</f>
        <v>1</v>
      </c>
      <c r="C4" s="1" t="s">
        <v>114</v>
      </c>
      <c r="F4" t="s">
        <v>115</v>
      </c>
      <c r="G4" s="368" t="s">
        <v>113</v>
      </c>
      <c r="H4" s="368"/>
    </row>
    <row r="6" spans="1:27" x14ac:dyDescent="0.25">
      <c r="C6" s="1" t="s">
        <v>126</v>
      </c>
    </row>
    <row r="7" spans="1:27" x14ac:dyDescent="0.25">
      <c r="A7" s="14">
        <f>'Notes &amp; Assumptions'!A15</f>
        <v>2</v>
      </c>
      <c r="E7" s="10" t="s">
        <v>128</v>
      </c>
      <c r="F7" t="s">
        <v>145</v>
      </c>
      <c r="G7" s="10">
        <v>80</v>
      </c>
    </row>
    <row r="8" spans="1:27" x14ac:dyDescent="0.25">
      <c r="A8" s="14">
        <f>'Notes &amp; Assumptions'!A16</f>
        <v>3</v>
      </c>
      <c r="E8" s="10" t="s">
        <v>129</v>
      </c>
      <c r="F8" t="s">
        <v>145</v>
      </c>
      <c r="G8" s="10">
        <v>25</v>
      </c>
    </row>
    <row r="9" spans="1:27" x14ac:dyDescent="0.25">
      <c r="A9" s="14">
        <f>'Notes &amp; Assumptions'!A17</f>
        <v>4</v>
      </c>
      <c r="E9" s="10" t="s">
        <v>130</v>
      </c>
      <c r="F9" t="s">
        <v>145</v>
      </c>
      <c r="G9" s="10">
        <v>30</v>
      </c>
    </row>
    <row r="10" spans="1:27" x14ac:dyDescent="0.25">
      <c r="A10" s="14">
        <f>'Notes &amp; Assumptions'!A18</f>
        <v>5</v>
      </c>
      <c r="E10" t="s">
        <v>127</v>
      </c>
      <c r="F10" t="s">
        <v>145</v>
      </c>
      <c r="G10" s="10">
        <v>5</v>
      </c>
    </row>
    <row r="13" spans="1:27" x14ac:dyDescent="0.25">
      <c r="C13" s="1" t="s">
        <v>92</v>
      </c>
    </row>
    <row r="14" spans="1:27" x14ac:dyDescent="0.25">
      <c r="A14" s="14">
        <f>'Notes &amp; Assumptions'!A19</f>
        <v>6</v>
      </c>
      <c r="E14" t="s">
        <v>5</v>
      </c>
      <c r="F14" t="s">
        <v>8</v>
      </c>
      <c r="G14" s="17">
        <f>'20 New UGB Water'!G14</f>
        <v>2.1000000000000001E-2</v>
      </c>
    </row>
    <row r="15" spans="1:27" x14ac:dyDescent="0.25">
      <c r="A15" s="14">
        <f>'Notes &amp; Assumptions'!A20</f>
        <v>7</v>
      </c>
      <c r="E15" t="s">
        <v>32</v>
      </c>
      <c r="F15" t="s">
        <v>8</v>
      </c>
      <c r="G15" s="17">
        <f>'20 New UGB Water'!G15</f>
        <v>5.1629999999999843E-2</v>
      </c>
    </row>
    <row r="16" spans="1:27" x14ac:dyDescent="0.25">
      <c r="E16" t="s">
        <v>30</v>
      </c>
      <c r="F16" t="s">
        <v>8</v>
      </c>
      <c r="G16" s="18">
        <f>(1+G15)/(1+G14)-1</f>
        <v>3.0000000000000027E-2</v>
      </c>
    </row>
    <row r="17" spans="1:27" x14ac:dyDescent="0.25">
      <c r="E17" t="s">
        <v>171</v>
      </c>
      <c r="F17" t="s">
        <v>8</v>
      </c>
      <c r="G17" s="11">
        <v>0.5</v>
      </c>
    </row>
    <row r="18" spans="1:27" x14ac:dyDescent="0.25">
      <c r="A18" s="14">
        <f>'Notes &amp; Assumptions'!A22</f>
        <v>9</v>
      </c>
      <c r="E18" t="s">
        <v>16</v>
      </c>
      <c r="F18" t="s">
        <v>8</v>
      </c>
      <c r="G18" s="11">
        <v>0.3</v>
      </c>
      <c r="H18" s="11">
        <v>0.3</v>
      </c>
      <c r="I18" s="11">
        <v>0.3</v>
      </c>
      <c r="J18" s="11">
        <v>0.3</v>
      </c>
      <c r="K18" s="11">
        <v>0.3</v>
      </c>
      <c r="L18" s="11">
        <v>0.3</v>
      </c>
      <c r="M18" s="11">
        <v>0.3</v>
      </c>
      <c r="N18" s="11">
        <v>0.3</v>
      </c>
      <c r="O18" s="11">
        <v>0.3</v>
      </c>
      <c r="P18" s="11">
        <v>0.3</v>
      </c>
      <c r="Q18" s="11">
        <v>0.3</v>
      </c>
      <c r="R18" s="11">
        <v>0.3</v>
      </c>
      <c r="S18" s="11">
        <v>0.3</v>
      </c>
      <c r="T18" s="11">
        <v>0.3</v>
      </c>
      <c r="U18" s="11">
        <v>0.3</v>
      </c>
      <c r="V18" s="11">
        <v>0.3</v>
      </c>
      <c r="W18" s="11">
        <v>0.3</v>
      </c>
      <c r="X18" s="11">
        <v>0.3</v>
      </c>
      <c r="Y18" s="11">
        <v>0.3</v>
      </c>
      <c r="Z18" s="11">
        <v>0.3</v>
      </c>
      <c r="AA18" s="11">
        <v>0.3</v>
      </c>
    </row>
    <row r="20" spans="1:27" x14ac:dyDescent="0.25">
      <c r="A20" s="14">
        <f>'Notes &amp; Assumptions'!A23</f>
        <v>10</v>
      </c>
      <c r="C20" s="1" t="s">
        <v>1</v>
      </c>
      <c r="D20" s="1"/>
    </row>
    <row r="21" spans="1:27" x14ac:dyDescent="0.25">
      <c r="E21" s="2" t="str">
        <f>E7</f>
        <v>Pipes</v>
      </c>
      <c r="F21" t="s">
        <v>7</v>
      </c>
      <c r="G21" s="43">
        <f>IF('Key assumptions'!B3="yes",SUM('Historical growth capex'!M74:V74),0)+'20 Greenvale RW'!G21+'20 Epping North RW'!G21</f>
        <v>31603691.379977748</v>
      </c>
      <c r="H21" s="10">
        <f>'Forecast capex'!J102*1000*(1+$G$14)^H2+'20 Greenvale RW'!H21+'20 Epping North RW'!H21</f>
        <v>238420.80753308855</v>
      </c>
      <c r="I21" s="10">
        <f>'Forecast capex'!K102*1000*(1+$G$14)^I2+'20 Greenvale RW'!I21+'20 Epping North RW'!I21</f>
        <v>1511371.2323077051</v>
      </c>
      <c r="J21" s="10">
        <f>'Forecast capex'!L102*1000*(1+$G$14)^J2+'20 Greenvale RW'!J21+'20 Epping North RW'!J21</f>
        <v>1859814.5462058275</v>
      </c>
      <c r="K21" s="10">
        <f>'Forecast capex'!M102*1000*(1+$G$14)^K2+'20 Greenvale RW'!K21+'20 Epping North RW'!K21</f>
        <v>0</v>
      </c>
      <c r="L21" s="10">
        <f>'Forecast capex'!N102*1000*(1+$G$14)^L2+'20 Greenvale RW'!L21+'20 Epping North RW'!L21</f>
        <v>1994418.449607946</v>
      </c>
      <c r="M21" s="10">
        <f>'Forecast capex'!O102*1000*(1+$G$14)^M2+'20 Greenvale RW'!M21+'20 Epping North RW'!M21</f>
        <v>1360077.1679169273</v>
      </c>
      <c r="N21" s="10">
        <f>'Forecast capex'!P102*1000*(1+$G$14)^N2+'20 Greenvale RW'!N21+'20 Epping North RW'!N21</f>
        <v>0</v>
      </c>
      <c r="O21" s="10">
        <f>'Forecast capex'!Q102*1000*(1+$G$14)^O2+'20 Greenvale RW'!O21+'20 Epping North RW'!O21</f>
        <v>0</v>
      </c>
      <c r="P21" s="10">
        <f>'Forecast capex'!R102*1000*(1+$G$14)^P2+'20 Greenvale RW'!P21+'20 Epping North RW'!P21</f>
        <v>0</v>
      </c>
      <c r="Q21" s="10">
        <f>'Forecast capex'!S102*1000*(1+$G$14)^Q2+'20 Greenvale RW'!Q21+'20 Epping North RW'!Q21</f>
        <v>0</v>
      </c>
      <c r="R21" s="10">
        <f>'Forecast capex'!T102*1000*(1+$G$14)^R2+'20 Greenvale RW'!R21+'20 Epping North RW'!R21</f>
        <v>0</v>
      </c>
      <c r="S21" s="10">
        <f>'Forecast capex'!U102*1000*(1+$G$14)^S2+'20 Greenvale RW'!S21+'20 Epping North RW'!S21</f>
        <v>0</v>
      </c>
      <c r="T21" s="10">
        <f>'Forecast capex'!V102*1000*(1+$G$14)^T2+'20 Greenvale RW'!T21+'20 Epping North RW'!T21</f>
        <v>0</v>
      </c>
      <c r="U21" s="10">
        <f>'Forecast capex'!W102*1000*(1+$G$14)^U2+'20 Greenvale RW'!U21+'20 Epping North RW'!U21</f>
        <v>0</v>
      </c>
      <c r="V21" s="10">
        <f>'Forecast capex'!X102*1000*(1+$G$14)^V2+'20 Greenvale RW'!V21+'20 Epping North RW'!V21</f>
        <v>0</v>
      </c>
      <c r="W21" s="10">
        <f>'Forecast capex'!Y102*1000*(1+$G$14)^W2+'20 Greenvale RW'!W21+'20 Epping North RW'!W21</f>
        <v>0</v>
      </c>
      <c r="X21" s="10">
        <f>'Forecast capex'!Z102*1000*(1+$G$14)^X2+'20 Greenvale RW'!X21+'20 Epping North RW'!X21</f>
        <v>0</v>
      </c>
      <c r="Y21" s="10">
        <f>'Forecast capex'!AA102*1000*(1+$G$14)^Y2+'20 Greenvale RW'!Y21+'20 Epping North RW'!Y21</f>
        <v>0</v>
      </c>
      <c r="Z21" s="10">
        <f>'Forecast capex'!AB102*1000*(1+$G$14)^Z2+'20 Greenvale RW'!Z21+'20 Epping North RW'!Z21</f>
        <v>0</v>
      </c>
      <c r="AA21" s="10">
        <f>'Forecast capex'!AC102*1000*(1+$G$14)^AA2+'20 Greenvale RW'!AA21+'20 Epping North RW'!AA21</f>
        <v>0</v>
      </c>
    </row>
    <row r="22" spans="1:27" x14ac:dyDescent="0.25">
      <c r="E22" s="2" t="str">
        <f>E8</f>
        <v>Pumps</v>
      </c>
      <c r="F22" t="s">
        <v>7</v>
      </c>
      <c r="G22" s="10"/>
      <c r="H22" s="10"/>
      <c r="I22" s="10"/>
      <c r="J22" s="10"/>
      <c r="K22" s="10"/>
      <c r="L22" s="10"/>
      <c r="M22" s="10"/>
      <c r="N22" s="10"/>
      <c r="O22" s="10"/>
      <c r="P22" s="10"/>
      <c r="Q22" s="10"/>
      <c r="R22" s="10"/>
      <c r="S22" s="10"/>
      <c r="T22" s="10"/>
      <c r="U22" s="10"/>
      <c r="V22" s="10"/>
      <c r="W22" s="10"/>
      <c r="X22" s="10"/>
      <c r="Y22" s="10"/>
      <c r="Z22" s="10"/>
      <c r="AA22" s="10"/>
    </row>
    <row r="23" spans="1:27" x14ac:dyDescent="0.25">
      <c r="E23" s="2" t="str">
        <f>E9</f>
        <v>Valves and Meters</v>
      </c>
      <c r="F23" t="s">
        <v>7</v>
      </c>
      <c r="G23" s="10"/>
      <c r="H23" s="10"/>
      <c r="I23" s="10"/>
      <c r="J23" s="10"/>
      <c r="K23" s="10"/>
      <c r="L23" s="10"/>
      <c r="M23" s="10"/>
      <c r="N23" s="10"/>
      <c r="O23" s="10"/>
      <c r="P23" s="10"/>
      <c r="Q23" s="10"/>
      <c r="R23" s="10"/>
      <c r="S23" s="10"/>
      <c r="T23" s="10"/>
      <c r="U23" s="10"/>
      <c r="V23" s="10"/>
      <c r="W23" s="10"/>
      <c r="X23" s="10"/>
      <c r="Y23" s="10"/>
      <c r="Z23" s="10"/>
      <c r="AA23" s="10"/>
    </row>
    <row r="24" spans="1:27" x14ac:dyDescent="0.25">
      <c r="E24" t="s">
        <v>127</v>
      </c>
      <c r="F24" t="s">
        <v>7</v>
      </c>
      <c r="G24" s="10"/>
      <c r="H24" s="10"/>
      <c r="I24" s="10"/>
      <c r="J24" s="10"/>
      <c r="K24" s="10"/>
      <c r="L24" s="10"/>
      <c r="M24" s="10"/>
      <c r="N24" s="10"/>
      <c r="O24" s="10"/>
      <c r="P24" s="10"/>
      <c r="Q24" s="10"/>
      <c r="R24" s="10"/>
      <c r="S24" s="10"/>
      <c r="T24" s="10"/>
      <c r="U24" s="10"/>
      <c r="V24" s="10"/>
      <c r="W24" s="10"/>
      <c r="X24" s="10"/>
      <c r="Y24" s="10"/>
      <c r="Z24" s="10"/>
      <c r="AA24" s="10"/>
    </row>
    <row r="25" spans="1:27" x14ac:dyDescent="0.25">
      <c r="E25" t="s">
        <v>131</v>
      </c>
      <c r="F25" t="s">
        <v>7</v>
      </c>
      <c r="G25" s="10"/>
      <c r="H25" s="10"/>
      <c r="I25" s="10"/>
      <c r="J25" s="10"/>
      <c r="K25" s="10"/>
      <c r="L25" s="10"/>
      <c r="M25" s="10"/>
      <c r="N25" s="10"/>
      <c r="O25" s="10"/>
      <c r="P25" s="10"/>
      <c r="Q25" s="10"/>
      <c r="R25" s="10"/>
      <c r="S25" s="10"/>
      <c r="T25" s="10"/>
      <c r="U25" s="10"/>
      <c r="V25" s="10"/>
      <c r="W25" s="10"/>
      <c r="X25" s="10"/>
      <c r="Y25" s="10"/>
      <c r="Z25" s="10"/>
      <c r="AA25" s="10"/>
    </row>
    <row r="26" spans="1:27" x14ac:dyDescent="0.25">
      <c r="G26" s="2">
        <f>SUM(G21:G25)</f>
        <v>31603691.379977748</v>
      </c>
      <c r="H26" s="2">
        <f t="shared" ref="H26:AA26" si="0">SUM(H21:H25)</f>
        <v>238420.80753308855</v>
      </c>
      <c r="I26" s="2">
        <f t="shared" si="0"/>
        <v>1511371.2323077051</v>
      </c>
      <c r="J26" s="2">
        <f t="shared" si="0"/>
        <v>1859814.5462058275</v>
      </c>
      <c r="K26" s="2">
        <f t="shared" si="0"/>
        <v>0</v>
      </c>
      <c r="L26" s="2">
        <f t="shared" si="0"/>
        <v>1994418.449607946</v>
      </c>
      <c r="M26" s="2">
        <f t="shared" si="0"/>
        <v>1360077.1679169273</v>
      </c>
      <c r="N26" s="2">
        <f t="shared" si="0"/>
        <v>0</v>
      </c>
      <c r="O26" s="2">
        <f t="shared" si="0"/>
        <v>0</v>
      </c>
      <c r="P26" s="2">
        <f t="shared" si="0"/>
        <v>0</v>
      </c>
      <c r="Q26" s="2">
        <f t="shared" si="0"/>
        <v>0</v>
      </c>
      <c r="R26" s="2">
        <f t="shared" si="0"/>
        <v>0</v>
      </c>
      <c r="S26" s="2">
        <f t="shared" si="0"/>
        <v>0</v>
      </c>
      <c r="T26" s="2">
        <f t="shared" si="0"/>
        <v>0</v>
      </c>
      <c r="U26" s="2">
        <f t="shared" si="0"/>
        <v>0</v>
      </c>
      <c r="V26" s="2">
        <f t="shared" si="0"/>
        <v>0</v>
      </c>
      <c r="W26" s="2">
        <f t="shared" si="0"/>
        <v>0</v>
      </c>
      <c r="X26" s="2">
        <f t="shared" si="0"/>
        <v>0</v>
      </c>
      <c r="Y26" s="2">
        <f t="shared" si="0"/>
        <v>0</v>
      </c>
      <c r="Z26" s="2">
        <f t="shared" si="0"/>
        <v>0</v>
      </c>
      <c r="AA26" s="2">
        <f t="shared" si="0"/>
        <v>0</v>
      </c>
    </row>
    <row r="27" spans="1:27" x14ac:dyDescent="0.25">
      <c r="G27" s="2"/>
      <c r="H27" s="2"/>
      <c r="I27" s="2"/>
      <c r="J27" s="2"/>
      <c r="K27" s="2"/>
      <c r="L27" s="2"/>
      <c r="M27" s="2"/>
      <c r="N27" s="2"/>
      <c r="O27" s="2"/>
      <c r="P27" s="2"/>
      <c r="Q27" s="2"/>
    </row>
    <row r="28" spans="1:27" x14ac:dyDescent="0.25">
      <c r="D28" t="s">
        <v>132</v>
      </c>
      <c r="G28" s="2"/>
      <c r="H28" s="2"/>
      <c r="I28" s="2"/>
      <c r="J28" s="2"/>
      <c r="K28" s="2"/>
      <c r="L28" s="2"/>
      <c r="M28" s="2"/>
      <c r="N28" s="2"/>
      <c r="O28" s="2"/>
      <c r="P28" s="2"/>
      <c r="Q28" s="2"/>
    </row>
    <row r="29" spans="1:27" x14ac:dyDescent="0.25">
      <c r="E29" s="2" t="str">
        <f>E21</f>
        <v>Pipes</v>
      </c>
      <c r="F29" t="s">
        <v>7</v>
      </c>
      <c r="G29" s="2">
        <f t="shared" ref="G29:AA32" si="1">G21/$G7+IF((G$2-$G7+1)&gt;0,-INDEX($G21:$AA21,1,(G$2-$G7+1))/$G7,0)</f>
        <v>395046.14224972186</v>
      </c>
      <c r="H29" s="2">
        <f t="shared" si="1"/>
        <v>2980.2600941636069</v>
      </c>
      <c r="I29" s="2">
        <f t="shared" si="1"/>
        <v>18892.140403846315</v>
      </c>
      <c r="J29" s="2">
        <f t="shared" si="1"/>
        <v>23247.681827572844</v>
      </c>
      <c r="K29" s="2">
        <f t="shared" si="1"/>
        <v>0</v>
      </c>
      <c r="L29" s="2">
        <f t="shared" si="1"/>
        <v>24930.230620099326</v>
      </c>
      <c r="M29" s="2">
        <f t="shared" si="1"/>
        <v>17000.964598961589</v>
      </c>
      <c r="N29" s="2">
        <f t="shared" si="1"/>
        <v>0</v>
      </c>
      <c r="O29" s="2">
        <f t="shared" si="1"/>
        <v>0</v>
      </c>
      <c r="P29" s="2">
        <f t="shared" si="1"/>
        <v>0</v>
      </c>
      <c r="Q29" s="2">
        <f t="shared" si="1"/>
        <v>0</v>
      </c>
      <c r="R29" s="2">
        <f t="shared" si="1"/>
        <v>0</v>
      </c>
      <c r="S29" s="2">
        <f t="shared" si="1"/>
        <v>0</v>
      </c>
      <c r="T29" s="2">
        <f t="shared" si="1"/>
        <v>0</v>
      </c>
      <c r="U29" s="2">
        <f t="shared" si="1"/>
        <v>0</v>
      </c>
      <c r="V29" s="2">
        <f t="shared" si="1"/>
        <v>0</v>
      </c>
      <c r="W29" s="2">
        <f t="shared" si="1"/>
        <v>0</v>
      </c>
      <c r="X29" s="2">
        <f t="shared" si="1"/>
        <v>0</v>
      </c>
      <c r="Y29" s="2">
        <f t="shared" si="1"/>
        <v>0</v>
      </c>
      <c r="Z29" s="2">
        <f t="shared" si="1"/>
        <v>0</v>
      </c>
      <c r="AA29" s="2">
        <f t="shared" si="1"/>
        <v>0</v>
      </c>
    </row>
    <row r="30" spans="1:27" x14ac:dyDescent="0.25">
      <c r="E30" s="2" t="str">
        <f t="shared" ref="E30:E32" si="2">E22</f>
        <v>Pumps</v>
      </c>
      <c r="F30" t="s">
        <v>7</v>
      </c>
      <c r="G30" s="2">
        <f t="shared" si="1"/>
        <v>0</v>
      </c>
      <c r="H30" s="2">
        <f t="shared" si="1"/>
        <v>0</v>
      </c>
      <c r="I30" s="2">
        <f t="shared" si="1"/>
        <v>0</v>
      </c>
      <c r="J30" s="2">
        <f t="shared" si="1"/>
        <v>0</v>
      </c>
      <c r="K30" s="2">
        <f t="shared" si="1"/>
        <v>0</v>
      </c>
      <c r="L30" s="2">
        <f t="shared" si="1"/>
        <v>0</v>
      </c>
      <c r="M30" s="2">
        <f t="shared" si="1"/>
        <v>0</v>
      </c>
      <c r="N30" s="2">
        <f t="shared" si="1"/>
        <v>0</v>
      </c>
      <c r="O30" s="2">
        <f t="shared" si="1"/>
        <v>0</v>
      </c>
      <c r="P30" s="2">
        <f t="shared" si="1"/>
        <v>0</v>
      </c>
      <c r="Q30" s="2">
        <f t="shared" si="1"/>
        <v>0</v>
      </c>
      <c r="R30" s="2">
        <f t="shared" si="1"/>
        <v>0</v>
      </c>
      <c r="S30" s="2">
        <f t="shared" si="1"/>
        <v>0</v>
      </c>
      <c r="T30" s="2">
        <f t="shared" si="1"/>
        <v>0</v>
      </c>
      <c r="U30" s="2">
        <f t="shared" si="1"/>
        <v>0</v>
      </c>
      <c r="V30" s="2">
        <f t="shared" si="1"/>
        <v>0</v>
      </c>
      <c r="W30" s="2">
        <f t="shared" si="1"/>
        <v>0</v>
      </c>
      <c r="X30" s="2">
        <f t="shared" si="1"/>
        <v>0</v>
      </c>
      <c r="Y30" s="2">
        <f t="shared" si="1"/>
        <v>0</v>
      </c>
      <c r="Z30" s="2">
        <f t="shared" si="1"/>
        <v>0</v>
      </c>
      <c r="AA30" s="2">
        <f t="shared" si="1"/>
        <v>0</v>
      </c>
    </row>
    <row r="31" spans="1:27" x14ac:dyDescent="0.25">
      <c r="E31" s="2" t="str">
        <f t="shared" si="2"/>
        <v>Valves and Meters</v>
      </c>
      <c r="F31" t="s">
        <v>7</v>
      </c>
      <c r="G31" s="2">
        <f t="shared" si="1"/>
        <v>0</v>
      </c>
      <c r="H31" s="2">
        <f t="shared" si="1"/>
        <v>0</v>
      </c>
      <c r="I31" s="2">
        <f t="shared" si="1"/>
        <v>0</v>
      </c>
      <c r="J31" s="2">
        <f t="shared" si="1"/>
        <v>0</v>
      </c>
      <c r="K31" s="2">
        <f t="shared" si="1"/>
        <v>0</v>
      </c>
      <c r="L31" s="2">
        <f t="shared" si="1"/>
        <v>0</v>
      </c>
      <c r="M31" s="2">
        <f t="shared" si="1"/>
        <v>0</v>
      </c>
      <c r="N31" s="2">
        <f t="shared" si="1"/>
        <v>0</v>
      </c>
      <c r="O31" s="2">
        <f t="shared" si="1"/>
        <v>0</v>
      </c>
      <c r="P31" s="2">
        <f t="shared" si="1"/>
        <v>0</v>
      </c>
      <c r="Q31" s="2">
        <f t="shared" si="1"/>
        <v>0</v>
      </c>
      <c r="R31" s="2">
        <f t="shared" si="1"/>
        <v>0</v>
      </c>
      <c r="S31" s="2">
        <f t="shared" si="1"/>
        <v>0</v>
      </c>
      <c r="T31" s="2">
        <f t="shared" si="1"/>
        <v>0</v>
      </c>
      <c r="U31" s="2">
        <f t="shared" si="1"/>
        <v>0</v>
      </c>
      <c r="V31" s="2">
        <f t="shared" si="1"/>
        <v>0</v>
      </c>
      <c r="W31" s="2">
        <f t="shared" si="1"/>
        <v>0</v>
      </c>
      <c r="X31" s="2">
        <f t="shared" si="1"/>
        <v>0</v>
      </c>
      <c r="Y31" s="2">
        <f t="shared" si="1"/>
        <v>0</v>
      </c>
      <c r="Z31" s="2">
        <f t="shared" si="1"/>
        <v>0</v>
      </c>
      <c r="AA31" s="2">
        <f t="shared" si="1"/>
        <v>0</v>
      </c>
    </row>
    <row r="32" spans="1:27" x14ac:dyDescent="0.25">
      <c r="E32" s="2" t="str">
        <f t="shared" si="2"/>
        <v>Temporary Assets</v>
      </c>
      <c r="F32" t="s">
        <v>7</v>
      </c>
      <c r="G32" s="2">
        <f t="shared" si="1"/>
        <v>0</v>
      </c>
      <c r="H32" s="2">
        <f t="shared" si="1"/>
        <v>0</v>
      </c>
      <c r="I32" s="2">
        <f t="shared" si="1"/>
        <v>0</v>
      </c>
      <c r="J32" s="2">
        <f t="shared" si="1"/>
        <v>0</v>
      </c>
      <c r="K32" s="2">
        <f t="shared" si="1"/>
        <v>0</v>
      </c>
      <c r="L32" s="2">
        <f t="shared" si="1"/>
        <v>0</v>
      </c>
      <c r="M32" s="2">
        <f t="shared" si="1"/>
        <v>0</v>
      </c>
      <c r="N32" s="2">
        <f t="shared" si="1"/>
        <v>0</v>
      </c>
      <c r="O32" s="2">
        <f t="shared" si="1"/>
        <v>0</v>
      </c>
      <c r="P32" s="2">
        <f t="shared" si="1"/>
        <v>0</v>
      </c>
      <c r="Q32" s="2">
        <f t="shared" si="1"/>
        <v>0</v>
      </c>
      <c r="R32" s="2">
        <f t="shared" si="1"/>
        <v>0</v>
      </c>
      <c r="S32" s="2">
        <f t="shared" si="1"/>
        <v>0</v>
      </c>
      <c r="T32" s="2">
        <f t="shared" si="1"/>
        <v>0</v>
      </c>
      <c r="U32" s="2">
        <f t="shared" si="1"/>
        <v>0</v>
      </c>
      <c r="V32" s="2">
        <f t="shared" si="1"/>
        <v>0</v>
      </c>
      <c r="W32" s="2">
        <f t="shared" si="1"/>
        <v>0</v>
      </c>
      <c r="X32" s="2">
        <f t="shared" si="1"/>
        <v>0</v>
      </c>
      <c r="Y32" s="2">
        <f t="shared" si="1"/>
        <v>0</v>
      </c>
      <c r="Z32" s="2">
        <f t="shared" si="1"/>
        <v>0</v>
      </c>
      <c r="AA32" s="2">
        <f t="shared" si="1"/>
        <v>0</v>
      </c>
    </row>
    <row r="33" spans="1:27" x14ac:dyDescent="0.25">
      <c r="G33" s="2"/>
      <c r="H33" s="2"/>
      <c r="I33" s="2"/>
      <c r="J33" s="2"/>
      <c r="K33" s="2"/>
      <c r="L33" s="2"/>
      <c r="M33" s="2"/>
      <c r="N33" s="2"/>
      <c r="O33" s="2"/>
      <c r="P33" s="2"/>
      <c r="Q33" s="2"/>
    </row>
    <row r="34" spans="1:27" x14ac:dyDescent="0.25">
      <c r="D34" t="s">
        <v>133</v>
      </c>
      <c r="F34" t="s">
        <v>7</v>
      </c>
      <c r="G34" s="2">
        <f>SUM($G$29:G32)</f>
        <v>395046.14224972186</v>
      </c>
      <c r="H34" s="2">
        <f>SUM($G$29:H32)</f>
        <v>398026.40234388545</v>
      </c>
      <c r="I34" s="2">
        <f>SUM($G$29:I32)</f>
        <v>416918.54274773179</v>
      </c>
      <c r="J34" s="2">
        <f>SUM($G$29:J32)</f>
        <v>440166.22457530466</v>
      </c>
      <c r="K34" s="2">
        <f>SUM($G$29:K32)</f>
        <v>440166.22457530466</v>
      </c>
      <c r="L34" s="2">
        <f>SUM($G$29:L32)</f>
        <v>465096.45519540401</v>
      </c>
      <c r="M34" s="2">
        <f>SUM($G$29:M32)</f>
        <v>482097.41979436559</v>
      </c>
      <c r="N34" s="2">
        <f>SUM($G$29:N32)</f>
        <v>482097.41979436559</v>
      </c>
      <c r="O34" s="2">
        <f>SUM($G$29:O32)</f>
        <v>482097.41979436559</v>
      </c>
      <c r="P34" s="2">
        <f>SUM($G$29:P32)</f>
        <v>482097.41979436559</v>
      </c>
      <c r="Q34" s="2">
        <f>SUM($G$29:Q32)</f>
        <v>482097.41979436559</v>
      </c>
      <c r="R34" s="2">
        <f>SUM($G$29:R32)</f>
        <v>482097.41979436559</v>
      </c>
      <c r="S34" s="2">
        <f>SUM($G$29:S32)</f>
        <v>482097.41979436559</v>
      </c>
      <c r="T34" s="2">
        <f>SUM($G$29:T32)</f>
        <v>482097.41979436559</v>
      </c>
      <c r="U34" s="2">
        <f>SUM($G$29:U32)</f>
        <v>482097.41979436559</v>
      </c>
      <c r="V34" s="2">
        <f>SUM($G$29:V32)</f>
        <v>482097.41979436559</v>
      </c>
      <c r="W34" s="2">
        <f>SUM($G$29:W32)</f>
        <v>482097.41979436559</v>
      </c>
      <c r="X34" s="2">
        <f>SUM($G$29:X32)</f>
        <v>482097.41979436559</v>
      </c>
      <c r="Y34" s="2">
        <f>SUM($G$29:Y32)</f>
        <v>482097.41979436559</v>
      </c>
      <c r="Z34" s="2">
        <f>SUM($G$29:Z32)</f>
        <v>482097.41979436559</v>
      </c>
      <c r="AA34" s="2">
        <f>SUM($G$29:AA32)</f>
        <v>482097.41979436559</v>
      </c>
    </row>
    <row r="35" spans="1:27" x14ac:dyDescent="0.25">
      <c r="G35" s="2"/>
      <c r="H35" s="2"/>
      <c r="I35" s="2"/>
      <c r="J35" s="2"/>
      <c r="K35" s="2"/>
      <c r="L35" s="2"/>
      <c r="M35" s="2"/>
      <c r="N35" s="2"/>
      <c r="O35" s="2"/>
      <c r="P35" s="2"/>
      <c r="Q35" s="2"/>
      <c r="R35" s="2"/>
      <c r="S35" s="2"/>
      <c r="T35" s="2"/>
      <c r="U35" s="2"/>
      <c r="V35" s="2"/>
      <c r="W35" s="2"/>
      <c r="X35" s="2"/>
      <c r="Y35" s="2"/>
      <c r="Z35" s="2"/>
      <c r="AA35" s="2"/>
    </row>
    <row r="36" spans="1:27" x14ac:dyDescent="0.25">
      <c r="A36" s="14">
        <f>'Notes &amp; Assumptions'!A24</f>
        <v>11</v>
      </c>
      <c r="C36" s="1" t="s">
        <v>107</v>
      </c>
      <c r="D36" s="1"/>
    </row>
    <row r="37" spans="1:27" x14ac:dyDescent="0.25">
      <c r="E37" s="2" t="str">
        <f>E7</f>
        <v>Pipes</v>
      </c>
      <c r="F37" t="s">
        <v>7</v>
      </c>
      <c r="G37" s="10"/>
      <c r="H37" s="10">
        <f>'Key assumptions'!$B33*(1+$G$14)^H2*(H90+H111+H132+H153)+'20 Greenvale RW'!H37+'20 Epping North RW'!H37</f>
        <v>8335188.7499999981</v>
      </c>
      <c r="I37" s="10">
        <f>'Key assumptions'!$B33*(1+$G$14)^I2*(I90+I111+I132+I153)+'20 Greenvale RW'!I37+'20 Epping North RW'!I37</f>
        <v>8392379.7586999964</v>
      </c>
      <c r="J37" s="10">
        <f>'Key assumptions'!$B33*(1+$G$14)^J2*(J90+J111+J132+J153)+'20 Greenvale RW'!J37+'20 Epping North RW'!J37</f>
        <v>8606113.4983570743</v>
      </c>
      <c r="K37" s="10">
        <f>'Key assumptions'!$B33*(1+$G$14)^K2*(K90+K111+K132+K153)+'20 Greenvale RW'!K37+'20 Epping North RW'!K37</f>
        <v>8380430.5007549655</v>
      </c>
      <c r="L37" s="10">
        <f>'Key assumptions'!$B33*(1+$G$14)^L2*(L90+L111+L132+L153)+'20 Greenvale RW'!L37+'20 Epping North RW'!L37</f>
        <v>8134522.4812314399</v>
      </c>
      <c r="M37" s="10">
        <f>'Key assumptions'!$B33*(1+$G$14)^M2*(M90+M111+M132+M153)+'20 Greenvale RW'!M37+'20 Epping North RW'!M37</f>
        <v>7896119.479127205</v>
      </c>
      <c r="N37" s="10">
        <f>'Key assumptions'!$B33*(1+$G$14)^N2*(N90+N111+N132+N153)+'20 Greenvale RW'!N37+'20 Epping North RW'!N37</f>
        <v>7651402.7562980503</v>
      </c>
      <c r="O37" s="10">
        <f>'Key assumptions'!$B33*(1+$G$14)^O2*(O90+O111+O132+O153)+'20 Greenvale RW'!O37+'20 Epping North RW'!O37</f>
        <v>7407536.1859209668</v>
      </c>
      <c r="P37" s="10">
        <f>'Key assumptions'!$B33*(1+$G$14)^P2*(P90+P111+P132+P153)+'20 Greenvale RW'!P37+'20 Epping North RW'!P37</f>
        <v>7910137.0749292402</v>
      </c>
      <c r="Q37" s="10">
        <f>'Key assumptions'!$B33*(1+$G$14)^Q2*(Q90+Q111+Q132+Q153)+'20 Greenvale RW'!Q37+'20 Epping North RW'!Q37</f>
        <v>8449451.6803531349</v>
      </c>
      <c r="R37" s="10">
        <f>'Key assumptions'!$B33*(1+$G$14)^R2*(R90+R111+R132+R153)+'20 Greenvale RW'!R37+'20 Epping North RW'!R37</f>
        <v>9133915.6896367148</v>
      </c>
      <c r="S37" s="10">
        <f>'Key assumptions'!$B33*(1+$G$14)^S2*(S90+S111+S132+S153)+'20 Greenvale RW'!S37+'20 Epping North RW'!S37</f>
        <v>9881465.1747074034</v>
      </c>
      <c r="T37" s="10">
        <f>'Key assumptions'!$B33*(1+$G$14)^T2*(T90+T111+T132+T153)+'20 Greenvale RW'!T37+'20 Epping North RW'!T37</f>
        <v>10687474.516288407</v>
      </c>
      <c r="U37" s="10">
        <f>'Key assumptions'!$B33*(1+$G$14)^U2*(U90+U111+U132+U153)+'20 Greenvale RW'!U37+'20 Epping North RW'!U37</f>
        <v>10840488.060526701</v>
      </c>
      <c r="V37" s="10">
        <f>'Key assumptions'!$B33*(1+$G$14)^V2*(V90+V111+V132+V153)+'20 Greenvale RW'!V37+'20 Epping North RW'!V37</f>
        <v>10987112.407090601</v>
      </c>
      <c r="W37" s="10">
        <f>'Key assumptions'!$B33*(1+$G$14)^W2*(W90+W111+W132+W153)+'20 Greenvale RW'!W37+'20 Epping North RW'!W37</f>
        <v>0</v>
      </c>
      <c r="X37" s="10">
        <f>'Key assumptions'!$B33*(1+$G$14)^X2*(X90+X111+X132+X153)+'20 Greenvale RW'!X37+'20 Epping North RW'!X37</f>
        <v>0</v>
      </c>
      <c r="Y37" s="10">
        <f>'Key assumptions'!$B33*(1+$G$14)^Y2*(Y90+Y111+Y132+Y153)+'20 Greenvale RW'!Y37+'20 Epping North RW'!Y37</f>
        <v>0</v>
      </c>
      <c r="Z37" s="10">
        <f>'Key assumptions'!$B33*(1+$G$14)^Z2*(Z90+Z111+Z132+Z153)+'20 Greenvale RW'!Z37+'20 Epping North RW'!Z37</f>
        <v>0</v>
      </c>
      <c r="AA37" s="10">
        <f>'Key assumptions'!$B33*(1+$G$14)^AA2*(AA90+AA111+AA132+AA153)+'20 Greenvale RW'!AA37+'20 Epping North RW'!AA37</f>
        <v>0</v>
      </c>
    </row>
    <row r="38" spans="1:27" x14ac:dyDescent="0.25">
      <c r="E38" s="2" t="str">
        <f>E8</f>
        <v>Pumps</v>
      </c>
      <c r="F38" t="s">
        <v>7</v>
      </c>
      <c r="G38" s="10"/>
      <c r="H38" s="10"/>
      <c r="I38" s="10"/>
      <c r="J38" s="10"/>
      <c r="K38" s="10"/>
      <c r="L38" s="10"/>
      <c r="M38" s="10"/>
      <c r="N38" s="10"/>
      <c r="O38" s="10"/>
      <c r="P38" s="10"/>
      <c r="Q38" s="10"/>
      <c r="R38" s="10"/>
      <c r="S38" s="10"/>
      <c r="T38" s="10"/>
      <c r="U38" s="10"/>
      <c r="V38" s="10"/>
      <c r="W38" s="10"/>
      <c r="X38" s="10"/>
      <c r="Y38" s="10"/>
      <c r="Z38" s="10"/>
      <c r="AA38" s="10"/>
    </row>
    <row r="39" spans="1:27" x14ac:dyDescent="0.25">
      <c r="E39" s="2" t="str">
        <f>E9</f>
        <v>Valves and Meters</v>
      </c>
      <c r="F39" t="s">
        <v>7</v>
      </c>
      <c r="G39" s="10"/>
      <c r="H39" s="10"/>
      <c r="I39" s="10"/>
      <c r="J39" s="10"/>
      <c r="K39" s="10"/>
      <c r="L39" s="10"/>
      <c r="M39" s="10"/>
      <c r="N39" s="10"/>
      <c r="O39" s="10"/>
      <c r="P39" s="10"/>
      <c r="Q39" s="10"/>
      <c r="R39" s="10"/>
      <c r="S39" s="10"/>
      <c r="T39" s="10"/>
      <c r="U39" s="10"/>
      <c r="V39" s="10"/>
      <c r="W39" s="10"/>
      <c r="X39" s="10"/>
      <c r="Y39" s="10"/>
      <c r="Z39" s="10"/>
      <c r="AA39" s="10"/>
    </row>
    <row r="40" spans="1:27" x14ac:dyDescent="0.25">
      <c r="E40" s="2" t="str">
        <f>E10</f>
        <v>Temporary Assets</v>
      </c>
      <c r="F40" t="s">
        <v>7</v>
      </c>
      <c r="G40" s="10"/>
      <c r="H40" s="10"/>
      <c r="I40" s="10"/>
      <c r="J40" s="10"/>
      <c r="K40" s="10"/>
      <c r="L40" s="10"/>
      <c r="M40" s="10"/>
      <c r="N40" s="10"/>
      <c r="O40" s="10"/>
      <c r="P40" s="10"/>
      <c r="Q40" s="10"/>
      <c r="R40" s="10"/>
      <c r="S40" s="10"/>
      <c r="T40" s="10"/>
      <c r="U40" s="10"/>
      <c r="V40" s="10"/>
      <c r="W40" s="10"/>
      <c r="X40" s="10"/>
      <c r="Y40" s="10"/>
      <c r="Z40" s="10"/>
      <c r="AA40" s="10"/>
    </row>
    <row r="41" spans="1:27" x14ac:dyDescent="0.25">
      <c r="E41" t="s">
        <v>131</v>
      </c>
      <c r="F41" t="s">
        <v>7</v>
      </c>
      <c r="G41" s="10"/>
      <c r="H41" s="10"/>
      <c r="I41" s="10"/>
      <c r="J41" s="10"/>
      <c r="K41" s="10"/>
      <c r="L41" s="10"/>
      <c r="M41" s="10"/>
      <c r="N41" s="10"/>
      <c r="O41" s="10"/>
      <c r="P41" s="10"/>
      <c r="Q41" s="10"/>
      <c r="R41" s="10"/>
      <c r="S41" s="10"/>
      <c r="T41" s="10"/>
      <c r="U41" s="10"/>
      <c r="V41" s="10"/>
      <c r="W41" s="10"/>
      <c r="X41" s="10"/>
      <c r="Y41" s="10"/>
      <c r="Z41" s="10"/>
      <c r="AA41" s="10"/>
    </row>
    <row r="42" spans="1:27" x14ac:dyDescent="0.25">
      <c r="G42" s="2">
        <f>SUM(G37:G41)</f>
        <v>0</v>
      </c>
      <c r="H42" s="2">
        <f t="shared" ref="H42:AA42" si="3">SUM(H37:H41)</f>
        <v>8335188.7499999981</v>
      </c>
      <c r="I42" s="2">
        <f t="shared" si="3"/>
        <v>8392379.7586999964</v>
      </c>
      <c r="J42" s="2">
        <f t="shared" si="3"/>
        <v>8606113.4983570743</v>
      </c>
      <c r="K42" s="2">
        <f t="shared" si="3"/>
        <v>8380430.5007549655</v>
      </c>
      <c r="L42" s="2">
        <f t="shared" si="3"/>
        <v>8134522.4812314399</v>
      </c>
      <c r="M42" s="2">
        <f t="shared" si="3"/>
        <v>7896119.479127205</v>
      </c>
      <c r="N42" s="2">
        <f t="shared" si="3"/>
        <v>7651402.7562980503</v>
      </c>
      <c r="O42" s="2">
        <f t="shared" si="3"/>
        <v>7407536.1859209668</v>
      </c>
      <c r="P42" s="2">
        <f t="shared" si="3"/>
        <v>7910137.0749292402</v>
      </c>
      <c r="Q42" s="2">
        <f t="shared" si="3"/>
        <v>8449451.6803531349</v>
      </c>
      <c r="R42" s="2">
        <f t="shared" si="3"/>
        <v>9133915.6896367148</v>
      </c>
      <c r="S42" s="2">
        <f t="shared" si="3"/>
        <v>9881465.1747074034</v>
      </c>
      <c r="T42" s="2">
        <f t="shared" si="3"/>
        <v>10687474.516288407</v>
      </c>
      <c r="U42" s="2">
        <f t="shared" si="3"/>
        <v>10840488.060526701</v>
      </c>
      <c r="V42" s="2">
        <f t="shared" si="3"/>
        <v>10987112.407090601</v>
      </c>
      <c r="W42" s="2">
        <f t="shared" si="3"/>
        <v>0</v>
      </c>
      <c r="X42" s="2">
        <f t="shared" si="3"/>
        <v>0</v>
      </c>
      <c r="Y42" s="2">
        <f t="shared" si="3"/>
        <v>0</v>
      </c>
      <c r="Z42" s="2">
        <f t="shared" si="3"/>
        <v>0</v>
      </c>
      <c r="AA42" s="2">
        <f t="shared" si="3"/>
        <v>0</v>
      </c>
    </row>
    <row r="43" spans="1:27" x14ac:dyDescent="0.25">
      <c r="G43" s="2"/>
      <c r="H43" s="2"/>
      <c r="I43" s="2"/>
      <c r="J43" s="2"/>
      <c r="K43" s="2"/>
      <c r="L43" s="2"/>
      <c r="M43" s="2"/>
      <c r="N43" s="2"/>
      <c r="O43" s="2"/>
      <c r="P43" s="2"/>
      <c r="Q43" s="2"/>
    </row>
    <row r="44" spans="1:27" x14ac:dyDescent="0.25">
      <c r="D44" t="s">
        <v>134</v>
      </c>
      <c r="G44" s="2"/>
      <c r="H44" s="2"/>
      <c r="I44" s="2"/>
      <c r="J44" s="2"/>
      <c r="K44" s="2"/>
      <c r="L44" s="2"/>
      <c r="M44" s="2"/>
      <c r="N44" s="2"/>
      <c r="O44" s="2"/>
      <c r="P44" s="2"/>
      <c r="Q44" s="2"/>
    </row>
    <row r="45" spans="1:27" x14ac:dyDescent="0.25">
      <c r="E45" s="2" t="str">
        <f>E37</f>
        <v>Pipes</v>
      </c>
      <c r="F45" t="s">
        <v>7</v>
      </c>
      <c r="G45" s="2">
        <f t="shared" ref="G45:AA48" si="4">G37/$G7+IF((G$2-$G7+1)&gt;0,-INDEX($G37:$AA37,1,(G$2-$G7+1))/$G7,0)</f>
        <v>0</v>
      </c>
      <c r="H45" s="2">
        <f t="shared" si="4"/>
        <v>104189.85937499997</v>
      </c>
      <c r="I45" s="2">
        <f t="shared" si="4"/>
        <v>104904.74698374995</v>
      </c>
      <c r="J45" s="2">
        <f t="shared" si="4"/>
        <v>107576.41872946343</v>
      </c>
      <c r="K45" s="2">
        <f t="shared" si="4"/>
        <v>104755.38125943707</v>
      </c>
      <c r="L45" s="2">
        <f t="shared" si="4"/>
        <v>101681.531015393</v>
      </c>
      <c r="M45" s="2">
        <f t="shared" si="4"/>
        <v>98701.493489090062</v>
      </c>
      <c r="N45" s="2">
        <f t="shared" si="4"/>
        <v>95642.534453725631</v>
      </c>
      <c r="O45" s="2">
        <f t="shared" si="4"/>
        <v>92594.202324012091</v>
      </c>
      <c r="P45" s="2">
        <f t="shared" si="4"/>
        <v>98876.713436615508</v>
      </c>
      <c r="Q45" s="2">
        <f t="shared" si="4"/>
        <v>105618.14600441419</v>
      </c>
      <c r="R45" s="2">
        <f t="shared" si="4"/>
        <v>114173.94612045893</v>
      </c>
      <c r="S45" s="2">
        <f t="shared" si="4"/>
        <v>123518.31468384255</v>
      </c>
      <c r="T45" s="2">
        <f t="shared" si="4"/>
        <v>133593.4314536051</v>
      </c>
      <c r="U45" s="2">
        <f t="shared" si="4"/>
        <v>135506.10075658376</v>
      </c>
      <c r="V45" s="2">
        <f t="shared" si="4"/>
        <v>137338.90508863251</v>
      </c>
      <c r="W45" s="2">
        <f t="shared" si="4"/>
        <v>0</v>
      </c>
      <c r="X45" s="2">
        <f t="shared" si="4"/>
        <v>0</v>
      </c>
      <c r="Y45" s="2">
        <f t="shared" si="4"/>
        <v>0</v>
      </c>
      <c r="Z45" s="2">
        <f t="shared" si="4"/>
        <v>0</v>
      </c>
      <c r="AA45" s="2">
        <f t="shared" si="4"/>
        <v>0</v>
      </c>
    </row>
    <row r="46" spans="1:27" x14ac:dyDescent="0.25">
      <c r="E46" s="2" t="str">
        <f t="shared" ref="E46:E48" si="5">E38</f>
        <v>Pumps</v>
      </c>
      <c r="F46" t="s">
        <v>7</v>
      </c>
      <c r="G46" s="2">
        <f t="shared" si="4"/>
        <v>0</v>
      </c>
      <c r="H46" s="2">
        <f t="shared" si="4"/>
        <v>0</v>
      </c>
      <c r="I46" s="2">
        <f t="shared" si="4"/>
        <v>0</v>
      </c>
      <c r="J46" s="2">
        <f t="shared" si="4"/>
        <v>0</v>
      </c>
      <c r="K46" s="2">
        <f t="shared" si="4"/>
        <v>0</v>
      </c>
      <c r="L46" s="2">
        <f t="shared" si="4"/>
        <v>0</v>
      </c>
      <c r="M46" s="2">
        <f t="shared" si="4"/>
        <v>0</v>
      </c>
      <c r="N46" s="2">
        <f t="shared" si="4"/>
        <v>0</v>
      </c>
      <c r="O46" s="2">
        <f t="shared" si="4"/>
        <v>0</v>
      </c>
      <c r="P46" s="2">
        <f t="shared" si="4"/>
        <v>0</v>
      </c>
      <c r="Q46" s="2">
        <f t="shared" si="4"/>
        <v>0</v>
      </c>
      <c r="R46" s="2">
        <f t="shared" si="4"/>
        <v>0</v>
      </c>
      <c r="S46" s="2">
        <f t="shared" si="4"/>
        <v>0</v>
      </c>
      <c r="T46" s="2">
        <f t="shared" si="4"/>
        <v>0</v>
      </c>
      <c r="U46" s="2">
        <f t="shared" si="4"/>
        <v>0</v>
      </c>
      <c r="V46" s="2">
        <f t="shared" si="4"/>
        <v>0</v>
      </c>
      <c r="W46" s="2">
        <f t="shared" si="4"/>
        <v>0</v>
      </c>
      <c r="X46" s="2">
        <f t="shared" si="4"/>
        <v>0</v>
      </c>
      <c r="Y46" s="2">
        <f t="shared" si="4"/>
        <v>0</v>
      </c>
      <c r="Z46" s="2">
        <f t="shared" si="4"/>
        <v>0</v>
      </c>
      <c r="AA46" s="2">
        <f t="shared" si="4"/>
        <v>0</v>
      </c>
    </row>
    <row r="47" spans="1:27" x14ac:dyDescent="0.25">
      <c r="E47" s="2" t="str">
        <f t="shared" si="5"/>
        <v>Valves and Meters</v>
      </c>
      <c r="F47" t="s">
        <v>7</v>
      </c>
      <c r="G47" s="2">
        <f t="shared" si="4"/>
        <v>0</v>
      </c>
      <c r="H47" s="2">
        <f t="shared" si="4"/>
        <v>0</v>
      </c>
      <c r="I47" s="2">
        <f t="shared" si="4"/>
        <v>0</v>
      </c>
      <c r="J47" s="2">
        <f t="shared" si="4"/>
        <v>0</v>
      </c>
      <c r="K47" s="2">
        <f t="shared" si="4"/>
        <v>0</v>
      </c>
      <c r="L47" s="2">
        <f t="shared" si="4"/>
        <v>0</v>
      </c>
      <c r="M47" s="2">
        <f t="shared" si="4"/>
        <v>0</v>
      </c>
      <c r="N47" s="2">
        <f t="shared" si="4"/>
        <v>0</v>
      </c>
      <c r="O47" s="2">
        <f t="shared" si="4"/>
        <v>0</v>
      </c>
      <c r="P47" s="2">
        <f t="shared" si="4"/>
        <v>0</v>
      </c>
      <c r="Q47" s="2">
        <f t="shared" si="4"/>
        <v>0</v>
      </c>
      <c r="R47" s="2">
        <f t="shared" si="4"/>
        <v>0</v>
      </c>
      <c r="S47" s="2">
        <f t="shared" si="4"/>
        <v>0</v>
      </c>
      <c r="T47" s="2">
        <f t="shared" si="4"/>
        <v>0</v>
      </c>
      <c r="U47" s="2">
        <f t="shared" si="4"/>
        <v>0</v>
      </c>
      <c r="V47" s="2">
        <f t="shared" si="4"/>
        <v>0</v>
      </c>
      <c r="W47" s="2">
        <f t="shared" si="4"/>
        <v>0</v>
      </c>
      <c r="X47" s="2">
        <f t="shared" si="4"/>
        <v>0</v>
      </c>
      <c r="Y47" s="2">
        <f t="shared" si="4"/>
        <v>0</v>
      </c>
      <c r="Z47" s="2">
        <f t="shared" si="4"/>
        <v>0</v>
      </c>
      <c r="AA47" s="2">
        <f t="shared" si="4"/>
        <v>0</v>
      </c>
    </row>
    <row r="48" spans="1:27" x14ac:dyDescent="0.25">
      <c r="E48" s="2" t="str">
        <f t="shared" si="5"/>
        <v>Temporary Assets</v>
      </c>
      <c r="F48" t="s">
        <v>7</v>
      </c>
      <c r="G48" s="2">
        <f t="shared" si="4"/>
        <v>0</v>
      </c>
      <c r="H48" s="2">
        <f t="shared" si="4"/>
        <v>0</v>
      </c>
      <c r="I48" s="2">
        <f t="shared" si="4"/>
        <v>0</v>
      </c>
      <c r="J48" s="2">
        <f t="shared" si="4"/>
        <v>0</v>
      </c>
      <c r="K48" s="2">
        <f t="shared" si="4"/>
        <v>0</v>
      </c>
      <c r="L48" s="2">
        <f t="shared" si="4"/>
        <v>0</v>
      </c>
      <c r="M48" s="2">
        <f t="shared" si="4"/>
        <v>0</v>
      </c>
      <c r="N48" s="2">
        <f t="shared" si="4"/>
        <v>0</v>
      </c>
      <c r="O48" s="2">
        <f t="shared" si="4"/>
        <v>0</v>
      </c>
      <c r="P48" s="2">
        <f t="shared" si="4"/>
        <v>0</v>
      </c>
      <c r="Q48" s="2">
        <f t="shared" si="4"/>
        <v>0</v>
      </c>
      <c r="R48" s="2">
        <f t="shared" si="4"/>
        <v>0</v>
      </c>
      <c r="S48" s="2">
        <f t="shared" si="4"/>
        <v>0</v>
      </c>
      <c r="T48" s="2">
        <f t="shared" si="4"/>
        <v>0</v>
      </c>
      <c r="U48" s="2">
        <f t="shared" si="4"/>
        <v>0</v>
      </c>
      <c r="V48" s="2">
        <f t="shared" si="4"/>
        <v>0</v>
      </c>
      <c r="W48" s="2">
        <f t="shared" si="4"/>
        <v>0</v>
      </c>
      <c r="X48" s="2">
        <f t="shared" si="4"/>
        <v>0</v>
      </c>
      <c r="Y48" s="2">
        <f t="shared" si="4"/>
        <v>0</v>
      </c>
      <c r="Z48" s="2">
        <f t="shared" si="4"/>
        <v>0</v>
      </c>
      <c r="AA48" s="2">
        <f t="shared" si="4"/>
        <v>0</v>
      </c>
    </row>
    <row r="49" spans="1:27" x14ac:dyDescent="0.25">
      <c r="G49" s="2"/>
      <c r="H49" s="2"/>
      <c r="I49" s="2"/>
      <c r="J49" s="2"/>
      <c r="K49" s="2"/>
      <c r="L49" s="2"/>
      <c r="M49" s="2"/>
      <c r="N49" s="2"/>
      <c r="O49" s="2"/>
      <c r="P49" s="2"/>
      <c r="Q49" s="2"/>
    </row>
    <row r="50" spans="1:27" x14ac:dyDescent="0.25">
      <c r="D50" t="s">
        <v>135</v>
      </c>
      <c r="F50" t="s">
        <v>7</v>
      </c>
      <c r="G50" s="2">
        <f>SUM($G$45:G48)</f>
        <v>0</v>
      </c>
      <c r="H50" s="2">
        <f>SUM($G$45:H48)</f>
        <v>104189.85937499997</v>
      </c>
      <c r="I50" s="2">
        <f>SUM($G$45:I48)</f>
        <v>209094.60635874991</v>
      </c>
      <c r="J50" s="2">
        <f>SUM($G$45:J48)</f>
        <v>316671.02508821333</v>
      </c>
      <c r="K50" s="2">
        <f>SUM($G$45:K48)</f>
        <v>421426.40634765039</v>
      </c>
      <c r="L50" s="2">
        <f>SUM($G$45:L48)</f>
        <v>523107.93736304343</v>
      </c>
      <c r="M50" s="2">
        <f>SUM($G$45:M48)</f>
        <v>621809.43085213355</v>
      </c>
      <c r="N50" s="2">
        <f>SUM($G$45:N48)</f>
        <v>717451.96530585922</v>
      </c>
      <c r="O50" s="2">
        <f>SUM($G$45:O48)</f>
        <v>810046.16762987128</v>
      </c>
      <c r="P50" s="2">
        <f>SUM($G$45:P48)</f>
        <v>908922.88106648682</v>
      </c>
      <c r="Q50" s="2">
        <f>SUM($G$45:Q48)</f>
        <v>1014541.027070901</v>
      </c>
      <c r="R50" s="2">
        <f>SUM($G$45:R48)</f>
        <v>1128714.97319136</v>
      </c>
      <c r="S50" s="2">
        <f>SUM($G$45:S48)</f>
        <v>1252233.2878752025</v>
      </c>
      <c r="T50" s="2">
        <f>SUM($G$45:T48)</f>
        <v>1385826.7193288077</v>
      </c>
      <c r="U50" s="2">
        <f>SUM($G$45:U48)</f>
        <v>1521332.8200853914</v>
      </c>
      <c r="V50" s="2">
        <f>SUM($G$45:V48)</f>
        <v>1658671.725174024</v>
      </c>
      <c r="W50" s="2">
        <f>SUM($G$45:W48)</f>
        <v>1658671.725174024</v>
      </c>
      <c r="X50" s="2">
        <f>SUM($G$45:X48)</f>
        <v>1658671.725174024</v>
      </c>
      <c r="Y50" s="2">
        <f>SUM($G$45:Y48)</f>
        <v>1658671.725174024</v>
      </c>
      <c r="Z50" s="2">
        <f>SUM($G$45:Z48)</f>
        <v>1658671.725174024</v>
      </c>
      <c r="AA50" s="2">
        <f>SUM($G$45:AA48)</f>
        <v>1658671.725174024</v>
      </c>
    </row>
    <row r="51" spans="1:27" x14ac:dyDescent="0.25">
      <c r="G51" s="2"/>
      <c r="H51" s="2"/>
      <c r="I51" s="2"/>
      <c r="J51" s="2"/>
      <c r="K51" s="2"/>
      <c r="L51" s="2"/>
      <c r="M51" s="2"/>
      <c r="N51" s="2"/>
      <c r="O51" s="2"/>
      <c r="P51" s="2"/>
      <c r="Q51" s="2"/>
      <c r="R51" s="2"/>
      <c r="S51" s="2"/>
      <c r="T51" s="2"/>
      <c r="U51" s="2"/>
      <c r="V51" s="2"/>
      <c r="W51" s="2"/>
      <c r="X51" s="2"/>
      <c r="Y51" s="2"/>
      <c r="Z51" s="2"/>
      <c r="AA51" s="2"/>
    </row>
    <row r="52" spans="1:27" x14ac:dyDescent="0.25">
      <c r="A52" s="14">
        <f>'Notes &amp; Assumptions'!A25</f>
        <v>12</v>
      </c>
      <c r="C52" s="1" t="s">
        <v>109</v>
      </c>
      <c r="G52" s="2"/>
      <c r="H52" s="2"/>
      <c r="I52" s="2"/>
      <c r="J52" s="2"/>
      <c r="K52" s="2"/>
      <c r="L52" s="2"/>
      <c r="M52" s="2"/>
      <c r="N52" s="2"/>
      <c r="O52" s="2"/>
      <c r="P52" s="2"/>
      <c r="Q52" s="2"/>
      <c r="R52" s="2"/>
      <c r="S52" s="2"/>
      <c r="T52" s="2"/>
      <c r="U52" s="2"/>
      <c r="V52" s="2"/>
      <c r="W52" s="2"/>
      <c r="X52" s="2"/>
      <c r="Y52" s="2"/>
      <c r="Z52" s="2"/>
      <c r="AA52" s="2"/>
    </row>
    <row r="53" spans="1:27" x14ac:dyDescent="0.25">
      <c r="E53" t="s">
        <v>109</v>
      </c>
      <c r="F53" t="s">
        <v>7</v>
      </c>
      <c r="G53" s="10"/>
      <c r="H53" s="10"/>
      <c r="I53" s="10"/>
      <c r="J53" s="10"/>
      <c r="K53" s="10"/>
      <c r="L53" s="10"/>
      <c r="M53" s="10"/>
      <c r="N53" s="10"/>
      <c r="O53" s="10"/>
      <c r="P53" s="10"/>
      <c r="Q53" s="10"/>
      <c r="R53" s="10"/>
      <c r="S53" s="10"/>
      <c r="T53" s="10"/>
      <c r="U53" s="10"/>
      <c r="V53" s="10"/>
      <c r="W53" s="10"/>
      <c r="X53" s="10"/>
      <c r="Y53" s="10"/>
      <c r="Z53" s="10"/>
      <c r="AA53" s="10"/>
    </row>
    <row r="55" spans="1:27" x14ac:dyDescent="0.25">
      <c r="C55" s="1" t="s">
        <v>25</v>
      </c>
      <c r="D55" s="1"/>
    </row>
    <row r="56" spans="1:27" x14ac:dyDescent="0.25">
      <c r="A56" s="14">
        <f>'Notes &amp; Assumptions'!A26</f>
        <v>13</v>
      </c>
      <c r="D56" t="s">
        <v>2</v>
      </c>
    </row>
    <row r="57" spans="1:27" x14ac:dyDescent="0.25">
      <c r="E57" s="2" t="str">
        <f>E7</f>
        <v>Pipes</v>
      </c>
      <c r="F57" t="s">
        <v>7</v>
      </c>
      <c r="G57" s="10"/>
      <c r="H57" s="10"/>
      <c r="I57" s="10"/>
      <c r="J57" s="10"/>
      <c r="K57" s="10"/>
      <c r="L57" s="10"/>
      <c r="M57" s="10"/>
      <c r="N57" s="10"/>
      <c r="O57" s="10"/>
      <c r="P57" s="10"/>
      <c r="Q57" s="10"/>
      <c r="R57" s="10"/>
      <c r="S57" s="10"/>
      <c r="T57" s="10"/>
      <c r="U57" s="10"/>
      <c r="V57" s="10"/>
      <c r="W57" s="10"/>
      <c r="X57" s="10"/>
      <c r="Y57" s="10"/>
      <c r="Z57" s="10"/>
      <c r="AA57" s="10"/>
    </row>
    <row r="58" spans="1:27" x14ac:dyDescent="0.25">
      <c r="E58" s="2" t="str">
        <f>E8</f>
        <v>Pumps</v>
      </c>
      <c r="F58" t="s">
        <v>7</v>
      </c>
      <c r="G58" s="10"/>
      <c r="H58" s="10"/>
      <c r="I58" s="10"/>
      <c r="J58" s="10"/>
      <c r="K58" s="10"/>
      <c r="L58" s="10"/>
      <c r="M58" s="10"/>
      <c r="N58" s="10"/>
      <c r="O58" s="10"/>
      <c r="P58" s="10"/>
      <c r="Q58" s="10"/>
      <c r="R58" s="10"/>
      <c r="S58" s="10"/>
      <c r="T58" s="10"/>
      <c r="U58" s="10"/>
      <c r="V58" s="10"/>
      <c r="W58" s="10"/>
      <c r="X58" s="10"/>
      <c r="Y58" s="10"/>
      <c r="Z58" s="10"/>
      <c r="AA58" s="10"/>
    </row>
    <row r="59" spans="1:27" x14ac:dyDescent="0.25">
      <c r="E59" s="2" t="str">
        <f>E9</f>
        <v>Valves and Meters</v>
      </c>
      <c r="F59" t="s">
        <v>7</v>
      </c>
      <c r="G59" s="10"/>
      <c r="H59" s="10"/>
      <c r="I59" s="10"/>
      <c r="J59" s="10"/>
      <c r="K59" s="10"/>
      <c r="L59" s="10"/>
      <c r="M59" s="10"/>
      <c r="N59" s="10"/>
      <c r="O59" s="10"/>
      <c r="P59" s="10"/>
      <c r="Q59" s="10"/>
      <c r="R59" s="10"/>
      <c r="S59" s="10"/>
      <c r="T59" s="10"/>
      <c r="U59" s="10"/>
      <c r="V59" s="10"/>
      <c r="W59" s="10"/>
      <c r="X59" s="10"/>
      <c r="Y59" s="10"/>
      <c r="Z59" s="10"/>
      <c r="AA59" s="10"/>
    </row>
    <row r="60" spans="1:27" x14ac:dyDescent="0.25">
      <c r="E60" t="s">
        <v>131</v>
      </c>
      <c r="F60" t="s">
        <v>7</v>
      </c>
      <c r="G60" s="10"/>
      <c r="H60" s="10"/>
      <c r="I60" s="10"/>
      <c r="J60" s="10"/>
      <c r="K60" s="10"/>
      <c r="L60" s="10"/>
      <c r="M60" s="10"/>
      <c r="N60" s="10"/>
      <c r="O60" s="10"/>
      <c r="P60" s="10"/>
      <c r="Q60" s="10"/>
      <c r="R60" s="10"/>
      <c r="S60" s="10"/>
      <c r="T60" s="10"/>
      <c r="U60" s="10"/>
      <c r="V60" s="10"/>
      <c r="W60" s="10"/>
      <c r="X60" s="10"/>
      <c r="Y60" s="10"/>
      <c r="Z60" s="10"/>
      <c r="AA60" s="10"/>
    </row>
    <row r="61" spans="1:27" x14ac:dyDescent="0.25">
      <c r="G61" s="2">
        <f>SUM(G57:G60)</f>
        <v>0</v>
      </c>
      <c r="H61" s="2">
        <f t="shared" ref="H61:AA61" si="6">SUM(H57:H60)</f>
        <v>0</v>
      </c>
      <c r="I61" s="2">
        <f t="shared" si="6"/>
        <v>0</v>
      </c>
      <c r="J61" s="2">
        <f t="shared" si="6"/>
        <v>0</v>
      </c>
      <c r="K61" s="2">
        <f t="shared" si="6"/>
        <v>0</v>
      </c>
      <c r="L61" s="2">
        <f t="shared" si="6"/>
        <v>0</v>
      </c>
      <c r="M61" s="2">
        <f t="shared" si="6"/>
        <v>0</v>
      </c>
      <c r="N61" s="2">
        <f t="shared" si="6"/>
        <v>0</v>
      </c>
      <c r="O61" s="2">
        <f t="shared" si="6"/>
        <v>0</v>
      </c>
      <c r="P61" s="2">
        <f t="shared" si="6"/>
        <v>0</v>
      </c>
      <c r="Q61" s="2">
        <f t="shared" si="6"/>
        <v>0</v>
      </c>
      <c r="R61" s="2">
        <f t="shared" si="6"/>
        <v>0</v>
      </c>
      <c r="S61" s="2">
        <f t="shared" si="6"/>
        <v>0</v>
      </c>
      <c r="T61" s="2">
        <f t="shared" si="6"/>
        <v>0</v>
      </c>
      <c r="U61" s="2">
        <f t="shared" si="6"/>
        <v>0</v>
      </c>
      <c r="V61" s="2">
        <f t="shared" si="6"/>
        <v>0</v>
      </c>
      <c r="W61" s="2">
        <f t="shared" si="6"/>
        <v>0</v>
      </c>
      <c r="X61" s="2">
        <f t="shared" si="6"/>
        <v>0</v>
      </c>
      <c r="Y61" s="2">
        <f t="shared" si="6"/>
        <v>0</v>
      </c>
      <c r="Z61" s="2">
        <f t="shared" si="6"/>
        <v>0</v>
      </c>
      <c r="AA61" s="2">
        <f t="shared" si="6"/>
        <v>0</v>
      </c>
    </row>
    <row r="63" spans="1:27" x14ac:dyDescent="0.25">
      <c r="D63" t="s">
        <v>136</v>
      </c>
      <c r="G63" s="2"/>
      <c r="H63" s="2"/>
      <c r="I63" s="2"/>
      <c r="J63" s="2"/>
      <c r="K63" s="2"/>
      <c r="L63" s="2"/>
      <c r="M63" s="2"/>
      <c r="N63" s="2"/>
      <c r="O63" s="2"/>
      <c r="P63" s="2"/>
      <c r="Q63" s="2"/>
    </row>
    <row r="64" spans="1:27" x14ac:dyDescent="0.25">
      <c r="E64" s="2" t="str">
        <f>E57</f>
        <v>Pipes</v>
      </c>
      <c r="F64" t="s">
        <v>7</v>
      </c>
      <c r="G64" s="2">
        <f t="shared" ref="G64:AA66" si="7">G57/$G7+IF((G$2-$G7+1)&gt;0,-INDEX($G57:$AA57,1,(G$2-$G7+1))/$G7,0)</f>
        <v>0</v>
      </c>
      <c r="H64" s="2">
        <f t="shared" si="7"/>
        <v>0</v>
      </c>
      <c r="I64" s="2">
        <f t="shared" si="7"/>
        <v>0</v>
      </c>
      <c r="J64" s="2">
        <f t="shared" si="7"/>
        <v>0</v>
      </c>
      <c r="K64" s="2">
        <f t="shared" si="7"/>
        <v>0</v>
      </c>
      <c r="L64" s="2">
        <f t="shared" si="7"/>
        <v>0</v>
      </c>
      <c r="M64" s="2">
        <f t="shared" si="7"/>
        <v>0</v>
      </c>
      <c r="N64" s="2">
        <f t="shared" si="7"/>
        <v>0</v>
      </c>
      <c r="O64" s="2">
        <f t="shared" si="7"/>
        <v>0</v>
      </c>
      <c r="P64" s="2">
        <f t="shared" si="7"/>
        <v>0</v>
      </c>
      <c r="Q64" s="2">
        <f t="shared" si="7"/>
        <v>0</v>
      </c>
      <c r="R64" s="2">
        <f t="shared" si="7"/>
        <v>0</v>
      </c>
      <c r="S64" s="2">
        <f t="shared" si="7"/>
        <v>0</v>
      </c>
      <c r="T64" s="2">
        <f t="shared" si="7"/>
        <v>0</v>
      </c>
      <c r="U64" s="2">
        <f t="shared" si="7"/>
        <v>0</v>
      </c>
      <c r="V64" s="2">
        <f t="shared" si="7"/>
        <v>0</v>
      </c>
      <c r="W64" s="2">
        <f t="shared" si="7"/>
        <v>0</v>
      </c>
      <c r="X64" s="2">
        <f t="shared" si="7"/>
        <v>0</v>
      </c>
      <c r="Y64" s="2">
        <f t="shared" si="7"/>
        <v>0</v>
      </c>
      <c r="Z64" s="2">
        <f t="shared" si="7"/>
        <v>0</v>
      </c>
      <c r="AA64" s="2">
        <f t="shared" si="7"/>
        <v>0</v>
      </c>
    </row>
    <row r="65" spans="1:27" x14ac:dyDescent="0.25">
      <c r="E65" s="2" t="str">
        <f t="shared" ref="E65:E66" si="8">E58</f>
        <v>Pumps</v>
      </c>
      <c r="F65" t="s">
        <v>7</v>
      </c>
      <c r="G65" s="2">
        <f t="shared" si="7"/>
        <v>0</v>
      </c>
      <c r="H65" s="2">
        <f t="shared" si="7"/>
        <v>0</v>
      </c>
      <c r="I65" s="2">
        <f t="shared" si="7"/>
        <v>0</v>
      </c>
      <c r="J65" s="2">
        <f t="shared" si="7"/>
        <v>0</v>
      </c>
      <c r="K65" s="2">
        <f t="shared" si="7"/>
        <v>0</v>
      </c>
      <c r="L65" s="2">
        <f t="shared" si="7"/>
        <v>0</v>
      </c>
      <c r="M65" s="2">
        <f t="shared" si="7"/>
        <v>0</v>
      </c>
      <c r="N65" s="2">
        <f t="shared" si="7"/>
        <v>0</v>
      </c>
      <c r="O65" s="2">
        <f t="shared" si="7"/>
        <v>0</v>
      </c>
      <c r="P65" s="2">
        <f t="shared" si="7"/>
        <v>0</v>
      </c>
      <c r="Q65" s="2">
        <f t="shared" si="7"/>
        <v>0</v>
      </c>
      <c r="R65" s="2">
        <f t="shared" si="7"/>
        <v>0</v>
      </c>
      <c r="S65" s="2">
        <f t="shared" si="7"/>
        <v>0</v>
      </c>
      <c r="T65" s="2">
        <f t="shared" si="7"/>
        <v>0</v>
      </c>
      <c r="U65" s="2">
        <f t="shared" si="7"/>
        <v>0</v>
      </c>
      <c r="V65" s="2">
        <f t="shared" si="7"/>
        <v>0</v>
      </c>
      <c r="W65" s="2">
        <f t="shared" si="7"/>
        <v>0</v>
      </c>
      <c r="X65" s="2">
        <f t="shared" si="7"/>
        <v>0</v>
      </c>
      <c r="Y65" s="2">
        <f t="shared" si="7"/>
        <v>0</v>
      </c>
      <c r="Z65" s="2">
        <f t="shared" si="7"/>
        <v>0</v>
      </c>
      <c r="AA65" s="2">
        <f t="shared" si="7"/>
        <v>0</v>
      </c>
    </row>
    <row r="66" spans="1:27" x14ac:dyDescent="0.25">
      <c r="E66" s="2" t="str">
        <f t="shared" si="8"/>
        <v>Valves and Meters</v>
      </c>
      <c r="F66" t="s">
        <v>7</v>
      </c>
      <c r="G66" s="2">
        <f t="shared" si="7"/>
        <v>0</v>
      </c>
      <c r="H66" s="2">
        <f t="shared" si="7"/>
        <v>0</v>
      </c>
      <c r="I66" s="2">
        <f t="shared" si="7"/>
        <v>0</v>
      </c>
      <c r="J66" s="2">
        <f t="shared" si="7"/>
        <v>0</v>
      </c>
      <c r="K66" s="2">
        <f t="shared" si="7"/>
        <v>0</v>
      </c>
      <c r="L66" s="2">
        <f t="shared" si="7"/>
        <v>0</v>
      </c>
      <c r="M66" s="2">
        <f t="shared" si="7"/>
        <v>0</v>
      </c>
      <c r="N66" s="2">
        <f t="shared" si="7"/>
        <v>0</v>
      </c>
      <c r="O66" s="2">
        <f t="shared" si="7"/>
        <v>0</v>
      </c>
      <c r="P66" s="2">
        <f t="shared" si="7"/>
        <v>0</v>
      </c>
      <c r="Q66" s="2">
        <f t="shared" si="7"/>
        <v>0</v>
      </c>
      <c r="R66" s="2">
        <f t="shared" si="7"/>
        <v>0</v>
      </c>
      <c r="S66" s="2">
        <f t="shared" si="7"/>
        <v>0</v>
      </c>
      <c r="T66" s="2">
        <f t="shared" si="7"/>
        <v>0</v>
      </c>
      <c r="U66" s="2">
        <f t="shared" si="7"/>
        <v>0</v>
      </c>
      <c r="V66" s="2">
        <f t="shared" si="7"/>
        <v>0</v>
      </c>
      <c r="W66" s="2">
        <f t="shared" si="7"/>
        <v>0</v>
      </c>
      <c r="X66" s="2">
        <f t="shared" si="7"/>
        <v>0</v>
      </c>
      <c r="Y66" s="2">
        <f t="shared" si="7"/>
        <v>0</v>
      </c>
      <c r="Z66" s="2">
        <f t="shared" si="7"/>
        <v>0</v>
      </c>
      <c r="AA66" s="2">
        <f t="shared" si="7"/>
        <v>0</v>
      </c>
    </row>
    <row r="68" spans="1:27" x14ac:dyDescent="0.25">
      <c r="D68" t="s">
        <v>137</v>
      </c>
      <c r="F68" t="s">
        <v>7</v>
      </c>
      <c r="G68" s="2">
        <f>SUM($G$64:G66)</f>
        <v>0</v>
      </c>
      <c r="H68" s="2">
        <f>SUM($G$64:H66)</f>
        <v>0</v>
      </c>
      <c r="I68" s="2">
        <f>SUM($G$64:I66)</f>
        <v>0</v>
      </c>
      <c r="J68" s="2">
        <f>SUM($G$64:J66)</f>
        <v>0</v>
      </c>
      <c r="K68" s="2">
        <f>SUM($G$64:K66)</f>
        <v>0</v>
      </c>
      <c r="L68" s="2">
        <f>SUM($G$64:L66)</f>
        <v>0</v>
      </c>
      <c r="M68" s="2">
        <f>SUM($G$64:M66)</f>
        <v>0</v>
      </c>
      <c r="N68" s="2">
        <f>SUM($G$64:N66)</f>
        <v>0</v>
      </c>
      <c r="O68" s="2">
        <f>SUM($G$64:O66)</f>
        <v>0</v>
      </c>
      <c r="P68" s="2">
        <f>SUM($G$64:P66)</f>
        <v>0</v>
      </c>
      <c r="Q68" s="2">
        <f>SUM($G$64:Q66)</f>
        <v>0</v>
      </c>
      <c r="R68" s="2">
        <f>SUM($G$64:R66)</f>
        <v>0</v>
      </c>
      <c r="S68" s="2">
        <f>SUM($G$64:S66)</f>
        <v>0</v>
      </c>
      <c r="T68" s="2">
        <f>SUM($G$64:T66)</f>
        <v>0</v>
      </c>
      <c r="U68" s="2">
        <f>SUM($G$64:U66)</f>
        <v>0</v>
      </c>
      <c r="V68" s="2">
        <f>SUM($G$64:V66)</f>
        <v>0</v>
      </c>
      <c r="W68" s="2">
        <f>SUM($G$64:W66)</f>
        <v>0</v>
      </c>
      <c r="X68" s="2">
        <f>SUM($G$64:X66)</f>
        <v>0</v>
      </c>
      <c r="Y68" s="2">
        <f>SUM($G$64:Y66)</f>
        <v>0</v>
      </c>
      <c r="Z68" s="2">
        <f>SUM($G$64:Z66)</f>
        <v>0</v>
      </c>
      <c r="AA68" s="2">
        <f>SUM($G$64:AA66)</f>
        <v>0</v>
      </c>
    </row>
    <row r="70" spans="1:27" x14ac:dyDescent="0.25">
      <c r="A70" s="14">
        <f>'Notes &amp; Assumptions'!A27</f>
        <v>14</v>
      </c>
      <c r="D70" t="s">
        <v>6</v>
      </c>
    </row>
    <row r="71" spans="1:27" x14ac:dyDescent="0.25">
      <c r="E71" s="2" t="str">
        <f>E7</f>
        <v>Pipes</v>
      </c>
      <c r="F71" t="s">
        <v>7</v>
      </c>
      <c r="G71" s="10"/>
      <c r="H71" s="10"/>
      <c r="I71" s="10"/>
      <c r="J71" s="10"/>
      <c r="K71" s="10"/>
      <c r="L71" s="10"/>
      <c r="M71" s="10"/>
      <c r="N71" s="10"/>
      <c r="O71" s="10"/>
      <c r="P71" s="10"/>
      <c r="Q71" s="10"/>
      <c r="R71" s="10"/>
      <c r="S71" s="10"/>
      <c r="T71" s="10"/>
      <c r="U71" s="10"/>
      <c r="V71" s="10"/>
      <c r="W71" s="10"/>
      <c r="X71" s="10"/>
      <c r="Y71" s="10"/>
      <c r="Z71" s="10"/>
      <c r="AA71" s="10"/>
    </row>
    <row r="72" spans="1:27" x14ac:dyDescent="0.25">
      <c r="E72" s="2" t="str">
        <f>E8</f>
        <v>Pumps</v>
      </c>
      <c r="F72" t="s">
        <v>7</v>
      </c>
      <c r="G72" s="10"/>
      <c r="H72" s="10"/>
      <c r="I72" s="10"/>
      <c r="J72" s="10"/>
      <c r="K72" s="10"/>
      <c r="L72" s="10"/>
      <c r="M72" s="10"/>
      <c r="N72" s="10"/>
      <c r="O72" s="10"/>
      <c r="P72" s="10"/>
      <c r="Q72" s="10"/>
      <c r="R72" s="10"/>
      <c r="S72" s="10"/>
      <c r="T72" s="10"/>
      <c r="U72" s="10"/>
      <c r="V72" s="10"/>
      <c r="W72" s="10"/>
      <c r="X72" s="10"/>
      <c r="Y72" s="10"/>
      <c r="Z72" s="10"/>
      <c r="AA72" s="10"/>
    </row>
    <row r="73" spans="1:27" x14ac:dyDescent="0.25">
      <c r="E73" s="2" t="str">
        <f>E9</f>
        <v>Valves and Meters</v>
      </c>
      <c r="F73" t="s">
        <v>7</v>
      </c>
      <c r="G73" s="10"/>
      <c r="H73" s="10"/>
      <c r="I73" s="10"/>
      <c r="J73" s="10"/>
      <c r="K73" s="10"/>
      <c r="L73" s="10"/>
      <c r="M73" s="10"/>
      <c r="N73" s="10"/>
      <c r="O73" s="10"/>
      <c r="P73" s="10"/>
      <c r="Q73" s="10"/>
      <c r="R73" s="10"/>
      <c r="S73" s="10"/>
      <c r="T73" s="10"/>
      <c r="U73" s="10"/>
      <c r="V73" s="10"/>
      <c r="W73" s="10"/>
      <c r="X73" s="10"/>
      <c r="Y73" s="10"/>
      <c r="Z73" s="10"/>
      <c r="AA73" s="10"/>
    </row>
    <row r="74" spans="1:27" x14ac:dyDescent="0.25">
      <c r="E74" t="s">
        <v>131</v>
      </c>
      <c r="F74" t="s">
        <v>7</v>
      </c>
      <c r="G74" s="10"/>
      <c r="H74" s="10"/>
      <c r="I74" s="10"/>
      <c r="J74" s="10"/>
      <c r="K74" s="10"/>
      <c r="L74" s="10"/>
      <c r="M74" s="10"/>
      <c r="N74" s="10"/>
      <c r="O74" s="10"/>
      <c r="P74" s="10"/>
      <c r="Q74" s="10"/>
      <c r="R74" s="10"/>
      <c r="S74" s="10"/>
      <c r="T74" s="10"/>
      <c r="U74" s="10"/>
      <c r="V74" s="10"/>
      <c r="W74" s="10"/>
      <c r="X74" s="10"/>
      <c r="Y74" s="10"/>
      <c r="Z74" s="10"/>
      <c r="AA74" s="10"/>
    </row>
    <row r="75" spans="1:27" x14ac:dyDescent="0.25">
      <c r="G75" s="2">
        <f>SUM(G71:G74)</f>
        <v>0</v>
      </c>
      <c r="H75" s="2">
        <f t="shared" ref="H75:AA75" si="9">SUM(H71:H74)</f>
        <v>0</v>
      </c>
      <c r="I75" s="2">
        <f t="shared" si="9"/>
        <v>0</v>
      </c>
      <c r="J75" s="2">
        <f t="shared" si="9"/>
        <v>0</v>
      </c>
      <c r="K75" s="2">
        <f t="shared" si="9"/>
        <v>0</v>
      </c>
      <c r="L75" s="2">
        <f t="shared" si="9"/>
        <v>0</v>
      </c>
      <c r="M75" s="2">
        <f t="shared" si="9"/>
        <v>0</v>
      </c>
      <c r="N75" s="2">
        <f t="shared" si="9"/>
        <v>0</v>
      </c>
      <c r="O75" s="2">
        <f t="shared" si="9"/>
        <v>0</v>
      </c>
      <c r="P75" s="2">
        <f t="shared" si="9"/>
        <v>0</v>
      </c>
      <c r="Q75" s="2">
        <f t="shared" si="9"/>
        <v>0</v>
      </c>
      <c r="R75" s="2">
        <f t="shared" si="9"/>
        <v>0</v>
      </c>
      <c r="S75" s="2">
        <f t="shared" si="9"/>
        <v>0</v>
      </c>
      <c r="T75" s="2">
        <f t="shared" si="9"/>
        <v>0</v>
      </c>
      <c r="U75" s="2">
        <f t="shared" si="9"/>
        <v>0</v>
      </c>
      <c r="V75" s="2">
        <f t="shared" si="9"/>
        <v>0</v>
      </c>
      <c r="W75" s="2">
        <f t="shared" si="9"/>
        <v>0</v>
      </c>
      <c r="X75" s="2">
        <f t="shared" si="9"/>
        <v>0</v>
      </c>
      <c r="Y75" s="2">
        <f t="shared" si="9"/>
        <v>0</v>
      </c>
      <c r="Z75" s="2">
        <f t="shared" si="9"/>
        <v>0</v>
      </c>
      <c r="AA75" s="2">
        <f t="shared" si="9"/>
        <v>0</v>
      </c>
    </row>
    <row r="76" spans="1:27" x14ac:dyDescent="0.25">
      <c r="G76" s="2"/>
      <c r="H76" s="2"/>
      <c r="I76" s="2"/>
      <c r="J76" s="2"/>
      <c r="K76" s="2"/>
      <c r="L76" s="2"/>
      <c r="M76" s="2"/>
      <c r="N76" s="2"/>
      <c r="O76" s="2"/>
      <c r="P76" s="2"/>
      <c r="Q76" s="2"/>
      <c r="R76" s="2"/>
      <c r="S76" s="2"/>
      <c r="T76" s="2"/>
      <c r="U76" s="2"/>
      <c r="V76" s="2"/>
      <c r="W76" s="2"/>
      <c r="X76" s="2"/>
      <c r="Y76" s="2"/>
      <c r="Z76" s="2"/>
      <c r="AA76" s="2"/>
    </row>
    <row r="77" spans="1:27" x14ac:dyDescent="0.25">
      <c r="D77" t="s">
        <v>136</v>
      </c>
      <c r="G77" s="2"/>
      <c r="H77" s="2"/>
      <c r="I77" s="2"/>
      <c r="J77" s="2"/>
      <c r="K77" s="2"/>
      <c r="L77" s="2"/>
      <c r="M77" s="2"/>
      <c r="N77" s="2"/>
      <c r="O77" s="2"/>
      <c r="P77" s="2"/>
      <c r="Q77" s="2"/>
    </row>
    <row r="78" spans="1:27" x14ac:dyDescent="0.25">
      <c r="E78" s="2" t="str">
        <f>E71</f>
        <v>Pipes</v>
      </c>
      <c r="F78" t="s">
        <v>7</v>
      </c>
      <c r="G78" s="2">
        <f t="shared" ref="G78:AA80" si="10">G71/$G7+IF((G$2-$G7+1)&gt;0,-INDEX($G71:$AA71,1,(G$2-$G7+1))/$G7,0)</f>
        <v>0</v>
      </c>
      <c r="H78" s="2">
        <f t="shared" si="10"/>
        <v>0</v>
      </c>
      <c r="I78" s="2">
        <f t="shared" si="10"/>
        <v>0</v>
      </c>
      <c r="J78" s="2">
        <f t="shared" si="10"/>
        <v>0</v>
      </c>
      <c r="K78" s="2">
        <f t="shared" si="10"/>
        <v>0</v>
      </c>
      <c r="L78" s="2">
        <f t="shared" si="10"/>
        <v>0</v>
      </c>
      <c r="M78" s="2">
        <f t="shared" si="10"/>
        <v>0</v>
      </c>
      <c r="N78" s="2">
        <f t="shared" si="10"/>
        <v>0</v>
      </c>
      <c r="O78" s="2">
        <f t="shared" si="10"/>
        <v>0</v>
      </c>
      <c r="P78" s="2">
        <f t="shared" si="10"/>
        <v>0</v>
      </c>
      <c r="Q78" s="2">
        <f t="shared" si="10"/>
        <v>0</v>
      </c>
      <c r="R78" s="2">
        <f t="shared" si="10"/>
        <v>0</v>
      </c>
      <c r="S78" s="2">
        <f t="shared" si="10"/>
        <v>0</v>
      </c>
      <c r="T78" s="2">
        <f t="shared" si="10"/>
        <v>0</v>
      </c>
      <c r="U78" s="2">
        <f t="shared" si="10"/>
        <v>0</v>
      </c>
      <c r="V78" s="2">
        <f t="shared" si="10"/>
        <v>0</v>
      </c>
      <c r="W78" s="2">
        <f t="shared" si="10"/>
        <v>0</v>
      </c>
      <c r="X78" s="2">
        <f t="shared" si="10"/>
        <v>0</v>
      </c>
      <c r="Y78" s="2">
        <f t="shared" si="10"/>
        <v>0</v>
      </c>
      <c r="Z78" s="2">
        <f t="shared" si="10"/>
        <v>0</v>
      </c>
      <c r="AA78" s="2">
        <f t="shared" si="10"/>
        <v>0</v>
      </c>
    </row>
    <row r="79" spans="1:27" x14ac:dyDescent="0.25">
      <c r="E79" s="2" t="str">
        <f t="shared" ref="E79:E80" si="11">E72</f>
        <v>Pumps</v>
      </c>
      <c r="F79" t="s">
        <v>7</v>
      </c>
      <c r="G79" s="2">
        <f t="shared" si="10"/>
        <v>0</v>
      </c>
      <c r="H79" s="2">
        <f t="shared" si="10"/>
        <v>0</v>
      </c>
      <c r="I79" s="2">
        <f t="shared" si="10"/>
        <v>0</v>
      </c>
      <c r="J79" s="2">
        <f t="shared" si="10"/>
        <v>0</v>
      </c>
      <c r="K79" s="2">
        <f t="shared" si="10"/>
        <v>0</v>
      </c>
      <c r="L79" s="2">
        <f t="shared" si="10"/>
        <v>0</v>
      </c>
      <c r="M79" s="2">
        <f t="shared" si="10"/>
        <v>0</v>
      </c>
      <c r="N79" s="2">
        <f t="shared" si="10"/>
        <v>0</v>
      </c>
      <c r="O79" s="2">
        <f t="shared" si="10"/>
        <v>0</v>
      </c>
      <c r="P79" s="2">
        <f t="shared" si="10"/>
        <v>0</v>
      </c>
      <c r="Q79" s="2">
        <f t="shared" si="10"/>
        <v>0</v>
      </c>
      <c r="R79" s="2">
        <f t="shared" si="10"/>
        <v>0</v>
      </c>
      <c r="S79" s="2">
        <f t="shared" si="10"/>
        <v>0</v>
      </c>
      <c r="T79" s="2">
        <f t="shared" si="10"/>
        <v>0</v>
      </c>
      <c r="U79" s="2">
        <f t="shared" si="10"/>
        <v>0</v>
      </c>
      <c r="V79" s="2">
        <f t="shared" si="10"/>
        <v>0</v>
      </c>
      <c r="W79" s="2">
        <f t="shared" si="10"/>
        <v>0</v>
      </c>
      <c r="X79" s="2">
        <f t="shared" si="10"/>
        <v>0</v>
      </c>
      <c r="Y79" s="2">
        <f t="shared" si="10"/>
        <v>0</v>
      </c>
      <c r="Z79" s="2">
        <f t="shared" si="10"/>
        <v>0</v>
      </c>
      <c r="AA79" s="2">
        <f t="shared" si="10"/>
        <v>0</v>
      </c>
    </row>
    <row r="80" spans="1:27" x14ac:dyDescent="0.25">
      <c r="E80" s="2" t="str">
        <f t="shared" si="11"/>
        <v>Valves and Meters</v>
      </c>
      <c r="F80" t="s">
        <v>7</v>
      </c>
      <c r="G80" s="2">
        <f t="shared" si="10"/>
        <v>0</v>
      </c>
      <c r="H80" s="2">
        <f t="shared" si="10"/>
        <v>0</v>
      </c>
      <c r="I80" s="2">
        <f t="shared" si="10"/>
        <v>0</v>
      </c>
      <c r="J80" s="2">
        <f t="shared" si="10"/>
        <v>0</v>
      </c>
      <c r="K80" s="2">
        <f t="shared" si="10"/>
        <v>0</v>
      </c>
      <c r="L80" s="2">
        <f t="shared" si="10"/>
        <v>0</v>
      </c>
      <c r="M80" s="2">
        <f t="shared" si="10"/>
        <v>0</v>
      </c>
      <c r="N80" s="2">
        <f t="shared" si="10"/>
        <v>0</v>
      </c>
      <c r="O80" s="2">
        <f t="shared" si="10"/>
        <v>0</v>
      </c>
      <c r="P80" s="2">
        <f t="shared" si="10"/>
        <v>0</v>
      </c>
      <c r="Q80" s="2">
        <f t="shared" si="10"/>
        <v>0</v>
      </c>
      <c r="R80" s="2">
        <f t="shared" si="10"/>
        <v>0</v>
      </c>
      <c r="S80" s="2">
        <f t="shared" si="10"/>
        <v>0</v>
      </c>
      <c r="T80" s="2">
        <f t="shared" si="10"/>
        <v>0</v>
      </c>
      <c r="U80" s="2">
        <f t="shared" si="10"/>
        <v>0</v>
      </c>
      <c r="V80" s="2">
        <f t="shared" si="10"/>
        <v>0</v>
      </c>
      <c r="W80" s="2">
        <f t="shared" si="10"/>
        <v>0</v>
      </c>
      <c r="X80" s="2">
        <f t="shared" si="10"/>
        <v>0</v>
      </c>
      <c r="Y80" s="2">
        <f t="shared" si="10"/>
        <v>0</v>
      </c>
      <c r="Z80" s="2">
        <f t="shared" si="10"/>
        <v>0</v>
      </c>
      <c r="AA80" s="2">
        <f t="shared" si="10"/>
        <v>0</v>
      </c>
    </row>
    <row r="82" spans="1:27" x14ac:dyDescent="0.25">
      <c r="D82" t="s">
        <v>137</v>
      </c>
      <c r="F82" t="s">
        <v>7</v>
      </c>
      <c r="G82" s="2">
        <f>SUM($G$77:G80)</f>
        <v>0</v>
      </c>
      <c r="H82" s="2">
        <f>SUM($G$77:H80)</f>
        <v>0</v>
      </c>
      <c r="I82" s="2">
        <f>SUM($G$77:I80)</f>
        <v>0</v>
      </c>
      <c r="J82" s="2">
        <f>SUM($G$77:J80)</f>
        <v>0</v>
      </c>
      <c r="K82" s="2">
        <f>SUM($G$77:K80)</f>
        <v>0</v>
      </c>
      <c r="L82" s="2">
        <f>SUM($G$77:L80)</f>
        <v>0</v>
      </c>
      <c r="M82" s="2">
        <f>SUM($G$77:M80)</f>
        <v>0</v>
      </c>
      <c r="N82" s="2">
        <f>SUM($G$77:N80)</f>
        <v>0</v>
      </c>
      <c r="O82" s="2">
        <f>SUM($G$77:O80)</f>
        <v>0</v>
      </c>
      <c r="P82" s="2">
        <f>SUM($G$77:P80)</f>
        <v>0</v>
      </c>
      <c r="Q82" s="2">
        <f>SUM($G$77:Q80)</f>
        <v>0</v>
      </c>
      <c r="R82" s="2">
        <f>SUM($G$77:R80)</f>
        <v>0</v>
      </c>
      <c r="S82" s="2">
        <f>SUM($G$77:S80)</f>
        <v>0</v>
      </c>
      <c r="T82" s="2">
        <f>SUM($G$77:T80)</f>
        <v>0</v>
      </c>
      <c r="U82" s="2">
        <f>SUM($G$77:U80)</f>
        <v>0</v>
      </c>
      <c r="V82" s="2">
        <f>SUM($G$77:V80)</f>
        <v>0</v>
      </c>
      <c r="W82" s="2">
        <f>SUM($G$77:W80)</f>
        <v>0</v>
      </c>
      <c r="X82" s="2">
        <f>SUM($G$77:X80)</f>
        <v>0</v>
      </c>
      <c r="Y82" s="2">
        <f>SUM($G$77:Y80)</f>
        <v>0</v>
      </c>
      <c r="Z82" s="2">
        <f>SUM($G$77:Z80)</f>
        <v>0</v>
      </c>
      <c r="AA82" s="2">
        <f>SUM($G$77:AA80)</f>
        <v>0</v>
      </c>
    </row>
    <row r="83" spans="1:27" x14ac:dyDescent="0.25">
      <c r="G83" s="2"/>
      <c r="H83" s="2"/>
      <c r="I83" s="2"/>
      <c r="J83" s="2"/>
      <c r="K83" s="2"/>
      <c r="L83" s="2"/>
      <c r="M83" s="2"/>
      <c r="N83" s="2"/>
      <c r="O83" s="2"/>
      <c r="P83" s="2"/>
      <c r="Q83" s="2"/>
      <c r="R83" s="2"/>
      <c r="S83" s="2"/>
      <c r="T83" s="2"/>
      <c r="U83" s="2"/>
      <c r="V83" s="2"/>
      <c r="W83" s="2"/>
      <c r="X83" s="2"/>
      <c r="Y83" s="2"/>
      <c r="Z83" s="2"/>
      <c r="AA83" s="2"/>
    </row>
    <row r="84" spans="1:27" x14ac:dyDescent="0.25">
      <c r="D84" t="s">
        <v>138</v>
      </c>
      <c r="F84" t="s">
        <v>7</v>
      </c>
      <c r="G84" s="2">
        <f t="shared" ref="G84:AA84" si="12">G61-G75</f>
        <v>0</v>
      </c>
      <c r="H84" s="2">
        <f t="shared" si="12"/>
        <v>0</v>
      </c>
      <c r="I84" s="2">
        <f t="shared" si="12"/>
        <v>0</v>
      </c>
      <c r="J84" s="2">
        <f t="shared" si="12"/>
        <v>0</v>
      </c>
      <c r="K84" s="2">
        <f t="shared" si="12"/>
        <v>0</v>
      </c>
      <c r="L84" s="2">
        <f t="shared" si="12"/>
        <v>0</v>
      </c>
      <c r="M84" s="2">
        <f t="shared" si="12"/>
        <v>0</v>
      </c>
      <c r="N84" s="2">
        <f t="shared" si="12"/>
        <v>0</v>
      </c>
      <c r="O84" s="2">
        <f t="shared" si="12"/>
        <v>0</v>
      </c>
      <c r="P84" s="2">
        <f t="shared" si="12"/>
        <v>0</v>
      </c>
      <c r="Q84" s="2">
        <f t="shared" si="12"/>
        <v>0</v>
      </c>
      <c r="R84" s="2">
        <f t="shared" si="12"/>
        <v>0</v>
      </c>
      <c r="S84" s="2">
        <f t="shared" si="12"/>
        <v>0</v>
      </c>
      <c r="T84" s="2">
        <f t="shared" si="12"/>
        <v>0</v>
      </c>
      <c r="U84" s="2">
        <f t="shared" si="12"/>
        <v>0</v>
      </c>
      <c r="V84" s="2">
        <f t="shared" si="12"/>
        <v>0</v>
      </c>
      <c r="W84" s="2">
        <f t="shared" si="12"/>
        <v>0</v>
      </c>
      <c r="X84" s="2">
        <f t="shared" si="12"/>
        <v>0</v>
      </c>
      <c r="Y84" s="2">
        <f t="shared" si="12"/>
        <v>0</v>
      </c>
      <c r="Z84" s="2">
        <f t="shared" si="12"/>
        <v>0</v>
      </c>
      <c r="AA84" s="2">
        <f t="shared" si="12"/>
        <v>0</v>
      </c>
    </row>
    <row r="85" spans="1:27" x14ac:dyDescent="0.25">
      <c r="D85" t="s">
        <v>139</v>
      </c>
      <c r="F85" t="s">
        <v>7</v>
      </c>
      <c r="G85" s="2">
        <f t="shared" ref="G85:AA85" si="13">-G68+G82</f>
        <v>0</v>
      </c>
      <c r="H85" s="2">
        <f t="shared" si="13"/>
        <v>0</v>
      </c>
      <c r="I85" s="2">
        <f t="shared" si="13"/>
        <v>0</v>
      </c>
      <c r="J85" s="2">
        <f t="shared" si="13"/>
        <v>0</v>
      </c>
      <c r="K85" s="2">
        <f t="shared" si="13"/>
        <v>0</v>
      </c>
      <c r="L85" s="2">
        <f t="shared" si="13"/>
        <v>0</v>
      </c>
      <c r="M85" s="2">
        <f t="shared" si="13"/>
        <v>0</v>
      </c>
      <c r="N85" s="2">
        <f t="shared" si="13"/>
        <v>0</v>
      </c>
      <c r="O85" s="2">
        <f t="shared" si="13"/>
        <v>0</v>
      </c>
      <c r="P85" s="2">
        <f t="shared" si="13"/>
        <v>0</v>
      </c>
      <c r="Q85" s="2">
        <f t="shared" si="13"/>
        <v>0</v>
      </c>
      <c r="R85" s="2">
        <f t="shared" si="13"/>
        <v>0</v>
      </c>
      <c r="S85" s="2">
        <f t="shared" si="13"/>
        <v>0</v>
      </c>
      <c r="T85" s="2">
        <f t="shared" si="13"/>
        <v>0</v>
      </c>
      <c r="U85" s="2">
        <f t="shared" si="13"/>
        <v>0</v>
      </c>
      <c r="V85" s="2">
        <f t="shared" si="13"/>
        <v>0</v>
      </c>
      <c r="W85" s="2">
        <f t="shared" si="13"/>
        <v>0</v>
      </c>
      <c r="X85" s="2">
        <f t="shared" si="13"/>
        <v>0</v>
      </c>
      <c r="Y85" s="2">
        <f t="shared" si="13"/>
        <v>0</v>
      </c>
      <c r="Z85" s="2">
        <f t="shared" si="13"/>
        <v>0</v>
      </c>
      <c r="AA85" s="2">
        <f t="shared" si="13"/>
        <v>0</v>
      </c>
    </row>
    <row r="87" spans="1:27" x14ac:dyDescent="0.25">
      <c r="C87" s="1" t="str">
        <f>"Incremental "&amp;G4&amp;" Service Revenue"</f>
        <v>Incremental Recycled Water Service Revenue</v>
      </c>
      <c r="D87" s="1"/>
    </row>
    <row r="88" spans="1:27" x14ac:dyDescent="0.25">
      <c r="C88" s="1"/>
      <c r="D88" s="1"/>
    </row>
    <row r="89" spans="1:27" x14ac:dyDescent="0.25">
      <c r="C89" s="1"/>
      <c r="D89" t="s">
        <v>59</v>
      </c>
    </row>
    <row r="90" spans="1:27" x14ac:dyDescent="0.25">
      <c r="A90" s="14">
        <f>'Notes &amp; Assumptions'!A28</f>
        <v>15</v>
      </c>
      <c r="C90" s="1"/>
      <c r="D90" s="1"/>
      <c r="E90" t="s">
        <v>87</v>
      </c>
      <c r="F90" t="s">
        <v>3</v>
      </c>
      <c r="H90" s="10">
        <f>'Customer numbers'!P61+'20 Greenvale RW'!H90+'20 Epping North RW'!H90</f>
        <v>1399.5</v>
      </c>
      <c r="I90" s="10">
        <f>'Customer numbers'!Q61+'20 Greenvale RW'!I90+'20 Epping North RW'!I90</f>
        <v>1370.2</v>
      </c>
      <c r="J90" s="10">
        <f>'Customer numbers'!R61+'20 Greenvale RW'!J90+'20 Epping North RW'!J90</f>
        <v>1366.0149999999999</v>
      </c>
      <c r="K90" s="10">
        <f>'Customer numbers'!S61+'20 Greenvale RW'!K90+'20 Epping North RW'!K90</f>
        <v>1292.9099999999999</v>
      </c>
      <c r="L90" s="10">
        <f>'Customer numbers'!T61+'20 Greenvale RW'!L90+'20 Epping North RW'!L90</f>
        <v>1219.5149999999999</v>
      </c>
      <c r="M90" s="10">
        <f>'Customer numbers'!U61+'20 Greenvale RW'!M90+'20 Epping North RW'!M90</f>
        <v>1150.05</v>
      </c>
      <c r="N90" s="10">
        <f>'Customer numbers'!V61+'20 Greenvale RW'!N90+'20 Epping North RW'!N90</f>
        <v>1082.385</v>
      </c>
      <c r="O90" s="10">
        <f>'Customer numbers'!W61+'20 Greenvale RW'!O90+'20 Epping North RW'!O90</f>
        <v>1017.5049999999999</v>
      </c>
      <c r="P90" s="10">
        <f>'Customer numbers'!X61+'20 Greenvale RW'!P90+'20 Epping North RW'!P90</f>
        <v>1054.7449999999999</v>
      </c>
      <c r="Q90" s="10">
        <f>'Customer numbers'!Y61+'20 Greenvale RW'!Q90+'20 Epping North RW'!Q90</f>
        <v>1093.3649999999998</v>
      </c>
      <c r="R90" s="10">
        <f>'Customer numbers'!Z61+'20 Greenvale RW'!R90+'20 Epping North RW'!R90</f>
        <v>1157.625</v>
      </c>
      <c r="S90" s="10">
        <f>'Customer numbers'!AA61+'20 Greenvale RW'!S90+'20 Epping North RW'!S90</f>
        <v>1226.6099999999999</v>
      </c>
      <c r="T90" s="10">
        <f>'Customer numbers'!AB61+'20 Greenvale RW'!T90+'20 Epping North RW'!T90</f>
        <v>1299.375</v>
      </c>
      <c r="U90" s="10">
        <f>'Customer numbers'!AC61+'20 Greenvale RW'!U90+'20 Epping North RW'!U90</f>
        <v>1290.8699999999999</v>
      </c>
      <c r="V90" s="10">
        <f>'Customer numbers'!AD61+'20 Greenvale RW'!V90+'20 Epping North RW'!V90</f>
        <v>1281.4199999999998</v>
      </c>
    </row>
    <row r="91" spans="1:27" x14ac:dyDescent="0.25">
      <c r="C91" s="1"/>
      <c r="D91" s="1"/>
      <c r="E91" t="s">
        <v>60</v>
      </c>
      <c r="F91" t="s">
        <v>3</v>
      </c>
      <c r="H91" s="2">
        <f>G91+H90</f>
        <v>1399.5</v>
      </c>
      <c r="I91" s="2">
        <f t="shared" ref="I91:AA91" si="14">H91+I90</f>
        <v>2769.7</v>
      </c>
      <c r="J91" s="2">
        <f t="shared" si="14"/>
        <v>4135.7150000000001</v>
      </c>
      <c r="K91" s="2">
        <f t="shared" si="14"/>
        <v>5428.625</v>
      </c>
      <c r="L91" s="2">
        <f t="shared" si="14"/>
        <v>6648.1399999999994</v>
      </c>
      <c r="M91" s="2">
        <f t="shared" si="14"/>
        <v>7798.19</v>
      </c>
      <c r="N91" s="2">
        <f t="shared" si="14"/>
        <v>8880.5749999999989</v>
      </c>
      <c r="O91" s="2">
        <f t="shared" si="14"/>
        <v>9898.0799999999981</v>
      </c>
      <c r="P91" s="2">
        <f t="shared" si="14"/>
        <v>10952.824999999997</v>
      </c>
      <c r="Q91" s="2">
        <f t="shared" si="14"/>
        <v>12046.189999999997</v>
      </c>
      <c r="R91" s="2">
        <f t="shared" si="14"/>
        <v>13203.814999999997</v>
      </c>
      <c r="S91" s="2">
        <f t="shared" si="14"/>
        <v>14430.424999999997</v>
      </c>
      <c r="T91" s="2">
        <f t="shared" si="14"/>
        <v>15729.799999999997</v>
      </c>
      <c r="U91" s="2">
        <f t="shared" si="14"/>
        <v>17020.669999999998</v>
      </c>
      <c r="V91" s="2">
        <f t="shared" si="14"/>
        <v>18302.089999999997</v>
      </c>
      <c r="W91" s="2">
        <f t="shared" si="14"/>
        <v>18302.089999999997</v>
      </c>
      <c r="X91" s="2">
        <f t="shared" si="14"/>
        <v>18302.089999999997</v>
      </c>
      <c r="Y91" s="2">
        <f t="shared" si="14"/>
        <v>18302.089999999997</v>
      </c>
      <c r="Z91" s="2">
        <f t="shared" si="14"/>
        <v>18302.089999999997</v>
      </c>
      <c r="AA91" s="2">
        <f t="shared" si="14"/>
        <v>18302.089999999997</v>
      </c>
    </row>
    <row r="92" spans="1:27" x14ac:dyDescent="0.25">
      <c r="A92" s="14">
        <f>'Notes &amp; Assumptions'!A29</f>
        <v>16</v>
      </c>
      <c r="C92" s="1"/>
      <c r="D92" s="1"/>
      <c r="E92" t="s">
        <v>61</v>
      </c>
      <c r="F92" t="s">
        <v>3</v>
      </c>
      <c r="G92" s="10">
        <v>1</v>
      </c>
    </row>
    <row r="93" spans="1:27" x14ac:dyDescent="0.25">
      <c r="C93" s="1"/>
      <c r="D93" s="1"/>
      <c r="E93" t="s">
        <v>88</v>
      </c>
      <c r="F93" t="s">
        <v>3</v>
      </c>
      <c r="H93">
        <f>H90*$G92</f>
        <v>1399.5</v>
      </c>
      <c r="I93">
        <f t="shared" ref="I93:AA93" si="15">I90*$G92</f>
        <v>1370.2</v>
      </c>
      <c r="J93">
        <f t="shared" si="15"/>
        <v>1366.0149999999999</v>
      </c>
      <c r="K93">
        <f t="shared" si="15"/>
        <v>1292.9099999999999</v>
      </c>
      <c r="L93">
        <f t="shared" si="15"/>
        <v>1219.5149999999999</v>
      </c>
      <c r="M93">
        <f t="shared" si="15"/>
        <v>1150.05</v>
      </c>
      <c r="N93">
        <f t="shared" si="15"/>
        <v>1082.385</v>
      </c>
      <c r="O93">
        <f t="shared" si="15"/>
        <v>1017.5049999999999</v>
      </c>
      <c r="P93">
        <f t="shared" si="15"/>
        <v>1054.7449999999999</v>
      </c>
      <c r="Q93">
        <f t="shared" si="15"/>
        <v>1093.3649999999998</v>
      </c>
      <c r="R93">
        <f t="shared" si="15"/>
        <v>1157.625</v>
      </c>
      <c r="S93">
        <f t="shared" si="15"/>
        <v>1226.6099999999999</v>
      </c>
      <c r="T93">
        <f t="shared" si="15"/>
        <v>1299.375</v>
      </c>
      <c r="U93">
        <f t="shared" si="15"/>
        <v>1290.8699999999999</v>
      </c>
      <c r="V93">
        <f t="shared" si="15"/>
        <v>1281.4199999999998</v>
      </c>
      <c r="W93">
        <f t="shared" si="15"/>
        <v>0</v>
      </c>
      <c r="X93">
        <f t="shared" si="15"/>
        <v>0</v>
      </c>
      <c r="Y93">
        <f t="shared" si="15"/>
        <v>0</v>
      </c>
      <c r="Z93">
        <f t="shared" si="15"/>
        <v>0</v>
      </c>
      <c r="AA93">
        <f t="shared" si="15"/>
        <v>0</v>
      </c>
    </row>
    <row r="94" spans="1:27" x14ac:dyDescent="0.25">
      <c r="C94" s="1"/>
      <c r="D94" s="1"/>
      <c r="E94" t="s">
        <v>89</v>
      </c>
      <c r="F94" t="s">
        <v>3</v>
      </c>
      <c r="H94">
        <f>H91*$G92</f>
        <v>1399.5</v>
      </c>
      <c r="I94">
        <f t="shared" ref="I94:AA94" si="16">I91*$G92</f>
        <v>2769.7</v>
      </c>
      <c r="J94">
        <f t="shared" si="16"/>
        <v>4135.7150000000001</v>
      </c>
      <c r="K94">
        <f t="shared" si="16"/>
        <v>5428.625</v>
      </c>
      <c r="L94">
        <f t="shared" si="16"/>
        <v>6648.1399999999994</v>
      </c>
      <c r="M94">
        <f t="shared" si="16"/>
        <v>7798.19</v>
      </c>
      <c r="N94">
        <f t="shared" si="16"/>
        <v>8880.5749999999989</v>
      </c>
      <c r="O94">
        <f t="shared" si="16"/>
        <v>9898.0799999999981</v>
      </c>
      <c r="P94">
        <f t="shared" si="16"/>
        <v>10952.824999999997</v>
      </c>
      <c r="Q94">
        <f t="shared" si="16"/>
        <v>12046.189999999997</v>
      </c>
      <c r="R94">
        <f t="shared" si="16"/>
        <v>13203.814999999997</v>
      </c>
      <c r="S94">
        <f t="shared" si="16"/>
        <v>14430.424999999997</v>
      </c>
      <c r="T94">
        <f t="shared" si="16"/>
        <v>15729.799999999997</v>
      </c>
      <c r="U94">
        <f t="shared" si="16"/>
        <v>17020.669999999998</v>
      </c>
      <c r="V94">
        <f t="shared" si="16"/>
        <v>18302.089999999997</v>
      </c>
      <c r="W94">
        <f t="shared" si="16"/>
        <v>18302.089999999997</v>
      </c>
      <c r="X94">
        <f t="shared" si="16"/>
        <v>18302.089999999997</v>
      </c>
      <c r="Y94">
        <f t="shared" si="16"/>
        <v>18302.089999999997</v>
      </c>
      <c r="Z94">
        <f t="shared" si="16"/>
        <v>18302.089999999997</v>
      </c>
      <c r="AA94">
        <f t="shared" si="16"/>
        <v>18302.089999999997</v>
      </c>
    </row>
    <row r="95" spans="1:27" x14ac:dyDescent="0.25">
      <c r="A95" s="14">
        <f>'Notes &amp; Assumptions'!A30</f>
        <v>17</v>
      </c>
      <c r="C95" s="1"/>
      <c r="D95" s="1"/>
      <c r="E95" t="s">
        <v>62</v>
      </c>
      <c r="F95" t="s">
        <v>43</v>
      </c>
      <c r="H95" s="10">
        <f>'Key assumptions'!B24</f>
        <v>40</v>
      </c>
      <c r="I95" s="10">
        <f>H95</f>
        <v>40</v>
      </c>
      <c r="J95" s="10">
        <f t="shared" ref="J95:AA95" si="17">I95</f>
        <v>40</v>
      </c>
      <c r="K95" s="10">
        <f t="shared" si="17"/>
        <v>40</v>
      </c>
      <c r="L95" s="10">
        <f t="shared" si="17"/>
        <v>40</v>
      </c>
      <c r="M95" s="10">
        <f t="shared" si="17"/>
        <v>40</v>
      </c>
      <c r="N95" s="10">
        <f t="shared" si="17"/>
        <v>40</v>
      </c>
      <c r="O95" s="10">
        <f t="shared" si="17"/>
        <v>40</v>
      </c>
      <c r="P95" s="10">
        <f t="shared" si="17"/>
        <v>40</v>
      </c>
      <c r="Q95" s="10">
        <f t="shared" si="17"/>
        <v>40</v>
      </c>
      <c r="R95" s="10">
        <f t="shared" si="17"/>
        <v>40</v>
      </c>
      <c r="S95" s="10">
        <f t="shared" si="17"/>
        <v>40</v>
      </c>
      <c r="T95" s="10">
        <f t="shared" si="17"/>
        <v>40</v>
      </c>
      <c r="U95" s="10">
        <f t="shared" si="17"/>
        <v>40</v>
      </c>
      <c r="V95" s="10">
        <f t="shared" si="17"/>
        <v>40</v>
      </c>
      <c r="W95" s="10">
        <f t="shared" si="17"/>
        <v>40</v>
      </c>
      <c r="X95" s="10">
        <f t="shared" si="17"/>
        <v>40</v>
      </c>
      <c r="Y95" s="10">
        <f t="shared" si="17"/>
        <v>40</v>
      </c>
      <c r="Z95" s="10">
        <f t="shared" si="17"/>
        <v>40</v>
      </c>
      <c r="AA95" s="10">
        <f t="shared" si="17"/>
        <v>40</v>
      </c>
    </row>
    <row r="96" spans="1:27" x14ac:dyDescent="0.25">
      <c r="C96" s="1"/>
      <c r="D96" s="1"/>
      <c r="E96" t="s">
        <v>63</v>
      </c>
      <c r="F96" t="s">
        <v>43</v>
      </c>
      <c r="H96" s="10"/>
      <c r="I96" s="10"/>
      <c r="J96" s="10"/>
      <c r="K96" s="10"/>
      <c r="L96" s="10"/>
      <c r="M96" s="10"/>
      <c r="N96" s="10"/>
      <c r="O96" s="10"/>
      <c r="P96" s="10"/>
      <c r="Q96" s="10"/>
      <c r="R96" s="10"/>
      <c r="S96" s="10"/>
      <c r="T96" s="10"/>
      <c r="U96" s="10"/>
      <c r="V96" s="10"/>
      <c r="W96" s="10"/>
      <c r="X96" s="10"/>
      <c r="Y96" s="10"/>
      <c r="Z96" s="10"/>
      <c r="AA96" s="10"/>
    </row>
    <row r="97" spans="1:27" x14ac:dyDescent="0.25">
      <c r="C97" s="1"/>
      <c r="D97" s="1"/>
      <c r="E97" t="s">
        <v>140</v>
      </c>
      <c r="F97" t="s">
        <v>43</v>
      </c>
      <c r="H97" s="10"/>
      <c r="I97" s="10"/>
      <c r="J97" s="10"/>
      <c r="K97" s="10"/>
      <c r="L97" s="10"/>
      <c r="M97" s="10"/>
      <c r="N97" s="10"/>
      <c r="O97" s="10"/>
      <c r="P97" s="10"/>
      <c r="Q97" s="10"/>
      <c r="R97" s="10"/>
      <c r="S97" s="10"/>
      <c r="T97" s="10"/>
      <c r="U97" s="10"/>
      <c r="V97" s="10"/>
      <c r="W97" s="10"/>
      <c r="X97" s="10"/>
      <c r="Y97" s="10"/>
      <c r="Z97" s="10"/>
      <c r="AA97" s="10"/>
    </row>
    <row r="98" spans="1:27" x14ac:dyDescent="0.25">
      <c r="C98" s="1"/>
      <c r="D98" s="1"/>
      <c r="E98" t="s">
        <v>64</v>
      </c>
      <c r="F98" t="s">
        <v>144</v>
      </c>
      <c r="H98" s="2">
        <f>H91*H95</f>
        <v>55980</v>
      </c>
      <c r="I98" s="2">
        <f t="shared" ref="I98:AA98" si="18">I91*I95</f>
        <v>110788</v>
      </c>
      <c r="J98" s="2">
        <f t="shared" si="18"/>
        <v>165428.6</v>
      </c>
      <c r="K98" s="2">
        <f t="shared" si="18"/>
        <v>217145</v>
      </c>
      <c r="L98" s="2">
        <f t="shared" si="18"/>
        <v>265925.59999999998</v>
      </c>
      <c r="M98" s="2">
        <f t="shared" si="18"/>
        <v>311927.59999999998</v>
      </c>
      <c r="N98" s="2">
        <f t="shared" si="18"/>
        <v>355222.99999999994</v>
      </c>
      <c r="O98" s="2">
        <f t="shared" si="18"/>
        <v>395923.19999999995</v>
      </c>
      <c r="P98" s="2">
        <f t="shared" si="18"/>
        <v>438112.99999999988</v>
      </c>
      <c r="Q98" s="2">
        <f t="shared" si="18"/>
        <v>481847.59999999986</v>
      </c>
      <c r="R98" s="2">
        <f t="shared" si="18"/>
        <v>528152.59999999986</v>
      </c>
      <c r="S98" s="2">
        <f t="shared" si="18"/>
        <v>577216.99999999988</v>
      </c>
      <c r="T98" s="2">
        <f t="shared" si="18"/>
        <v>629191.99999999988</v>
      </c>
      <c r="U98" s="2">
        <f t="shared" si="18"/>
        <v>680826.79999999993</v>
      </c>
      <c r="V98" s="2">
        <f t="shared" si="18"/>
        <v>732083.59999999986</v>
      </c>
      <c r="W98" s="2">
        <f t="shared" si="18"/>
        <v>732083.59999999986</v>
      </c>
      <c r="X98" s="2">
        <f t="shared" si="18"/>
        <v>732083.59999999986</v>
      </c>
      <c r="Y98" s="2">
        <f t="shared" si="18"/>
        <v>732083.59999999986</v>
      </c>
      <c r="Z98" s="2">
        <f t="shared" si="18"/>
        <v>732083.59999999986</v>
      </c>
      <c r="AA98" s="2">
        <f t="shared" si="18"/>
        <v>732083.59999999986</v>
      </c>
    </row>
    <row r="99" spans="1:27" x14ac:dyDescent="0.25">
      <c r="C99" s="1"/>
      <c r="D99" s="1"/>
      <c r="E99" t="s">
        <v>65</v>
      </c>
      <c r="F99" t="s">
        <v>144</v>
      </c>
      <c r="H99" s="2">
        <f>H91*H96</f>
        <v>0</v>
      </c>
      <c r="I99" s="2">
        <f t="shared" ref="I99:AA99" si="19">I91*I96</f>
        <v>0</v>
      </c>
      <c r="J99" s="2">
        <f t="shared" si="19"/>
        <v>0</v>
      </c>
      <c r="K99" s="2">
        <f t="shared" si="19"/>
        <v>0</v>
      </c>
      <c r="L99" s="2">
        <f t="shared" si="19"/>
        <v>0</v>
      </c>
      <c r="M99" s="2">
        <f t="shared" si="19"/>
        <v>0</v>
      </c>
      <c r="N99" s="2">
        <f t="shared" si="19"/>
        <v>0</v>
      </c>
      <c r="O99" s="2">
        <f t="shared" si="19"/>
        <v>0</v>
      </c>
      <c r="P99" s="2">
        <f t="shared" si="19"/>
        <v>0</v>
      </c>
      <c r="Q99" s="2">
        <f t="shared" si="19"/>
        <v>0</v>
      </c>
      <c r="R99" s="2">
        <f t="shared" si="19"/>
        <v>0</v>
      </c>
      <c r="S99" s="2">
        <f t="shared" si="19"/>
        <v>0</v>
      </c>
      <c r="T99" s="2">
        <f t="shared" si="19"/>
        <v>0</v>
      </c>
      <c r="U99" s="2">
        <f t="shared" si="19"/>
        <v>0</v>
      </c>
      <c r="V99" s="2">
        <f t="shared" si="19"/>
        <v>0</v>
      </c>
      <c r="W99" s="2">
        <f t="shared" si="19"/>
        <v>0</v>
      </c>
      <c r="X99" s="2">
        <f t="shared" si="19"/>
        <v>0</v>
      </c>
      <c r="Y99" s="2">
        <f t="shared" si="19"/>
        <v>0</v>
      </c>
      <c r="Z99" s="2">
        <f t="shared" si="19"/>
        <v>0</v>
      </c>
      <c r="AA99" s="2">
        <f t="shared" si="19"/>
        <v>0</v>
      </c>
    </row>
    <row r="100" spans="1:27" x14ac:dyDescent="0.25">
      <c r="C100" s="1"/>
      <c r="D100" s="1"/>
      <c r="E100" t="s">
        <v>141</v>
      </c>
      <c r="F100" t="s">
        <v>144</v>
      </c>
      <c r="H100" s="2">
        <f>H91*H97</f>
        <v>0</v>
      </c>
      <c r="I100" s="2">
        <f t="shared" ref="I100:AA100" si="20">I91*I97</f>
        <v>0</v>
      </c>
      <c r="J100" s="2">
        <f t="shared" si="20"/>
        <v>0</v>
      </c>
      <c r="K100" s="2">
        <f t="shared" si="20"/>
        <v>0</v>
      </c>
      <c r="L100" s="2">
        <f t="shared" si="20"/>
        <v>0</v>
      </c>
      <c r="M100" s="2">
        <f t="shared" si="20"/>
        <v>0</v>
      </c>
      <c r="N100" s="2">
        <f t="shared" si="20"/>
        <v>0</v>
      </c>
      <c r="O100" s="2">
        <f t="shared" si="20"/>
        <v>0</v>
      </c>
      <c r="P100" s="2">
        <f t="shared" si="20"/>
        <v>0</v>
      </c>
      <c r="Q100" s="2">
        <f t="shared" si="20"/>
        <v>0</v>
      </c>
      <c r="R100" s="2">
        <f t="shared" si="20"/>
        <v>0</v>
      </c>
      <c r="S100" s="2">
        <f t="shared" si="20"/>
        <v>0</v>
      </c>
      <c r="T100" s="2">
        <f t="shared" si="20"/>
        <v>0</v>
      </c>
      <c r="U100" s="2">
        <f t="shared" si="20"/>
        <v>0</v>
      </c>
      <c r="V100" s="2">
        <f t="shared" si="20"/>
        <v>0</v>
      </c>
      <c r="W100" s="2">
        <f t="shared" si="20"/>
        <v>0</v>
      </c>
      <c r="X100" s="2">
        <f t="shared" si="20"/>
        <v>0</v>
      </c>
      <c r="Y100" s="2">
        <f t="shared" si="20"/>
        <v>0</v>
      </c>
      <c r="Z100" s="2">
        <f t="shared" si="20"/>
        <v>0</v>
      </c>
      <c r="AA100" s="2">
        <f t="shared" si="20"/>
        <v>0</v>
      </c>
    </row>
    <row r="101" spans="1:27" x14ac:dyDescent="0.25">
      <c r="A101" s="14">
        <f>'Notes &amp; Assumptions'!A31</f>
        <v>18</v>
      </c>
      <c r="C101" s="1"/>
      <c r="D101" s="1"/>
      <c r="E101" t="s">
        <v>66</v>
      </c>
      <c r="F101" t="s">
        <v>8</v>
      </c>
      <c r="H101" s="11">
        <f>'YVW tariffs'!D32</f>
        <v>-4.24E-2</v>
      </c>
      <c r="I101" s="11">
        <f>'YVW tariffs'!E32</f>
        <v>-2.7400000000000001E-2</v>
      </c>
      <c r="J101" s="11">
        <f>'YVW tariffs'!F32</f>
        <v>0</v>
      </c>
      <c r="K101" s="11">
        <f>'YVW tariffs'!G32</f>
        <v>0</v>
      </c>
      <c r="L101" s="11">
        <f>'YVW tariffs'!H32</f>
        <v>0</v>
      </c>
      <c r="M101" s="11">
        <v>0</v>
      </c>
      <c r="N101" s="11">
        <v>0</v>
      </c>
      <c r="O101" s="11">
        <v>0</v>
      </c>
      <c r="P101" s="11">
        <v>0</v>
      </c>
      <c r="Q101" s="11">
        <v>0</v>
      </c>
      <c r="R101" s="11">
        <v>0</v>
      </c>
      <c r="S101" s="11">
        <v>0</v>
      </c>
      <c r="T101" s="11">
        <v>0</v>
      </c>
      <c r="U101" s="11">
        <v>0</v>
      </c>
      <c r="V101" s="11">
        <v>0</v>
      </c>
      <c r="W101" s="11">
        <v>0</v>
      </c>
      <c r="X101" s="11">
        <v>0</v>
      </c>
      <c r="Y101" s="11">
        <v>0</v>
      </c>
      <c r="Z101" s="11">
        <v>0</v>
      </c>
      <c r="AA101" s="11">
        <v>0</v>
      </c>
    </row>
    <row r="102" spans="1:27" x14ac:dyDescent="0.25">
      <c r="A102" s="14">
        <f>'Notes &amp; Assumptions'!A32</f>
        <v>19</v>
      </c>
      <c r="C102" s="1"/>
      <c r="D102" s="1"/>
      <c r="E102" t="s">
        <v>40</v>
      </c>
      <c r="F102" t="s">
        <v>41</v>
      </c>
      <c r="G102" s="43"/>
      <c r="H102" s="2">
        <f>G102*(1+$G$14)*(1+H101)</f>
        <v>0</v>
      </c>
      <c r="I102" s="2">
        <f t="shared" ref="I102:AA102" si="21">H102*(1+$G$14)*(1+I101)</f>
        <v>0</v>
      </c>
      <c r="J102" s="2">
        <f t="shared" si="21"/>
        <v>0</v>
      </c>
      <c r="K102" s="2">
        <f t="shared" si="21"/>
        <v>0</v>
      </c>
      <c r="L102" s="2">
        <f t="shared" si="21"/>
        <v>0</v>
      </c>
      <c r="M102" s="2">
        <f t="shared" si="21"/>
        <v>0</v>
      </c>
      <c r="N102" s="2">
        <f t="shared" si="21"/>
        <v>0</v>
      </c>
      <c r="O102" s="2">
        <f t="shared" si="21"/>
        <v>0</v>
      </c>
      <c r="P102" s="2">
        <f t="shared" si="21"/>
        <v>0</v>
      </c>
      <c r="Q102" s="2">
        <f t="shared" si="21"/>
        <v>0</v>
      </c>
      <c r="R102" s="2">
        <f t="shared" si="21"/>
        <v>0</v>
      </c>
      <c r="S102" s="2">
        <f t="shared" si="21"/>
        <v>0</v>
      </c>
      <c r="T102" s="2">
        <f t="shared" si="21"/>
        <v>0</v>
      </c>
      <c r="U102" s="2">
        <f t="shared" si="21"/>
        <v>0</v>
      </c>
      <c r="V102" s="2">
        <f t="shared" si="21"/>
        <v>0</v>
      </c>
      <c r="W102" s="2">
        <f t="shared" si="21"/>
        <v>0</v>
      </c>
      <c r="X102" s="2">
        <f t="shared" si="21"/>
        <v>0</v>
      </c>
      <c r="Y102" s="2">
        <f t="shared" si="21"/>
        <v>0</v>
      </c>
      <c r="Z102" s="2">
        <f t="shared" si="21"/>
        <v>0</v>
      </c>
      <c r="AA102" s="2">
        <f t="shared" si="21"/>
        <v>0</v>
      </c>
    </row>
    <row r="103" spans="1:27" x14ac:dyDescent="0.25">
      <c r="C103" s="1"/>
      <c r="D103" s="1"/>
      <c r="E103" t="s">
        <v>67</v>
      </c>
      <c r="F103" t="s">
        <v>143</v>
      </c>
      <c r="G103" s="20">
        <f>'YVW tariffs'!E22</f>
        <v>1.7391713999999998</v>
      </c>
      <c r="H103" s="21">
        <f>G103*(1+$G$14)*(1+H101)</f>
        <v>1.7004045738254396</v>
      </c>
      <c r="I103" s="21">
        <f t="shared" ref="I103:AA103" si="22">H103*(1+$G$14)*(1+I101)</f>
        <v>1.6885435717611774</v>
      </c>
      <c r="J103" s="21">
        <f>I103*(1+$G$14)*(1+J101)</f>
        <v>1.7240029867681619</v>
      </c>
      <c r="K103" s="21">
        <f t="shared" si="22"/>
        <v>1.7602070494902931</v>
      </c>
      <c r="L103" s="21">
        <f t="shared" si="22"/>
        <v>1.7971713975295891</v>
      </c>
      <c r="M103" s="21">
        <f t="shared" si="22"/>
        <v>1.8349119968777103</v>
      </c>
      <c r="N103" s="21">
        <f t="shared" si="22"/>
        <v>1.8734451488121422</v>
      </c>
      <c r="O103" s="21">
        <f t="shared" si="22"/>
        <v>1.912787496937197</v>
      </c>
      <c r="P103" s="21">
        <f t="shared" si="22"/>
        <v>1.952956034372878</v>
      </c>
      <c r="Q103" s="21">
        <f t="shared" si="22"/>
        <v>1.9939681110947083</v>
      </c>
      <c r="R103" s="21">
        <f t="shared" si="22"/>
        <v>2.0358414414276971</v>
      </c>
      <c r="S103" s="21">
        <f t="shared" si="22"/>
        <v>2.0785941116976785</v>
      </c>
      <c r="T103" s="21">
        <f t="shared" si="22"/>
        <v>2.1222445880433294</v>
      </c>
      <c r="U103" s="21">
        <f t="shared" si="22"/>
        <v>2.1668117243922391</v>
      </c>
      <c r="V103" s="21">
        <f t="shared" si="22"/>
        <v>2.2123147706044759</v>
      </c>
      <c r="W103" s="21">
        <f t="shared" si="22"/>
        <v>2.2587733807871695</v>
      </c>
      <c r="X103" s="21">
        <f t="shared" si="22"/>
        <v>2.3062076217836998</v>
      </c>
      <c r="Y103" s="21">
        <f t="shared" si="22"/>
        <v>2.3546379818411571</v>
      </c>
      <c r="Z103" s="21">
        <f t="shared" si="22"/>
        <v>2.4040853794598211</v>
      </c>
      <c r="AA103" s="21">
        <f t="shared" si="22"/>
        <v>2.4545711724284773</v>
      </c>
    </row>
    <row r="104" spans="1:27" x14ac:dyDescent="0.25">
      <c r="C104" s="1"/>
      <c r="D104" s="1"/>
      <c r="E104" t="s">
        <v>68</v>
      </c>
      <c r="F104" t="s">
        <v>143</v>
      </c>
      <c r="G104" s="20"/>
      <c r="H104" s="21">
        <f>G104*(1+$G$14)*(1+H101)</f>
        <v>0</v>
      </c>
      <c r="I104" s="21">
        <f t="shared" ref="I104:AA104" si="23">H104*(1+$G$14)*(1+I101)</f>
        <v>0</v>
      </c>
      <c r="J104" s="21">
        <f t="shared" si="23"/>
        <v>0</v>
      </c>
      <c r="K104" s="21">
        <f t="shared" si="23"/>
        <v>0</v>
      </c>
      <c r="L104" s="21">
        <f t="shared" si="23"/>
        <v>0</v>
      </c>
      <c r="M104" s="21">
        <f t="shared" si="23"/>
        <v>0</v>
      </c>
      <c r="N104" s="21">
        <f t="shared" si="23"/>
        <v>0</v>
      </c>
      <c r="O104" s="21">
        <f t="shared" si="23"/>
        <v>0</v>
      </c>
      <c r="P104" s="21">
        <f t="shared" si="23"/>
        <v>0</v>
      </c>
      <c r="Q104" s="21">
        <f t="shared" si="23"/>
        <v>0</v>
      </c>
      <c r="R104" s="21">
        <f t="shared" si="23"/>
        <v>0</v>
      </c>
      <c r="S104" s="21">
        <f t="shared" si="23"/>
        <v>0</v>
      </c>
      <c r="T104" s="21">
        <f t="shared" si="23"/>
        <v>0</v>
      </c>
      <c r="U104" s="21">
        <f t="shared" si="23"/>
        <v>0</v>
      </c>
      <c r="V104" s="21">
        <f t="shared" si="23"/>
        <v>0</v>
      </c>
      <c r="W104" s="21">
        <f t="shared" si="23"/>
        <v>0</v>
      </c>
      <c r="X104" s="21">
        <f t="shared" si="23"/>
        <v>0</v>
      </c>
      <c r="Y104" s="21">
        <f t="shared" si="23"/>
        <v>0</v>
      </c>
      <c r="Z104" s="21">
        <f t="shared" si="23"/>
        <v>0</v>
      </c>
      <c r="AA104" s="21">
        <f t="shared" si="23"/>
        <v>0</v>
      </c>
    </row>
    <row r="105" spans="1:27" x14ac:dyDescent="0.25">
      <c r="C105" s="1"/>
      <c r="D105" s="1"/>
      <c r="E105" t="s">
        <v>142</v>
      </c>
      <c r="F105" t="s">
        <v>143</v>
      </c>
      <c r="G105" s="20"/>
      <c r="H105" s="21">
        <f>G105*(1+$G$14)*(1+H101)</f>
        <v>0</v>
      </c>
      <c r="I105" s="21">
        <f t="shared" ref="I105:AA105" si="24">H105*(1+$G$14)*(1+I101)</f>
        <v>0</v>
      </c>
      <c r="J105" s="21">
        <f t="shared" si="24"/>
        <v>0</v>
      </c>
      <c r="K105" s="21">
        <f t="shared" si="24"/>
        <v>0</v>
      </c>
      <c r="L105" s="21">
        <f t="shared" si="24"/>
        <v>0</v>
      </c>
      <c r="M105" s="21">
        <f t="shared" si="24"/>
        <v>0</v>
      </c>
      <c r="N105" s="21">
        <f t="shared" si="24"/>
        <v>0</v>
      </c>
      <c r="O105" s="21">
        <f t="shared" si="24"/>
        <v>0</v>
      </c>
      <c r="P105" s="21">
        <f t="shared" si="24"/>
        <v>0</v>
      </c>
      <c r="Q105" s="21">
        <f t="shared" si="24"/>
        <v>0</v>
      </c>
      <c r="R105" s="21">
        <f t="shared" si="24"/>
        <v>0</v>
      </c>
      <c r="S105" s="21">
        <f t="shared" si="24"/>
        <v>0</v>
      </c>
      <c r="T105" s="21">
        <f t="shared" si="24"/>
        <v>0</v>
      </c>
      <c r="U105" s="21">
        <f t="shared" si="24"/>
        <v>0</v>
      </c>
      <c r="V105" s="21">
        <f t="shared" si="24"/>
        <v>0</v>
      </c>
      <c r="W105" s="21">
        <f t="shared" si="24"/>
        <v>0</v>
      </c>
      <c r="X105" s="21">
        <f t="shared" si="24"/>
        <v>0</v>
      </c>
      <c r="Y105" s="21">
        <f t="shared" si="24"/>
        <v>0</v>
      </c>
      <c r="Z105" s="21">
        <f t="shared" si="24"/>
        <v>0</v>
      </c>
      <c r="AA105" s="21">
        <f t="shared" si="24"/>
        <v>0</v>
      </c>
    </row>
    <row r="106" spans="1:27" x14ac:dyDescent="0.25">
      <c r="C106" s="1"/>
      <c r="D106" s="1"/>
    </row>
    <row r="107" spans="1:27" x14ac:dyDescent="0.25">
      <c r="C107" s="1"/>
      <c r="D107" s="1"/>
      <c r="E107" t="s">
        <v>69</v>
      </c>
      <c r="F107" t="s">
        <v>58</v>
      </c>
      <c r="H107" s="2">
        <f>SUM(H98:H100)/1000</f>
        <v>55.98</v>
      </c>
      <c r="I107" s="2">
        <f t="shared" ref="I107:AA107" si="25">SUM(I98:I100)/1000</f>
        <v>110.788</v>
      </c>
      <c r="J107" s="2">
        <f t="shared" si="25"/>
        <v>165.42860000000002</v>
      </c>
      <c r="K107" s="2">
        <f t="shared" si="25"/>
        <v>217.14500000000001</v>
      </c>
      <c r="L107" s="2">
        <f t="shared" si="25"/>
        <v>265.92559999999997</v>
      </c>
      <c r="M107" s="2">
        <f t="shared" si="25"/>
        <v>311.92759999999998</v>
      </c>
      <c r="N107" s="2">
        <f t="shared" si="25"/>
        <v>355.22299999999996</v>
      </c>
      <c r="O107" s="2">
        <f t="shared" si="25"/>
        <v>395.92319999999995</v>
      </c>
      <c r="P107" s="2">
        <f t="shared" si="25"/>
        <v>438.11299999999989</v>
      </c>
      <c r="Q107" s="2">
        <f t="shared" si="25"/>
        <v>481.84759999999989</v>
      </c>
      <c r="R107" s="2">
        <f t="shared" si="25"/>
        <v>528.15259999999989</v>
      </c>
      <c r="S107" s="2">
        <f t="shared" si="25"/>
        <v>577.21699999999987</v>
      </c>
      <c r="T107" s="2">
        <f t="shared" si="25"/>
        <v>629.19199999999989</v>
      </c>
      <c r="U107" s="2">
        <f t="shared" si="25"/>
        <v>680.82679999999993</v>
      </c>
      <c r="V107" s="2">
        <f t="shared" si="25"/>
        <v>732.08359999999982</v>
      </c>
      <c r="W107" s="2">
        <f t="shared" si="25"/>
        <v>732.08359999999982</v>
      </c>
      <c r="X107" s="2">
        <f t="shared" si="25"/>
        <v>732.08359999999982</v>
      </c>
      <c r="Y107" s="2">
        <f t="shared" si="25"/>
        <v>732.08359999999982</v>
      </c>
      <c r="Z107" s="2">
        <f t="shared" si="25"/>
        <v>732.08359999999982</v>
      </c>
      <c r="AA107" s="2">
        <f t="shared" si="25"/>
        <v>732.08359999999982</v>
      </c>
    </row>
    <row r="108" spans="1:27" x14ac:dyDescent="0.25">
      <c r="C108" s="1"/>
      <c r="D108" s="1"/>
      <c r="E108" t="s">
        <v>70</v>
      </c>
      <c r="F108" t="s">
        <v>7</v>
      </c>
      <c r="H108" s="2">
        <f>H91*H102+H98*H103+H99*H104+H100*H105</f>
        <v>95188.648042748115</v>
      </c>
      <c r="I108" s="2">
        <f t="shared" ref="I108:AA108" si="26">I91*I102+I98*I103+I99*I104+I100*I105</f>
        <v>187070.36522827731</v>
      </c>
      <c r="J108" s="2">
        <f t="shared" si="26"/>
        <v>285199.40049687558</v>
      </c>
      <c r="K108" s="2">
        <f t="shared" si="26"/>
        <v>382220.1597615697</v>
      </c>
      <c r="L108" s="2">
        <f t="shared" si="26"/>
        <v>477913.88219089445</v>
      </c>
      <c r="M108" s="2">
        <f t="shared" si="26"/>
        <v>572359.69539727166</v>
      </c>
      <c r="N108" s="2">
        <f t="shared" si="26"/>
        <v>665490.80609649548</v>
      </c>
      <c r="O108" s="2">
        <f t="shared" si="26"/>
        <v>757316.9467073651</v>
      </c>
      <c r="P108" s="2">
        <f t="shared" si="26"/>
        <v>855615.42708720453</v>
      </c>
      <c r="Q108" s="2">
        <f t="shared" si="26"/>
        <v>960788.74880751828</v>
      </c>
      <c r="R108" s="2">
        <f t="shared" si="26"/>
        <v>1075234.9504777857</v>
      </c>
      <c r="S108" s="2">
        <f t="shared" si="26"/>
        <v>1199799.8573717987</v>
      </c>
      <c r="T108" s="2">
        <f t="shared" si="26"/>
        <v>1335299.3168401583</v>
      </c>
      <c r="U108" s="2">
        <f t="shared" si="26"/>
        <v>1475223.4925204499</v>
      </c>
      <c r="V108" s="2">
        <f t="shared" si="26"/>
        <v>1619599.3615972986</v>
      </c>
      <c r="W108" s="2">
        <f t="shared" si="26"/>
        <v>1653610.9481908416</v>
      </c>
      <c r="X108" s="2">
        <f t="shared" si="26"/>
        <v>1688336.7781028489</v>
      </c>
      <c r="Y108" s="2">
        <f t="shared" si="26"/>
        <v>1723791.8504430086</v>
      </c>
      <c r="Z108" s="2">
        <f t="shared" si="26"/>
        <v>1759991.4793023115</v>
      </c>
      <c r="AA108" s="2">
        <f t="shared" si="26"/>
        <v>1796951.3003676601</v>
      </c>
    </row>
    <row r="109" spans="1:27" x14ac:dyDescent="0.25">
      <c r="C109" s="1"/>
      <c r="D109" s="1"/>
    </row>
    <row r="110" spans="1:27" x14ac:dyDescent="0.25">
      <c r="C110" s="1"/>
      <c r="D110" t="s">
        <v>71</v>
      </c>
    </row>
    <row r="111" spans="1:27" x14ac:dyDescent="0.25">
      <c r="A111" s="14">
        <f>'Notes &amp; Assumptions'!A33</f>
        <v>20</v>
      </c>
      <c r="C111" s="1"/>
      <c r="D111" s="1"/>
      <c r="E111" t="s">
        <v>87</v>
      </c>
      <c r="F111" t="s">
        <v>3</v>
      </c>
      <c r="H111" s="10">
        <f>'20 Greenvale RW'!H111+'20 Epping North RW'!H111</f>
        <v>0</v>
      </c>
      <c r="I111" s="10">
        <f>'20 Greenvale RW'!I111+'20 Epping North RW'!I111</f>
        <v>0</v>
      </c>
      <c r="J111" s="10">
        <f>'20 Greenvale RW'!J111+'20 Epping North RW'!J111</f>
        <v>0</v>
      </c>
      <c r="K111" s="10">
        <f>'20 Greenvale RW'!K111+'20 Epping North RW'!K111</f>
        <v>0</v>
      </c>
      <c r="L111" s="10">
        <f>'20 Greenvale RW'!L111+'20 Epping North RW'!L111</f>
        <v>0</v>
      </c>
      <c r="M111" s="10">
        <f>'20 Greenvale RW'!M111+'20 Epping North RW'!M111</f>
        <v>0</v>
      </c>
      <c r="N111" s="10">
        <f>'20 Greenvale RW'!N111+'20 Epping North RW'!N111</f>
        <v>0</v>
      </c>
      <c r="O111" s="10">
        <f>'20 Greenvale RW'!O111+'20 Epping North RW'!O111</f>
        <v>0</v>
      </c>
      <c r="P111" s="10">
        <f>'20 Greenvale RW'!P111+'20 Epping North RW'!P111</f>
        <v>0</v>
      </c>
      <c r="Q111" s="10">
        <f>'20 Greenvale RW'!Q111+'20 Epping North RW'!Q111</f>
        <v>0</v>
      </c>
      <c r="R111" s="10">
        <f>'20 Greenvale RW'!R111+'20 Epping North RW'!R111</f>
        <v>0</v>
      </c>
      <c r="S111" s="10">
        <f>'20 Greenvale RW'!S111+'20 Epping North RW'!S111</f>
        <v>0</v>
      </c>
      <c r="T111" s="10">
        <f>'20 Greenvale RW'!T111+'20 Epping North RW'!T111</f>
        <v>0</v>
      </c>
      <c r="U111" s="10">
        <f>'20 Greenvale RW'!U111+'20 Epping North RW'!U111</f>
        <v>0</v>
      </c>
      <c r="V111" s="10">
        <f>'20 Greenvale RW'!V111+'20 Epping North RW'!V111</f>
        <v>0</v>
      </c>
    </row>
    <row r="112" spans="1:27" x14ac:dyDescent="0.25">
      <c r="C112" s="1"/>
      <c r="D112" s="1"/>
      <c r="E112" t="s">
        <v>60</v>
      </c>
      <c r="F112" t="s">
        <v>3</v>
      </c>
      <c r="H112" s="2">
        <f>G112+H111</f>
        <v>0</v>
      </c>
      <c r="I112" s="2">
        <f t="shared" ref="I112:AA112" si="27">H112+I111</f>
        <v>0</v>
      </c>
      <c r="J112" s="2">
        <f t="shared" si="27"/>
        <v>0</v>
      </c>
      <c r="K112" s="2">
        <f t="shared" si="27"/>
        <v>0</v>
      </c>
      <c r="L112" s="2">
        <f t="shared" si="27"/>
        <v>0</v>
      </c>
      <c r="M112" s="2">
        <f t="shared" si="27"/>
        <v>0</v>
      </c>
      <c r="N112" s="2">
        <f t="shared" si="27"/>
        <v>0</v>
      </c>
      <c r="O112" s="2">
        <f t="shared" si="27"/>
        <v>0</v>
      </c>
      <c r="P112" s="2">
        <f t="shared" si="27"/>
        <v>0</v>
      </c>
      <c r="Q112" s="2">
        <f t="shared" si="27"/>
        <v>0</v>
      </c>
      <c r="R112" s="2">
        <f t="shared" si="27"/>
        <v>0</v>
      </c>
      <c r="S112" s="2">
        <f t="shared" si="27"/>
        <v>0</v>
      </c>
      <c r="T112" s="2">
        <f t="shared" si="27"/>
        <v>0</v>
      </c>
      <c r="U112" s="2">
        <f t="shared" si="27"/>
        <v>0</v>
      </c>
      <c r="V112" s="2">
        <f t="shared" si="27"/>
        <v>0</v>
      </c>
      <c r="W112" s="2">
        <f t="shared" si="27"/>
        <v>0</v>
      </c>
      <c r="X112" s="2">
        <f t="shared" si="27"/>
        <v>0</v>
      </c>
      <c r="Y112" s="2">
        <f t="shared" si="27"/>
        <v>0</v>
      </c>
      <c r="Z112" s="2">
        <f t="shared" si="27"/>
        <v>0</v>
      </c>
      <c r="AA112" s="2">
        <f t="shared" si="27"/>
        <v>0</v>
      </c>
    </row>
    <row r="113" spans="1:27" x14ac:dyDescent="0.25">
      <c r="A113" s="14">
        <f>'Notes &amp; Assumptions'!A34</f>
        <v>21</v>
      </c>
      <c r="C113" s="1"/>
      <c r="D113" s="1"/>
      <c r="E113" t="s">
        <v>61</v>
      </c>
      <c r="F113" t="s">
        <v>3</v>
      </c>
      <c r="G113" s="10">
        <v>1</v>
      </c>
    </row>
    <row r="114" spans="1:27" x14ac:dyDescent="0.25">
      <c r="C114" s="1"/>
      <c r="D114" s="1"/>
      <c r="E114" t="s">
        <v>88</v>
      </c>
      <c r="F114" t="s">
        <v>3</v>
      </c>
      <c r="H114">
        <f>H111*$G113</f>
        <v>0</v>
      </c>
      <c r="I114">
        <f t="shared" ref="I114:AA114" si="28">I111*$G113</f>
        <v>0</v>
      </c>
      <c r="J114">
        <f t="shared" si="28"/>
        <v>0</v>
      </c>
      <c r="K114">
        <f t="shared" si="28"/>
        <v>0</v>
      </c>
      <c r="L114">
        <f t="shared" si="28"/>
        <v>0</v>
      </c>
      <c r="M114">
        <f t="shared" si="28"/>
        <v>0</v>
      </c>
      <c r="N114">
        <f t="shared" si="28"/>
        <v>0</v>
      </c>
      <c r="O114">
        <f t="shared" si="28"/>
        <v>0</v>
      </c>
      <c r="P114">
        <f t="shared" si="28"/>
        <v>0</v>
      </c>
      <c r="Q114">
        <f t="shared" si="28"/>
        <v>0</v>
      </c>
      <c r="R114">
        <f t="shared" si="28"/>
        <v>0</v>
      </c>
      <c r="S114">
        <f t="shared" si="28"/>
        <v>0</v>
      </c>
      <c r="T114">
        <f t="shared" si="28"/>
        <v>0</v>
      </c>
      <c r="U114">
        <f t="shared" si="28"/>
        <v>0</v>
      </c>
      <c r="V114">
        <f t="shared" si="28"/>
        <v>0</v>
      </c>
      <c r="W114">
        <f t="shared" si="28"/>
        <v>0</v>
      </c>
      <c r="X114">
        <f t="shared" si="28"/>
        <v>0</v>
      </c>
      <c r="Y114">
        <f t="shared" si="28"/>
        <v>0</v>
      </c>
      <c r="Z114">
        <f t="shared" si="28"/>
        <v>0</v>
      </c>
      <c r="AA114">
        <f t="shared" si="28"/>
        <v>0</v>
      </c>
    </row>
    <row r="115" spans="1:27" x14ac:dyDescent="0.25">
      <c r="C115" s="1"/>
      <c r="D115" s="1"/>
      <c r="E115" t="s">
        <v>89</v>
      </c>
      <c r="F115" t="s">
        <v>3</v>
      </c>
      <c r="H115">
        <f>H112*$G113</f>
        <v>0</v>
      </c>
      <c r="I115">
        <f t="shared" ref="I115:AA115" si="29">I112*$G113</f>
        <v>0</v>
      </c>
      <c r="J115">
        <f t="shared" si="29"/>
        <v>0</v>
      </c>
      <c r="K115">
        <f t="shared" si="29"/>
        <v>0</v>
      </c>
      <c r="L115">
        <f t="shared" si="29"/>
        <v>0</v>
      </c>
      <c r="M115">
        <f t="shared" si="29"/>
        <v>0</v>
      </c>
      <c r="N115">
        <f t="shared" si="29"/>
        <v>0</v>
      </c>
      <c r="O115">
        <f t="shared" si="29"/>
        <v>0</v>
      </c>
      <c r="P115">
        <f t="shared" si="29"/>
        <v>0</v>
      </c>
      <c r="Q115">
        <f t="shared" si="29"/>
        <v>0</v>
      </c>
      <c r="R115">
        <f t="shared" si="29"/>
        <v>0</v>
      </c>
      <c r="S115">
        <f t="shared" si="29"/>
        <v>0</v>
      </c>
      <c r="T115">
        <f t="shared" si="29"/>
        <v>0</v>
      </c>
      <c r="U115">
        <f t="shared" si="29"/>
        <v>0</v>
      </c>
      <c r="V115">
        <f t="shared" si="29"/>
        <v>0</v>
      </c>
      <c r="W115">
        <f t="shared" si="29"/>
        <v>0</v>
      </c>
      <c r="X115">
        <f t="shared" si="29"/>
        <v>0</v>
      </c>
      <c r="Y115">
        <f t="shared" si="29"/>
        <v>0</v>
      </c>
      <c r="Z115">
        <f t="shared" si="29"/>
        <v>0</v>
      </c>
      <c r="AA115">
        <f t="shared" si="29"/>
        <v>0</v>
      </c>
    </row>
    <row r="116" spans="1:27" x14ac:dyDescent="0.25">
      <c r="A116" s="14">
        <f>'Notes &amp; Assumptions'!A35</f>
        <v>22</v>
      </c>
      <c r="C116" s="1"/>
      <c r="D116" s="1"/>
      <c r="E116" t="s">
        <v>62</v>
      </c>
      <c r="F116" t="s">
        <v>43</v>
      </c>
      <c r="H116" s="10">
        <v>2873</v>
      </c>
      <c r="I116" s="10">
        <f>H116</f>
        <v>2873</v>
      </c>
      <c r="J116" s="10">
        <f t="shared" ref="J116:AA116" si="30">I116</f>
        <v>2873</v>
      </c>
      <c r="K116" s="10">
        <f t="shared" si="30"/>
        <v>2873</v>
      </c>
      <c r="L116" s="10">
        <f t="shared" si="30"/>
        <v>2873</v>
      </c>
      <c r="M116" s="10">
        <f t="shared" si="30"/>
        <v>2873</v>
      </c>
      <c r="N116" s="10">
        <f t="shared" si="30"/>
        <v>2873</v>
      </c>
      <c r="O116" s="10">
        <f t="shared" si="30"/>
        <v>2873</v>
      </c>
      <c r="P116" s="10">
        <f t="shared" si="30"/>
        <v>2873</v>
      </c>
      <c r="Q116" s="10">
        <f t="shared" si="30"/>
        <v>2873</v>
      </c>
      <c r="R116" s="10">
        <f t="shared" si="30"/>
        <v>2873</v>
      </c>
      <c r="S116" s="10">
        <f t="shared" si="30"/>
        <v>2873</v>
      </c>
      <c r="T116" s="10">
        <f t="shared" si="30"/>
        <v>2873</v>
      </c>
      <c r="U116" s="10">
        <f t="shared" si="30"/>
        <v>2873</v>
      </c>
      <c r="V116" s="10">
        <f t="shared" si="30"/>
        <v>2873</v>
      </c>
      <c r="W116" s="10">
        <f t="shared" si="30"/>
        <v>2873</v>
      </c>
      <c r="X116" s="10">
        <f t="shared" si="30"/>
        <v>2873</v>
      </c>
      <c r="Y116" s="10">
        <f t="shared" si="30"/>
        <v>2873</v>
      </c>
      <c r="Z116" s="10">
        <f t="shared" si="30"/>
        <v>2873</v>
      </c>
      <c r="AA116" s="10">
        <f t="shared" si="30"/>
        <v>2873</v>
      </c>
    </row>
    <row r="117" spans="1:27" x14ac:dyDescent="0.25">
      <c r="C117" s="1"/>
      <c r="D117" s="1"/>
      <c r="E117" t="s">
        <v>63</v>
      </c>
      <c r="F117" t="s">
        <v>43</v>
      </c>
      <c r="H117" s="10"/>
      <c r="I117" s="10"/>
      <c r="J117" s="10"/>
      <c r="K117" s="10"/>
      <c r="L117" s="10"/>
      <c r="M117" s="10"/>
      <c r="N117" s="10"/>
      <c r="O117" s="10"/>
      <c r="P117" s="10"/>
      <c r="Q117" s="10"/>
      <c r="R117" s="10"/>
      <c r="S117" s="10"/>
      <c r="T117" s="10"/>
      <c r="U117" s="10"/>
      <c r="V117" s="10"/>
      <c r="W117" s="10"/>
      <c r="X117" s="10"/>
      <c r="Y117" s="10"/>
      <c r="Z117" s="10"/>
      <c r="AA117" s="10"/>
    </row>
    <row r="118" spans="1:27" x14ac:dyDescent="0.25">
      <c r="C118" s="1"/>
      <c r="D118" s="1"/>
      <c r="E118" t="s">
        <v>140</v>
      </c>
      <c r="F118" t="s">
        <v>43</v>
      </c>
      <c r="H118" s="10"/>
      <c r="I118" s="10"/>
      <c r="J118" s="10"/>
      <c r="K118" s="10"/>
      <c r="L118" s="10"/>
      <c r="M118" s="10"/>
      <c r="N118" s="10"/>
      <c r="O118" s="10"/>
      <c r="P118" s="10"/>
      <c r="Q118" s="10"/>
      <c r="R118" s="10"/>
      <c r="S118" s="10"/>
      <c r="T118" s="10"/>
      <c r="U118" s="10"/>
      <c r="V118" s="10"/>
      <c r="W118" s="10"/>
      <c r="X118" s="10"/>
      <c r="Y118" s="10"/>
      <c r="Z118" s="10"/>
      <c r="AA118" s="10"/>
    </row>
    <row r="119" spans="1:27" x14ac:dyDescent="0.25">
      <c r="C119" s="1"/>
      <c r="D119" s="1"/>
      <c r="E119" t="s">
        <v>64</v>
      </c>
      <c r="F119" t="s">
        <v>144</v>
      </c>
      <c r="H119" s="2">
        <f>H112*H116</f>
        <v>0</v>
      </c>
      <c r="I119" s="2">
        <f t="shared" ref="I119:AA119" si="31">I112*I116</f>
        <v>0</v>
      </c>
      <c r="J119" s="2">
        <f t="shared" si="31"/>
        <v>0</v>
      </c>
      <c r="K119" s="2">
        <f t="shared" si="31"/>
        <v>0</v>
      </c>
      <c r="L119" s="2">
        <f t="shared" si="31"/>
        <v>0</v>
      </c>
      <c r="M119" s="2">
        <f t="shared" si="31"/>
        <v>0</v>
      </c>
      <c r="N119" s="2">
        <f t="shared" si="31"/>
        <v>0</v>
      </c>
      <c r="O119" s="2">
        <f t="shared" si="31"/>
        <v>0</v>
      </c>
      <c r="P119" s="2">
        <f t="shared" si="31"/>
        <v>0</v>
      </c>
      <c r="Q119" s="2">
        <f t="shared" si="31"/>
        <v>0</v>
      </c>
      <c r="R119" s="2">
        <f t="shared" si="31"/>
        <v>0</v>
      </c>
      <c r="S119" s="2">
        <f t="shared" si="31"/>
        <v>0</v>
      </c>
      <c r="T119" s="2">
        <f t="shared" si="31"/>
        <v>0</v>
      </c>
      <c r="U119" s="2">
        <f t="shared" si="31"/>
        <v>0</v>
      </c>
      <c r="V119" s="2">
        <f t="shared" si="31"/>
        <v>0</v>
      </c>
      <c r="W119" s="2">
        <f t="shared" si="31"/>
        <v>0</v>
      </c>
      <c r="X119" s="2">
        <f t="shared" si="31"/>
        <v>0</v>
      </c>
      <c r="Y119" s="2">
        <f t="shared" si="31"/>
        <v>0</v>
      </c>
      <c r="Z119" s="2">
        <f t="shared" si="31"/>
        <v>0</v>
      </c>
      <c r="AA119" s="2">
        <f t="shared" si="31"/>
        <v>0</v>
      </c>
    </row>
    <row r="120" spans="1:27" x14ac:dyDescent="0.25">
      <c r="C120" s="1"/>
      <c r="D120" s="1"/>
      <c r="E120" t="s">
        <v>65</v>
      </c>
      <c r="F120" t="s">
        <v>144</v>
      </c>
      <c r="H120" s="2">
        <f>H112*H117</f>
        <v>0</v>
      </c>
      <c r="I120" s="2">
        <f t="shared" ref="I120:AA120" si="32">I112*I117</f>
        <v>0</v>
      </c>
      <c r="J120" s="2">
        <f t="shared" si="32"/>
        <v>0</v>
      </c>
      <c r="K120" s="2">
        <f t="shared" si="32"/>
        <v>0</v>
      </c>
      <c r="L120" s="2">
        <f t="shared" si="32"/>
        <v>0</v>
      </c>
      <c r="M120" s="2">
        <f t="shared" si="32"/>
        <v>0</v>
      </c>
      <c r="N120" s="2">
        <f t="shared" si="32"/>
        <v>0</v>
      </c>
      <c r="O120" s="2">
        <f t="shared" si="32"/>
        <v>0</v>
      </c>
      <c r="P120" s="2">
        <f t="shared" si="32"/>
        <v>0</v>
      </c>
      <c r="Q120" s="2">
        <f t="shared" si="32"/>
        <v>0</v>
      </c>
      <c r="R120" s="2">
        <f t="shared" si="32"/>
        <v>0</v>
      </c>
      <c r="S120" s="2">
        <f t="shared" si="32"/>
        <v>0</v>
      </c>
      <c r="T120" s="2">
        <f t="shared" si="32"/>
        <v>0</v>
      </c>
      <c r="U120" s="2">
        <f t="shared" si="32"/>
        <v>0</v>
      </c>
      <c r="V120" s="2">
        <f t="shared" si="32"/>
        <v>0</v>
      </c>
      <c r="W120" s="2">
        <f t="shared" si="32"/>
        <v>0</v>
      </c>
      <c r="X120" s="2">
        <f t="shared" si="32"/>
        <v>0</v>
      </c>
      <c r="Y120" s="2">
        <f t="shared" si="32"/>
        <v>0</v>
      </c>
      <c r="Z120" s="2">
        <f t="shared" si="32"/>
        <v>0</v>
      </c>
      <c r="AA120" s="2">
        <f t="shared" si="32"/>
        <v>0</v>
      </c>
    </row>
    <row r="121" spans="1:27" x14ac:dyDescent="0.25">
      <c r="C121" s="1"/>
      <c r="D121" s="1"/>
      <c r="E121" t="s">
        <v>141</v>
      </c>
      <c r="F121" t="s">
        <v>144</v>
      </c>
      <c r="H121" s="2">
        <f>H112*H118</f>
        <v>0</v>
      </c>
      <c r="I121" s="2">
        <f t="shared" ref="I121:AA121" si="33">I112*I118</f>
        <v>0</v>
      </c>
      <c r="J121" s="2">
        <f t="shared" si="33"/>
        <v>0</v>
      </c>
      <c r="K121" s="2">
        <f t="shared" si="33"/>
        <v>0</v>
      </c>
      <c r="L121" s="2">
        <f t="shared" si="33"/>
        <v>0</v>
      </c>
      <c r="M121" s="2">
        <f t="shared" si="33"/>
        <v>0</v>
      </c>
      <c r="N121" s="2">
        <f t="shared" si="33"/>
        <v>0</v>
      </c>
      <c r="O121" s="2">
        <f t="shared" si="33"/>
        <v>0</v>
      </c>
      <c r="P121" s="2">
        <f t="shared" si="33"/>
        <v>0</v>
      </c>
      <c r="Q121" s="2">
        <f t="shared" si="33"/>
        <v>0</v>
      </c>
      <c r="R121" s="2">
        <f t="shared" si="33"/>
        <v>0</v>
      </c>
      <c r="S121" s="2">
        <f t="shared" si="33"/>
        <v>0</v>
      </c>
      <c r="T121" s="2">
        <f t="shared" si="33"/>
        <v>0</v>
      </c>
      <c r="U121" s="2">
        <f t="shared" si="33"/>
        <v>0</v>
      </c>
      <c r="V121" s="2">
        <f t="shared" si="33"/>
        <v>0</v>
      </c>
      <c r="W121" s="2">
        <f t="shared" si="33"/>
        <v>0</v>
      </c>
      <c r="X121" s="2">
        <f t="shared" si="33"/>
        <v>0</v>
      </c>
      <c r="Y121" s="2">
        <f t="shared" si="33"/>
        <v>0</v>
      </c>
      <c r="Z121" s="2">
        <f t="shared" si="33"/>
        <v>0</v>
      </c>
      <c r="AA121" s="2">
        <f t="shared" si="33"/>
        <v>0</v>
      </c>
    </row>
    <row r="122" spans="1:27" x14ac:dyDescent="0.25">
      <c r="A122" s="14">
        <f>'Notes &amp; Assumptions'!A36</f>
        <v>23</v>
      </c>
      <c r="C122" s="1"/>
      <c r="D122" s="1"/>
      <c r="E122" t="s">
        <v>66</v>
      </c>
      <c r="F122" t="s">
        <v>8</v>
      </c>
      <c r="H122" s="11">
        <f>'YVW tariffs'!D39</f>
        <v>-4.24E-2</v>
      </c>
      <c r="I122" s="11">
        <f>'YVW tariffs'!E39</f>
        <v>-2.7400000000000001E-2</v>
      </c>
      <c r="J122" s="11">
        <f>'YVW tariffs'!F39</f>
        <v>0</v>
      </c>
      <c r="K122" s="11">
        <f>'YVW tariffs'!G39</f>
        <v>0</v>
      </c>
      <c r="L122" s="11">
        <f>'YVW tariffs'!H39</f>
        <v>0</v>
      </c>
      <c r="M122" s="11"/>
      <c r="N122" s="11"/>
      <c r="O122" s="11"/>
      <c r="P122" s="11"/>
      <c r="Q122" s="11"/>
      <c r="R122" s="11"/>
      <c r="S122" s="11"/>
      <c r="T122" s="11"/>
      <c r="U122" s="11"/>
      <c r="V122" s="11"/>
      <c r="W122" s="11"/>
      <c r="X122" s="11"/>
      <c r="Y122" s="11"/>
      <c r="Z122" s="11"/>
      <c r="AA122" s="11"/>
    </row>
    <row r="123" spans="1:27" x14ac:dyDescent="0.25">
      <c r="A123" s="14">
        <f>'Notes &amp; Assumptions'!A37</f>
        <v>24</v>
      </c>
      <c r="C123" s="1"/>
      <c r="D123" s="1"/>
      <c r="E123" t="s">
        <v>40</v>
      </c>
      <c r="F123" t="s">
        <v>41</v>
      </c>
      <c r="G123" s="43"/>
      <c r="H123" s="2">
        <f>G123*(1+$G$14)*(1+H122)</f>
        <v>0</v>
      </c>
      <c r="I123" s="2">
        <f t="shared" ref="I123:AA123" si="34">H123*(1+$G$14)*(1+I122)</f>
        <v>0</v>
      </c>
      <c r="J123" s="2">
        <f t="shared" si="34"/>
        <v>0</v>
      </c>
      <c r="K123" s="2">
        <f t="shared" si="34"/>
        <v>0</v>
      </c>
      <c r="L123" s="2">
        <f t="shared" si="34"/>
        <v>0</v>
      </c>
      <c r="M123" s="2">
        <f t="shared" si="34"/>
        <v>0</v>
      </c>
      <c r="N123" s="2">
        <f t="shared" si="34"/>
        <v>0</v>
      </c>
      <c r="O123" s="2">
        <f t="shared" si="34"/>
        <v>0</v>
      </c>
      <c r="P123" s="2">
        <f t="shared" si="34"/>
        <v>0</v>
      </c>
      <c r="Q123" s="2">
        <f t="shared" si="34"/>
        <v>0</v>
      </c>
      <c r="R123" s="2">
        <f t="shared" si="34"/>
        <v>0</v>
      </c>
      <c r="S123" s="2">
        <f t="shared" si="34"/>
        <v>0</v>
      </c>
      <c r="T123" s="2">
        <f t="shared" si="34"/>
        <v>0</v>
      </c>
      <c r="U123" s="2">
        <f t="shared" si="34"/>
        <v>0</v>
      </c>
      <c r="V123" s="2">
        <f t="shared" si="34"/>
        <v>0</v>
      </c>
      <c r="W123" s="2">
        <f t="shared" si="34"/>
        <v>0</v>
      </c>
      <c r="X123" s="2">
        <f t="shared" si="34"/>
        <v>0</v>
      </c>
      <c r="Y123" s="2">
        <f t="shared" si="34"/>
        <v>0</v>
      </c>
      <c r="Z123" s="2">
        <f t="shared" si="34"/>
        <v>0</v>
      </c>
      <c r="AA123" s="2">
        <f t="shared" si="34"/>
        <v>0</v>
      </c>
    </row>
    <row r="124" spans="1:27" x14ac:dyDescent="0.25">
      <c r="C124" s="1"/>
      <c r="D124" s="1"/>
      <c r="E124" t="s">
        <v>67</v>
      </c>
      <c r="F124" t="s">
        <v>143</v>
      </c>
      <c r="G124" s="20">
        <f>G103</f>
        <v>1.7391713999999998</v>
      </c>
      <c r="H124" s="21">
        <f>G124*(1+$G$14)*(1+H122)</f>
        <v>1.7004045738254396</v>
      </c>
      <c r="I124" s="21">
        <f t="shared" ref="I124:AA124" si="35">H124*(1+$G$14)*(1+I122)</f>
        <v>1.6885435717611774</v>
      </c>
      <c r="J124" s="21">
        <f t="shared" si="35"/>
        <v>1.7240029867681619</v>
      </c>
      <c r="K124" s="21">
        <f t="shared" si="35"/>
        <v>1.7602070494902931</v>
      </c>
      <c r="L124" s="21">
        <f t="shared" si="35"/>
        <v>1.7971713975295891</v>
      </c>
      <c r="M124" s="21">
        <f t="shared" si="35"/>
        <v>1.8349119968777103</v>
      </c>
      <c r="N124" s="21">
        <f t="shared" si="35"/>
        <v>1.8734451488121422</v>
      </c>
      <c r="O124" s="21">
        <f t="shared" si="35"/>
        <v>1.912787496937197</v>
      </c>
      <c r="P124" s="21">
        <f t="shared" si="35"/>
        <v>1.952956034372878</v>
      </c>
      <c r="Q124" s="21">
        <f t="shared" si="35"/>
        <v>1.9939681110947083</v>
      </c>
      <c r="R124" s="21">
        <f t="shared" si="35"/>
        <v>2.0358414414276971</v>
      </c>
      <c r="S124" s="21">
        <f t="shared" si="35"/>
        <v>2.0785941116976785</v>
      </c>
      <c r="T124" s="21">
        <f t="shared" si="35"/>
        <v>2.1222445880433294</v>
      </c>
      <c r="U124" s="21">
        <f t="shared" si="35"/>
        <v>2.1668117243922391</v>
      </c>
      <c r="V124" s="21">
        <f t="shared" si="35"/>
        <v>2.2123147706044759</v>
      </c>
      <c r="W124" s="21">
        <f t="shared" si="35"/>
        <v>2.2587733807871695</v>
      </c>
      <c r="X124" s="21">
        <f t="shared" si="35"/>
        <v>2.3062076217836998</v>
      </c>
      <c r="Y124" s="21">
        <f t="shared" si="35"/>
        <v>2.3546379818411571</v>
      </c>
      <c r="Z124" s="21">
        <f t="shared" si="35"/>
        <v>2.4040853794598211</v>
      </c>
      <c r="AA124" s="21">
        <f t="shared" si="35"/>
        <v>2.4545711724284773</v>
      </c>
    </row>
    <row r="125" spans="1:27" x14ac:dyDescent="0.25">
      <c r="C125" s="1"/>
      <c r="D125" s="1"/>
      <c r="E125" t="s">
        <v>68</v>
      </c>
      <c r="F125" t="s">
        <v>143</v>
      </c>
      <c r="G125" s="20"/>
      <c r="H125" s="21">
        <f>G125*(1+$G$14)*(1+H122)</f>
        <v>0</v>
      </c>
      <c r="I125" s="21">
        <f t="shared" ref="I125:AA125" si="36">H125*(1+$G$14)*(1+I122)</f>
        <v>0</v>
      </c>
      <c r="J125" s="21">
        <f t="shared" si="36"/>
        <v>0</v>
      </c>
      <c r="K125" s="21">
        <f t="shared" si="36"/>
        <v>0</v>
      </c>
      <c r="L125" s="21">
        <f t="shared" si="36"/>
        <v>0</v>
      </c>
      <c r="M125" s="21">
        <f t="shared" si="36"/>
        <v>0</v>
      </c>
      <c r="N125" s="21">
        <f t="shared" si="36"/>
        <v>0</v>
      </c>
      <c r="O125" s="21">
        <f t="shared" si="36"/>
        <v>0</v>
      </c>
      <c r="P125" s="21">
        <f t="shared" si="36"/>
        <v>0</v>
      </c>
      <c r="Q125" s="21">
        <f t="shared" si="36"/>
        <v>0</v>
      </c>
      <c r="R125" s="21">
        <f t="shared" si="36"/>
        <v>0</v>
      </c>
      <c r="S125" s="21">
        <f t="shared" si="36"/>
        <v>0</v>
      </c>
      <c r="T125" s="21">
        <f t="shared" si="36"/>
        <v>0</v>
      </c>
      <c r="U125" s="21">
        <f t="shared" si="36"/>
        <v>0</v>
      </c>
      <c r="V125" s="21">
        <f t="shared" si="36"/>
        <v>0</v>
      </c>
      <c r="W125" s="21">
        <f t="shared" si="36"/>
        <v>0</v>
      </c>
      <c r="X125" s="21">
        <f t="shared" si="36"/>
        <v>0</v>
      </c>
      <c r="Y125" s="21">
        <f t="shared" si="36"/>
        <v>0</v>
      </c>
      <c r="Z125" s="21">
        <f t="shared" si="36"/>
        <v>0</v>
      </c>
      <c r="AA125" s="21">
        <f t="shared" si="36"/>
        <v>0</v>
      </c>
    </row>
    <row r="126" spans="1:27" x14ac:dyDescent="0.25">
      <c r="C126" s="1"/>
      <c r="D126" s="1"/>
      <c r="E126" t="s">
        <v>142</v>
      </c>
      <c r="F126" t="s">
        <v>143</v>
      </c>
      <c r="G126" s="20"/>
      <c r="H126" s="21">
        <f>G126*(1+$G$14)*(1+H122)</f>
        <v>0</v>
      </c>
      <c r="I126" s="21">
        <f t="shared" ref="I126:AA126" si="37">H126*(1+$G$14)*(1+I122)</f>
        <v>0</v>
      </c>
      <c r="J126" s="21">
        <f t="shared" si="37"/>
        <v>0</v>
      </c>
      <c r="K126" s="21">
        <f t="shared" si="37"/>
        <v>0</v>
      </c>
      <c r="L126" s="21">
        <f t="shared" si="37"/>
        <v>0</v>
      </c>
      <c r="M126" s="21">
        <f t="shared" si="37"/>
        <v>0</v>
      </c>
      <c r="N126" s="21">
        <f t="shared" si="37"/>
        <v>0</v>
      </c>
      <c r="O126" s="21">
        <f t="shared" si="37"/>
        <v>0</v>
      </c>
      <c r="P126" s="21">
        <f t="shared" si="37"/>
        <v>0</v>
      </c>
      <c r="Q126" s="21">
        <f t="shared" si="37"/>
        <v>0</v>
      </c>
      <c r="R126" s="21">
        <f t="shared" si="37"/>
        <v>0</v>
      </c>
      <c r="S126" s="21">
        <f t="shared" si="37"/>
        <v>0</v>
      </c>
      <c r="T126" s="21">
        <f t="shared" si="37"/>
        <v>0</v>
      </c>
      <c r="U126" s="21">
        <f t="shared" si="37"/>
        <v>0</v>
      </c>
      <c r="V126" s="21">
        <f t="shared" si="37"/>
        <v>0</v>
      </c>
      <c r="W126" s="21">
        <f t="shared" si="37"/>
        <v>0</v>
      </c>
      <c r="X126" s="21">
        <f t="shared" si="37"/>
        <v>0</v>
      </c>
      <c r="Y126" s="21">
        <f t="shared" si="37"/>
        <v>0</v>
      </c>
      <c r="Z126" s="21">
        <f t="shared" si="37"/>
        <v>0</v>
      </c>
      <c r="AA126" s="21">
        <f t="shared" si="37"/>
        <v>0</v>
      </c>
    </row>
    <row r="127" spans="1:27" x14ac:dyDescent="0.25">
      <c r="C127" s="1"/>
      <c r="D127" s="1"/>
    </row>
    <row r="128" spans="1:27" x14ac:dyDescent="0.25">
      <c r="C128" s="1"/>
      <c r="D128" s="1"/>
      <c r="E128" t="s">
        <v>72</v>
      </c>
      <c r="F128" t="s">
        <v>58</v>
      </c>
      <c r="H128" s="2">
        <f>SUM(H119:H121)/1000</f>
        <v>0</v>
      </c>
      <c r="I128" s="2">
        <f t="shared" ref="I128:AA128" si="38">SUM(I119:I121)/1000</f>
        <v>0</v>
      </c>
      <c r="J128" s="2">
        <f t="shared" si="38"/>
        <v>0</v>
      </c>
      <c r="K128" s="2">
        <f t="shared" si="38"/>
        <v>0</v>
      </c>
      <c r="L128" s="2">
        <f t="shared" si="38"/>
        <v>0</v>
      </c>
      <c r="M128" s="2">
        <f t="shared" si="38"/>
        <v>0</v>
      </c>
      <c r="N128" s="2">
        <f t="shared" si="38"/>
        <v>0</v>
      </c>
      <c r="O128" s="2">
        <f t="shared" si="38"/>
        <v>0</v>
      </c>
      <c r="P128" s="2">
        <f t="shared" si="38"/>
        <v>0</v>
      </c>
      <c r="Q128" s="2">
        <f t="shared" si="38"/>
        <v>0</v>
      </c>
      <c r="R128" s="2">
        <f t="shared" si="38"/>
        <v>0</v>
      </c>
      <c r="S128" s="2">
        <f t="shared" si="38"/>
        <v>0</v>
      </c>
      <c r="T128" s="2">
        <f t="shared" si="38"/>
        <v>0</v>
      </c>
      <c r="U128" s="2">
        <f t="shared" si="38"/>
        <v>0</v>
      </c>
      <c r="V128" s="2">
        <f t="shared" si="38"/>
        <v>0</v>
      </c>
      <c r="W128" s="2">
        <f t="shared" si="38"/>
        <v>0</v>
      </c>
      <c r="X128" s="2">
        <f t="shared" si="38"/>
        <v>0</v>
      </c>
      <c r="Y128" s="2">
        <f t="shared" si="38"/>
        <v>0</v>
      </c>
      <c r="Z128" s="2">
        <f t="shared" si="38"/>
        <v>0</v>
      </c>
      <c r="AA128" s="2">
        <f t="shared" si="38"/>
        <v>0</v>
      </c>
    </row>
    <row r="129" spans="1:27" x14ac:dyDescent="0.25">
      <c r="C129" s="1"/>
      <c r="D129" s="1"/>
      <c r="E129" t="s">
        <v>73</v>
      </c>
      <c r="F129" t="s">
        <v>7</v>
      </c>
      <c r="H129" s="2">
        <f>H112*H123+H119*H124+H120*H125+H121*H126</f>
        <v>0</v>
      </c>
      <c r="I129" s="2">
        <f t="shared" ref="I129:AA129" si="39">I112*I123+I119*I124+I120*I125+I121*I126</f>
        <v>0</v>
      </c>
      <c r="J129" s="2">
        <f t="shared" si="39"/>
        <v>0</v>
      </c>
      <c r="K129" s="2">
        <f t="shared" si="39"/>
        <v>0</v>
      </c>
      <c r="L129" s="2">
        <f t="shared" si="39"/>
        <v>0</v>
      </c>
      <c r="M129" s="2">
        <f t="shared" si="39"/>
        <v>0</v>
      </c>
      <c r="N129" s="2">
        <f t="shared" si="39"/>
        <v>0</v>
      </c>
      <c r="O129" s="2">
        <f t="shared" si="39"/>
        <v>0</v>
      </c>
      <c r="P129" s="2">
        <f t="shared" si="39"/>
        <v>0</v>
      </c>
      <c r="Q129" s="2">
        <f t="shared" si="39"/>
        <v>0</v>
      </c>
      <c r="R129" s="2">
        <f t="shared" si="39"/>
        <v>0</v>
      </c>
      <c r="S129" s="2">
        <f t="shared" si="39"/>
        <v>0</v>
      </c>
      <c r="T129" s="2">
        <f t="shared" si="39"/>
        <v>0</v>
      </c>
      <c r="U129" s="2">
        <f t="shared" si="39"/>
        <v>0</v>
      </c>
      <c r="V129" s="2">
        <f t="shared" si="39"/>
        <v>0</v>
      </c>
      <c r="W129" s="2">
        <f t="shared" si="39"/>
        <v>0</v>
      </c>
      <c r="X129" s="2">
        <f t="shared" si="39"/>
        <v>0</v>
      </c>
      <c r="Y129" s="2">
        <f t="shared" si="39"/>
        <v>0</v>
      </c>
      <c r="Z129" s="2">
        <f t="shared" si="39"/>
        <v>0</v>
      </c>
      <c r="AA129" s="2">
        <f t="shared" si="39"/>
        <v>0</v>
      </c>
    </row>
    <row r="130" spans="1:27" x14ac:dyDescent="0.25">
      <c r="C130" s="1"/>
      <c r="D130" s="1"/>
    </row>
    <row r="131" spans="1:27" x14ac:dyDescent="0.25">
      <c r="C131" s="1"/>
      <c r="D131" t="s">
        <v>74</v>
      </c>
    </row>
    <row r="132" spans="1:27" x14ac:dyDescent="0.25">
      <c r="A132" s="14">
        <f>'Notes &amp; Assumptions'!A38</f>
        <v>25</v>
      </c>
      <c r="C132" s="1"/>
      <c r="D132" s="1"/>
      <c r="E132" t="s">
        <v>87</v>
      </c>
      <c r="F132" t="s">
        <v>3</v>
      </c>
      <c r="H132" s="10">
        <v>0</v>
      </c>
      <c r="I132" s="10">
        <v>0</v>
      </c>
      <c r="J132" s="10">
        <v>0</v>
      </c>
      <c r="K132" s="10">
        <v>0</v>
      </c>
      <c r="L132" s="10">
        <v>0</v>
      </c>
      <c r="M132" s="10">
        <v>0</v>
      </c>
      <c r="N132" s="10">
        <v>0</v>
      </c>
      <c r="O132" s="10">
        <v>0</v>
      </c>
      <c r="P132" s="10">
        <v>0</v>
      </c>
      <c r="Q132" s="10">
        <v>0</v>
      </c>
      <c r="R132" s="10">
        <f>AVERAGE($O132:$Q132)</f>
        <v>0</v>
      </c>
      <c r="S132" s="10">
        <f t="shared" ref="S132:V132" si="40">AVERAGE($O132:$Q132)</f>
        <v>0</v>
      </c>
      <c r="T132" s="10">
        <f t="shared" si="40"/>
        <v>0</v>
      </c>
      <c r="U132" s="10">
        <f t="shared" si="40"/>
        <v>0</v>
      </c>
      <c r="V132" s="10">
        <f t="shared" si="40"/>
        <v>0</v>
      </c>
    </row>
    <row r="133" spans="1:27" x14ac:dyDescent="0.25">
      <c r="C133" s="1"/>
      <c r="D133" s="1"/>
      <c r="E133" t="s">
        <v>60</v>
      </c>
      <c r="F133" t="s">
        <v>3</v>
      </c>
      <c r="H133" s="2">
        <f>G133+H132</f>
        <v>0</v>
      </c>
      <c r="I133" s="2">
        <f t="shared" ref="I133:AA133" si="41">H133+I132</f>
        <v>0</v>
      </c>
      <c r="J133" s="2">
        <f t="shared" si="41"/>
        <v>0</v>
      </c>
      <c r="K133" s="2">
        <f t="shared" si="41"/>
        <v>0</v>
      </c>
      <c r="L133" s="2">
        <f t="shared" si="41"/>
        <v>0</v>
      </c>
      <c r="M133" s="2">
        <f t="shared" si="41"/>
        <v>0</v>
      </c>
      <c r="N133" s="2">
        <f t="shared" si="41"/>
        <v>0</v>
      </c>
      <c r="O133" s="2">
        <f t="shared" si="41"/>
        <v>0</v>
      </c>
      <c r="P133" s="2">
        <f t="shared" si="41"/>
        <v>0</v>
      </c>
      <c r="Q133" s="2">
        <f t="shared" si="41"/>
        <v>0</v>
      </c>
      <c r="R133" s="2">
        <f t="shared" si="41"/>
        <v>0</v>
      </c>
      <c r="S133" s="2">
        <f t="shared" si="41"/>
        <v>0</v>
      </c>
      <c r="T133" s="2">
        <f t="shared" si="41"/>
        <v>0</v>
      </c>
      <c r="U133" s="2">
        <f t="shared" si="41"/>
        <v>0</v>
      </c>
      <c r="V133" s="2">
        <f t="shared" si="41"/>
        <v>0</v>
      </c>
      <c r="W133" s="2">
        <f t="shared" si="41"/>
        <v>0</v>
      </c>
      <c r="X133" s="2">
        <f t="shared" si="41"/>
        <v>0</v>
      </c>
      <c r="Y133" s="2">
        <f t="shared" si="41"/>
        <v>0</v>
      </c>
      <c r="Z133" s="2">
        <f t="shared" si="41"/>
        <v>0</v>
      </c>
      <c r="AA133" s="2">
        <f t="shared" si="41"/>
        <v>0</v>
      </c>
    </row>
    <row r="134" spans="1:27" x14ac:dyDescent="0.25">
      <c r="A134" s="14">
        <f>'Notes &amp; Assumptions'!A39</f>
        <v>26</v>
      </c>
      <c r="C134" s="1"/>
      <c r="D134" s="1"/>
      <c r="E134" t="s">
        <v>61</v>
      </c>
      <c r="F134" t="s">
        <v>3</v>
      </c>
      <c r="G134" s="10">
        <v>1</v>
      </c>
    </row>
    <row r="135" spans="1:27" x14ac:dyDescent="0.25">
      <c r="C135" s="1"/>
      <c r="D135" s="1"/>
      <c r="E135" t="s">
        <v>88</v>
      </c>
      <c r="F135" t="s">
        <v>3</v>
      </c>
      <c r="H135">
        <f>H132*$G134</f>
        <v>0</v>
      </c>
      <c r="I135">
        <f t="shared" ref="I135:AA135" si="42">I132*$G134</f>
        <v>0</v>
      </c>
      <c r="J135">
        <f t="shared" si="42"/>
        <v>0</v>
      </c>
      <c r="K135">
        <f t="shared" si="42"/>
        <v>0</v>
      </c>
      <c r="L135">
        <f t="shared" si="42"/>
        <v>0</v>
      </c>
      <c r="M135">
        <f t="shared" si="42"/>
        <v>0</v>
      </c>
      <c r="N135">
        <f t="shared" si="42"/>
        <v>0</v>
      </c>
      <c r="O135">
        <f t="shared" si="42"/>
        <v>0</v>
      </c>
      <c r="P135">
        <f t="shared" si="42"/>
        <v>0</v>
      </c>
      <c r="Q135">
        <f t="shared" si="42"/>
        <v>0</v>
      </c>
      <c r="R135">
        <f t="shared" si="42"/>
        <v>0</v>
      </c>
      <c r="S135">
        <f t="shared" si="42"/>
        <v>0</v>
      </c>
      <c r="T135">
        <f t="shared" si="42"/>
        <v>0</v>
      </c>
      <c r="U135">
        <f t="shared" si="42"/>
        <v>0</v>
      </c>
      <c r="V135">
        <f t="shared" si="42"/>
        <v>0</v>
      </c>
      <c r="W135">
        <f t="shared" si="42"/>
        <v>0</v>
      </c>
      <c r="X135">
        <f t="shared" si="42"/>
        <v>0</v>
      </c>
      <c r="Y135">
        <f t="shared" si="42"/>
        <v>0</v>
      </c>
      <c r="Z135">
        <f t="shared" si="42"/>
        <v>0</v>
      </c>
      <c r="AA135">
        <f t="shared" si="42"/>
        <v>0</v>
      </c>
    </row>
    <row r="136" spans="1:27" x14ac:dyDescent="0.25">
      <c r="C136" s="1"/>
      <c r="D136" s="1"/>
      <c r="E136" t="s">
        <v>89</v>
      </c>
      <c r="F136" t="s">
        <v>3</v>
      </c>
      <c r="H136">
        <f>H133*$G134</f>
        <v>0</v>
      </c>
      <c r="I136">
        <f t="shared" ref="I136:AA136" si="43">I133*$G134</f>
        <v>0</v>
      </c>
      <c r="J136">
        <f t="shared" si="43"/>
        <v>0</v>
      </c>
      <c r="K136">
        <f t="shared" si="43"/>
        <v>0</v>
      </c>
      <c r="L136">
        <f t="shared" si="43"/>
        <v>0</v>
      </c>
      <c r="M136">
        <f t="shared" si="43"/>
        <v>0</v>
      </c>
      <c r="N136">
        <f t="shared" si="43"/>
        <v>0</v>
      </c>
      <c r="O136">
        <f t="shared" si="43"/>
        <v>0</v>
      </c>
      <c r="P136">
        <f t="shared" si="43"/>
        <v>0</v>
      </c>
      <c r="Q136">
        <f t="shared" si="43"/>
        <v>0</v>
      </c>
      <c r="R136">
        <f t="shared" si="43"/>
        <v>0</v>
      </c>
      <c r="S136">
        <f t="shared" si="43"/>
        <v>0</v>
      </c>
      <c r="T136">
        <f t="shared" si="43"/>
        <v>0</v>
      </c>
      <c r="U136">
        <f t="shared" si="43"/>
        <v>0</v>
      </c>
      <c r="V136">
        <f t="shared" si="43"/>
        <v>0</v>
      </c>
      <c r="W136">
        <f t="shared" si="43"/>
        <v>0</v>
      </c>
      <c r="X136">
        <f t="shared" si="43"/>
        <v>0</v>
      </c>
      <c r="Y136">
        <f t="shared" si="43"/>
        <v>0</v>
      </c>
      <c r="Z136">
        <f t="shared" si="43"/>
        <v>0</v>
      </c>
      <c r="AA136">
        <f t="shared" si="43"/>
        <v>0</v>
      </c>
    </row>
    <row r="137" spans="1:27" x14ac:dyDescent="0.25">
      <c r="A137" s="14">
        <f>'Notes &amp; Assumptions'!A40</f>
        <v>27</v>
      </c>
      <c r="C137" s="1"/>
      <c r="D137" s="1"/>
      <c r="E137" t="s">
        <v>62</v>
      </c>
      <c r="F137" t="s">
        <v>43</v>
      </c>
      <c r="H137" s="10"/>
      <c r="I137" s="10"/>
      <c r="J137" s="10"/>
      <c r="K137" s="10"/>
      <c r="L137" s="10"/>
      <c r="M137" s="10"/>
      <c r="N137" s="10"/>
      <c r="O137" s="10"/>
      <c r="P137" s="10"/>
      <c r="Q137" s="10"/>
      <c r="R137" s="10"/>
      <c r="S137" s="10"/>
      <c r="T137" s="10"/>
      <c r="U137" s="10"/>
      <c r="V137" s="10"/>
      <c r="W137" s="10"/>
      <c r="X137" s="10"/>
      <c r="Y137" s="10"/>
      <c r="Z137" s="10"/>
      <c r="AA137" s="10"/>
    </row>
    <row r="138" spans="1:27" x14ac:dyDescent="0.25">
      <c r="C138" s="1"/>
      <c r="D138" s="1"/>
      <c r="E138" t="s">
        <v>63</v>
      </c>
      <c r="F138" t="s">
        <v>43</v>
      </c>
      <c r="H138" s="10"/>
      <c r="I138" s="10"/>
      <c r="J138" s="10"/>
      <c r="K138" s="10"/>
      <c r="L138" s="10"/>
      <c r="M138" s="10"/>
      <c r="N138" s="10"/>
      <c r="O138" s="10"/>
      <c r="P138" s="10"/>
      <c r="Q138" s="10"/>
      <c r="R138" s="10"/>
      <c r="S138" s="10"/>
      <c r="T138" s="10"/>
      <c r="U138" s="10"/>
      <c r="V138" s="10"/>
      <c r="W138" s="10"/>
      <c r="X138" s="10"/>
      <c r="Y138" s="10"/>
      <c r="Z138" s="10"/>
      <c r="AA138" s="10"/>
    </row>
    <row r="139" spans="1:27" x14ac:dyDescent="0.25">
      <c r="A139" s="14">
        <f>'Notes &amp; Assumptions'!A41</f>
        <v>28</v>
      </c>
      <c r="C139" s="1"/>
      <c r="D139" s="1"/>
      <c r="E139" t="s">
        <v>140</v>
      </c>
      <c r="F139" t="s">
        <v>43</v>
      </c>
      <c r="H139" s="10"/>
      <c r="I139" s="10"/>
      <c r="J139" s="10"/>
      <c r="K139" s="10"/>
      <c r="L139" s="10"/>
      <c r="M139" s="10"/>
      <c r="N139" s="10"/>
      <c r="O139" s="10"/>
      <c r="P139" s="10"/>
      <c r="Q139" s="10"/>
      <c r="R139" s="10"/>
      <c r="S139" s="10"/>
      <c r="T139" s="10"/>
      <c r="U139" s="10"/>
      <c r="V139" s="10"/>
      <c r="W139" s="10"/>
      <c r="X139" s="10"/>
      <c r="Y139" s="10"/>
      <c r="Z139" s="10"/>
      <c r="AA139" s="10"/>
    </row>
    <row r="140" spans="1:27" x14ac:dyDescent="0.25">
      <c r="C140" s="1"/>
      <c r="D140" s="1"/>
      <c r="E140" t="s">
        <v>64</v>
      </c>
      <c r="F140" t="s">
        <v>144</v>
      </c>
      <c r="H140" s="2">
        <f>H133*H137</f>
        <v>0</v>
      </c>
      <c r="I140" s="2">
        <f t="shared" ref="I140:AA140" si="44">I133*I137</f>
        <v>0</v>
      </c>
      <c r="J140" s="2">
        <f t="shared" si="44"/>
        <v>0</v>
      </c>
      <c r="K140" s="2">
        <f t="shared" si="44"/>
        <v>0</v>
      </c>
      <c r="L140" s="2">
        <f t="shared" si="44"/>
        <v>0</v>
      </c>
      <c r="M140" s="2">
        <f t="shared" si="44"/>
        <v>0</v>
      </c>
      <c r="N140" s="2">
        <f t="shared" si="44"/>
        <v>0</v>
      </c>
      <c r="O140" s="2">
        <f t="shared" si="44"/>
        <v>0</v>
      </c>
      <c r="P140" s="2">
        <f t="shared" si="44"/>
        <v>0</v>
      </c>
      <c r="Q140" s="2">
        <f t="shared" si="44"/>
        <v>0</v>
      </c>
      <c r="R140" s="2">
        <f t="shared" si="44"/>
        <v>0</v>
      </c>
      <c r="S140" s="2">
        <f t="shared" si="44"/>
        <v>0</v>
      </c>
      <c r="T140" s="2">
        <f t="shared" si="44"/>
        <v>0</v>
      </c>
      <c r="U140" s="2">
        <f t="shared" si="44"/>
        <v>0</v>
      </c>
      <c r="V140" s="2">
        <f t="shared" si="44"/>
        <v>0</v>
      </c>
      <c r="W140" s="2">
        <f t="shared" si="44"/>
        <v>0</v>
      </c>
      <c r="X140" s="2">
        <f t="shared" si="44"/>
        <v>0</v>
      </c>
      <c r="Y140" s="2">
        <f t="shared" si="44"/>
        <v>0</v>
      </c>
      <c r="Z140" s="2">
        <f t="shared" si="44"/>
        <v>0</v>
      </c>
      <c r="AA140" s="2">
        <f t="shared" si="44"/>
        <v>0</v>
      </c>
    </row>
    <row r="141" spans="1:27" x14ac:dyDescent="0.25">
      <c r="C141" s="1"/>
      <c r="D141" s="1"/>
      <c r="E141" t="s">
        <v>65</v>
      </c>
      <c r="F141" t="s">
        <v>144</v>
      </c>
      <c r="H141" s="2">
        <f>H133*H138</f>
        <v>0</v>
      </c>
      <c r="I141" s="2">
        <f t="shared" ref="I141:AA141" si="45">I133*I138</f>
        <v>0</v>
      </c>
      <c r="J141" s="2">
        <f t="shared" si="45"/>
        <v>0</v>
      </c>
      <c r="K141" s="2">
        <f t="shared" si="45"/>
        <v>0</v>
      </c>
      <c r="L141" s="2">
        <f t="shared" si="45"/>
        <v>0</v>
      </c>
      <c r="M141" s="2">
        <f t="shared" si="45"/>
        <v>0</v>
      </c>
      <c r="N141" s="2">
        <f t="shared" si="45"/>
        <v>0</v>
      </c>
      <c r="O141" s="2">
        <f t="shared" si="45"/>
        <v>0</v>
      </c>
      <c r="P141" s="2">
        <f t="shared" si="45"/>
        <v>0</v>
      </c>
      <c r="Q141" s="2">
        <f t="shared" si="45"/>
        <v>0</v>
      </c>
      <c r="R141" s="2">
        <f t="shared" si="45"/>
        <v>0</v>
      </c>
      <c r="S141" s="2">
        <f t="shared" si="45"/>
        <v>0</v>
      </c>
      <c r="T141" s="2">
        <f t="shared" si="45"/>
        <v>0</v>
      </c>
      <c r="U141" s="2">
        <f t="shared" si="45"/>
        <v>0</v>
      </c>
      <c r="V141" s="2">
        <f t="shared" si="45"/>
        <v>0</v>
      </c>
      <c r="W141" s="2">
        <f t="shared" si="45"/>
        <v>0</v>
      </c>
      <c r="X141" s="2">
        <f t="shared" si="45"/>
        <v>0</v>
      </c>
      <c r="Y141" s="2">
        <f t="shared" si="45"/>
        <v>0</v>
      </c>
      <c r="Z141" s="2">
        <f t="shared" si="45"/>
        <v>0</v>
      </c>
      <c r="AA141" s="2">
        <f t="shared" si="45"/>
        <v>0</v>
      </c>
    </row>
    <row r="142" spans="1:27" x14ac:dyDescent="0.25">
      <c r="C142" s="1"/>
      <c r="D142" s="1"/>
      <c r="E142" t="s">
        <v>141</v>
      </c>
      <c r="F142" t="s">
        <v>144</v>
      </c>
      <c r="H142" s="2">
        <f>H133*H139</f>
        <v>0</v>
      </c>
      <c r="I142" s="2">
        <f t="shared" ref="I142:AA142" si="46">I133*I139</f>
        <v>0</v>
      </c>
      <c r="J142" s="2">
        <f t="shared" si="46"/>
        <v>0</v>
      </c>
      <c r="K142" s="2">
        <f t="shared" si="46"/>
        <v>0</v>
      </c>
      <c r="L142" s="2">
        <f t="shared" si="46"/>
        <v>0</v>
      </c>
      <c r="M142" s="2">
        <f t="shared" si="46"/>
        <v>0</v>
      </c>
      <c r="N142" s="2">
        <f t="shared" si="46"/>
        <v>0</v>
      </c>
      <c r="O142" s="2">
        <f t="shared" si="46"/>
        <v>0</v>
      </c>
      <c r="P142" s="2">
        <f t="shared" si="46"/>
        <v>0</v>
      </c>
      <c r="Q142" s="2">
        <f t="shared" si="46"/>
        <v>0</v>
      </c>
      <c r="R142" s="2">
        <f t="shared" si="46"/>
        <v>0</v>
      </c>
      <c r="S142" s="2">
        <f t="shared" si="46"/>
        <v>0</v>
      </c>
      <c r="T142" s="2">
        <f t="shared" si="46"/>
        <v>0</v>
      </c>
      <c r="U142" s="2">
        <f t="shared" si="46"/>
        <v>0</v>
      </c>
      <c r="V142" s="2">
        <f t="shared" si="46"/>
        <v>0</v>
      </c>
      <c r="W142" s="2">
        <f t="shared" si="46"/>
        <v>0</v>
      </c>
      <c r="X142" s="2">
        <f t="shared" si="46"/>
        <v>0</v>
      </c>
      <c r="Y142" s="2">
        <f t="shared" si="46"/>
        <v>0</v>
      </c>
      <c r="Z142" s="2">
        <f t="shared" si="46"/>
        <v>0</v>
      </c>
      <c r="AA142" s="2">
        <f t="shared" si="46"/>
        <v>0</v>
      </c>
    </row>
    <row r="143" spans="1:27" x14ac:dyDescent="0.25">
      <c r="A143" s="14">
        <f>'Notes &amp; Assumptions'!A42</f>
        <v>29</v>
      </c>
      <c r="C143" s="1"/>
      <c r="D143" s="1"/>
      <c r="E143" t="s">
        <v>66</v>
      </c>
      <c r="F143" t="s">
        <v>8</v>
      </c>
      <c r="H143" s="11"/>
      <c r="I143" s="11"/>
      <c r="J143" s="11"/>
      <c r="K143" s="11"/>
      <c r="L143" s="11"/>
      <c r="M143" s="11"/>
      <c r="N143" s="11"/>
      <c r="O143" s="11"/>
      <c r="P143" s="11"/>
      <c r="Q143" s="11"/>
      <c r="R143" s="11"/>
      <c r="S143" s="11"/>
      <c r="T143" s="11"/>
      <c r="U143" s="11"/>
      <c r="V143" s="11"/>
      <c r="W143" s="11"/>
      <c r="X143" s="11"/>
      <c r="Y143" s="11"/>
      <c r="Z143" s="11"/>
      <c r="AA143" s="11"/>
    </row>
    <row r="144" spans="1:27" x14ac:dyDescent="0.25">
      <c r="A144" s="14">
        <f>'Notes &amp; Assumptions'!A43</f>
        <v>30</v>
      </c>
      <c r="C144" s="1"/>
      <c r="D144" s="1"/>
      <c r="E144" t="s">
        <v>40</v>
      </c>
      <c r="F144" t="s">
        <v>41</v>
      </c>
      <c r="G144" s="10"/>
      <c r="H144" s="2">
        <f>G144*(1+$G$14)*(1+H143)</f>
        <v>0</v>
      </c>
      <c r="I144" s="2">
        <f t="shared" ref="I144:AA144" si="47">H144*(1+$G$14)*(1+I143)</f>
        <v>0</v>
      </c>
      <c r="J144" s="2">
        <f t="shared" si="47"/>
        <v>0</v>
      </c>
      <c r="K144" s="2">
        <f t="shared" si="47"/>
        <v>0</v>
      </c>
      <c r="L144" s="2">
        <f t="shared" si="47"/>
        <v>0</v>
      </c>
      <c r="M144" s="2">
        <f t="shared" si="47"/>
        <v>0</v>
      </c>
      <c r="N144" s="2">
        <f t="shared" si="47"/>
        <v>0</v>
      </c>
      <c r="O144" s="2">
        <f t="shared" si="47"/>
        <v>0</v>
      </c>
      <c r="P144" s="2">
        <f t="shared" si="47"/>
        <v>0</v>
      </c>
      <c r="Q144" s="2">
        <f t="shared" si="47"/>
        <v>0</v>
      </c>
      <c r="R144" s="2">
        <f t="shared" si="47"/>
        <v>0</v>
      </c>
      <c r="S144" s="2">
        <f t="shared" si="47"/>
        <v>0</v>
      </c>
      <c r="T144" s="2">
        <f t="shared" si="47"/>
        <v>0</v>
      </c>
      <c r="U144" s="2">
        <f t="shared" si="47"/>
        <v>0</v>
      </c>
      <c r="V144" s="2">
        <f t="shared" si="47"/>
        <v>0</v>
      </c>
      <c r="W144" s="2">
        <f t="shared" si="47"/>
        <v>0</v>
      </c>
      <c r="X144" s="2">
        <f t="shared" si="47"/>
        <v>0</v>
      </c>
      <c r="Y144" s="2">
        <f t="shared" si="47"/>
        <v>0</v>
      </c>
      <c r="Z144" s="2">
        <f t="shared" si="47"/>
        <v>0</v>
      </c>
      <c r="AA144" s="2">
        <f t="shared" si="47"/>
        <v>0</v>
      </c>
    </row>
    <row r="145" spans="1:27" x14ac:dyDescent="0.25">
      <c r="C145" s="1"/>
      <c r="D145" s="1"/>
      <c r="E145" t="s">
        <v>67</v>
      </c>
      <c r="F145" t="s">
        <v>143</v>
      </c>
      <c r="G145" s="20"/>
      <c r="H145" s="21">
        <f>G145*(1+$G$14)*(1+H143)</f>
        <v>0</v>
      </c>
      <c r="I145" s="21">
        <f t="shared" ref="I145:AA145" si="48">H145*(1+$G$14)*(1+I143)</f>
        <v>0</v>
      </c>
      <c r="J145" s="21">
        <f t="shared" si="48"/>
        <v>0</v>
      </c>
      <c r="K145" s="21">
        <f t="shared" si="48"/>
        <v>0</v>
      </c>
      <c r="L145" s="21">
        <f t="shared" si="48"/>
        <v>0</v>
      </c>
      <c r="M145" s="21">
        <f t="shared" si="48"/>
        <v>0</v>
      </c>
      <c r="N145" s="21">
        <f t="shared" si="48"/>
        <v>0</v>
      </c>
      <c r="O145" s="21">
        <f t="shared" si="48"/>
        <v>0</v>
      </c>
      <c r="P145" s="21">
        <f t="shared" si="48"/>
        <v>0</v>
      </c>
      <c r="Q145" s="21">
        <f t="shared" si="48"/>
        <v>0</v>
      </c>
      <c r="R145" s="21">
        <f t="shared" si="48"/>
        <v>0</v>
      </c>
      <c r="S145" s="21">
        <f t="shared" si="48"/>
        <v>0</v>
      </c>
      <c r="T145" s="21">
        <f t="shared" si="48"/>
        <v>0</v>
      </c>
      <c r="U145" s="21">
        <f t="shared" si="48"/>
        <v>0</v>
      </c>
      <c r="V145" s="21">
        <f t="shared" si="48"/>
        <v>0</v>
      </c>
      <c r="W145" s="21">
        <f t="shared" si="48"/>
        <v>0</v>
      </c>
      <c r="X145" s="21">
        <f t="shared" si="48"/>
        <v>0</v>
      </c>
      <c r="Y145" s="21">
        <f t="shared" si="48"/>
        <v>0</v>
      </c>
      <c r="Z145" s="21">
        <f t="shared" si="48"/>
        <v>0</v>
      </c>
      <c r="AA145" s="21">
        <f t="shared" si="48"/>
        <v>0</v>
      </c>
    </row>
    <row r="146" spans="1:27" x14ac:dyDescent="0.25">
      <c r="C146" s="1"/>
      <c r="D146" s="1"/>
      <c r="E146" t="s">
        <v>68</v>
      </c>
      <c r="F146" t="s">
        <v>143</v>
      </c>
      <c r="G146" s="20"/>
      <c r="H146" s="21">
        <f>G146*(1+$G$14)*(1+H143)</f>
        <v>0</v>
      </c>
      <c r="I146" s="21">
        <f t="shared" ref="I146:AA146" si="49">H146*(1+$G$14)*(1+I143)</f>
        <v>0</v>
      </c>
      <c r="J146" s="21">
        <f t="shared" si="49"/>
        <v>0</v>
      </c>
      <c r="K146" s="21">
        <f t="shared" si="49"/>
        <v>0</v>
      </c>
      <c r="L146" s="21">
        <f t="shared" si="49"/>
        <v>0</v>
      </c>
      <c r="M146" s="21">
        <f t="shared" si="49"/>
        <v>0</v>
      </c>
      <c r="N146" s="21">
        <f t="shared" si="49"/>
        <v>0</v>
      </c>
      <c r="O146" s="21">
        <f t="shared" si="49"/>
        <v>0</v>
      </c>
      <c r="P146" s="21">
        <f t="shared" si="49"/>
        <v>0</v>
      </c>
      <c r="Q146" s="21">
        <f t="shared" si="49"/>
        <v>0</v>
      </c>
      <c r="R146" s="21">
        <f t="shared" si="49"/>
        <v>0</v>
      </c>
      <c r="S146" s="21">
        <f t="shared" si="49"/>
        <v>0</v>
      </c>
      <c r="T146" s="21">
        <f t="shared" si="49"/>
        <v>0</v>
      </c>
      <c r="U146" s="21">
        <f t="shared" si="49"/>
        <v>0</v>
      </c>
      <c r="V146" s="21">
        <f t="shared" si="49"/>
        <v>0</v>
      </c>
      <c r="W146" s="21">
        <f t="shared" si="49"/>
        <v>0</v>
      </c>
      <c r="X146" s="21">
        <f t="shared" si="49"/>
        <v>0</v>
      </c>
      <c r="Y146" s="21">
        <f t="shared" si="49"/>
        <v>0</v>
      </c>
      <c r="Z146" s="21">
        <f t="shared" si="49"/>
        <v>0</v>
      </c>
      <c r="AA146" s="21">
        <f t="shared" si="49"/>
        <v>0</v>
      </c>
    </row>
    <row r="147" spans="1:27" x14ac:dyDescent="0.25">
      <c r="C147" s="1"/>
      <c r="D147" s="1"/>
      <c r="E147" t="s">
        <v>142</v>
      </c>
      <c r="F147" t="s">
        <v>143</v>
      </c>
      <c r="G147" s="20"/>
      <c r="H147" s="21">
        <f>G147*(1+$G$14)*(1+H143)</f>
        <v>0</v>
      </c>
      <c r="I147" s="21">
        <f t="shared" ref="I147:AA147" si="50">H147*(1+$G$14)*(1+I143)</f>
        <v>0</v>
      </c>
      <c r="J147" s="21">
        <f t="shared" si="50"/>
        <v>0</v>
      </c>
      <c r="K147" s="21">
        <f t="shared" si="50"/>
        <v>0</v>
      </c>
      <c r="L147" s="21">
        <f t="shared" si="50"/>
        <v>0</v>
      </c>
      <c r="M147" s="21">
        <f t="shared" si="50"/>
        <v>0</v>
      </c>
      <c r="N147" s="21">
        <f t="shared" si="50"/>
        <v>0</v>
      </c>
      <c r="O147" s="21">
        <f t="shared" si="50"/>
        <v>0</v>
      </c>
      <c r="P147" s="21">
        <f t="shared" si="50"/>
        <v>0</v>
      </c>
      <c r="Q147" s="21">
        <f t="shared" si="50"/>
        <v>0</v>
      </c>
      <c r="R147" s="21">
        <f t="shared" si="50"/>
        <v>0</v>
      </c>
      <c r="S147" s="21">
        <f t="shared" si="50"/>
        <v>0</v>
      </c>
      <c r="T147" s="21">
        <f t="shared" si="50"/>
        <v>0</v>
      </c>
      <c r="U147" s="21">
        <f t="shared" si="50"/>
        <v>0</v>
      </c>
      <c r="V147" s="21">
        <f t="shared" si="50"/>
        <v>0</v>
      </c>
      <c r="W147" s="21">
        <f t="shared" si="50"/>
        <v>0</v>
      </c>
      <c r="X147" s="21">
        <f t="shared" si="50"/>
        <v>0</v>
      </c>
      <c r="Y147" s="21">
        <f t="shared" si="50"/>
        <v>0</v>
      </c>
      <c r="Z147" s="21">
        <f t="shared" si="50"/>
        <v>0</v>
      </c>
      <c r="AA147" s="21">
        <f t="shared" si="50"/>
        <v>0</v>
      </c>
    </row>
    <row r="148" spans="1:27" x14ac:dyDescent="0.25">
      <c r="C148" s="1"/>
      <c r="D148" s="1"/>
    </row>
    <row r="149" spans="1:27" x14ac:dyDescent="0.25">
      <c r="C149" s="1"/>
      <c r="D149" s="1"/>
      <c r="E149" t="s">
        <v>75</v>
      </c>
      <c r="F149" t="s">
        <v>58</v>
      </c>
      <c r="H149" s="2">
        <f>SUM(H140:H142)/1000</f>
        <v>0</v>
      </c>
      <c r="I149" s="2">
        <f t="shared" ref="I149:AA149" si="51">SUM(I140:I142)/1000</f>
        <v>0</v>
      </c>
      <c r="J149" s="2">
        <f t="shared" si="51"/>
        <v>0</v>
      </c>
      <c r="K149" s="2">
        <f t="shared" si="51"/>
        <v>0</v>
      </c>
      <c r="L149" s="2">
        <f t="shared" si="51"/>
        <v>0</v>
      </c>
      <c r="M149" s="2">
        <f t="shared" si="51"/>
        <v>0</v>
      </c>
      <c r="N149" s="2">
        <f t="shared" si="51"/>
        <v>0</v>
      </c>
      <c r="O149" s="2">
        <f t="shared" si="51"/>
        <v>0</v>
      </c>
      <c r="P149" s="2">
        <f t="shared" si="51"/>
        <v>0</v>
      </c>
      <c r="Q149" s="2">
        <f t="shared" si="51"/>
        <v>0</v>
      </c>
      <c r="R149" s="2">
        <f t="shared" si="51"/>
        <v>0</v>
      </c>
      <c r="S149" s="2">
        <f t="shared" si="51"/>
        <v>0</v>
      </c>
      <c r="T149" s="2">
        <f t="shared" si="51"/>
        <v>0</v>
      </c>
      <c r="U149" s="2">
        <f t="shared" si="51"/>
        <v>0</v>
      </c>
      <c r="V149" s="2">
        <f t="shared" si="51"/>
        <v>0</v>
      </c>
      <c r="W149" s="2">
        <f t="shared" si="51"/>
        <v>0</v>
      </c>
      <c r="X149" s="2">
        <f t="shared" si="51"/>
        <v>0</v>
      </c>
      <c r="Y149" s="2">
        <f t="shared" si="51"/>
        <v>0</v>
      </c>
      <c r="Z149" s="2">
        <f t="shared" si="51"/>
        <v>0</v>
      </c>
      <c r="AA149" s="2">
        <f t="shared" si="51"/>
        <v>0</v>
      </c>
    </row>
    <row r="150" spans="1:27" x14ac:dyDescent="0.25">
      <c r="C150" s="1"/>
      <c r="D150" s="1"/>
      <c r="E150" t="s">
        <v>76</v>
      </c>
      <c r="F150" t="s">
        <v>7</v>
      </c>
      <c r="H150" s="2">
        <f>H133*H144+H140*H145+H141*H146+H142*H147</f>
        <v>0</v>
      </c>
      <c r="I150" s="2">
        <f t="shared" ref="I150:AA150" si="52">I133*I144+I140*I145+I141*I146+I142*I147</f>
        <v>0</v>
      </c>
      <c r="J150" s="2">
        <f t="shared" si="52"/>
        <v>0</v>
      </c>
      <c r="K150" s="2">
        <f t="shared" si="52"/>
        <v>0</v>
      </c>
      <c r="L150" s="2">
        <f t="shared" si="52"/>
        <v>0</v>
      </c>
      <c r="M150" s="2">
        <f t="shared" si="52"/>
        <v>0</v>
      </c>
      <c r="N150" s="2">
        <f t="shared" si="52"/>
        <v>0</v>
      </c>
      <c r="O150" s="2">
        <f t="shared" si="52"/>
        <v>0</v>
      </c>
      <c r="P150" s="2">
        <f t="shared" si="52"/>
        <v>0</v>
      </c>
      <c r="Q150" s="2">
        <f t="shared" si="52"/>
        <v>0</v>
      </c>
      <c r="R150" s="2">
        <f t="shared" si="52"/>
        <v>0</v>
      </c>
      <c r="S150" s="2">
        <f t="shared" si="52"/>
        <v>0</v>
      </c>
      <c r="T150" s="2">
        <f t="shared" si="52"/>
        <v>0</v>
      </c>
      <c r="U150" s="2">
        <f t="shared" si="52"/>
        <v>0</v>
      </c>
      <c r="V150" s="2">
        <f t="shared" si="52"/>
        <v>0</v>
      </c>
      <c r="W150" s="2">
        <f t="shared" si="52"/>
        <v>0</v>
      </c>
      <c r="X150" s="2">
        <f t="shared" si="52"/>
        <v>0</v>
      </c>
      <c r="Y150" s="2">
        <f t="shared" si="52"/>
        <v>0</v>
      </c>
      <c r="Z150" s="2">
        <f t="shared" si="52"/>
        <v>0</v>
      </c>
      <c r="AA150" s="2">
        <f t="shared" si="52"/>
        <v>0</v>
      </c>
    </row>
    <row r="151" spans="1:27" x14ac:dyDescent="0.25">
      <c r="C151" s="1"/>
      <c r="D151" s="1"/>
    </row>
    <row r="152" spans="1:27" x14ac:dyDescent="0.25">
      <c r="C152" s="1"/>
      <c r="D152" t="s">
        <v>77</v>
      </c>
    </row>
    <row r="153" spans="1:27" x14ac:dyDescent="0.25">
      <c r="A153" s="14">
        <f>'Notes &amp; Assumptions'!A44</f>
        <v>31</v>
      </c>
      <c r="C153" s="1"/>
      <c r="D153" s="1"/>
      <c r="E153" t="s">
        <v>87</v>
      </c>
      <c r="F153" t="s">
        <v>3</v>
      </c>
      <c r="H153" s="10">
        <v>0</v>
      </c>
      <c r="I153" s="10">
        <v>0</v>
      </c>
      <c r="J153" s="10">
        <v>0</v>
      </c>
      <c r="K153" s="10">
        <v>0</v>
      </c>
      <c r="L153" s="10">
        <v>0</v>
      </c>
      <c r="M153" s="10">
        <v>0</v>
      </c>
      <c r="N153" s="10">
        <v>0</v>
      </c>
      <c r="O153" s="10">
        <v>0</v>
      </c>
      <c r="P153" s="10">
        <v>0</v>
      </c>
      <c r="Q153" s="10">
        <v>0</v>
      </c>
      <c r="R153" s="10">
        <f>AVERAGE($O153:$Q153)</f>
        <v>0</v>
      </c>
      <c r="S153" s="10">
        <f t="shared" ref="S153:V153" si="53">AVERAGE($O153:$Q153)</f>
        <v>0</v>
      </c>
      <c r="T153" s="10">
        <f t="shared" si="53"/>
        <v>0</v>
      </c>
      <c r="U153" s="10">
        <f t="shared" si="53"/>
        <v>0</v>
      </c>
      <c r="V153" s="10">
        <f t="shared" si="53"/>
        <v>0</v>
      </c>
    </row>
    <row r="154" spans="1:27" x14ac:dyDescent="0.25">
      <c r="C154" s="1"/>
      <c r="D154" s="1"/>
      <c r="E154" t="s">
        <v>60</v>
      </c>
      <c r="F154" t="s">
        <v>3</v>
      </c>
      <c r="H154" s="2">
        <f>G154+H153</f>
        <v>0</v>
      </c>
      <c r="I154" s="2">
        <f t="shared" ref="I154:AA154" si="54">H154+I153</f>
        <v>0</v>
      </c>
      <c r="J154" s="2">
        <f t="shared" si="54"/>
        <v>0</v>
      </c>
      <c r="K154" s="2">
        <f t="shared" si="54"/>
        <v>0</v>
      </c>
      <c r="L154" s="2">
        <f t="shared" si="54"/>
        <v>0</v>
      </c>
      <c r="M154" s="2">
        <f t="shared" si="54"/>
        <v>0</v>
      </c>
      <c r="N154" s="2">
        <f t="shared" si="54"/>
        <v>0</v>
      </c>
      <c r="O154" s="2">
        <f t="shared" si="54"/>
        <v>0</v>
      </c>
      <c r="P154" s="2">
        <f t="shared" si="54"/>
        <v>0</v>
      </c>
      <c r="Q154" s="2">
        <f t="shared" si="54"/>
        <v>0</v>
      </c>
      <c r="R154" s="2">
        <f t="shared" si="54"/>
        <v>0</v>
      </c>
      <c r="S154" s="2">
        <f t="shared" si="54"/>
        <v>0</v>
      </c>
      <c r="T154" s="2">
        <f t="shared" si="54"/>
        <v>0</v>
      </c>
      <c r="U154" s="2">
        <f t="shared" si="54"/>
        <v>0</v>
      </c>
      <c r="V154" s="2">
        <f t="shared" si="54"/>
        <v>0</v>
      </c>
      <c r="W154" s="2">
        <f t="shared" si="54"/>
        <v>0</v>
      </c>
      <c r="X154" s="2">
        <f t="shared" si="54"/>
        <v>0</v>
      </c>
      <c r="Y154" s="2">
        <f t="shared" si="54"/>
        <v>0</v>
      </c>
      <c r="Z154" s="2">
        <f t="shared" si="54"/>
        <v>0</v>
      </c>
      <c r="AA154" s="2">
        <f t="shared" si="54"/>
        <v>0</v>
      </c>
    </row>
    <row r="155" spans="1:27" x14ac:dyDescent="0.25">
      <c r="A155" s="14">
        <f>'Notes &amp; Assumptions'!A45</f>
        <v>32</v>
      </c>
      <c r="C155" s="1"/>
      <c r="D155" s="1"/>
      <c r="E155" t="s">
        <v>61</v>
      </c>
      <c r="F155" t="s">
        <v>3</v>
      </c>
      <c r="G155" s="10">
        <v>1</v>
      </c>
    </row>
    <row r="156" spans="1:27" x14ac:dyDescent="0.25">
      <c r="C156" s="1"/>
      <c r="D156" s="1"/>
      <c r="E156" t="s">
        <v>88</v>
      </c>
      <c r="F156" t="s">
        <v>3</v>
      </c>
      <c r="H156">
        <f>H153*$G155</f>
        <v>0</v>
      </c>
      <c r="I156">
        <f t="shared" ref="I156:AA156" si="55">I153*$G155</f>
        <v>0</v>
      </c>
      <c r="J156">
        <f t="shared" si="55"/>
        <v>0</v>
      </c>
      <c r="K156">
        <f t="shared" si="55"/>
        <v>0</v>
      </c>
      <c r="L156">
        <f t="shared" si="55"/>
        <v>0</v>
      </c>
      <c r="M156">
        <f t="shared" si="55"/>
        <v>0</v>
      </c>
      <c r="N156">
        <f t="shared" si="55"/>
        <v>0</v>
      </c>
      <c r="O156">
        <f t="shared" si="55"/>
        <v>0</v>
      </c>
      <c r="P156">
        <f t="shared" si="55"/>
        <v>0</v>
      </c>
      <c r="Q156">
        <f t="shared" si="55"/>
        <v>0</v>
      </c>
      <c r="R156">
        <f t="shared" si="55"/>
        <v>0</v>
      </c>
      <c r="S156">
        <f t="shared" si="55"/>
        <v>0</v>
      </c>
      <c r="T156">
        <f t="shared" si="55"/>
        <v>0</v>
      </c>
      <c r="U156">
        <f t="shared" si="55"/>
        <v>0</v>
      </c>
      <c r="V156">
        <f t="shared" si="55"/>
        <v>0</v>
      </c>
      <c r="W156">
        <f t="shared" si="55"/>
        <v>0</v>
      </c>
      <c r="X156">
        <f t="shared" si="55"/>
        <v>0</v>
      </c>
      <c r="Y156">
        <f t="shared" si="55"/>
        <v>0</v>
      </c>
      <c r="Z156">
        <f t="shared" si="55"/>
        <v>0</v>
      </c>
      <c r="AA156">
        <f t="shared" si="55"/>
        <v>0</v>
      </c>
    </row>
    <row r="157" spans="1:27" x14ac:dyDescent="0.25">
      <c r="C157" s="1"/>
      <c r="D157" s="1"/>
      <c r="E157" t="s">
        <v>89</v>
      </c>
      <c r="F157" t="s">
        <v>3</v>
      </c>
      <c r="H157">
        <f>H154*$G155</f>
        <v>0</v>
      </c>
      <c r="I157">
        <f t="shared" ref="I157:AA157" si="56">I154*$G155</f>
        <v>0</v>
      </c>
      <c r="J157">
        <f t="shared" si="56"/>
        <v>0</v>
      </c>
      <c r="K157">
        <f t="shared" si="56"/>
        <v>0</v>
      </c>
      <c r="L157">
        <f t="shared" si="56"/>
        <v>0</v>
      </c>
      <c r="M157">
        <f t="shared" si="56"/>
        <v>0</v>
      </c>
      <c r="N157">
        <f t="shared" si="56"/>
        <v>0</v>
      </c>
      <c r="O157">
        <f t="shared" si="56"/>
        <v>0</v>
      </c>
      <c r="P157">
        <f t="shared" si="56"/>
        <v>0</v>
      </c>
      <c r="Q157">
        <f t="shared" si="56"/>
        <v>0</v>
      </c>
      <c r="R157">
        <f t="shared" si="56"/>
        <v>0</v>
      </c>
      <c r="S157">
        <f t="shared" si="56"/>
        <v>0</v>
      </c>
      <c r="T157">
        <f t="shared" si="56"/>
        <v>0</v>
      </c>
      <c r="U157">
        <f t="shared" si="56"/>
        <v>0</v>
      </c>
      <c r="V157">
        <f t="shared" si="56"/>
        <v>0</v>
      </c>
      <c r="W157">
        <f t="shared" si="56"/>
        <v>0</v>
      </c>
      <c r="X157">
        <f t="shared" si="56"/>
        <v>0</v>
      </c>
      <c r="Y157">
        <f t="shared" si="56"/>
        <v>0</v>
      </c>
      <c r="Z157">
        <f t="shared" si="56"/>
        <v>0</v>
      </c>
      <c r="AA157">
        <f t="shared" si="56"/>
        <v>0</v>
      </c>
    </row>
    <row r="158" spans="1:27" x14ac:dyDescent="0.25">
      <c r="A158" s="14">
        <f>'Notes &amp; Assumptions'!A46</f>
        <v>33</v>
      </c>
      <c r="C158" s="1"/>
      <c r="D158" s="1"/>
      <c r="E158" t="s">
        <v>62</v>
      </c>
      <c r="F158" t="s">
        <v>43</v>
      </c>
      <c r="H158" s="10"/>
      <c r="I158" s="10"/>
      <c r="J158" s="10"/>
      <c r="K158" s="10"/>
      <c r="L158" s="10"/>
      <c r="M158" s="10"/>
      <c r="N158" s="10"/>
      <c r="O158" s="10"/>
      <c r="P158" s="10"/>
      <c r="Q158" s="10"/>
      <c r="R158" s="10"/>
      <c r="S158" s="10"/>
      <c r="T158" s="10"/>
      <c r="U158" s="10"/>
      <c r="V158" s="10"/>
      <c r="W158" s="10"/>
      <c r="X158" s="10"/>
      <c r="Y158" s="10"/>
      <c r="Z158" s="10"/>
      <c r="AA158" s="10"/>
    </row>
    <row r="159" spans="1:27" x14ac:dyDescent="0.25">
      <c r="C159" s="1"/>
      <c r="D159" s="1"/>
      <c r="E159" t="s">
        <v>63</v>
      </c>
      <c r="F159" t="s">
        <v>43</v>
      </c>
      <c r="H159" s="10"/>
      <c r="I159" s="10"/>
      <c r="J159" s="10"/>
      <c r="K159" s="10"/>
      <c r="L159" s="10"/>
      <c r="M159" s="10"/>
      <c r="N159" s="10"/>
      <c r="O159" s="10"/>
      <c r="P159" s="10"/>
      <c r="Q159" s="10"/>
      <c r="R159" s="10"/>
      <c r="S159" s="10"/>
      <c r="T159" s="10"/>
      <c r="U159" s="10"/>
      <c r="V159" s="10"/>
      <c r="W159" s="10"/>
      <c r="X159" s="10"/>
      <c r="Y159" s="10"/>
      <c r="Z159" s="10"/>
      <c r="AA159" s="10"/>
    </row>
    <row r="160" spans="1:27" x14ac:dyDescent="0.25">
      <c r="A160" s="14">
        <f>'Notes &amp; Assumptions'!A47</f>
        <v>34</v>
      </c>
      <c r="C160" s="1"/>
      <c r="D160" s="1"/>
      <c r="E160" t="s">
        <v>140</v>
      </c>
      <c r="F160" t="s">
        <v>43</v>
      </c>
      <c r="H160" s="10"/>
      <c r="I160" s="10"/>
      <c r="J160" s="10"/>
      <c r="K160" s="10"/>
      <c r="L160" s="10"/>
      <c r="M160" s="10"/>
      <c r="N160" s="10"/>
      <c r="O160" s="10"/>
      <c r="P160" s="10"/>
      <c r="Q160" s="10"/>
      <c r="R160" s="10"/>
      <c r="S160" s="10"/>
      <c r="T160" s="10"/>
      <c r="U160" s="10"/>
      <c r="V160" s="10"/>
      <c r="W160" s="10"/>
      <c r="X160" s="10"/>
      <c r="Y160" s="10"/>
      <c r="Z160" s="10"/>
      <c r="AA160" s="10"/>
    </row>
    <row r="161" spans="1:27" x14ac:dyDescent="0.25">
      <c r="C161" s="1"/>
      <c r="D161" s="1"/>
      <c r="E161" t="s">
        <v>64</v>
      </c>
      <c r="F161" t="s">
        <v>144</v>
      </c>
      <c r="H161" s="2">
        <f>H154*H158</f>
        <v>0</v>
      </c>
      <c r="I161" s="2">
        <f t="shared" ref="I161:AA161" si="57">I154*I158</f>
        <v>0</v>
      </c>
      <c r="J161" s="2">
        <f t="shared" si="57"/>
        <v>0</v>
      </c>
      <c r="K161" s="2">
        <f t="shared" si="57"/>
        <v>0</v>
      </c>
      <c r="L161" s="2">
        <f t="shared" si="57"/>
        <v>0</v>
      </c>
      <c r="M161" s="2">
        <f t="shared" si="57"/>
        <v>0</v>
      </c>
      <c r="N161" s="2">
        <f t="shared" si="57"/>
        <v>0</v>
      </c>
      <c r="O161" s="2">
        <f t="shared" si="57"/>
        <v>0</v>
      </c>
      <c r="P161" s="2">
        <f t="shared" si="57"/>
        <v>0</v>
      </c>
      <c r="Q161" s="2">
        <f t="shared" si="57"/>
        <v>0</v>
      </c>
      <c r="R161" s="2">
        <f t="shared" si="57"/>
        <v>0</v>
      </c>
      <c r="S161" s="2">
        <f t="shared" si="57"/>
        <v>0</v>
      </c>
      <c r="T161" s="2">
        <f t="shared" si="57"/>
        <v>0</v>
      </c>
      <c r="U161" s="2">
        <f t="shared" si="57"/>
        <v>0</v>
      </c>
      <c r="V161" s="2">
        <f t="shared" si="57"/>
        <v>0</v>
      </c>
      <c r="W161" s="2">
        <f t="shared" si="57"/>
        <v>0</v>
      </c>
      <c r="X161" s="2">
        <f t="shared" si="57"/>
        <v>0</v>
      </c>
      <c r="Y161" s="2">
        <f t="shared" si="57"/>
        <v>0</v>
      </c>
      <c r="Z161" s="2">
        <f t="shared" si="57"/>
        <v>0</v>
      </c>
      <c r="AA161" s="2">
        <f t="shared" si="57"/>
        <v>0</v>
      </c>
    </row>
    <row r="162" spans="1:27" x14ac:dyDescent="0.25">
      <c r="C162" s="1"/>
      <c r="D162" s="1"/>
      <c r="E162" t="s">
        <v>65</v>
      </c>
      <c r="F162" t="s">
        <v>144</v>
      </c>
      <c r="H162" s="2">
        <f>H154*H159</f>
        <v>0</v>
      </c>
      <c r="I162" s="2">
        <f t="shared" ref="I162:AA162" si="58">I154*I159</f>
        <v>0</v>
      </c>
      <c r="J162" s="2">
        <f t="shared" si="58"/>
        <v>0</v>
      </c>
      <c r="K162" s="2">
        <f t="shared" si="58"/>
        <v>0</v>
      </c>
      <c r="L162" s="2">
        <f t="shared" si="58"/>
        <v>0</v>
      </c>
      <c r="M162" s="2">
        <f t="shared" si="58"/>
        <v>0</v>
      </c>
      <c r="N162" s="2">
        <f t="shared" si="58"/>
        <v>0</v>
      </c>
      <c r="O162" s="2">
        <f t="shared" si="58"/>
        <v>0</v>
      </c>
      <c r="P162" s="2">
        <f t="shared" si="58"/>
        <v>0</v>
      </c>
      <c r="Q162" s="2">
        <f t="shared" si="58"/>
        <v>0</v>
      </c>
      <c r="R162" s="2">
        <f t="shared" si="58"/>
        <v>0</v>
      </c>
      <c r="S162" s="2">
        <f t="shared" si="58"/>
        <v>0</v>
      </c>
      <c r="T162" s="2">
        <f t="shared" si="58"/>
        <v>0</v>
      </c>
      <c r="U162" s="2">
        <f t="shared" si="58"/>
        <v>0</v>
      </c>
      <c r="V162" s="2">
        <f t="shared" si="58"/>
        <v>0</v>
      </c>
      <c r="W162" s="2">
        <f t="shared" si="58"/>
        <v>0</v>
      </c>
      <c r="X162" s="2">
        <f t="shared" si="58"/>
        <v>0</v>
      </c>
      <c r="Y162" s="2">
        <f t="shared" si="58"/>
        <v>0</v>
      </c>
      <c r="Z162" s="2">
        <f t="shared" si="58"/>
        <v>0</v>
      </c>
      <c r="AA162" s="2">
        <f t="shared" si="58"/>
        <v>0</v>
      </c>
    </row>
    <row r="163" spans="1:27" x14ac:dyDescent="0.25">
      <c r="C163" s="1"/>
      <c r="D163" s="1"/>
      <c r="E163" t="s">
        <v>141</v>
      </c>
      <c r="F163" t="s">
        <v>144</v>
      </c>
      <c r="H163" s="2">
        <f>H154*H160</f>
        <v>0</v>
      </c>
      <c r="I163" s="2">
        <f t="shared" ref="I163:AA163" si="59">I154*I160</f>
        <v>0</v>
      </c>
      <c r="J163" s="2">
        <f t="shared" si="59"/>
        <v>0</v>
      </c>
      <c r="K163" s="2">
        <f t="shared" si="59"/>
        <v>0</v>
      </c>
      <c r="L163" s="2">
        <f t="shared" si="59"/>
        <v>0</v>
      </c>
      <c r="M163" s="2">
        <f t="shared" si="59"/>
        <v>0</v>
      </c>
      <c r="N163" s="2">
        <f t="shared" si="59"/>
        <v>0</v>
      </c>
      <c r="O163" s="2">
        <f t="shared" si="59"/>
        <v>0</v>
      </c>
      <c r="P163" s="2">
        <f t="shared" si="59"/>
        <v>0</v>
      </c>
      <c r="Q163" s="2">
        <f t="shared" si="59"/>
        <v>0</v>
      </c>
      <c r="R163" s="2">
        <f t="shared" si="59"/>
        <v>0</v>
      </c>
      <c r="S163" s="2">
        <f t="shared" si="59"/>
        <v>0</v>
      </c>
      <c r="T163" s="2">
        <f t="shared" si="59"/>
        <v>0</v>
      </c>
      <c r="U163" s="2">
        <f t="shared" si="59"/>
        <v>0</v>
      </c>
      <c r="V163" s="2">
        <f t="shared" si="59"/>
        <v>0</v>
      </c>
      <c r="W163" s="2">
        <f t="shared" si="59"/>
        <v>0</v>
      </c>
      <c r="X163" s="2">
        <f t="shared" si="59"/>
        <v>0</v>
      </c>
      <c r="Y163" s="2">
        <f t="shared" si="59"/>
        <v>0</v>
      </c>
      <c r="Z163" s="2">
        <f t="shared" si="59"/>
        <v>0</v>
      </c>
      <c r="AA163" s="2">
        <f t="shared" si="59"/>
        <v>0</v>
      </c>
    </row>
    <row r="164" spans="1:27" x14ac:dyDescent="0.25">
      <c r="A164" s="14">
        <f>'Notes &amp; Assumptions'!A48</f>
        <v>35</v>
      </c>
      <c r="C164" s="1"/>
      <c r="D164" s="1"/>
      <c r="E164" t="s">
        <v>66</v>
      </c>
      <c r="F164" t="s">
        <v>8</v>
      </c>
      <c r="H164" s="11"/>
      <c r="I164" s="11"/>
      <c r="J164" s="11"/>
      <c r="K164" s="11"/>
      <c r="L164" s="11"/>
      <c r="M164" s="11"/>
      <c r="N164" s="11"/>
      <c r="O164" s="11"/>
      <c r="P164" s="11"/>
      <c r="Q164" s="11"/>
      <c r="R164" s="11"/>
      <c r="S164" s="11"/>
      <c r="T164" s="11"/>
      <c r="U164" s="11"/>
      <c r="V164" s="11"/>
      <c r="W164" s="11"/>
      <c r="X164" s="11"/>
      <c r="Y164" s="11"/>
      <c r="Z164" s="11"/>
      <c r="AA164" s="11"/>
    </row>
    <row r="165" spans="1:27" x14ac:dyDescent="0.25">
      <c r="A165" s="14">
        <f>'Notes &amp; Assumptions'!A49</f>
        <v>36</v>
      </c>
      <c r="C165" s="1"/>
      <c r="D165" s="1"/>
      <c r="E165" t="s">
        <v>40</v>
      </c>
      <c r="F165" t="s">
        <v>41</v>
      </c>
      <c r="G165" s="10"/>
      <c r="H165" s="2">
        <f>G165*(1+$G$14)*(1+H164)</f>
        <v>0</v>
      </c>
      <c r="I165" s="2">
        <f t="shared" ref="I165:AA165" si="60">H165*(1+$G$14)*(1+I164)</f>
        <v>0</v>
      </c>
      <c r="J165" s="2">
        <f t="shared" si="60"/>
        <v>0</v>
      </c>
      <c r="K165" s="2">
        <f t="shared" si="60"/>
        <v>0</v>
      </c>
      <c r="L165" s="2">
        <f t="shared" si="60"/>
        <v>0</v>
      </c>
      <c r="M165" s="2">
        <f t="shared" si="60"/>
        <v>0</v>
      </c>
      <c r="N165" s="2">
        <f t="shared" si="60"/>
        <v>0</v>
      </c>
      <c r="O165" s="2">
        <f t="shared" si="60"/>
        <v>0</v>
      </c>
      <c r="P165" s="2">
        <f t="shared" si="60"/>
        <v>0</v>
      </c>
      <c r="Q165" s="2">
        <f t="shared" si="60"/>
        <v>0</v>
      </c>
      <c r="R165" s="2">
        <f t="shared" si="60"/>
        <v>0</v>
      </c>
      <c r="S165" s="2">
        <f t="shared" si="60"/>
        <v>0</v>
      </c>
      <c r="T165" s="2">
        <f t="shared" si="60"/>
        <v>0</v>
      </c>
      <c r="U165" s="2">
        <f t="shared" si="60"/>
        <v>0</v>
      </c>
      <c r="V165" s="2">
        <f t="shared" si="60"/>
        <v>0</v>
      </c>
      <c r="W165" s="2">
        <f t="shared" si="60"/>
        <v>0</v>
      </c>
      <c r="X165" s="2">
        <f t="shared" si="60"/>
        <v>0</v>
      </c>
      <c r="Y165" s="2">
        <f t="shared" si="60"/>
        <v>0</v>
      </c>
      <c r="Z165" s="2">
        <f t="shared" si="60"/>
        <v>0</v>
      </c>
      <c r="AA165" s="2">
        <f t="shared" si="60"/>
        <v>0</v>
      </c>
    </row>
    <row r="166" spans="1:27" x14ac:dyDescent="0.25">
      <c r="C166" s="1"/>
      <c r="D166" s="1"/>
      <c r="E166" t="s">
        <v>67</v>
      </c>
      <c r="F166" t="s">
        <v>143</v>
      </c>
      <c r="G166" s="20"/>
      <c r="H166" s="21">
        <f>G166*(1+$G$14)*(1+H164)</f>
        <v>0</v>
      </c>
      <c r="I166" s="21">
        <f t="shared" ref="I166:AA166" si="61">H166*(1+$G$14)*(1+I164)</f>
        <v>0</v>
      </c>
      <c r="J166" s="21">
        <f t="shared" si="61"/>
        <v>0</v>
      </c>
      <c r="K166" s="21">
        <f t="shared" si="61"/>
        <v>0</v>
      </c>
      <c r="L166" s="21">
        <f t="shared" si="61"/>
        <v>0</v>
      </c>
      <c r="M166" s="21">
        <f t="shared" si="61"/>
        <v>0</v>
      </c>
      <c r="N166" s="21">
        <f t="shared" si="61"/>
        <v>0</v>
      </c>
      <c r="O166" s="21">
        <f t="shared" si="61"/>
        <v>0</v>
      </c>
      <c r="P166" s="21">
        <f t="shared" si="61"/>
        <v>0</v>
      </c>
      <c r="Q166" s="21">
        <f t="shared" si="61"/>
        <v>0</v>
      </c>
      <c r="R166" s="21">
        <f t="shared" si="61"/>
        <v>0</v>
      </c>
      <c r="S166" s="21">
        <f t="shared" si="61"/>
        <v>0</v>
      </c>
      <c r="T166" s="21">
        <f t="shared" si="61"/>
        <v>0</v>
      </c>
      <c r="U166" s="21">
        <f t="shared" si="61"/>
        <v>0</v>
      </c>
      <c r="V166" s="21">
        <f t="shared" si="61"/>
        <v>0</v>
      </c>
      <c r="W166" s="21">
        <f t="shared" si="61"/>
        <v>0</v>
      </c>
      <c r="X166" s="21">
        <f t="shared" si="61"/>
        <v>0</v>
      </c>
      <c r="Y166" s="21">
        <f t="shared" si="61"/>
        <v>0</v>
      </c>
      <c r="Z166" s="21">
        <f t="shared" si="61"/>
        <v>0</v>
      </c>
      <c r="AA166" s="21">
        <f t="shared" si="61"/>
        <v>0</v>
      </c>
    </row>
    <row r="167" spans="1:27" x14ac:dyDescent="0.25">
      <c r="C167" s="1"/>
      <c r="D167" s="1"/>
      <c r="E167" t="s">
        <v>68</v>
      </c>
      <c r="F167" t="s">
        <v>143</v>
      </c>
      <c r="G167" s="20"/>
      <c r="H167" s="21">
        <f>G167*(1+$G$14)*(1+H164)</f>
        <v>0</v>
      </c>
      <c r="I167" s="21">
        <f t="shared" ref="I167:AA167" si="62">H167*(1+$G$14)*(1+I164)</f>
        <v>0</v>
      </c>
      <c r="J167" s="21">
        <f t="shared" si="62"/>
        <v>0</v>
      </c>
      <c r="K167" s="21">
        <f t="shared" si="62"/>
        <v>0</v>
      </c>
      <c r="L167" s="21">
        <f t="shared" si="62"/>
        <v>0</v>
      </c>
      <c r="M167" s="21">
        <f t="shared" si="62"/>
        <v>0</v>
      </c>
      <c r="N167" s="21">
        <f t="shared" si="62"/>
        <v>0</v>
      </c>
      <c r="O167" s="21">
        <f t="shared" si="62"/>
        <v>0</v>
      </c>
      <c r="P167" s="21">
        <f t="shared" si="62"/>
        <v>0</v>
      </c>
      <c r="Q167" s="21">
        <f t="shared" si="62"/>
        <v>0</v>
      </c>
      <c r="R167" s="21">
        <f t="shared" si="62"/>
        <v>0</v>
      </c>
      <c r="S167" s="21">
        <f t="shared" si="62"/>
        <v>0</v>
      </c>
      <c r="T167" s="21">
        <f t="shared" si="62"/>
        <v>0</v>
      </c>
      <c r="U167" s="21">
        <f t="shared" si="62"/>
        <v>0</v>
      </c>
      <c r="V167" s="21">
        <f t="shared" si="62"/>
        <v>0</v>
      </c>
      <c r="W167" s="21">
        <f t="shared" si="62"/>
        <v>0</v>
      </c>
      <c r="X167" s="21">
        <f t="shared" si="62"/>
        <v>0</v>
      </c>
      <c r="Y167" s="21">
        <f t="shared" si="62"/>
        <v>0</v>
      </c>
      <c r="Z167" s="21">
        <f t="shared" si="62"/>
        <v>0</v>
      </c>
      <c r="AA167" s="21">
        <f t="shared" si="62"/>
        <v>0</v>
      </c>
    </row>
    <row r="168" spans="1:27" x14ac:dyDescent="0.25">
      <c r="C168" s="1"/>
      <c r="D168" s="1"/>
      <c r="E168" t="s">
        <v>142</v>
      </c>
      <c r="F168" t="s">
        <v>143</v>
      </c>
      <c r="G168" s="20"/>
      <c r="H168" s="21">
        <f>G168*(1+$G$14)*(1+H164)</f>
        <v>0</v>
      </c>
      <c r="I168" s="21">
        <f t="shared" ref="I168:AA168" si="63">H168*(1+$G$14)*(1+I164)</f>
        <v>0</v>
      </c>
      <c r="J168" s="21">
        <f t="shared" si="63"/>
        <v>0</v>
      </c>
      <c r="K168" s="21">
        <f t="shared" si="63"/>
        <v>0</v>
      </c>
      <c r="L168" s="21">
        <f t="shared" si="63"/>
        <v>0</v>
      </c>
      <c r="M168" s="21">
        <f t="shared" si="63"/>
        <v>0</v>
      </c>
      <c r="N168" s="21">
        <f t="shared" si="63"/>
        <v>0</v>
      </c>
      <c r="O168" s="21">
        <f t="shared" si="63"/>
        <v>0</v>
      </c>
      <c r="P168" s="21">
        <f t="shared" si="63"/>
        <v>0</v>
      </c>
      <c r="Q168" s="21">
        <f t="shared" si="63"/>
        <v>0</v>
      </c>
      <c r="R168" s="21">
        <f t="shared" si="63"/>
        <v>0</v>
      </c>
      <c r="S168" s="21">
        <f t="shared" si="63"/>
        <v>0</v>
      </c>
      <c r="T168" s="21">
        <f t="shared" si="63"/>
        <v>0</v>
      </c>
      <c r="U168" s="21">
        <f t="shared" si="63"/>
        <v>0</v>
      </c>
      <c r="V168" s="21">
        <f t="shared" si="63"/>
        <v>0</v>
      </c>
      <c r="W168" s="21">
        <f t="shared" si="63"/>
        <v>0</v>
      </c>
      <c r="X168" s="21">
        <f t="shared" si="63"/>
        <v>0</v>
      </c>
      <c r="Y168" s="21">
        <f t="shared" si="63"/>
        <v>0</v>
      </c>
      <c r="Z168" s="21">
        <f t="shared" si="63"/>
        <v>0</v>
      </c>
      <c r="AA168" s="21">
        <f t="shared" si="63"/>
        <v>0</v>
      </c>
    </row>
    <row r="169" spans="1:27" x14ac:dyDescent="0.25">
      <c r="C169" s="1"/>
      <c r="D169" s="1"/>
    </row>
    <row r="170" spans="1:27" x14ac:dyDescent="0.25">
      <c r="C170" s="1"/>
      <c r="D170" s="1"/>
      <c r="E170" t="s">
        <v>78</v>
      </c>
      <c r="F170" t="s">
        <v>58</v>
      </c>
      <c r="H170" s="2">
        <f>SUM(H161:H163)/1000</f>
        <v>0</v>
      </c>
      <c r="I170" s="2">
        <f t="shared" ref="I170:AA170" si="64">SUM(I161:I163)/1000</f>
        <v>0</v>
      </c>
      <c r="J170" s="2">
        <f t="shared" si="64"/>
        <v>0</v>
      </c>
      <c r="K170" s="2">
        <f t="shared" si="64"/>
        <v>0</v>
      </c>
      <c r="L170" s="2">
        <f t="shared" si="64"/>
        <v>0</v>
      </c>
      <c r="M170" s="2">
        <f t="shared" si="64"/>
        <v>0</v>
      </c>
      <c r="N170" s="2">
        <f t="shared" si="64"/>
        <v>0</v>
      </c>
      <c r="O170" s="2">
        <f t="shared" si="64"/>
        <v>0</v>
      </c>
      <c r="P170" s="2">
        <f t="shared" si="64"/>
        <v>0</v>
      </c>
      <c r="Q170" s="2">
        <f t="shared" si="64"/>
        <v>0</v>
      </c>
      <c r="R170" s="2">
        <f t="shared" si="64"/>
        <v>0</v>
      </c>
      <c r="S170" s="2">
        <f t="shared" si="64"/>
        <v>0</v>
      </c>
      <c r="T170" s="2">
        <f t="shared" si="64"/>
        <v>0</v>
      </c>
      <c r="U170" s="2">
        <f t="shared" si="64"/>
        <v>0</v>
      </c>
      <c r="V170" s="2">
        <f t="shared" si="64"/>
        <v>0</v>
      </c>
      <c r="W170" s="2">
        <f t="shared" si="64"/>
        <v>0</v>
      </c>
      <c r="X170" s="2">
        <f t="shared" si="64"/>
        <v>0</v>
      </c>
      <c r="Y170" s="2">
        <f t="shared" si="64"/>
        <v>0</v>
      </c>
      <c r="Z170" s="2">
        <f t="shared" si="64"/>
        <v>0</v>
      </c>
      <c r="AA170" s="2">
        <f t="shared" si="64"/>
        <v>0</v>
      </c>
    </row>
    <row r="171" spans="1:27" x14ac:dyDescent="0.25">
      <c r="C171" s="1"/>
      <c r="D171" s="1"/>
      <c r="E171" t="s">
        <v>79</v>
      </c>
      <c r="F171" t="s">
        <v>7</v>
      </c>
      <c r="H171" s="2">
        <f>H154*H165+H161*H166+H162*H167+H163*H168</f>
        <v>0</v>
      </c>
      <c r="I171" s="2">
        <f t="shared" ref="I171:AA171" si="65">I154*I165+I161*I166+I162*I167+I163*I168</f>
        <v>0</v>
      </c>
      <c r="J171" s="2">
        <f t="shared" si="65"/>
        <v>0</v>
      </c>
      <c r="K171" s="2">
        <f t="shared" si="65"/>
        <v>0</v>
      </c>
      <c r="L171" s="2">
        <f t="shared" si="65"/>
        <v>0</v>
      </c>
      <c r="M171" s="2">
        <f t="shared" si="65"/>
        <v>0</v>
      </c>
      <c r="N171" s="2">
        <f t="shared" si="65"/>
        <v>0</v>
      </c>
      <c r="O171" s="2">
        <f t="shared" si="65"/>
        <v>0</v>
      </c>
      <c r="P171" s="2">
        <f t="shared" si="65"/>
        <v>0</v>
      </c>
      <c r="Q171" s="2">
        <f t="shared" si="65"/>
        <v>0</v>
      </c>
      <c r="R171" s="2">
        <f t="shared" si="65"/>
        <v>0</v>
      </c>
      <c r="S171" s="2">
        <f t="shared" si="65"/>
        <v>0</v>
      </c>
      <c r="T171" s="2">
        <f t="shared" si="65"/>
        <v>0</v>
      </c>
      <c r="U171" s="2">
        <f t="shared" si="65"/>
        <v>0</v>
      </c>
      <c r="V171" s="2">
        <f t="shared" si="65"/>
        <v>0</v>
      </c>
      <c r="W171" s="2">
        <f t="shared" si="65"/>
        <v>0</v>
      </c>
      <c r="X171" s="2">
        <f t="shared" si="65"/>
        <v>0</v>
      </c>
      <c r="Y171" s="2">
        <f t="shared" si="65"/>
        <v>0</v>
      </c>
      <c r="Z171" s="2">
        <f t="shared" si="65"/>
        <v>0</v>
      </c>
      <c r="AA171" s="2">
        <f t="shared" si="65"/>
        <v>0</v>
      </c>
    </row>
    <row r="172" spans="1:27" x14ac:dyDescent="0.25">
      <c r="C172" s="1"/>
      <c r="D172" s="1"/>
    </row>
    <row r="173" spans="1:27" x14ac:dyDescent="0.25">
      <c r="C173" s="1"/>
      <c r="D173" t="s">
        <v>80</v>
      </c>
    </row>
    <row r="174" spans="1:27" x14ac:dyDescent="0.25">
      <c r="C174" s="1"/>
      <c r="E174" t="s">
        <v>91</v>
      </c>
      <c r="F174" t="s">
        <v>3</v>
      </c>
      <c r="H174">
        <f t="shared" ref="H174:AA175" si="66">SUM(H93,H114,H135,H156)</f>
        <v>1399.5</v>
      </c>
      <c r="I174">
        <f t="shared" si="66"/>
        <v>1370.2</v>
      </c>
      <c r="J174">
        <f t="shared" si="66"/>
        <v>1366.0149999999999</v>
      </c>
      <c r="K174">
        <f t="shared" si="66"/>
        <v>1292.9099999999999</v>
      </c>
      <c r="L174">
        <f t="shared" si="66"/>
        <v>1219.5149999999999</v>
      </c>
      <c r="M174">
        <f t="shared" si="66"/>
        <v>1150.05</v>
      </c>
      <c r="N174">
        <f t="shared" si="66"/>
        <v>1082.385</v>
      </c>
      <c r="O174">
        <f t="shared" si="66"/>
        <v>1017.5049999999999</v>
      </c>
      <c r="P174">
        <f t="shared" si="66"/>
        <v>1054.7449999999999</v>
      </c>
      <c r="Q174">
        <f t="shared" si="66"/>
        <v>1093.3649999999998</v>
      </c>
      <c r="R174">
        <f t="shared" si="66"/>
        <v>1157.625</v>
      </c>
      <c r="S174">
        <f t="shared" si="66"/>
        <v>1226.6099999999999</v>
      </c>
      <c r="T174">
        <f t="shared" si="66"/>
        <v>1299.375</v>
      </c>
      <c r="U174">
        <f t="shared" si="66"/>
        <v>1290.8699999999999</v>
      </c>
      <c r="V174">
        <f t="shared" si="66"/>
        <v>1281.4199999999998</v>
      </c>
      <c r="W174">
        <f t="shared" si="66"/>
        <v>0</v>
      </c>
      <c r="X174">
        <f t="shared" si="66"/>
        <v>0</v>
      </c>
      <c r="Y174">
        <f t="shared" si="66"/>
        <v>0</v>
      </c>
      <c r="Z174">
        <f t="shared" si="66"/>
        <v>0</v>
      </c>
      <c r="AA174">
        <f t="shared" si="66"/>
        <v>0</v>
      </c>
    </row>
    <row r="175" spans="1:27" x14ac:dyDescent="0.25">
      <c r="C175" s="1"/>
      <c r="D175" s="1"/>
      <c r="E175" t="s">
        <v>90</v>
      </c>
      <c r="F175" t="s">
        <v>3</v>
      </c>
      <c r="H175">
        <f t="shared" si="66"/>
        <v>1399.5</v>
      </c>
      <c r="I175">
        <f t="shared" si="66"/>
        <v>2769.7</v>
      </c>
      <c r="J175">
        <f t="shared" si="66"/>
        <v>4135.7150000000001</v>
      </c>
      <c r="K175">
        <f t="shared" si="66"/>
        <v>5428.625</v>
      </c>
      <c r="L175">
        <f t="shared" si="66"/>
        <v>6648.1399999999994</v>
      </c>
      <c r="M175">
        <f t="shared" si="66"/>
        <v>7798.19</v>
      </c>
      <c r="N175">
        <f t="shared" si="66"/>
        <v>8880.5749999999989</v>
      </c>
      <c r="O175">
        <f t="shared" si="66"/>
        <v>9898.0799999999981</v>
      </c>
      <c r="P175">
        <f t="shared" si="66"/>
        <v>10952.824999999997</v>
      </c>
      <c r="Q175">
        <f t="shared" si="66"/>
        <v>12046.189999999997</v>
      </c>
      <c r="R175">
        <f t="shared" si="66"/>
        <v>13203.814999999997</v>
      </c>
      <c r="S175">
        <f t="shared" si="66"/>
        <v>14430.424999999997</v>
      </c>
      <c r="T175">
        <f t="shared" si="66"/>
        <v>15729.799999999997</v>
      </c>
      <c r="U175">
        <f t="shared" si="66"/>
        <v>17020.669999999998</v>
      </c>
      <c r="V175">
        <f t="shared" si="66"/>
        <v>18302.089999999997</v>
      </c>
      <c r="W175">
        <f t="shared" si="66"/>
        <v>18302.089999999997</v>
      </c>
      <c r="X175">
        <f t="shared" si="66"/>
        <v>18302.089999999997</v>
      </c>
      <c r="Y175">
        <f t="shared" si="66"/>
        <v>18302.089999999997</v>
      </c>
      <c r="Z175">
        <f t="shared" si="66"/>
        <v>18302.089999999997</v>
      </c>
      <c r="AA175">
        <f t="shared" si="66"/>
        <v>18302.089999999997</v>
      </c>
    </row>
    <row r="176" spans="1:27" x14ac:dyDescent="0.25">
      <c r="C176" s="1"/>
      <c r="D176" s="1"/>
      <c r="E176" t="s">
        <v>81</v>
      </c>
      <c r="F176" t="s">
        <v>58</v>
      </c>
      <c r="H176" s="2">
        <f t="shared" ref="H176:AA177" si="67">SUM(H107,H128,H149,H170)</f>
        <v>55.98</v>
      </c>
      <c r="I176" s="2">
        <f>SUM(I107,I128,I149,I170)</f>
        <v>110.788</v>
      </c>
      <c r="J176" s="2">
        <f t="shared" si="67"/>
        <v>165.42860000000002</v>
      </c>
      <c r="K176" s="2">
        <f t="shared" si="67"/>
        <v>217.14500000000001</v>
      </c>
      <c r="L176" s="2">
        <f t="shared" si="67"/>
        <v>265.92559999999997</v>
      </c>
      <c r="M176" s="2">
        <f t="shared" si="67"/>
        <v>311.92759999999998</v>
      </c>
      <c r="N176" s="2">
        <f t="shared" si="67"/>
        <v>355.22299999999996</v>
      </c>
      <c r="O176" s="2">
        <f t="shared" si="67"/>
        <v>395.92319999999995</v>
      </c>
      <c r="P176" s="2">
        <f t="shared" si="67"/>
        <v>438.11299999999989</v>
      </c>
      <c r="Q176" s="2">
        <f t="shared" si="67"/>
        <v>481.84759999999989</v>
      </c>
      <c r="R176" s="2">
        <f t="shared" si="67"/>
        <v>528.15259999999989</v>
      </c>
      <c r="S176" s="2">
        <f t="shared" si="67"/>
        <v>577.21699999999987</v>
      </c>
      <c r="T176" s="2">
        <f t="shared" si="67"/>
        <v>629.19199999999989</v>
      </c>
      <c r="U176" s="2">
        <f t="shared" si="67"/>
        <v>680.82679999999993</v>
      </c>
      <c r="V176" s="2">
        <f t="shared" si="67"/>
        <v>732.08359999999982</v>
      </c>
      <c r="W176" s="2">
        <f t="shared" si="67"/>
        <v>732.08359999999982</v>
      </c>
      <c r="X176" s="2">
        <f t="shared" si="67"/>
        <v>732.08359999999982</v>
      </c>
      <c r="Y176" s="2">
        <f t="shared" si="67"/>
        <v>732.08359999999982</v>
      </c>
      <c r="Z176" s="2">
        <f t="shared" si="67"/>
        <v>732.08359999999982</v>
      </c>
      <c r="AA176" s="2">
        <f t="shared" si="67"/>
        <v>732.08359999999982</v>
      </c>
    </row>
    <row r="177" spans="1:27" x14ac:dyDescent="0.25">
      <c r="C177" s="1"/>
      <c r="D177" s="1"/>
      <c r="E177" t="s">
        <v>82</v>
      </c>
      <c r="F177" t="s">
        <v>7</v>
      </c>
      <c r="H177" s="2">
        <f t="shared" si="67"/>
        <v>95188.648042748115</v>
      </c>
      <c r="I177" s="2">
        <f t="shared" si="67"/>
        <v>187070.36522827731</v>
      </c>
      <c r="J177" s="2">
        <f t="shared" si="67"/>
        <v>285199.40049687558</v>
      </c>
      <c r="K177" s="2">
        <f t="shared" si="67"/>
        <v>382220.1597615697</v>
      </c>
      <c r="L177" s="2">
        <f t="shared" si="67"/>
        <v>477913.88219089445</v>
      </c>
      <c r="M177" s="2">
        <f t="shared" si="67"/>
        <v>572359.69539727166</v>
      </c>
      <c r="N177" s="2">
        <f t="shared" si="67"/>
        <v>665490.80609649548</v>
      </c>
      <c r="O177" s="2">
        <f t="shared" si="67"/>
        <v>757316.9467073651</v>
      </c>
      <c r="P177" s="2">
        <f t="shared" si="67"/>
        <v>855615.42708720453</v>
      </c>
      <c r="Q177" s="2">
        <f t="shared" si="67"/>
        <v>960788.74880751828</v>
      </c>
      <c r="R177" s="2">
        <f t="shared" si="67"/>
        <v>1075234.9504777857</v>
      </c>
      <c r="S177" s="2">
        <f t="shared" si="67"/>
        <v>1199799.8573717987</v>
      </c>
      <c r="T177" s="2">
        <f t="shared" si="67"/>
        <v>1335299.3168401583</v>
      </c>
      <c r="U177" s="2">
        <f t="shared" si="67"/>
        <v>1475223.4925204499</v>
      </c>
      <c r="V177" s="2">
        <f t="shared" si="67"/>
        <v>1619599.3615972986</v>
      </c>
      <c r="W177" s="2">
        <f t="shared" si="67"/>
        <v>1653610.9481908416</v>
      </c>
      <c r="X177" s="2">
        <f t="shared" si="67"/>
        <v>1688336.7781028489</v>
      </c>
      <c r="Y177" s="2">
        <f t="shared" si="67"/>
        <v>1723791.8504430086</v>
      </c>
      <c r="Z177" s="2">
        <f t="shared" si="67"/>
        <v>1759991.4793023115</v>
      </c>
      <c r="AA177" s="2">
        <f t="shared" si="67"/>
        <v>1796951.3003676601</v>
      </c>
    </row>
    <row r="178" spans="1:27" x14ac:dyDescent="0.25">
      <c r="C178" s="1"/>
      <c r="D178" s="1"/>
    </row>
    <row r="179" spans="1:27" x14ac:dyDescent="0.25">
      <c r="C179" s="1"/>
      <c r="D179" s="1"/>
      <c r="E179" s="3" t="s">
        <v>84</v>
      </c>
      <c r="F179" s="3" t="s">
        <v>85</v>
      </c>
      <c r="G179" s="3"/>
      <c r="H179" s="9">
        <f>H176*1000/H175</f>
        <v>40</v>
      </c>
      <c r="I179" s="9">
        <f t="shared" ref="I179:AA179" si="68">I176*1000/I175</f>
        <v>40</v>
      </c>
      <c r="J179" s="9">
        <f t="shared" si="68"/>
        <v>40</v>
      </c>
      <c r="K179" s="9">
        <f t="shared" si="68"/>
        <v>40</v>
      </c>
      <c r="L179" s="9">
        <f t="shared" si="68"/>
        <v>40</v>
      </c>
      <c r="M179" s="9">
        <f t="shared" si="68"/>
        <v>40</v>
      </c>
      <c r="N179" s="9">
        <f t="shared" si="68"/>
        <v>40</v>
      </c>
      <c r="O179" s="9">
        <f t="shared" si="68"/>
        <v>40</v>
      </c>
      <c r="P179" s="9">
        <f t="shared" si="68"/>
        <v>40</v>
      </c>
      <c r="Q179" s="9">
        <f t="shared" si="68"/>
        <v>40</v>
      </c>
      <c r="R179" s="9">
        <f t="shared" si="68"/>
        <v>40</v>
      </c>
      <c r="S179" s="9">
        <f t="shared" si="68"/>
        <v>40</v>
      </c>
      <c r="T179" s="9">
        <f t="shared" si="68"/>
        <v>40</v>
      </c>
      <c r="U179" s="9">
        <f t="shared" si="68"/>
        <v>40</v>
      </c>
      <c r="V179" s="9">
        <f t="shared" si="68"/>
        <v>40</v>
      </c>
      <c r="W179" s="9">
        <f t="shared" si="68"/>
        <v>40</v>
      </c>
      <c r="X179" s="9">
        <f t="shared" si="68"/>
        <v>40</v>
      </c>
      <c r="Y179" s="9">
        <f t="shared" si="68"/>
        <v>40</v>
      </c>
      <c r="Z179" s="9">
        <f t="shared" si="68"/>
        <v>40</v>
      </c>
      <c r="AA179" s="9">
        <f t="shared" si="68"/>
        <v>40</v>
      </c>
    </row>
    <row r="180" spans="1:27" x14ac:dyDescent="0.25">
      <c r="C180" s="1"/>
      <c r="D180" s="1"/>
      <c r="E180" s="3" t="s">
        <v>83</v>
      </c>
      <c r="F180" s="3" t="s">
        <v>22</v>
      </c>
      <c r="G180" s="3"/>
      <c r="H180" s="9">
        <f>H177/H175</f>
        <v>68.016182953017591</v>
      </c>
      <c r="I180" s="9">
        <f t="shared" ref="I180:AA180" si="69">I177/I175</f>
        <v>67.541742870447095</v>
      </c>
      <c r="J180" s="9">
        <f t="shared" si="69"/>
        <v>68.960119470726482</v>
      </c>
      <c r="K180" s="9">
        <f t="shared" si="69"/>
        <v>70.408281979611729</v>
      </c>
      <c r="L180" s="9">
        <f t="shared" si="69"/>
        <v>71.886855901183566</v>
      </c>
      <c r="M180" s="9">
        <f t="shared" si="69"/>
        <v>73.396479875108412</v>
      </c>
      <c r="N180" s="9">
        <f t="shared" si="69"/>
        <v>74.937805952485689</v>
      </c>
      <c r="O180" s="9">
        <f t="shared" si="69"/>
        <v>76.511499877487879</v>
      </c>
      <c r="P180" s="9">
        <f t="shared" si="69"/>
        <v>78.118241374915129</v>
      </c>
      <c r="Q180" s="9">
        <f t="shared" si="69"/>
        <v>79.758724443788324</v>
      </c>
      <c r="R180" s="9">
        <f t="shared" si="69"/>
        <v>81.433657657107887</v>
      </c>
      <c r="S180" s="9">
        <f t="shared" si="69"/>
        <v>83.143764467907147</v>
      </c>
      <c r="T180" s="9">
        <f t="shared" si="69"/>
        <v>84.889783521733179</v>
      </c>
      <c r="U180" s="9">
        <f t="shared" si="69"/>
        <v>86.672468975689569</v>
      </c>
      <c r="V180" s="9">
        <f t="shared" si="69"/>
        <v>88.492590824179032</v>
      </c>
      <c r="W180" s="9">
        <f t="shared" si="69"/>
        <v>90.350935231486787</v>
      </c>
      <c r="X180" s="9">
        <f t="shared" si="69"/>
        <v>92.248304871347983</v>
      </c>
      <c r="Y180" s="9">
        <f t="shared" si="69"/>
        <v>94.185519273646278</v>
      </c>
      <c r="Z180" s="9">
        <f t="shared" si="69"/>
        <v>96.163415178392839</v>
      </c>
      <c r="AA180" s="9">
        <f t="shared" si="69"/>
        <v>98.1828468971391</v>
      </c>
    </row>
    <row r="181" spans="1:27" x14ac:dyDescent="0.25">
      <c r="C181" s="1"/>
      <c r="D181" s="1"/>
      <c r="E181" s="3" t="s">
        <v>86</v>
      </c>
      <c r="F181" s="3" t="s">
        <v>4</v>
      </c>
      <c r="G181" s="3"/>
      <c r="H181" s="9">
        <f>H177/H176</f>
        <v>1700.4045738254399</v>
      </c>
      <c r="I181" s="9">
        <f t="shared" ref="I181:AA181" si="70">I177/I176</f>
        <v>1688.5435717611774</v>
      </c>
      <c r="J181" s="9">
        <f t="shared" si="70"/>
        <v>1724.0029867681619</v>
      </c>
      <c r="K181" s="9">
        <f t="shared" si="70"/>
        <v>1760.207049490293</v>
      </c>
      <c r="L181" s="9">
        <f t="shared" si="70"/>
        <v>1797.1713975295891</v>
      </c>
      <c r="M181" s="9">
        <f t="shared" si="70"/>
        <v>1834.9119968777104</v>
      </c>
      <c r="N181" s="9">
        <f t="shared" si="70"/>
        <v>1873.4451488121422</v>
      </c>
      <c r="O181" s="9">
        <f t="shared" si="70"/>
        <v>1912.7874969371969</v>
      </c>
      <c r="P181" s="9">
        <f t="shared" si="70"/>
        <v>1952.9560343728781</v>
      </c>
      <c r="Q181" s="9">
        <f t="shared" si="70"/>
        <v>1993.9681110947081</v>
      </c>
      <c r="R181" s="9">
        <f t="shared" si="70"/>
        <v>2035.841441427697</v>
      </c>
      <c r="S181" s="9">
        <f t="shared" si="70"/>
        <v>2078.5941116976787</v>
      </c>
      <c r="T181" s="9">
        <f t="shared" si="70"/>
        <v>2122.2445880433293</v>
      </c>
      <c r="U181" s="9">
        <f t="shared" si="70"/>
        <v>2166.8117243922388</v>
      </c>
      <c r="V181" s="9">
        <f t="shared" si="70"/>
        <v>2212.3147706044761</v>
      </c>
      <c r="W181" s="9">
        <f t="shared" si="70"/>
        <v>2258.7733807871696</v>
      </c>
      <c r="X181" s="9">
        <f t="shared" si="70"/>
        <v>2306.2076217836998</v>
      </c>
      <c r="Y181" s="9">
        <f t="shared" si="70"/>
        <v>2354.6379818411574</v>
      </c>
      <c r="Z181" s="9">
        <f t="shared" si="70"/>
        <v>2404.0853794598211</v>
      </c>
      <c r="AA181" s="9">
        <f t="shared" si="70"/>
        <v>2454.5711724284774</v>
      </c>
    </row>
    <row r="182" spans="1:27" x14ac:dyDescent="0.25">
      <c r="C182" s="1"/>
      <c r="D182" s="1"/>
    </row>
    <row r="183" spans="1:27" x14ac:dyDescent="0.25">
      <c r="C183" s="1" t="str">
        <f>"Incremental "&amp;VLOOKUP(G4,E320:F322,2,FALSE)&amp;" Charges"</f>
        <v>Incremental Bulk Recycled Water Processing Charges</v>
      </c>
      <c r="H183" s="2"/>
      <c r="I183" s="2"/>
      <c r="J183" s="2"/>
      <c r="K183" s="2"/>
      <c r="L183" s="2"/>
      <c r="M183" s="2"/>
      <c r="N183" s="2"/>
      <c r="O183" s="2"/>
      <c r="P183" s="2"/>
      <c r="Q183" s="2"/>
      <c r="R183" s="2"/>
      <c r="S183" s="2"/>
      <c r="T183" s="2"/>
      <c r="U183" s="2"/>
      <c r="V183" s="2"/>
      <c r="W183" s="2"/>
      <c r="X183" s="2"/>
      <c r="Y183" s="2"/>
      <c r="Z183" s="2"/>
      <c r="AA183" s="2"/>
    </row>
    <row r="184" spans="1:27" x14ac:dyDescent="0.25">
      <c r="A184" s="14">
        <f>'Notes &amp; Assumptions'!A50</f>
        <v>37</v>
      </c>
      <c r="E184" t="s">
        <v>118</v>
      </c>
      <c r="F184" t="s">
        <v>8</v>
      </c>
      <c r="H184" s="11"/>
      <c r="I184" s="11"/>
      <c r="J184" s="11"/>
      <c r="K184" s="11"/>
      <c r="L184" s="11"/>
      <c r="M184" s="11"/>
      <c r="N184" s="11"/>
      <c r="O184" s="11"/>
      <c r="P184" s="11"/>
      <c r="Q184" s="11"/>
      <c r="R184" s="11"/>
      <c r="S184" s="11"/>
      <c r="T184" s="11"/>
      <c r="U184" s="11"/>
      <c r="V184" s="11"/>
      <c r="W184" s="11"/>
      <c r="X184" s="11"/>
      <c r="Y184" s="11"/>
      <c r="Z184" s="11"/>
      <c r="AA184" s="11"/>
    </row>
    <row r="185" spans="1:27" x14ac:dyDescent="0.25">
      <c r="A185" s="14">
        <f>'Notes &amp; Assumptions'!A51</f>
        <v>38</v>
      </c>
      <c r="E185" t="s">
        <v>122</v>
      </c>
      <c r="F185" t="s">
        <v>4</v>
      </c>
      <c r="G185" s="10"/>
      <c r="H185" s="2">
        <f t="shared" ref="H185:AA185" si="71">G185*(1+$G$14)*(1+H184)</f>
        <v>0</v>
      </c>
      <c r="I185" s="2">
        <f t="shared" si="71"/>
        <v>0</v>
      </c>
      <c r="J185" s="2">
        <f t="shared" si="71"/>
        <v>0</v>
      </c>
      <c r="K185" s="2">
        <f t="shared" si="71"/>
        <v>0</v>
      </c>
      <c r="L185" s="2">
        <f t="shared" si="71"/>
        <v>0</v>
      </c>
      <c r="M185" s="2">
        <f t="shared" si="71"/>
        <v>0</v>
      </c>
      <c r="N185" s="2">
        <f t="shared" si="71"/>
        <v>0</v>
      </c>
      <c r="O185" s="2">
        <f t="shared" si="71"/>
        <v>0</v>
      </c>
      <c r="P185" s="2">
        <f t="shared" si="71"/>
        <v>0</v>
      </c>
      <c r="Q185" s="2">
        <f t="shared" si="71"/>
        <v>0</v>
      </c>
      <c r="R185" s="2">
        <f t="shared" si="71"/>
        <v>0</v>
      </c>
      <c r="S185" s="2">
        <f t="shared" si="71"/>
        <v>0</v>
      </c>
      <c r="T185" s="2">
        <f t="shared" si="71"/>
        <v>0</v>
      </c>
      <c r="U185" s="2">
        <f t="shared" si="71"/>
        <v>0</v>
      </c>
      <c r="V185" s="2">
        <f t="shared" si="71"/>
        <v>0</v>
      </c>
      <c r="W185" s="2">
        <f t="shared" si="71"/>
        <v>0</v>
      </c>
      <c r="X185" s="2">
        <f t="shared" si="71"/>
        <v>0</v>
      </c>
      <c r="Y185" s="2">
        <f t="shared" si="71"/>
        <v>0</v>
      </c>
      <c r="Z185" s="2">
        <f t="shared" si="71"/>
        <v>0</v>
      </c>
      <c r="AA185" s="2">
        <f t="shared" si="71"/>
        <v>0</v>
      </c>
    </row>
    <row r="186" spans="1:27" x14ac:dyDescent="0.25">
      <c r="A186" s="14">
        <f>'Notes &amp; Assumptions'!A52</f>
        <v>39</v>
      </c>
      <c r="E186" t="s">
        <v>123</v>
      </c>
      <c r="F186" t="s">
        <v>7</v>
      </c>
      <c r="G186" s="2"/>
      <c r="H186" s="10"/>
      <c r="I186" s="10"/>
      <c r="J186" s="10"/>
      <c r="K186" s="10"/>
      <c r="L186" s="10"/>
      <c r="M186" s="10"/>
      <c r="N186" s="10"/>
      <c r="O186" s="10"/>
      <c r="P186" s="10"/>
      <c r="Q186" s="10"/>
      <c r="R186" s="10"/>
      <c r="S186" s="10"/>
      <c r="T186" s="10"/>
      <c r="U186" s="10"/>
      <c r="V186" s="10"/>
      <c r="W186" s="10"/>
      <c r="X186" s="10"/>
      <c r="Y186" s="10"/>
      <c r="Z186" s="10"/>
      <c r="AA186" s="10"/>
    </row>
    <row r="187" spans="1:27" x14ac:dyDescent="0.25">
      <c r="E187" t="s">
        <v>57</v>
      </c>
      <c r="F187" t="s">
        <v>7</v>
      </c>
      <c r="H187" s="2">
        <f>H185*H176+H186</f>
        <v>0</v>
      </c>
      <c r="I187" s="2">
        <f t="shared" ref="I187:AA187" si="72">I185*I176+I186</f>
        <v>0</v>
      </c>
      <c r="J187" s="2">
        <f t="shared" si="72"/>
        <v>0</v>
      </c>
      <c r="K187" s="2">
        <f t="shared" si="72"/>
        <v>0</v>
      </c>
      <c r="L187" s="2">
        <f t="shared" si="72"/>
        <v>0</v>
      </c>
      <c r="M187" s="2">
        <f t="shared" si="72"/>
        <v>0</v>
      </c>
      <c r="N187" s="2">
        <f t="shared" si="72"/>
        <v>0</v>
      </c>
      <c r="O187" s="2">
        <f t="shared" si="72"/>
        <v>0</v>
      </c>
      <c r="P187" s="2">
        <f t="shared" si="72"/>
        <v>0</v>
      </c>
      <c r="Q187" s="2">
        <f t="shared" si="72"/>
        <v>0</v>
      </c>
      <c r="R187" s="2">
        <f t="shared" si="72"/>
        <v>0</v>
      </c>
      <c r="S187" s="2">
        <f t="shared" si="72"/>
        <v>0</v>
      </c>
      <c r="T187" s="2">
        <f t="shared" si="72"/>
        <v>0</v>
      </c>
      <c r="U187" s="2">
        <f t="shared" si="72"/>
        <v>0</v>
      </c>
      <c r="V187" s="2">
        <f t="shared" si="72"/>
        <v>0</v>
      </c>
      <c r="W187" s="2">
        <f t="shared" si="72"/>
        <v>0</v>
      </c>
      <c r="X187" s="2">
        <f t="shared" si="72"/>
        <v>0</v>
      </c>
      <c r="Y187" s="2">
        <f t="shared" si="72"/>
        <v>0</v>
      </c>
      <c r="Z187" s="2">
        <f t="shared" si="72"/>
        <v>0</v>
      </c>
      <c r="AA187" s="2">
        <f t="shared" si="72"/>
        <v>0</v>
      </c>
    </row>
    <row r="188" spans="1:27" x14ac:dyDescent="0.25">
      <c r="H188" s="2"/>
      <c r="I188" s="2"/>
      <c r="J188" s="2"/>
      <c r="K188" s="2"/>
      <c r="L188" s="2"/>
      <c r="M188" s="2"/>
      <c r="N188" s="2"/>
      <c r="O188" s="2"/>
      <c r="P188" s="2"/>
      <c r="Q188" s="2"/>
      <c r="R188" s="2"/>
      <c r="S188" s="2"/>
      <c r="T188" s="2"/>
      <c r="U188" s="2"/>
      <c r="V188" s="2"/>
      <c r="W188" s="2"/>
      <c r="X188" s="2"/>
      <c r="Y188" s="2"/>
      <c r="Z188" s="2"/>
      <c r="AA188" s="2"/>
    </row>
    <row r="189" spans="1:27" x14ac:dyDescent="0.25">
      <c r="C189" s="1" t="s">
        <v>10</v>
      </c>
      <c r="G189" s="2"/>
    </row>
    <row r="190" spans="1:27" x14ac:dyDescent="0.25">
      <c r="C190" s="1"/>
      <c r="D190" t="s">
        <v>149</v>
      </c>
      <c r="G190" s="2"/>
    </row>
    <row r="191" spans="1:27" x14ac:dyDescent="0.25">
      <c r="A191" s="14">
        <f>'Notes &amp; Assumptions'!A53</f>
        <v>40</v>
      </c>
      <c r="C191" s="1"/>
      <c r="E191" t="s">
        <v>125</v>
      </c>
      <c r="G191" s="2"/>
      <c r="H191" s="11"/>
      <c r="I191" s="11"/>
      <c r="J191" s="11"/>
      <c r="K191" s="11"/>
      <c r="L191" s="11"/>
      <c r="M191" s="11"/>
      <c r="N191" s="11"/>
      <c r="O191" s="11"/>
      <c r="P191" s="11"/>
      <c r="Q191" s="11"/>
      <c r="R191" s="11"/>
      <c r="S191" s="11"/>
      <c r="T191" s="11"/>
      <c r="U191" s="11"/>
      <c r="V191" s="11"/>
      <c r="W191" s="11"/>
      <c r="X191" s="11"/>
      <c r="Y191" s="11"/>
      <c r="Z191" s="11"/>
      <c r="AA191" s="11"/>
    </row>
    <row r="192" spans="1:27" x14ac:dyDescent="0.25">
      <c r="A192" s="14">
        <f>'Notes &amp; Assumptions'!A54</f>
        <v>41</v>
      </c>
      <c r="E192" t="s">
        <v>26</v>
      </c>
      <c r="F192" t="s">
        <v>22</v>
      </c>
      <c r="G192" s="10">
        <f>'Key assumptions'!B14</f>
        <v>120</v>
      </c>
      <c r="H192" s="2">
        <f t="shared" ref="H192:W193" si="73">G192*(1+$G$14)*(1+H$191)</f>
        <v>122.51999999999998</v>
      </c>
      <c r="I192" s="2">
        <f t="shared" si="73"/>
        <v>125.09291999999996</v>
      </c>
      <c r="J192" s="2">
        <f t="shared" si="73"/>
        <v>127.71987131999995</v>
      </c>
      <c r="K192" s="2">
        <f t="shared" si="73"/>
        <v>130.40198861771995</v>
      </c>
      <c r="L192" s="2">
        <f t="shared" si="73"/>
        <v>133.14043037869206</v>
      </c>
      <c r="M192" s="2">
        <f t="shared" si="73"/>
        <v>135.93637941664457</v>
      </c>
      <c r="N192" s="2">
        <f t="shared" si="73"/>
        <v>138.7910433843941</v>
      </c>
      <c r="O192" s="2">
        <f t="shared" si="73"/>
        <v>141.70565529546636</v>
      </c>
      <c r="P192" s="2">
        <f t="shared" si="73"/>
        <v>144.68147405667114</v>
      </c>
      <c r="Q192" s="2">
        <f t="shared" si="73"/>
        <v>147.71978501186121</v>
      </c>
      <c r="R192" s="2">
        <f t="shared" si="73"/>
        <v>150.82190049711028</v>
      </c>
      <c r="S192" s="2">
        <f t="shared" si="73"/>
        <v>153.98916040754958</v>
      </c>
      <c r="T192" s="2">
        <f t="shared" si="73"/>
        <v>157.22293277610811</v>
      </c>
      <c r="U192" s="2">
        <f t="shared" si="73"/>
        <v>160.52461436440637</v>
      </c>
      <c r="V192" s="2">
        <f t="shared" si="73"/>
        <v>163.8956312660589</v>
      </c>
      <c r="W192" s="2">
        <f t="shared" si="73"/>
        <v>167.33743952264612</v>
      </c>
      <c r="X192" s="2">
        <f t="shared" ref="X192:AA193" si="74">W192*(1+$G$14)*(1+X$191)</f>
        <v>170.85152575262168</v>
      </c>
      <c r="Y192" s="2">
        <f t="shared" si="74"/>
        <v>174.43940779342671</v>
      </c>
      <c r="Z192" s="2">
        <f t="shared" si="74"/>
        <v>178.10263535708864</v>
      </c>
      <c r="AA192" s="2">
        <f t="shared" si="74"/>
        <v>181.84279069958748</v>
      </c>
    </row>
    <row r="193" spans="1:29" x14ac:dyDescent="0.25">
      <c r="A193" s="14">
        <f>'Notes &amp; Assumptions'!A55</f>
        <v>42</v>
      </c>
      <c r="E193" t="s">
        <v>27</v>
      </c>
      <c r="F193" t="s">
        <v>4</v>
      </c>
      <c r="G193" s="10">
        <f>'Key assumptions'!B17</f>
        <v>0</v>
      </c>
      <c r="H193" s="2">
        <f t="shared" si="73"/>
        <v>0</v>
      </c>
      <c r="I193" s="2">
        <f t="shared" si="73"/>
        <v>0</v>
      </c>
      <c r="J193" s="2">
        <f t="shared" si="73"/>
        <v>0</v>
      </c>
      <c r="K193" s="2">
        <f t="shared" si="73"/>
        <v>0</v>
      </c>
      <c r="L193" s="2">
        <f t="shared" si="73"/>
        <v>0</v>
      </c>
      <c r="M193" s="2">
        <f t="shared" si="73"/>
        <v>0</v>
      </c>
      <c r="N193" s="2">
        <f t="shared" si="73"/>
        <v>0</v>
      </c>
      <c r="O193" s="2">
        <f t="shared" si="73"/>
        <v>0</v>
      </c>
      <c r="P193" s="2">
        <f t="shared" si="73"/>
        <v>0</v>
      </c>
      <c r="Q193" s="2">
        <f t="shared" si="73"/>
        <v>0</v>
      </c>
      <c r="R193" s="2">
        <f t="shared" si="73"/>
        <v>0</v>
      </c>
      <c r="S193" s="2">
        <f t="shared" si="73"/>
        <v>0</v>
      </c>
      <c r="T193" s="2">
        <f t="shared" si="73"/>
        <v>0</v>
      </c>
      <c r="U193" s="2">
        <f t="shared" si="73"/>
        <v>0</v>
      </c>
      <c r="V193" s="2">
        <f t="shared" si="73"/>
        <v>0</v>
      </c>
      <c r="W193" s="2">
        <f t="shared" si="73"/>
        <v>0</v>
      </c>
      <c r="X193" s="2">
        <f t="shared" si="74"/>
        <v>0</v>
      </c>
      <c r="Y193" s="2">
        <f t="shared" si="74"/>
        <v>0</v>
      </c>
      <c r="Z193" s="2">
        <f t="shared" si="74"/>
        <v>0</v>
      </c>
      <c r="AA193" s="2">
        <f t="shared" si="74"/>
        <v>0</v>
      </c>
    </row>
    <row r="194" spans="1:29" x14ac:dyDescent="0.25">
      <c r="A194" s="14">
        <f>'Notes &amp; Assumptions'!A56</f>
        <v>43</v>
      </c>
      <c r="E194" t="s">
        <v>39</v>
      </c>
      <c r="F194" t="s">
        <v>7</v>
      </c>
      <c r="G194" s="2"/>
      <c r="H194" s="43"/>
      <c r="I194" s="10"/>
      <c r="J194" s="10"/>
      <c r="K194" s="10"/>
      <c r="L194" s="10"/>
      <c r="M194" s="10"/>
      <c r="N194" s="10"/>
      <c r="O194" s="10"/>
      <c r="P194" s="10"/>
      <c r="Q194" s="10"/>
      <c r="R194" s="10"/>
      <c r="S194" s="10"/>
      <c r="T194" s="10"/>
      <c r="U194" s="10"/>
      <c r="V194" s="10"/>
      <c r="W194" s="10"/>
      <c r="X194" s="10"/>
      <c r="Y194" s="10"/>
      <c r="Z194" s="10"/>
      <c r="AA194" s="10"/>
    </row>
    <row r="195" spans="1:29" x14ac:dyDescent="0.25">
      <c r="B195" s="14"/>
      <c r="C195" s="14"/>
      <c r="D195" s="14"/>
      <c r="E195" s="14"/>
      <c r="F195" s="14"/>
      <c r="G195" s="14"/>
      <c r="H195" s="14"/>
      <c r="I195" s="14"/>
      <c r="J195" s="14"/>
      <c r="K195" s="14"/>
      <c r="L195" s="14"/>
      <c r="M195" s="14"/>
      <c r="N195" s="14"/>
      <c r="O195" s="14"/>
      <c r="P195" s="14"/>
      <c r="Q195" s="14"/>
      <c r="R195" s="14"/>
      <c r="S195" s="14"/>
      <c r="T195" s="14"/>
      <c r="U195" s="14"/>
      <c r="V195" s="14"/>
      <c r="W195" s="14"/>
      <c r="X195" s="14"/>
      <c r="Y195" s="14"/>
      <c r="Z195" s="14"/>
      <c r="AA195" s="14"/>
      <c r="AB195" s="14"/>
      <c r="AC195" s="14"/>
    </row>
    <row r="196" spans="1:29" x14ac:dyDescent="0.25">
      <c r="D196" t="s">
        <v>124</v>
      </c>
      <c r="G196" s="14"/>
      <c r="H196" s="14"/>
      <c r="I196" s="14"/>
      <c r="J196" s="14"/>
      <c r="K196" s="14"/>
      <c r="L196" s="14"/>
      <c r="M196" s="14"/>
      <c r="N196" s="14"/>
      <c r="O196" s="14"/>
      <c r="P196" s="14"/>
      <c r="Q196" s="14"/>
      <c r="R196" s="14"/>
      <c r="S196" s="14"/>
      <c r="T196" s="14"/>
      <c r="U196" s="14"/>
      <c r="V196" s="14"/>
      <c r="W196" s="14"/>
      <c r="X196" s="14"/>
      <c r="Y196" s="14"/>
      <c r="Z196" s="14"/>
      <c r="AA196" s="14"/>
    </row>
    <row r="197" spans="1:29" x14ac:dyDescent="0.25">
      <c r="A197" s="14">
        <f>'Notes &amp; Assumptions'!A57</f>
        <v>44</v>
      </c>
      <c r="E197" t="s">
        <v>27</v>
      </c>
      <c r="F197" t="s">
        <v>4</v>
      </c>
      <c r="G197" s="14"/>
      <c r="H197" s="10"/>
      <c r="I197" s="10"/>
      <c r="J197" s="10"/>
      <c r="K197" s="10"/>
      <c r="L197" s="10"/>
      <c r="M197" s="10"/>
      <c r="N197" s="10"/>
      <c r="O197" s="10"/>
      <c r="P197" s="10"/>
      <c r="Q197" s="10"/>
      <c r="R197" s="10"/>
      <c r="S197" s="10"/>
      <c r="T197" s="10"/>
      <c r="U197" s="10"/>
      <c r="V197" s="10"/>
      <c r="W197" s="10"/>
      <c r="X197" s="10"/>
      <c r="Y197" s="10"/>
      <c r="Z197" s="10"/>
      <c r="AA197" s="10"/>
    </row>
    <row r="198" spans="1:29" x14ac:dyDescent="0.25">
      <c r="A198" s="14">
        <f>'Notes &amp; Assumptions'!A58</f>
        <v>45</v>
      </c>
      <c r="E198" t="s">
        <v>39</v>
      </c>
      <c r="F198" t="s">
        <v>7</v>
      </c>
      <c r="G198" s="2"/>
      <c r="H198" s="10"/>
      <c r="I198" s="10"/>
      <c r="J198" s="10"/>
      <c r="K198" s="10"/>
      <c r="L198" s="10"/>
      <c r="M198" s="10"/>
      <c r="N198" s="10"/>
      <c r="O198" s="10"/>
      <c r="P198" s="10"/>
      <c r="Q198" s="10"/>
      <c r="R198" s="10"/>
      <c r="S198" s="10"/>
      <c r="T198" s="10"/>
      <c r="U198" s="10"/>
      <c r="V198" s="10"/>
      <c r="W198" s="10"/>
      <c r="X198" s="10"/>
      <c r="Y198" s="10"/>
      <c r="Z198" s="10"/>
      <c r="AA198" s="10"/>
    </row>
    <row r="199" spans="1:29" x14ac:dyDescent="0.25">
      <c r="G199" s="2"/>
    </row>
    <row r="200" spans="1:29" x14ac:dyDescent="0.25">
      <c r="E200" t="s">
        <v>10</v>
      </c>
      <c r="F200" t="s">
        <v>7</v>
      </c>
      <c r="G200" s="2"/>
      <c r="H200" s="2">
        <f>H192*H175+(H193+H197)*H176+H194+H198</f>
        <v>171466.73999999996</v>
      </c>
      <c r="I200" s="2">
        <f t="shared" ref="I200:AA200" si="75">I192*I175+(I193+I197)*I176+I194+I198</f>
        <v>346469.8605239999</v>
      </c>
      <c r="J200" s="2">
        <f t="shared" si="75"/>
        <v>528212.9876161936</v>
      </c>
      <c r="K200" s="2">
        <f t="shared" si="75"/>
        <v>707903.49545986997</v>
      </c>
      <c r="L200" s="2">
        <f t="shared" si="75"/>
        <v>885136.2208177977</v>
      </c>
      <c r="M200" s="2">
        <f t="shared" si="75"/>
        <v>1060057.7146030834</v>
      </c>
      <c r="N200" s="2">
        <f t="shared" si="75"/>
        <v>1232544.2701033654</v>
      </c>
      <c r="O200" s="2">
        <f t="shared" si="75"/>
        <v>1402613.9125669494</v>
      </c>
      <c r="P200" s="2">
        <f t="shared" si="75"/>
        <v>1584670.8660847587</v>
      </c>
      <c r="Q200" s="2">
        <f t="shared" si="75"/>
        <v>1779460.5970120318</v>
      </c>
      <c r="R200" s="2">
        <f t="shared" si="75"/>
        <v>1991424.4721122517</v>
      </c>
      <c r="S200" s="2">
        <f t="shared" si="75"/>
        <v>2222129.030074113</v>
      </c>
      <c r="T200" s="2">
        <f t="shared" si="75"/>
        <v>2473085.2879816247</v>
      </c>
      <c r="U200" s="2">
        <f t="shared" si="75"/>
        <v>2732236.4879738204</v>
      </c>
      <c r="V200" s="2">
        <f t="shared" si="75"/>
        <v>2999632.5940382234</v>
      </c>
      <c r="W200" s="2">
        <f t="shared" si="75"/>
        <v>3062624.8785130256</v>
      </c>
      <c r="X200" s="2">
        <f t="shared" si="75"/>
        <v>3126940.0009617992</v>
      </c>
      <c r="Y200" s="2">
        <f t="shared" si="75"/>
        <v>3192605.7409819965</v>
      </c>
      <c r="Z200" s="2">
        <f t="shared" si="75"/>
        <v>3259650.461542618</v>
      </c>
      <c r="AA200" s="2">
        <f t="shared" si="75"/>
        <v>3328103.1212350125</v>
      </c>
    </row>
    <row r="201" spans="1:29" x14ac:dyDescent="0.25">
      <c r="G201" s="2"/>
      <c r="H201" s="2"/>
      <c r="I201" s="2"/>
      <c r="J201" s="2"/>
      <c r="K201" s="2"/>
      <c r="L201" s="2"/>
      <c r="M201" s="2"/>
      <c r="N201" s="2"/>
      <c r="O201" s="2"/>
      <c r="P201" s="2"/>
      <c r="Q201" s="2"/>
      <c r="R201" s="2"/>
      <c r="S201" s="2"/>
      <c r="T201" s="2"/>
      <c r="U201" s="2"/>
      <c r="V201" s="2"/>
      <c r="W201" s="2"/>
      <c r="X201" s="2"/>
      <c r="Y201" s="2"/>
      <c r="Z201" s="2"/>
      <c r="AA201" s="2"/>
    </row>
    <row r="202" spans="1:29" x14ac:dyDescent="0.25">
      <c r="C202" s="1" t="s">
        <v>48</v>
      </c>
      <c r="G202" s="2"/>
      <c r="H202" s="2"/>
      <c r="I202" s="2"/>
      <c r="J202" s="2"/>
      <c r="K202" s="2"/>
      <c r="L202" s="2"/>
      <c r="M202" s="2"/>
      <c r="N202" s="2"/>
      <c r="O202" s="2"/>
      <c r="P202" s="2"/>
      <c r="Q202" s="2"/>
      <c r="R202" s="2"/>
      <c r="S202" s="2"/>
      <c r="T202" s="2"/>
      <c r="U202" s="2"/>
      <c r="V202" s="2"/>
      <c r="W202" s="2"/>
      <c r="X202" s="2"/>
      <c r="Y202" s="2"/>
      <c r="Z202" s="2"/>
      <c r="AA202" s="2"/>
    </row>
    <row r="203" spans="1:29" x14ac:dyDescent="0.25">
      <c r="A203" s="14">
        <f>'Notes &amp; Assumptions'!A59</f>
        <v>46</v>
      </c>
      <c r="E203" s="10" t="s">
        <v>44</v>
      </c>
      <c r="F203" t="s">
        <v>7</v>
      </c>
      <c r="G203" s="2"/>
      <c r="H203" s="10"/>
      <c r="I203" s="10"/>
      <c r="J203" s="10"/>
      <c r="K203" s="10"/>
      <c r="L203" s="10"/>
      <c r="M203" s="10"/>
      <c r="N203" s="10"/>
      <c r="O203" s="10"/>
      <c r="P203" s="10"/>
      <c r="Q203" s="10"/>
      <c r="R203" s="10"/>
      <c r="S203" s="10"/>
      <c r="T203" s="10"/>
      <c r="U203" s="10"/>
      <c r="V203" s="10"/>
      <c r="W203" s="10"/>
      <c r="X203" s="10"/>
      <c r="Y203" s="10"/>
      <c r="Z203" s="10"/>
      <c r="AA203" s="10"/>
    </row>
    <row r="204" spans="1:29" x14ac:dyDescent="0.25">
      <c r="A204" s="14">
        <f>'Notes &amp; Assumptions'!A60</f>
        <v>47</v>
      </c>
      <c r="E204" s="10" t="s">
        <v>45</v>
      </c>
      <c r="F204" t="s">
        <v>7</v>
      </c>
      <c r="G204" s="2"/>
      <c r="H204" s="10"/>
      <c r="I204" s="10"/>
      <c r="J204" s="10"/>
      <c r="K204" s="10"/>
      <c r="L204" s="10"/>
      <c r="M204" s="10"/>
      <c r="N204" s="10"/>
      <c r="O204" s="10"/>
      <c r="P204" s="10"/>
      <c r="Q204" s="10"/>
      <c r="R204" s="10"/>
      <c r="S204" s="10"/>
      <c r="T204" s="10"/>
      <c r="U204" s="10"/>
      <c r="V204" s="10"/>
      <c r="W204" s="10"/>
      <c r="X204" s="10"/>
      <c r="Y204" s="10"/>
      <c r="Z204" s="10"/>
      <c r="AA204" s="10"/>
    </row>
    <row r="205" spans="1:29" x14ac:dyDescent="0.25">
      <c r="A205" s="14">
        <f>'Notes &amp; Assumptions'!A61</f>
        <v>48</v>
      </c>
      <c r="E205" s="10" t="s">
        <v>46</v>
      </c>
      <c r="F205" t="s">
        <v>7</v>
      </c>
      <c r="G205" s="2"/>
      <c r="H205" s="10"/>
      <c r="I205" s="10"/>
      <c r="J205" s="10"/>
      <c r="K205" s="10"/>
      <c r="L205" s="10"/>
      <c r="M205" s="10"/>
      <c r="N205" s="10"/>
      <c r="O205" s="10"/>
      <c r="P205" s="10"/>
      <c r="Q205" s="10"/>
      <c r="R205" s="10"/>
      <c r="S205" s="10"/>
      <c r="T205" s="10"/>
      <c r="U205" s="10"/>
      <c r="V205" s="10"/>
      <c r="W205" s="10"/>
      <c r="X205" s="10"/>
      <c r="Y205" s="10"/>
      <c r="Z205" s="10"/>
      <c r="AA205" s="10"/>
    </row>
    <row r="206" spans="1:29" x14ac:dyDescent="0.25">
      <c r="A206" s="14">
        <f>'Notes &amp; Assumptions'!A62</f>
        <v>49</v>
      </c>
      <c r="E206" s="10" t="s">
        <v>47</v>
      </c>
      <c r="F206" t="s">
        <v>7</v>
      </c>
      <c r="G206" s="2"/>
      <c r="H206" s="10"/>
      <c r="I206" s="10"/>
      <c r="J206" s="10"/>
      <c r="K206" s="10"/>
      <c r="L206" s="10"/>
      <c r="M206" s="10"/>
      <c r="N206" s="10"/>
      <c r="O206" s="10"/>
      <c r="P206" s="10"/>
      <c r="Q206" s="10"/>
      <c r="R206" s="10"/>
      <c r="S206" s="10"/>
      <c r="T206" s="10"/>
      <c r="U206" s="10"/>
      <c r="V206" s="10"/>
      <c r="W206" s="10"/>
      <c r="X206" s="10"/>
      <c r="Y206" s="10"/>
      <c r="Z206" s="10"/>
      <c r="AA206" s="10"/>
    </row>
    <row r="207" spans="1:29" x14ac:dyDescent="0.25">
      <c r="E207" t="s">
        <v>17</v>
      </c>
      <c r="G207" s="2"/>
      <c r="H207" s="2">
        <f>SUM(H203:H206)</f>
        <v>0</v>
      </c>
      <c r="I207" s="2">
        <f t="shared" ref="I207:AA207" si="76">SUM(I203:I206)</f>
        <v>0</v>
      </c>
      <c r="J207" s="2">
        <f t="shared" si="76"/>
        <v>0</v>
      </c>
      <c r="K207" s="2">
        <f t="shared" si="76"/>
        <v>0</v>
      </c>
      <c r="L207" s="2">
        <f t="shared" si="76"/>
        <v>0</v>
      </c>
      <c r="M207" s="2">
        <f t="shared" si="76"/>
        <v>0</v>
      </c>
      <c r="N207" s="2">
        <f t="shared" si="76"/>
        <v>0</v>
      </c>
      <c r="O207" s="2">
        <f t="shared" si="76"/>
        <v>0</v>
      </c>
      <c r="P207" s="2">
        <f t="shared" si="76"/>
        <v>0</v>
      </c>
      <c r="Q207" s="2">
        <f t="shared" si="76"/>
        <v>0</v>
      </c>
      <c r="R207" s="2">
        <f t="shared" si="76"/>
        <v>0</v>
      </c>
      <c r="S207" s="2">
        <f t="shared" si="76"/>
        <v>0</v>
      </c>
      <c r="T207" s="2">
        <f t="shared" si="76"/>
        <v>0</v>
      </c>
      <c r="U207" s="2">
        <f t="shared" si="76"/>
        <v>0</v>
      </c>
      <c r="V207" s="2">
        <f t="shared" si="76"/>
        <v>0</v>
      </c>
      <c r="W207" s="2">
        <f t="shared" si="76"/>
        <v>0</v>
      </c>
      <c r="X207" s="2">
        <f t="shared" si="76"/>
        <v>0</v>
      </c>
      <c r="Y207" s="2">
        <f t="shared" si="76"/>
        <v>0</v>
      </c>
      <c r="Z207" s="2">
        <f t="shared" si="76"/>
        <v>0</v>
      </c>
      <c r="AA207" s="2">
        <f t="shared" si="76"/>
        <v>0</v>
      </c>
    </row>
    <row r="208" spans="1:29" x14ac:dyDescent="0.25">
      <c r="G208" s="2"/>
      <c r="H208" s="2"/>
      <c r="I208" s="2"/>
      <c r="J208" s="2"/>
      <c r="K208" s="2"/>
      <c r="L208" s="2"/>
      <c r="M208" s="2"/>
      <c r="N208" s="2"/>
      <c r="O208" s="2"/>
      <c r="P208" s="2"/>
      <c r="Q208" s="2"/>
      <c r="R208" s="2"/>
      <c r="S208" s="2"/>
      <c r="T208" s="2"/>
      <c r="U208" s="2"/>
      <c r="V208" s="2"/>
      <c r="W208" s="2"/>
      <c r="X208" s="2"/>
      <c r="Y208" s="2"/>
      <c r="Z208" s="2"/>
      <c r="AA208" s="2"/>
    </row>
    <row r="209" spans="1:27" x14ac:dyDescent="0.25">
      <c r="C209" s="1" t="s">
        <v>49</v>
      </c>
      <c r="G209" s="2"/>
      <c r="H209" s="2"/>
      <c r="I209" s="2"/>
      <c r="J209" s="2"/>
      <c r="K209" s="2"/>
      <c r="L209" s="2"/>
      <c r="M209" s="2"/>
      <c r="N209" s="2"/>
      <c r="O209" s="2"/>
      <c r="P209" s="2"/>
      <c r="Q209" s="2"/>
      <c r="R209" s="2"/>
      <c r="S209" s="2"/>
      <c r="T209" s="2"/>
      <c r="U209" s="2"/>
      <c r="V209" s="2"/>
      <c r="W209" s="2"/>
      <c r="X209" s="2"/>
      <c r="Y209" s="2"/>
      <c r="Z209" s="2"/>
      <c r="AA209" s="2"/>
    </row>
    <row r="210" spans="1:27" x14ac:dyDescent="0.25">
      <c r="A210" s="14">
        <f>'Notes &amp; Assumptions'!A63</f>
        <v>50</v>
      </c>
      <c r="E210" s="10" t="s">
        <v>239</v>
      </c>
      <c r="F210" t="s">
        <v>7</v>
      </c>
      <c r="G210" s="2"/>
      <c r="H210" s="10"/>
      <c r="I210" s="10"/>
      <c r="J210" s="10"/>
      <c r="K210" s="10"/>
      <c r="L210" s="10"/>
      <c r="M210" s="10"/>
      <c r="N210" s="10"/>
      <c r="O210" s="10"/>
      <c r="P210" s="10"/>
      <c r="Q210" s="10"/>
      <c r="R210" s="10"/>
      <c r="S210" s="10"/>
      <c r="T210" s="10"/>
      <c r="U210" s="10"/>
      <c r="V210" s="10"/>
      <c r="W210" s="10"/>
      <c r="X210" s="10"/>
      <c r="Y210" s="10"/>
      <c r="Z210" s="10"/>
      <c r="AA210" s="10"/>
    </row>
    <row r="211" spans="1:27" x14ac:dyDescent="0.25">
      <c r="A211" s="14">
        <f>'Notes &amp; Assumptions'!A64</f>
        <v>51</v>
      </c>
      <c r="E211" s="10" t="s">
        <v>50</v>
      </c>
      <c r="F211" t="s">
        <v>7</v>
      </c>
      <c r="G211" s="2"/>
      <c r="H211" s="10"/>
      <c r="I211" s="10"/>
      <c r="J211" s="10"/>
      <c r="K211" s="10"/>
      <c r="L211" s="10"/>
      <c r="M211" s="10"/>
      <c r="N211" s="10"/>
      <c r="O211" s="10"/>
      <c r="P211" s="10"/>
      <c r="Q211" s="10"/>
      <c r="R211" s="10"/>
      <c r="S211" s="10"/>
      <c r="T211" s="10"/>
      <c r="U211" s="10"/>
      <c r="V211" s="10"/>
      <c r="W211" s="10"/>
      <c r="X211" s="10"/>
      <c r="Y211" s="10"/>
      <c r="Z211" s="10"/>
      <c r="AA211" s="10"/>
    </row>
    <row r="212" spans="1:27" x14ac:dyDescent="0.25">
      <c r="A212" s="14">
        <f>'Notes &amp; Assumptions'!A65</f>
        <v>52</v>
      </c>
      <c r="E212" s="10" t="s">
        <v>51</v>
      </c>
      <c r="F212" t="s">
        <v>7</v>
      </c>
      <c r="G212" s="2"/>
      <c r="H212" s="10"/>
      <c r="I212" s="10"/>
      <c r="J212" s="10"/>
      <c r="K212" s="10"/>
      <c r="L212" s="10"/>
      <c r="M212" s="10"/>
      <c r="N212" s="10"/>
      <c r="O212" s="10"/>
      <c r="P212" s="10"/>
      <c r="Q212" s="10"/>
      <c r="R212" s="10"/>
      <c r="S212" s="10"/>
      <c r="T212" s="10"/>
      <c r="U212" s="10"/>
      <c r="V212" s="10"/>
      <c r="W212" s="10"/>
      <c r="X212" s="10"/>
      <c r="Y212" s="10"/>
      <c r="Z212" s="10"/>
      <c r="AA212" s="10"/>
    </row>
    <row r="213" spans="1:27" x14ac:dyDescent="0.25">
      <c r="A213" s="14">
        <f>'Notes &amp; Assumptions'!A66</f>
        <v>53</v>
      </c>
      <c r="E213" s="10" t="s">
        <v>52</v>
      </c>
      <c r="F213" t="s">
        <v>7</v>
      </c>
      <c r="G213" s="2"/>
      <c r="H213" s="10"/>
      <c r="I213" s="10"/>
      <c r="J213" s="10"/>
      <c r="K213" s="10"/>
      <c r="L213" s="10"/>
      <c r="M213" s="10"/>
      <c r="N213" s="10"/>
      <c r="O213" s="10"/>
      <c r="P213" s="10"/>
      <c r="Q213" s="10"/>
      <c r="R213" s="10"/>
      <c r="S213" s="10"/>
      <c r="T213" s="10"/>
      <c r="U213" s="10"/>
      <c r="V213" s="10"/>
      <c r="W213" s="10"/>
      <c r="X213" s="10"/>
      <c r="Y213" s="10"/>
      <c r="Z213" s="10"/>
      <c r="AA213" s="10"/>
    </row>
    <row r="214" spans="1:27" x14ac:dyDescent="0.25">
      <c r="E214" t="s">
        <v>17</v>
      </c>
      <c r="G214" s="2"/>
      <c r="H214" s="2">
        <f>SUM(H210:H213)</f>
        <v>0</v>
      </c>
      <c r="I214" s="2">
        <f t="shared" ref="I214:AA214" si="77">SUM(I210:I213)</f>
        <v>0</v>
      </c>
      <c r="J214" s="2">
        <f t="shared" si="77"/>
        <v>0</v>
      </c>
      <c r="K214" s="2">
        <f t="shared" si="77"/>
        <v>0</v>
      </c>
      <c r="L214" s="2">
        <f t="shared" si="77"/>
        <v>0</v>
      </c>
      <c r="M214" s="2">
        <f t="shared" si="77"/>
        <v>0</v>
      </c>
      <c r="N214" s="2">
        <f t="shared" si="77"/>
        <v>0</v>
      </c>
      <c r="O214" s="2">
        <f t="shared" si="77"/>
        <v>0</v>
      </c>
      <c r="P214" s="2">
        <f t="shared" si="77"/>
        <v>0</v>
      </c>
      <c r="Q214" s="2">
        <f t="shared" si="77"/>
        <v>0</v>
      </c>
      <c r="R214" s="2">
        <f t="shared" si="77"/>
        <v>0</v>
      </c>
      <c r="S214" s="2">
        <f t="shared" si="77"/>
        <v>0</v>
      </c>
      <c r="T214" s="2">
        <f t="shared" si="77"/>
        <v>0</v>
      </c>
      <c r="U214" s="2">
        <f t="shared" si="77"/>
        <v>0</v>
      </c>
      <c r="V214" s="2">
        <f t="shared" si="77"/>
        <v>0</v>
      </c>
      <c r="W214" s="2">
        <f t="shared" si="77"/>
        <v>0</v>
      </c>
      <c r="X214" s="2">
        <f t="shared" si="77"/>
        <v>0</v>
      </c>
      <c r="Y214" s="2">
        <f t="shared" si="77"/>
        <v>0</v>
      </c>
      <c r="Z214" s="2">
        <f t="shared" si="77"/>
        <v>0</v>
      </c>
      <c r="AA214" s="2">
        <f t="shared" si="77"/>
        <v>0</v>
      </c>
    </row>
    <row r="215" spans="1:27" x14ac:dyDescent="0.25">
      <c r="G215" s="2"/>
      <c r="H215" s="2"/>
      <c r="I215" s="2"/>
      <c r="J215" s="2"/>
      <c r="K215" s="2"/>
      <c r="L215" s="2"/>
      <c r="M215" s="2"/>
      <c r="N215" s="2"/>
      <c r="O215" s="2"/>
      <c r="P215" s="2"/>
      <c r="Q215" s="2"/>
      <c r="R215" s="2"/>
      <c r="S215" s="2"/>
      <c r="T215" s="2"/>
      <c r="U215" s="2"/>
      <c r="V215" s="2"/>
      <c r="W215" s="2"/>
      <c r="X215" s="2"/>
      <c r="Y215" s="2"/>
      <c r="Z215" s="2"/>
      <c r="AA215" s="2"/>
    </row>
    <row r="216" spans="1:27" x14ac:dyDescent="0.25">
      <c r="C216" s="1" t="s">
        <v>33</v>
      </c>
      <c r="G216" s="2"/>
      <c r="H216" s="2"/>
      <c r="I216" s="2"/>
      <c r="J216" s="2"/>
      <c r="K216" s="2"/>
      <c r="L216" s="2"/>
      <c r="M216" s="2"/>
      <c r="N216" s="2"/>
      <c r="O216" s="2"/>
      <c r="P216" s="2"/>
      <c r="Q216" s="2"/>
      <c r="R216" s="2"/>
      <c r="S216" s="2"/>
      <c r="T216" s="2"/>
      <c r="U216" s="2"/>
      <c r="V216" s="2"/>
      <c r="W216" s="2"/>
      <c r="X216" s="2"/>
      <c r="Y216" s="2"/>
      <c r="Z216" s="2"/>
      <c r="AA216" s="2"/>
    </row>
    <row r="217" spans="1:27" x14ac:dyDescent="0.25">
      <c r="C217" s="1"/>
      <c r="D217" s="1"/>
      <c r="E217" t="s">
        <v>29</v>
      </c>
      <c r="F217" t="s">
        <v>3</v>
      </c>
      <c r="G217" s="44"/>
      <c r="H217" s="2">
        <f>H174</f>
        <v>1399.5</v>
      </c>
      <c r="I217" s="2">
        <f t="shared" ref="I217:AA217" si="78">I174</f>
        <v>1370.2</v>
      </c>
      <c r="J217" s="2">
        <f t="shared" si="78"/>
        <v>1366.0149999999999</v>
      </c>
      <c r="K217" s="2">
        <f t="shared" si="78"/>
        <v>1292.9099999999999</v>
      </c>
      <c r="L217" s="2">
        <f t="shared" si="78"/>
        <v>1219.5149999999999</v>
      </c>
      <c r="M217" s="2">
        <f t="shared" si="78"/>
        <v>1150.05</v>
      </c>
      <c r="N217" s="2">
        <f t="shared" si="78"/>
        <v>1082.385</v>
      </c>
      <c r="O217" s="2">
        <f t="shared" si="78"/>
        <v>1017.5049999999999</v>
      </c>
      <c r="P217" s="2">
        <f t="shared" si="78"/>
        <v>1054.7449999999999</v>
      </c>
      <c r="Q217" s="2">
        <f t="shared" si="78"/>
        <v>1093.3649999999998</v>
      </c>
      <c r="R217" s="2">
        <f t="shared" si="78"/>
        <v>1157.625</v>
      </c>
      <c r="S217" s="2">
        <f t="shared" si="78"/>
        <v>1226.6099999999999</v>
      </c>
      <c r="T217" s="2">
        <f t="shared" si="78"/>
        <v>1299.375</v>
      </c>
      <c r="U217" s="2">
        <f t="shared" si="78"/>
        <v>1290.8699999999999</v>
      </c>
      <c r="V217" s="2">
        <f t="shared" si="78"/>
        <v>1281.4199999999998</v>
      </c>
      <c r="W217" s="2">
        <f t="shared" si="78"/>
        <v>0</v>
      </c>
      <c r="X217" s="2">
        <f t="shared" si="78"/>
        <v>0</v>
      </c>
      <c r="Y217" s="2">
        <f t="shared" si="78"/>
        <v>0</v>
      </c>
      <c r="Z217" s="2">
        <f t="shared" si="78"/>
        <v>0</v>
      </c>
      <c r="AA217" s="2">
        <f t="shared" si="78"/>
        <v>0</v>
      </c>
    </row>
    <row r="218" spans="1:27" x14ac:dyDescent="0.25">
      <c r="E218" t="s">
        <v>18</v>
      </c>
      <c r="F218" t="s">
        <v>22</v>
      </c>
      <c r="G218" s="8">
        <f ca="1">MAX(0,-G245/(NPV($G$16,H217:AA217)))</f>
        <v>5926.810145610687</v>
      </c>
      <c r="H218" s="2">
        <f ca="1">G218*(1+$G$14)</f>
        <v>6051.2731586685104</v>
      </c>
      <c r="I218" s="2">
        <f t="shared" ref="I218:AA218" ca="1" si="79">H218*(1+$G$14)</f>
        <v>6178.3498950005487</v>
      </c>
      <c r="J218" s="2">
        <f t="shared" ca="1" si="79"/>
        <v>6308.0952427955599</v>
      </c>
      <c r="K218" s="2">
        <f t="shared" ca="1" si="79"/>
        <v>6440.5652428942658</v>
      </c>
      <c r="L218" s="2">
        <f t="shared" ca="1" si="79"/>
        <v>6575.8171129950451</v>
      </c>
      <c r="M218" s="2">
        <f t="shared" ca="1" si="79"/>
        <v>6713.9092723679405</v>
      </c>
      <c r="N218" s="2">
        <f t="shared" ca="1" si="79"/>
        <v>6854.9013670876666</v>
      </c>
      <c r="O218" s="2">
        <f t="shared" ca="1" si="79"/>
        <v>6998.8542957965074</v>
      </c>
      <c r="P218" s="2">
        <f t="shared" ca="1" si="79"/>
        <v>7145.8302360082334</v>
      </c>
      <c r="Q218" s="2">
        <f t="shared" ca="1" si="79"/>
        <v>7295.8926709644056</v>
      </c>
      <c r="R218" s="2">
        <f t="shared" ca="1" si="79"/>
        <v>7449.1064170546579</v>
      </c>
      <c r="S218" s="2">
        <f t="shared" ca="1" si="79"/>
        <v>7605.5376518128051</v>
      </c>
      <c r="T218" s="2">
        <f t="shared" ca="1" si="79"/>
        <v>7765.2539425008736</v>
      </c>
      <c r="U218" s="2">
        <f t="shared" ca="1" si="79"/>
        <v>7928.3242752933911</v>
      </c>
      <c r="V218" s="2">
        <f t="shared" ca="1" si="79"/>
        <v>8094.8190850745514</v>
      </c>
      <c r="W218" s="2">
        <f t="shared" ca="1" si="79"/>
        <v>8264.8102858611164</v>
      </c>
      <c r="X218" s="2">
        <f t="shared" ca="1" si="79"/>
        <v>8438.3713018641993</v>
      </c>
      <c r="Y218" s="2">
        <f t="shared" ca="1" si="79"/>
        <v>8615.5770992033467</v>
      </c>
      <c r="Z218" s="2">
        <f t="shared" ca="1" si="79"/>
        <v>8796.5042182866164</v>
      </c>
      <c r="AA218" s="2">
        <f t="shared" ca="1" si="79"/>
        <v>8981.2308068706352</v>
      </c>
    </row>
    <row r="219" spans="1:27" x14ac:dyDescent="0.25">
      <c r="E219" t="s">
        <v>21</v>
      </c>
      <c r="F219" t="s">
        <v>7</v>
      </c>
      <c r="H219" s="2">
        <f ca="1">H218*H217</f>
        <v>8468756.7855565809</v>
      </c>
      <c r="I219" s="2">
        <f t="shared" ref="I219:AA219" ca="1" si="80">I218*I217</f>
        <v>8465575.0261297524</v>
      </c>
      <c r="J219" s="2">
        <f t="shared" ca="1" si="80"/>
        <v>8616952.723087376</v>
      </c>
      <c r="K219" s="2">
        <f t="shared" ca="1" si="80"/>
        <v>8327071.2081904244</v>
      </c>
      <c r="L219" s="2">
        <f t="shared" ca="1" si="80"/>
        <v>8019307.6065541515</v>
      </c>
      <c r="M219" s="2">
        <f t="shared" ca="1" si="80"/>
        <v>7721331.3586867498</v>
      </c>
      <c r="N219" s="2">
        <f t="shared" ca="1" si="80"/>
        <v>7419642.4162151841</v>
      </c>
      <c r="O219" s="2">
        <f t="shared" ca="1" si="80"/>
        <v>7121369.240244424</v>
      </c>
      <c r="P219" s="2">
        <f t="shared" ca="1" si="80"/>
        <v>7537028.712278503</v>
      </c>
      <c r="Q219" s="2">
        <f t="shared" ca="1" si="80"/>
        <v>7977073.6901889956</v>
      </c>
      <c r="R219" s="2">
        <f t="shared" ca="1" si="80"/>
        <v>8623271.8160428982</v>
      </c>
      <c r="S219" s="2">
        <f t="shared" ca="1" si="80"/>
        <v>9329028.5390901044</v>
      </c>
      <c r="T219" s="2">
        <f t="shared" ca="1" si="80"/>
        <v>10089976.841537073</v>
      </c>
      <c r="U219" s="2">
        <f t="shared" ca="1" si="80"/>
        <v>10234435.957247978</v>
      </c>
      <c r="V219" s="2">
        <f t="shared" ca="1" si="80"/>
        <v>10372863.071996231</v>
      </c>
      <c r="W219" s="2">
        <f t="shared" ca="1" si="80"/>
        <v>0</v>
      </c>
      <c r="X219" s="2">
        <f t="shared" ca="1" si="80"/>
        <v>0</v>
      </c>
      <c r="Y219" s="2">
        <f t="shared" ca="1" si="80"/>
        <v>0</v>
      </c>
      <c r="Z219" s="2">
        <f t="shared" ca="1" si="80"/>
        <v>0</v>
      </c>
      <c r="AA219" s="2">
        <f t="shared" ca="1" si="80"/>
        <v>0</v>
      </c>
    </row>
    <row r="220" spans="1:27" x14ac:dyDescent="0.25">
      <c r="G220" s="8">
        <f ca="1">-G245/(NPV($G$16,H217:AA217))</f>
        <v>5926.810145610687</v>
      </c>
    </row>
    <row r="221" spans="1:27" x14ac:dyDescent="0.25">
      <c r="D221" t="s">
        <v>9</v>
      </c>
    </row>
    <row r="222" spans="1:27" x14ac:dyDescent="0.25">
      <c r="E222" t="s">
        <v>107</v>
      </c>
      <c r="F222" t="s">
        <v>7</v>
      </c>
      <c r="G222" s="2">
        <f t="shared" ref="G222:AA222" si="81">G42</f>
        <v>0</v>
      </c>
      <c r="H222" s="2">
        <f t="shared" si="81"/>
        <v>8335188.7499999981</v>
      </c>
      <c r="I222" s="2">
        <f t="shared" si="81"/>
        <v>8392379.7586999964</v>
      </c>
      <c r="J222" s="2">
        <f t="shared" si="81"/>
        <v>8606113.4983570743</v>
      </c>
      <c r="K222" s="2">
        <f t="shared" si="81"/>
        <v>8380430.5007549655</v>
      </c>
      <c r="L222" s="2">
        <f t="shared" si="81"/>
        <v>8134522.4812314399</v>
      </c>
      <c r="M222" s="2">
        <f t="shared" si="81"/>
        <v>7896119.479127205</v>
      </c>
      <c r="N222" s="2">
        <f t="shared" si="81"/>
        <v>7651402.7562980503</v>
      </c>
      <c r="O222" s="2">
        <f t="shared" si="81"/>
        <v>7407536.1859209668</v>
      </c>
      <c r="P222" s="2">
        <f t="shared" si="81"/>
        <v>7910137.0749292402</v>
      </c>
      <c r="Q222" s="2">
        <f t="shared" si="81"/>
        <v>8449451.6803531349</v>
      </c>
      <c r="R222" s="2">
        <f t="shared" si="81"/>
        <v>9133915.6896367148</v>
      </c>
      <c r="S222" s="2">
        <f t="shared" si="81"/>
        <v>9881465.1747074034</v>
      </c>
      <c r="T222" s="2">
        <f t="shared" si="81"/>
        <v>10687474.516288407</v>
      </c>
      <c r="U222" s="2">
        <f t="shared" si="81"/>
        <v>10840488.060526701</v>
      </c>
      <c r="V222" s="2">
        <f t="shared" si="81"/>
        <v>10987112.407090601</v>
      </c>
      <c r="W222" s="2">
        <f t="shared" si="81"/>
        <v>0</v>
      </c>
      <c r="X222" s="2">
        <f t="shared" si="81"/>
        <v>0</v>
      </c>
      <c r="Y222" s="2">
        <f t="shared" si="81"/>
        <v>0</v>
      </c>
      <c r="Z222" s="2">
        <f t="shared" si="81"/>
        <v>0</v>
      </c>
      <c r="AA222" s="2">
        <f t="shared" si="81"/>
        <v>0</v>
      </c>
    </row>
    <row r="223" spans="1:27" x14ac:dyDescent="0.25">
      <c r="E223" t="s">
        <v>11</v>
      </c>
      <c r="F223" t="s">
        <v>7</v>
      </c>
      <c r="G223" s="2">
        <f t="shared" ref="G223:AA223" si="82">G177</f>
        <v>0</v>
      </c>
      <c r="H223" s="2">
        <f t="shared" si="82"/>
        <v>95188.648042748115</v>
      </c>
      <c r="I223" s="2">
        <f t="shared" si="82"/>
        <v>187070.36522827731</v>
      </c>
      <c r="J223" s="2">
        <f t="shared" si="82"/>
        <v>285199.40049687558</v>
      </c>
      <c r="K223" s="2">
        <f t="shared" si="82"/>
        <v>382220.1597615697</v>
      </c>
      <c r="L223" s="2">
        <f t="shared" si="82"/>
        <v>477913.88219089445</v>
      </c>
      <c r="M223" s="2">
        <f t="shared" si="82"/>
        <v>572359.69539727166</v>
      </c>
      <c r="N223" s="2">
        <f t="shared" si="82"/>
        <v>665490.80609649548</v>
      </c>
      <c r="O223" s="2">
        <f t="shared" si="82"/>
        <v>757316.9467073651</v>
      </c>
      <c r="P223" s="2">
        <f t="shared" si="82"/>
        <v>855615.42708720453</v>
      </c>
      <c r="Q223" s="2">
        <f t="shared" si="82"/>
        <v>960788.74880751828</v>
      </c>
      <c r="R223" s="2">
        <f t="shared" si="82"/>
        <v>1075234.9504777857</v>
      </c>
      <c r="S223" s="2">
        <f t="shared" si="82"/>
        <v>1199799.8573717987</v>
      </c>
      <c r="T223" s="2">
        <f t="shared" si="82"/>
        <v>1335299.3168401583</v>
      </c>
      <c r="U223" s="2">
        <f t="shared" si="82"/>
        <v>1475223.4925204499</v>
      </c>
      <c r="V223" s="2">
        <f t="shared" si="82"/>
        <v>1619599.3615972986</v>
      </c>
      <c r="W223" s="2">
        <f t="shared" si="82"/>
        <v>1653610.9481908416</v>
      </c>
      <c r="X223" s="2">
        <f t="shared" si="82"/>
        <v>1688336.7781028489</v>
      </c>
      <c r="Y223" s="2">
        <f t="shared" si="82"/>
        <v>1723791.8504430086</v>
      </c>
      <c r="Z223" s="2">
        <f t="shared" si="82"/>
        <v>1759991.4793023115</v>
      </c>
      <c r="AA223" s="2">
        <f t="shared" si="82"/>
        <v>1796951.3003676601</v>
      </c>
    </row>
    <row r="224" spans="1:27" x14ac:dyDescent="0.25">
      <c r="E224" t="s">
        <v>57</v>
      </c>
      <c r="F224" t="s">
        <v>7</v>
      </c>
      <c r="G224" s="2">
        <f t="shared" ref="G224:AA224" si="83">-G187</f>
        <v>0</v>
      </c>
      <c r="H224" s="2">
        <f t="shared" si="83"/>
        <v>0</v>
      </c>
      <c r="I224" s="2">
        <f t="shared" si="83"/>
        <v>0</v>
      </c>
      <c r="J224" s="2">
        <f t="shared" si="83"/>
        <v>0</v>
      </c>
      <c r="K224" s="2">
        <f t="shared" si="83"/>
        <v>0</v>
      </c>
      <c r="L224" s="2">
        <f t="shared" si="83"/>
        <v>0</v>
      </c>
      <c r="M224" s="2">
        <f t="shared" si="83"/>
        <v>0</v>
      </c>
      <c r="N224" s="2">
        <f t="shared" si="83"/>
        <v>0</v>
      </c>
      <c r="O224" s="2">
        <f t="shared" si="83"/>
        <v>0</v>
      </c>
      <c r="P224" s="2">
        <f t="shared" si="83"/>
        <v>0</v>
      </c>
      <c r="Q224" s="2">
        <f t="shared" si="83"/>
        <v>0</v>
      </c>
      <c r="R224" s="2">
        <f t="shared" si="83"/>
        <v>0</v>
      </c>
      <c r="S224" s="2">
        <f t="shared" si="83"/>
        <v>0</v>
      </c>
      <c r="T224" s="2">
        <f t="shared" si="83"/>
        <v>0</v>
      </c>
      <c r="U224" s="2">
        <f t="shared" si="83"/>
        <v>0</v>
      </c>
      <c r="V224" s="2">
        <f t="shared" si="83"/>
        <v>0</v>
      </c>
      <c r="W224" s="2">
        <f t="shared" si="83"/>
        <v>0</v>
      </c>
      <c r="X224" s="2">
        <f t="shared" si="83"/>
        <v>0</v>
      </c>
      <c r="Y224" s="2">
        <f t="shared" si="83"/>
        <v>0</v>
      </c>
      <c r="Z224" s="2">
        <f t="shared" si="83"/>
        <v>0</v>
      </c>
      <c r="AA224" s="2">
        <f t="shared" si="83"/>
        <v>0</v>
      </c>
    </row>
    <row r="225" spans="4:28" customFormat="1" x14ac:dyDescent="0.25">
      <c r="E225" t="s">
        <v>10</v>
      </c>
      <c r="F225" t="s">
        <v>7</v>
      </c>
      <c r="G225" s="2">
        <f t="shared" ref="G225:AA225" si="84">-G200</f>
        <v>0</v>
      </c>
      <c r="H225" s="2">
        <f t="shared" si="84"/>
        <v>-171466.73999999996</v>
      </c>
      <c r="I225" s="2">
        <f t="shared" si="84"/>
        <v>-346469.8605239999</v>
      </c>
      <c r="J225" s="2">
        <f t="shared" si="84"/>
        <v>-528212.9876161936</v>
      </c>
      <c r="K225" s="2">
        <f t="shared" si="84"/>
        <v>-707903.49545986997</v>
      </c>
      <c r="L225" s="2">
        <f t="shared" si="84"/>
        <v>-885136.2208177977</v>
      </c>
      <c r="M225" s="2">
        <f t="shared" si="84"/>
        <v>-1060057.7146030834</v>
      </c>
      <c r="N225" s="2">
        <f t="shared" si="84"/>
        <v>-1232544.2701033654</v>
      </c>
      <c r="O225" s="2">
        <f t="shared" si="84"/>
        <v>-1402613.9125669494</v>
      </c>
      <c r="P225" s="2">
        <f t="shared" si="84"/>
        <v>-1584670.8660847587</v>
      </c>
      <c r="Q225" s="2">
        <f t="shared" si="84"/>
        <v>-1779460.5970120318</v>
      </c>
      <c r="R225" s="2">
        <f t="shared" si="84"/>
        <v>-1991424.4721122517</v>
      </c>
      <c r="S225" s="2">
        <f t="shared" si="84"/>
        <v>-2222129.030074113</v>
      </c>
      <c r="T225" s="2">
        <f t="shared" si="84"/>
        <v>-2473085.2879816247</v>
      </c>
      <c r="U225" s="2">
        <f t="shared" si="84"/>
        <v>-2732236.4879738204</v>
      </c>
      <c r="V225" s="2">
        <f t="shared" si="84"/>
        <v>-2999632.5940382234</v>
      </c>
      <c r="W225" s="2">
        <f t="shared" si="84"/>
        <v>-3062624.8785130256</v>
      </c>
      <c r="X225" s="2">
        <f t="shared" si="84"/>
        <v>-3126940.0009617992</v>
      </c>
      <c r="Y225" s="2">
        <f t="shared" si="84"/>
        <v>-3192605.7409819965</v>
      </c>
      <c r="Z225" s="2">
        <f t="shared" si="84"/>
        <v>-3259650.461542618</v>
      </c>
      <c r="AA225" s="2">
        <f t="shared" si="84"/>
        <v>-3328103.1212350125</v>
      </c>
    </row>
    <row r="226" spans="4:28" customFormat="1" x14ac:dyDescent="0.25">
      <c r="E226" t="s">
        <v>12</v>
      </c>
      <c r="F226" t="s">
        <v>7</v>
      </c>
      <c r="G226" s="2">
        <f t="shared" ref="G226:AA226" si="85">-G34-G50-G85</f>
        <v>-395046.14224972186</v>
      </c>
      <c r="H226" s="2">
        <f t="shared" si="85"/>
        <v>-502216.26171888539</v>
      </c>
      <c r="I226" s="2">
        <f t="shared" si="85"/>
        <v>-626013.14910648169</v>
      </c>
      <c r="J226" s="2">
        <f t="shared" si="85"/>
        <v>-756837.24966351804</v>
      </c>
      <c r="K226" s="2">
        <f t="shared" si="85"/>
        <v>-861592.630922955</v>
      </c>
      <c r="L226" s="2">
        <f t="shared" si="85"/>
        <v>-988204.39255844743</v>
      </c>
      <c r="M226" s="2">
        <f t="shared" si="85"/>
        <v>-1103906.8506464991</v>
      </c>
      <c r="N226" s="2">
        <f t="shared" si="85"/>
        <v>-1199549.3851002248</v>
      </c>
      <c r="O226" s="2">
        <f t="shared" si="85"/>
        <v>-1292143.5874242368</v>
      </c>
      <c r="P226" s="2">
        <f t="shared" si="85"/>
        <v>-1391020.3008608525</v>
      </c>
      <c r="Q226" s="2">
        <f t="shared" si="85"/>
        <v>-1496638.4468652667</v>
      </c>
      <c r="R226" s="2">
        <f t="shared" si="85"/>
        <v>-1610812.3929857255</v>
      </c>
      <c r="S226" s="2">
        <f t="shared" si="85"/>
        <v>-1734330.707669568</v>
      </c>
      <c r="T226" s="2">
        <f t="shared" si="85"/>
        <v>-1867924.1391231732</v>
      </c>
      <c r="U226" s="2">
        <f t="shared" si="85"/>
        <v>-2003430.2398797569</v>
      </c>
      <c r="V226" s="2">
        <f t="shared" si="85"/>
        <v>-2140769.1449683895</v>
      </c>
      <c r="W226" s="2">
        <f t="shared" si="85"/>
        <v>-2140769.1449683895</v>
      </c>
      <c r="X226" s="2">
        <f t="shared" si="85"/>
        <v>-2140769.1449683895</v>
      </c>
      <c r="Y226" s="2">
        <f t="shared" si="85"/>
        <v>-2140769.1449683895</v>
      </c>
      <c r="Z226" s="2">
        <f t="shared" si="85"/>
        <v>-2140769.1449683895</v>
      </c>
      <c r="AA226" s="2">
        <f t="shared" si="85"/>
        <v>-2140769.1449683895</v>
      </c>
    </row>
    <row r="227" spans="4:28" customFormat="1" x14ac:dyDescent="0.25">
      <c r="E227" t="s">
        <v>48</v>
      </c>
      <c r="F227" t="s">
        <v>7</v>
      </c>
      <c r="G227" s="2">
        <f t="shared" ref="G227:AA227" si="86">G207</f>
        <v>0</v>
      </c>
      <c r="H227" s="2">
        <f t="shared" si="86"/>
        <v>0</v>
      </c>
      <c r="I227" s="2">
        <f t="shared" si="86"/>
        <v>0</v>
      </c>
      <c r="J227" s="2">
        <f t="shared" si="86"/>
        <v>0</v>
      </c>
      <c r="K227" s="2">
        <f t="shared" si="86"/>
        <v>0</v>
      </c>
      <c r="L227" s="2">
        <f t="shared" si="86"/>
        <v>0</v>
      </c>
      <c r="M227" s="2">
        <f t="shared" si="86"/>
        <v>0</v>
      </c>
      <c r="N227" s="2">
        <f t="shared" si="86"/>
        <v>0</v>
      </c>
      <c r="O227" s="2">
        <f t="shared" si="86"/>
        <v>0</v>
      </c>
      <c r="P227" s="2">
        <f t="shared" si="86"/>
        <v>0</v>
      </c>
      <c r="Q227" s="2">
        <f t="shared" si="86"/>
        <v>0</v>
      </c>
      <c r="R227" s="2">
        <f t="shared" si="86"/>
        <v>0</v>
      </c>
      <c r="S227" s="2">
        <f t="shared" si="86"/>
        <v>0</v>
      </c>
      <c r="T227" s="2">
        <f t="shared" si="86"/>
        <v>0</v>
      </c>
      <c r="U227" s="2">
        <f t="shared" si="86"/>
        <v>0</v>
      </c>
      <c r="V227" s="2">
        <f t="shared" si="86"/>
        <v>0</v>
      </c>
      <c r="W227" s="2">
        <f t="shared" si="86"/>
        <v>0</v>
      </c>
      <c r="X227" s="2">
        <f t="shared" si="86"/>
        <v>0</v>
      </c>
      <c r="Y227" s="2">
        <f t="shared" si="86"/>
        <v>0</v>
      </c>
      <c r="Z227" s="2">
        <f t="shared" si="86"/>
        <v>0</v>
      </c>
      <c r="AA227" s="2">
        <f t="shared" si="86"/>
        <v>0</v>
      </c>
    </row>
    <row r="228" spans="4:28" customFormat="1" x14ac:dyDescent="0.25">
      <c r="E228" t="s">
        <v>13</v>
      </c>
      <c r="F228" t="s">
        <v>7</v>
      </c>
      <c r="H228" s="2">
        <f t="shared" ref="H228:AA228" ca="1" si="87">H219</f>
        <v>8468756.7855565809</v>
      </c>
      <c r="I228" s="2">
        <f t="shared" ca="1" si="87"/>
        <v>8465575.0261297524</v>
      </c>
      <c r="J228" s="2">
        <f t="shared" ca="1" si="87"/>
        <v>8616952.723087376</v>
      </c>
      <c r="K228" s="2">
        <f t="shared" ca="1" si="87"/>
        <v>8327071.2081904244</v>
      </c>
      <c r="L228" s="2">
        <f t="shared" ca="1" si="87"/>
        <v>8019307.6065541515</v>
      </c>
      <c r="M228" s="2">
        <f t="shared" ca="1" si="87"/>
        <v>7721331.3586867498</v>
      </c>
      <c r="N228" s="2">
        <f t="shared" ca="1" si="87"/>
        <v>7419642.4162151841</v>
      </c>
      <c r="O228" s="2">
        <f t="shared" ca="1" si="87"/>
        <v>7121369.240244424</v>
      </c>
      <c r="P228" s="2">
        <f t="shared" ca="1" si="87"/>
        <v>7537028.712278503</v>
      </c>
      <c r="Q228" s="2">
        <f t="shared" ca="1" si="87"/>
        <v>7977073.6901889956</v>
      </c>
      <c r="R228" s="2">
        <f t="shared" ca="1" si="87"/>
        <v>8623271.8160428982</v>
      </c>
      <c r="S228" s="2">
        <f t="shared" ca="1" si="87"/>
        <v>9329028.5390901044</v>
      </c>
      <c r="T228" s="2">
        <f t="shared" ca="1" si="87"/>
        <v>10089976.841537073</v>
      </c>
      <c r="U228" s="2">
        <f t="shared" ca="1" si="87"/>
        <v>10234435.957247978</v>
      </c>
      <c r="V228" s="2">
        <f t="shared" ca="1" si="87"/>
        <v>10372863.071996231</v>
      </c>
      <c r="W228" s="2">
        <f t="shared" ca="1" si="87"/>
        <v>0</v>
      </c>
      <c r="X228" s="2">
        <f t="shared" ca="1" si="87"/>
        <v>0</v>
      </c>
      <c r="Y228" s="2">
        <f t="shared" ca="1" si="87"/>
        <v>0</v>
      </c>
      <c r="Z228" s="2">
        <f t="shared" ca="1" si="87"/>
        <v>0</v>
      </c>
      <c r="AA228" s="2">
        <f t="shared" ca="1" si="87"/>
        <v>0</v>
      </c>
    </row>
    <row r="229" spans="4:28" customFormat="1" x14ac:dyDescent="0.25"/>
    <row r="230" spans="4:28" customFormat="1" x14ac:dyDescent="0.25">
      <c r="E230" t="s">
        <v>14</v>
      </c>
      <c r="F230" t="s">
        <v>7</v>
      </c>
      <c r="G230" s="2">
        <f t="shared" ref="G230:AA230" si="88">SUM(G222:G228)</f>
        <v>-395046.14224972186</v>
      </c>
      <c r="H230" s="2">
        <f t="shared" ca="1" si="88"/>
        <v>16225451.181880441</v>
      </c>
      <c r="I230" s="2">
        <f t="shared" ca="1" si="88"/>
        <v>16072542.140427545</v>
      </c>
      <c r="J230" s="2">
        <f t="shared" ca="1" si="88"/>
        <v>16223215.384661615</v>
      </c>
      <c r="K230" s="2">
        <f t="shared" ca="1" si="88"/>
        <v>15520225.742324136</v>
      </c>
      <c r="L230" s="2">
        <f t="shared" ca="1" si="88"/>
        <v>14758403.35660024</v>
      </c>
      <c r="M230" s="2">
        <f t="shared" ca="1" si="88"/>
        <v>14025845.967961643</v>
      </c>
      <c r="N230" s="2">
        <f t="shared" ca="1" si="88"/>
        <v>13304442.323406139</v>
      </c>
      <c r="O230" s="2">
        <f t="shared" ca="1" si="88"/>
        <v>12591464.872881569</v>
      </c>
      <c r="P230" s="2">
        <f t="shared" ca="1" si="88"/>
        <v>13327090.047349337</v>
      </c>
      <c r="Q230" s="2">
        <f t="shared" ca="1" si="88"/>
        <v>14111215.075472351</v>
      </c>
      <c r="R230" s="2">
        <f t="shared" ca="1" si="88"/>
        <v>15230185.591059422</v>
      </c>
      <c r="S230" s="2">
        <f t="shared" ca="1" si="88"/>
        <v>16453833.833425626</v>
      </c>
      <c r="T230" s="2">
        <f t="shared" ca="1" si="88"/>
        <v>17771741.247560844</v>
      </c>
      <c r="U230" s="2">
        <f t="shared" ca="1" si="88"/>
        <v>17814480.782441549</v>
      </c>
      <c r="V230" s="2">
        <f t="shared" ca="1" si="88"/>
        <v>17839173.101677518</v>
      </c>
      <c r="W230" s="2">
        <f t="shared" ca="1" si="88"/>
        <v>-3549783.0752905738</v>
      </c>
      <c r="X230" s="2">
        <f t="shared" ca="1" si="88"/>
        <v>-3579372.36782734</v>
      </c>
      <c r="Y230" s="2">
        <f t="shared" ca="1" si="88"/>
        <v>-3609583.0355073772</v>
      </c>
      <c r="Z230" s="2">
        <f t="shared" ca="1" si="88"/>
        <v>-3640428.1272086957</v>
      </c>
      <c r="AA230" s="2">
        <f t="shared" ca="1" si="88"/>
        <v>-3671920.9658357417</v>
      </c>
    </row>
    <row r="231" spans="4:28" customFormat="1" x14ac:dyDescent="0.25">
      <c r="E231" t="s">
        <v>15</v>
      </c>
      <c r="F231" t="s">
        <v>7</v>
      </c>
      <c r="G231" s="2">
        <f>-G230*G$18</f>
        <v>118513.84267491655</v>
      </c>
      <c r="H231" s="2">
        <f ca="1">-H230*H$18</f>
        <v>-4867635.3545641322</v>
      </c>
      <c r="I231" s="2">
        <f t="shared" ref="I231:AA231" ca="1" si="89">-I230*I$18</f>
        <v>-4821762.6421282636</v>
      </c>
      <c r="J231" s="2">
        <f t="shared" ca="1" si="89"/>
        <v>-4866964.6153984843</v>
      </c>
      <c r="K231" s="2">
        <f t="shared" ca="1" si="89"/>
        <v>-4656067.7226972403</v>
      </c>
      <c r="L231" s="2">
        <f t="shared" ca="1" si="89"/>
        <v>-4427521.0069800718</v>
      </c>
      <c r="M231" s="2">
        <f t="shared" ca="1" si="89"/>
        <v>-4207753.7903884929</v>
      </c>
      <c r="N231" s="2">
        <f t="shared" ca="1" si="89"/>
        <v>-3991332.6970218415</v>
      </c>
      <c r="O231" s="2">
        <f t="shared" ca="1" si="89"/>
        <v>-3777439.4618644705</v>
      </c>
      <c r="P231" s="2">
        <f t="shared" ca="1" si="89"/>
        <v>-3998127.0142048011</v>
      </c>
      <c r="Q231" s="2">
        <f t="shared" ca="1" si="89"/>
        <v>-4233364.5226417053</v>
      </c>
      <c r="R231" s="2">
        <f t="shared" ca="1" si="89"/>
        <v>-4569055.6773178261</v>
      </c>
      <c r="S231" s="2">
        <f t="shared" ca="1" si="89"/>
        <v>-4936150.1500276877</v>
      </c>
      <c r="T231" s="2">
        <f t="shared" ca="1" si="89"/>
        <v>-5331522.3742682533</v>
      </c>
      <c r="U231" s="2">
        <f t="shared" ca="1" si="89"/>
        <v>-5344344.2347324649</v>
      </c>
      <c r="V231" s="2">
        <f t="shared" ca="1" si="89"/>
        <v>-5351751.9305032557</v>
      </c>
      <c r="W231" s="2">
        <f t="shared" ca="1" si="89"/>
        <v>1064934.9225871721</v>
      </c>
      <c r="X231" s="2">
        <f t="shared" ca="1" si="89"/>
        <v>1073811.7103482019</v>
      </c>
      <c r="Y231" s="2">
        <f t="shared" ca="1" si="89"/>
        <v>1082874.910652213</v>
      </c>
      <c r="Z231" s="2">
        <f t="shared" ca="1" si="89"/>
        <v>1092128.4381626088</v>
      </c>
      <c r="AA231" s="2">
        <f t="shared" ca="1" si="89"/>
        <v>1101576.2897507225</v>
      </c>
    </row>
    <row r="232" spans="4:28" customFormat="1" x14ac:dyDescent="0.25"/>
    <row r="233" spans="4:28" customFormat="1" x14ac:dyDescent="0.25">
      <c r="D233" t="s">
        <v>28</v>
      </c>
    </row>
    <row r="234" spans="4:28" customFormat="1" x14ac:dyDescent="0.25">
      <c r="E234" t="s">
        <v>1</v>
      </c>
      <c r="F234" t="s">
        <v>7</v>
      </c>
      <c r="G234" s="2">
        <f t="shared" ref="G234:AA234" si="90">-G26</f>
        <v>-31603691.379977748</v>
      </c>
      <c r="H234" s="2">
        <f t="shared" si="90"/>
        <v>-238420.80753308855</v>
      </c>
      <c r="I234" s="2">
        <f t="shared" si="90"/>
        <v>-1511371.2323077051</v>
      </c>
      <c r="J234" s="2">
        <f t="shared" si="90"/>
        <v>-1859814.5462058275</v>
      </c>
      <c r="K234" s="2">
        <f t="shared" si="90"/>
        <v>0</v>
      </c>
      <c r="L234" s="2">
        <f t="shared" si="90"/>
        <v>-1994418.449607946</v>
      </c>
      <c r="M234" s="2">
        <f t="shared" si="90"/>
        <v>-1360077.1679169273</v>
      </c>
      <c r="N234" s="2">
        <f t="shared" si="90"/>
        <v>0</v>
      </c>
      <c r="O234" s="2">
        <f t="shared" si="90"/>
        <v>0</v>
      </c>
      <c r="P234" s="2">
        <f t="shared" si="90"/>
        <v>0</v>
      </c>
      <c r="Q234" s="2">
        <f t="shared" si="90"/>
        <v>0</v>
      </c>
      <c r="R234" s="2">
        <f t="shared" si="90"/>
        <v>0</v>
      </c>
      <c r="S234" s="2">
        <f t="shared" si="90"/>
        <v>0</v>
      </c>
      <c r="T234" s="2">
        <f t="shared" si="90"/>
        <v>0</v>
      </c>
      <c r="U234" s="2">
        <f t="shared" si="90"/>
        <v>0</v>
      </c>
      <c r="V234" s="2">
        <f t="shared" si="90"/>
        <v>0</v>
      </c>
      <c r="W234" s="2">
        <f t="shared" si="90"/>
        <v>0</v>
      </c>
      <c r="X234" s="2">
        <f t="shared" si="90"/>
        <v>0</v>
      </c>
      <c r="Y234" s="2">
        <f t="shared" si="90"/>
        <v>0</v>
      </c>
      <c r="Z234" s="2">
        <f t="shared" si="90"/>
        <v>0</v>
      </c>
      <c r="AA234" s="2">
        <f t="shared" si="90"/>
        <v>0</v>
      </c>
    </row>
    <row r="235" spans="4:28" customFormat="1" x14ac:dyDescent="0.25">
      <c r="E235" t="s">
        <v>19</v>
      </c>
      <c r="F235" t="s">
        <v>7</v>
      </c>
      <c r="G235" s="2">
        <f t="shared" ref="G235:AA235" si="91">G84</f>
        <v>0</v>
      </c>
      <c r="H235" s="2">
        <f t="shared" si="91"/>
        <v>0</v>
      </c>
      <c r="I235" s="2">
        <f t="shared" si="91"/>
        <v>0</v>
      </c>
      <c r="J235" s="2">
        <f t="shared" si="91"/>
        <v>0</v>
      </c>
      <c r="K235" s="2">
        <f t="shared" si="91"/>
        <v>0</v>
      </c>
      <c r="L235" s="2">
        <f t="shared" si="91"/>
        <v>0</v>
      </c>
      <c r="M235" s="2">
        <f t="shared" si="91"/>
        <v>0</v>
      </c>
      <c r="N235" s="2">
        <f t="shared" si="91"/>
        <v>0</v>
      </c>
      <c r="O235" s="2">
        <f t="shared" si="91"/>
        <v>0</v>
      </c>
      <c r="P235" s="2">
        <f t="shared" si="91"/>
        <v>0</v>
      </c>
      <c r="Q235" s="2">
        <f t="shared" si="91"/>
        <v>0</v>
      </c>
      <c r="R235" s="2">
        <f t="shared" si="91"/>
        <v>0</v>
      </c>
      <c r="S235" s="2">
        <f t="shared" si="91"/>
        <v>0</v>
      </c>
      <c r="T235" s="2">
        <f t="shared" si="91"/>
        <v>0</v>
      </c>
      <c r="U235" s="2">
        <f t="shared" si="91"/>
        <v>0</v>
      </c>
      <c r="V235" s="2">
        <f t="shared" si="91"/>
        <v>0</v>
      </c>
      <c r="W235" s="2">
        <f t="shared" si="91"/>
        <v>0</v>
      </c>
      <c r="X235" s="2">
        <f t="shared" si="91"/>
        <v>0</v>
      </c>
      <c r="Y235" s="2">
        <f t="shared" si="91"/>
        <v>0</v>
      </c>
      <c r="Z235" s="2">
        <f t="shared" si="91"/>
        <v>0</v>
      </c>
      <c r="AA235" s="2">
        <f t="shared" si="91"/>
        <v>0</v>
      </c>
    </row>
    <row r="236" spans="4:28" customFormat="1" x14ac:dyDescent="0.25">
      <c r="E236" t="s">
        <v>109</v>
      </c>
      <c r="F236" t="s">
        <v>7</v>
      </c>
      <c r="G236" s="2">
        <f t="shared" ref="G236:AA236" si="92">G53</f>
        <v>0</v>
      </c>
      <c r="H236" s="2">
        <f t="shared" si="92"/>
        <v>0</v>
      </c>
      <c r="I236" s="2">
        <f t="shared" si="92"/>
        <v>0</v>
      </c>
      <c r="J236" s="2">
        <f t="shared" si="92"/>
        <v>0</v>
      </c>
      <c r="K236" s="2">
        <f t="shared" si="92"/>
        <v>0</v>
      </c>
      <c r="L236" s="2">
        <f t="shared" si="92"/>
        <v>0</v>
      </c>
      <c r="M236" s="2">
        <f t="shared" si="92"/>
        <v>0</v>
      </c>
      <c r="N236" s="2">
        <f t="shared" si="92"/>
        <v>0</v>
      </c>
      <c r="O236" s="2">
        <f t="shared" si="92"/>
        <v>0</v>
      </c>
      <c r="P236" s="2">
        <f t="shared" si="92"/>
        <v>0</v>
      </c>
      <c r="Q236" s="2">
        <f t="shared" si="92"/>
        <v>0</v>
      </c>
      <c r="R236" s="2">
        <f t="shared" si="92"/>
        <v>0</v>
      </c>
      <c r="S236" s="2">
        <f t="shared" si="92"/>
        <v>0</v>
      </c>
      <c r="T236" s="2">
        <f t="shared" si="92"/>
        <v>0</v>
      </c>
      <c r="U236" s="2">
        <f t="shared" si="92"/>
        <v>0</v>
      </c>
      <c r="V236" s="2">
        <f t="shared" si="92"/>
        <v>0</v>
      </c>
      <c r="W236" s="2">
        <f t="shared" si="92"/>
        <v>0</v>
      </c>
      <c r="X236" s="2">
        <f t="shared" si="92"/>
        <v>0</v>
      </c>
      <c r="Y236" s="2">
        <f t="shared" si="92"/>
        <v>0</v>
      </c>
      <c r="Z236" s="2">
        <f t="shared" si="92"/>
        <v>0</v>
      </c>
      <c r="AA236" s="2">
        <f t="shared" si="92"/>
        <v>0</v>
      </c>
    </row>
    <row r="237" spans="4:28" customFormat="1" x14ac:dyDescent="0.25">
      <c r="E237" t="s">
        <v>11</v>
      </c>
      <c r="F237" t="s">
        <v>7</v>
      </c>
      <c r="G237" s="2">
        <f t="shared" ref="G237:AA237" si="93">G177</f>
        <v>0</v>
      </c>
      <c r="H237" s="2">
        <f t="shared" si="93"/>
        <v>95188.648042748115</v>
      </c>
      <c r="I237" s="2">
        <f t="shared" si="93"/>
        <v>187070.36522827731</v>
      </c>
      <c r="J237" s="2">
        <f t="shared" si="93"/>
        <v>285199.40049687558</v>
      </c>
      <c r="K237" s="2">
        <f t="shared" si="93"/>
        <v>382220.1597615697</v>
      </c>
      <c r="L237" s="2">
        <f t="shared" si="93"/>
        <v>477913.88219089445</v>
      </c>
      <c r="M237" s="2">
        <f t="shared" si="93"/>
        <v>572359.69539727166</v>
      </c>
      <c r="N237" s="2">
        <f t="shared" si="93"/>
        <v>665490.80609649548</v>
      </c>
      <c r="O237" s="2">
        <f t="shared" si="93"/>
        <v>757316.9467073651</v>
      </c>
      <c r="P237" s="2">
        <f t="shared" si="93"/>
        <v>855615.42708720453</v>
      </c>
      <c r="Q237" s="2">
        <f t="shared" si="93"/>
        <v>960788.74880751828</v>
      </c>
      <c r="R237" s="2">
        <f t="shared" si="93"/>
        <v>1075234.9504777857</v>
      </c>
      <c r="S237" s="2">
        <f t="shared" si="93"/>
        <v>1199799.8573717987</v>
      </c>
      <c r="T237" s="2">
        <f t="shared" si="93"/>
        <v>1335299.3168401583</v>
      </c>
      <c r="U237" s="2">
        <f t="shared" si="93"/>
        <v>1475223.4925204499</v>
      </c>
      <c r="V237" s="2">
        <f t="shared" si="93"/>
        <v>1619599.3615972986</v>
      </c>
      <c r="W237" s="2">
        <f t="shared" si="93"/>
        <v>1653610.9481908416</v>
      </c>
      <c r="X237" s="2">
        <f t="shared" si="93"/>
        <v>1688336.7781028489</v>
      </c>
      <c r="Y237" s="2">
        <f t="shared" si="93"/>
        <v>1723791.8504430086</v>
      </c>
      <c r="Z237" s="2">
        <f t="shared" si="93"/>
        <v>1759991.4793023115</v>
      </c>
      <c r="AA237" s="2">
        <f t="shared" si="93"/>
        <v>1796951.3003676601</v>
      </c>
      <c r="AB237" s="2">
        <f t="shared" ref="AB237:AB241" si="94">IF(V237=0,0,IF($G$15&gt;(AA237/V237)^(1/5)-1+2%,AA237*(AA237/V237)^(1/5)/($G$15-((AA237/V237)^(1/5)-1)),AA237*(1+$G$14)/$G$16))</f>
        <v>59898376.678922132</v>
      </c>
    </row>
    <row r="238" spans="4:28" customFormat="1" x14ac:dyDescent="0.25">
      <c r="E238" t="s">
        <v>57</v>
      </c>
      <c r="F238" t="s">
        <v>7</v>
      </c>
      <c r="G238" s="2">
        <f t="shared" ref="G238:AA238" si="95">G224</f>
        <v>0</v>
      </c>
      <c r="H238" s="2">
        <f t="shared" si="95"/>
        <v>0</v>
      </c>
      <c r="I238" s="2">
        <f t="shared" si="95"/>
        <v>0</v>
      </c>
      <c r="J238" s="2">
        <f t="shared" si="95"/>
        <v>0</v>
      </c>
      <c r="K238" s="2">
        <f t="shared" si="95"/>
        <v>0</v>
      </c>
      <c r="L238" s="2">
        <f t="shared" si="95"/>
        <v>0</v>
      </c>
      <c r="M238" s="2">
        <f t="shared" si="95"/>
        <v>0</v>
      </c>
      <c r="N238" s="2">
        <f t="shared" si="95"/>
        <v>0</v>
      </c>
      <c r="O238" s="2">
        <f t="shared" si="95"/>
        <v>0</v>
      </c>
      <c r="P238" s="2">
        <f t="shared" si="95"/>
        <v>0</v>
      </c>
      <c r="Q238" s="2">
        <f t="shared" si="95"/>
        <v>0</v>
      </c>
      <c r="R238" s="2">
        <f t="shared" si="95"/>
        <v>0</v>
      </c>
      <c r="S238" s="2">
        <f t="shared" si="95"/>
        <v>0</v>
      </c>
      <c r="T238" s="2">
        <f t="shared" si="95"/>
        <v>0</v>
      </c>
      <c r="U238" s="2">
        <f t="shared" si="95"/>
        <v>0</v>
      </c>
      <c r="V238" s="2">
        <f t="shared" si="95"/>
        <v>0</v>
      </c>
      <c r="W238" s="2">
        <f t="shared" si="95"/>
        <v>0</v>
      </c>
      <c r="X238" s="2">
        <f t="shared" si="95"/>
        <v>0</v>
      </c>
      <c r="Y238" s="2">
        <f t="shared" si="95"/>
        <v>0</v>
      </c>
      <c r="Z238" s="2">
        <f t="shared" si="95"/>
        <v>0</v>
      </c>
      <c r="AA238" s="2">
        <f t="shared" si="95"/>
        <v>0</v>
      </c>
      <c r="AB238" s="2">
        <f t="shared" si="94"/>
        <v>0</v>
      </c>
    </row>
    <row r="239" spans="4:28" customFormat="1" x14ac:dyDescent="0.25">
      <c r="E239" t="s">
        <v>10</v>
      </c>
      <c r="F239" t="s">
        <v>7</v>
      </c>
      <c r="G239" s="2">
        <f t="shared" ref="G239:AA239" si="96">-G200</f>
        <v>0</v>
      </c>
      <c r="H239" s="2">
        <f t="shared" si="96"/>
        <v>-171466.73999999996</v>
      </c>
      <c r="I239" s="2">
        <f t="shared" si="96"/>
        <v>-346469.8605239999</v>
      </c>
      <c r="J239" s="2">
        <f t="shared" si="96"/>
        <v>-528212.9876161936</v>
      </c>
      <c r="K239" s="2">
        <f t="shared" si="96"/>
        <v>-707903.49545986997</v>
      </c>
      <c r="L239" s="2">
        <f t="shared" si="96"/>
        <v>-885136.2208177977</v>
      </c>
      <c r="M239" s="2">
        <f t="shared" si="96"/>
        <v>-1060057.7146030834</v>
      </c>
      <c r="N239" s="2">
        <f t="shared" si="96"/>
        <v>-1232544.2701033654</v>
      </c>
      <c r="O239" s="2">
        <f t="shared" si="96"/>
        <v>-1402613.9125669494</v>
      </c>
      <c r="P239" s="2">
        <f t="shared" si="96"/>
        <v>-1584670.8660847587</v>
      </c>
      <c r="Q239" s="2">
        <f t="shared" si="96"/>
        <v>-1779460.5970120318</v>
      </c>
      <c r="R239" s="2">
        <f t="shared" si="96"/>
        <v>-1991424.4721122517</v>
      </c>
      <c r="S239" s="2">
        <f t="shared" si="96"/>
        <v>-2222129.030074113</v>
      </c>
      <c r="T239" s="2">
        <f t="shared" si="96"/>
        <v>-2473085.2879816247</v>
      </c>
      <c r="U239" s="2">
        <f t="shared" si="96"/>
        <v>-2732236.4879738204</v>
      </c>
      <c r="V239" s="2">
        <f t="shared" si="96"/>
        <v>-2999632.5940382234</v>
      </c>
      <c r="W239" s="2">
        <f t="shared" si="96"/>
        <v>-3062624.8785130256</v>
      </c>
      <c r="X239" s="2">
        <f t="shared" si="96"/>
        <v>-3126940.0009617992</v>
      </c>
      <c r="Y239" s="2">
        <f t="shared" si="96"/>
        <v>-3192605.7409819965</v>
      </c>
      <c r="Z239" s="2">
        <f t="shared" si="96"/>
        <v>-3259650.461542618</v>
      </c>
      <c r="AA239" s="2">
        <f t="shared" si="96"/>
        <v>-3328103.1212350125</v>
      </c>
      <c r="AB239" s="2">
        <f t="shared" si="94"/>
        <v>-110936770.70783398</v>
      </c>
    </row>
    <row r="240" spans="4:28" customFormat="1" x14ac:dyDescent="0.25">
      <c r="E240" t="s">
        <v>48</v>
      </c>
      <c r="F240" t="s">
        <v>7</v>
      </c>
      <c r="G240" s="2">
        <f t="shared" ref="G240:AA240" si="97">G207</f>
        <v>0</v>
      </c>
      <c r="H240" s="2">
        <f t="shared" si="97"/>
        <v>0</v>
      </c>
      <c r="I240" s="2">
        <f t="shared" si="97"/>
        <v>0</v>
      </c>
      <c r="J240" s="2">
        <f t="shared" si="97"/>
        <v>0</v>
      </c>
      <c r="K240" s="2">
        <f t="shared" si="97"/>
        <v>0</v>
      </c>
      <c r="L240" s="2">
        <f t="shared" si="97"/>
        <v>0</v>
      </c>
      <c r="M240" s="2">
        <f t="shared" si="97"/>
        <v>0</v>
      </c>
      <c r="N240" s="2">
        <f t="shared" si="97"/>
        <v>0</v>
      </c>
      <c r="O240" s="2">
        <f t="shared" si="97"/>
        <v>0</v>
      </c>
      <c r="P240" s="2">
        <f t="shared" si="97"/>
        <v>0</v>
      </c>
      <c r="Q240" s="2">
        <f t="shared" si="97"/>
        <v>0</v>
      </c>
      <c r="R240" s="2">
        <f t="shared" si="97"/>
        <v>0</v>
      </c>
      <c r="S240" s="2">
        <f t="shared" si="97"/>
        <v>0</v>
      </c>
      <c r="T240" s="2">
        <f t="shared" si="97"/>
        <v>0</v>
      </c>
      <c r="U240" s="2">
        <f t="shared" si="97"/>
        <v>0</v>
      </c>
      <c r="V240" s="2">
        <f t="shared" si="97"/>
        <v>0</v>
      </c>
      <c r="W240" s="2">
        <f t="shared" si="97"/>
        <v>0</v>
      </c>
      <c r="X240" s="2">
        <f t="shared" si="97"/>
        <v>0</v>
      </c>
      <c r="Y240" s="2">
        <f t="shared" si="97"/>
        <v>0</v>
      </c>
      <c r="Z240" s="2">
        <f t="shared" si="97"/>
        <v>0</v>
      </c>
      <c r="AA240" s="2">
        <f t="shared" si="97"/>
        <v>0</v>
      </c>
      <c r="AB240" s="2">
        <f t="shared" si="94"/>
        <v>0</v>
      </c>
    </row>
    <row r="241" spans="3:28" customFormat="1" x14ac:dyDescent="0.25">
      <c r="E241" t="s">
        <v>49</v>
      </c>
      <c r="F241" t="s">
        <v>7</v>
      </c>
      <c r="G241" s="2">
        <f t="shared" ref="G241:AA241" si="98">G214</f>
        <v>0</v>
      </c>
      <c r="H241" s="2">
        <f t="shared" si="98"/>
        <v>0</v>
      </c>
      <c r="I241" s="2">
        <f t="shared" si="98"/>
        <v>0</v>
      </c>
      <c r="J241" s="2">
        <f t="shared" si="98"/>
        <v>0</v>
      </c>
      <c r="K241" s="2">
        <f t="shared" si="98"/>
        <v>0</v>
      </c>
      <c r="L241" s="2">
        <f t="shared" si="98"/>
        <v>0</v>
      </c>
      <c r="M241" s="2">
        <f t="shared" si="98"/>
        <v>0</v>
      </c>
      <c r="N241" s="2">
        <f t="shared" si="98"/>
        <v>0</v>
      </c>
      <c r="O241" s="2">
        <f t="shared" si="98"/>
        <v>0</v>
      </c>
      <c r="P241" s="2">
        <f t="shared" si="98"/>
        <v>0</v>
      </c>
      <c r="Q241" s="2">
        <f t="shared" si="98"/>
        <v>0</v>
      </c>
      <c r="R241" s="2">
        <f t="shared" si="98"/>
        <v>0</v>
      </c>
      <c r="S241" s="2">
        <f t="shared" si="98"/>
        <v>0</v>
      </c>
      <c r="T241" s="2">
        <f t="shared" si="98"/>
        <v>0</v>
      </c>
      <c r="U241" s="2">
        <f t="shared" si="98"/>
        <v>0</v>
      </c>
      <c r="V241" s="2">
        <f t="shared" si="98"/>
        <v>0</v>
      </c>
      <c r="W241" s="2">
        <f t="shared" si="98"/>
        <v>0</v>
      </c>
      <c r="X241" s="2">
        <f t="shared" si="98"/>
        <v>0</v>
      </c>
      <c r="Y241" s="2">
        <f t="shared" si="98"/>
        <v>0</v>
      </c>
      <c r="Z241" s="2">
        <f t="shared" si="98"/>
        <v>0</v>
      </c>
      <c r="AA241" s="2">
        <f t="shared" si="98"/>
        <v>0</v>
      </c>
      <c r="AB241" s="2">
        <f t="shared" si="94"/>
        <v>0</v>
      </c>
    </row>
    <row r="242" spans="3:28" customFormat="1" x14ac:dyDescent="0.25">
      <c r="E242" t="s">
        <v>20</v>
      </c>
      <c r="F242" t="s">
        <v>7</v>
      </c>
      <c r="G242" s="2">
        <f t="shared" ref="G242:AA242" si="99">G231</f>
        <v>118513.84267491655</v>
      </c>
      <c r="H242" s="2">
        <f t="shared" ca="1" si="99"/>
        <v>-4867635.3545641322</v>
      </c>
      <c r="I242" s="2">
        <f t="shared" ca="1" si="99"/>
        <v>-4821762.6421282636</v>
      </c>
      <c r="J242" s="2">
        <f t="shared" ca="1" si="99"/>
        <v>-4866964.6153984843</v>
      </c>
      <c r="K242" s="2">
        <f t="shared" ca="1" si="99"/>
        <v>-4656067.7226972403</v>
      </c>
      <c r="L242" s="2">
        <f t="shared" ca="1" si="99"/>
        <v>-4427521.0069800718</v>
      </c>
      <c r="M242" s="2">
        <f t="shared" ca="1" si="99"/>
        <v>-4207753.7903884929</v>
      </c>
      <c r="N242" s="2">
        <f t="shared" ca="1" si="99"/>
        <v>-3991332.6970218415</v>
      </c>
      <c r="O242" s="2">
        <f t="shared" ca="1" si="99"/>
        <v>-3777439.4618644705</v>
      </c>
      <c r="P242" s="2">
        <f t="shared" ca="1" si="99"/>
        <v>-3998127.0142048011</v>
      </c>
      <c r="Q242" s="2">
        <f t="shared" ca="1" si="99"/>
        <v>-4233364.5226417053</v>
      </c>
      <c r="R242" s="2">
        <f t="shared" ca="1" si="99"/>
        <v>-4569055.6773178261</v>
      </c>
      <c r="S242" s="2">
        <f t="shared" ca="1" si="99"/>
        <v>-4936150.1500276877</v>
      </c>
      <c r="T242" s="2">
        <f t="shared" ca="1" si="99"/>
        <v>-5331522.3742682533</v>
      </c>
      <c r="U242" s="2">
        <f t="shared" ca="1" si="99"/>
        <v>-5344344.2347324649</v>
      </c>
      <c r="V242" s="2">
        <f t="shared" ca="1" si="99"/>
        <v>-5351751.9305032557</v>
      </c>
      <c r="W242" s="2">
        <f t="shared" ca="1" si="99"/>
        <v>1064934.9225871721</v>
      </c>
      <c r="X242" s="2">
        <f t="shared" ca="1" si="99"/>
        <v>1073811.7103482019</v>
      </c>
      <c r="Y242" s="2">
        <f t="shared" ca="1" si="99"/>
        <v>1082874.910652213</v>
      </c>
      <c r="Z242" s="2">
        <f t="shared" ca="1" si="99"/>
        <v>1092128.4381626088</v>
      </c>
      <c r="AA242" s="2">
        <f t="shared" ca="1" si="99"/>
        <v>1101576.2897507225</v>
      </c>
      <c r="AB242" s="2">
        <f ca="1">IF(V242=0,0,IF($G$15&gt;(AA242/V242)^(1/5)-1+2%,AA242*(AA242/V242)^(1/5)/($G$15-((AA242/V242)^(1/5)-1)),AA242*(1+$G$14)/$G$16))</f>
        <v>-450976.96677781094</v>
      </c>
    </row>
    <row r="243" spans="3:28" customFormat="1" x14ac:dyDescent="0.25">
      <c r="E243" t="s">
        <v>173</v>
      </c>
      <c r="F243" t="s">
        <v>7</v>
      </c>
      <c r="G243" s="2">
        <f>-$G$17*G242</f>
        <v>-59256.921337458276</v>
      </c>
      <c r="H243" s="2">
        <f t="shared" ref="H243:AA243" ca="1" si="100">-$G$17*H242</f>
        <v>2433817.6772820661</v>
      </c>
      <c r="I243" s="2">
        <f t="shared" ca="1" si="100"/>
        <v>2410881.3210641318</v>
      </c>
      <c r="J243" s="2">
        <f t="shared" ca="1" si="100"/>
        <v>2433482.3076992421</v>
      </c>
      <c r="K243" s="2">
        <f t="shared" ca="1" si="100"/>
        <v>2328033.8613486202</v>
      </c>
      <c r="L243" s="2">
        <f t="shared" ca="1" si="100"/>
        <v>2213760.5034900359</v>
      </c>
      <c r="M243" s="2">
        <f t="shared" ca="1" si="100"/>
        <v>2103876.8951942464</v>
      </c>
      <c r="N243" s="2">
        <f t="shared" ca="1" si="100"/>
        <v>1995666.3485109208</v>
      </c>
      <c r="O243" s="2">
        <f t="shared" ca="1" si="100"/>
        <v>1888719.7309322353</v>
      </c>
      <c r="P243" s="2">
        <f t="shared" ca="1" si="100"/>
        <v>1999063.5071024005</v>
      </c>
      <c r="Q243" s="2">
        <f t="shared" ca="1" si="100"/>
        <v>2116682.2613208527</v>
      </c>
      <c r="R243" s="2">
        <f t="shared" ca="1" si="100"/>
        <v>2284527.838658913</v>
      </c>
      <c r="S243" s="2">
        <f t="shared" ca="1" si="100"/>
        <v>2468075.0750138438</v>
      </c>
      <c r="T243" s="2">
        <f t="shared" ca="1" si="100"/>
        <v>2665761.1871341267</v>
      </c>
      <c r="U243" s="2">
        <f t="shared" ca="1" si="100"/>
        <v>2672172.1173662324</v>
      </c>
      <c r="V243" s="2">
        <f t="shared" ca="1" si="100"/>
        <v>2675875.9652516278</v>
      </c>
      <c r="W243" s="2">
        <f t="shared" ca="1" si="100"/>
        <v>-532467.46129358606</v>
      </c>
      <c r="X243" s="2">
        <f t="shared" ca="1" si="100"/>
        <v>-536905.85517410096</v>
      </c>
      <c r="Y243" s="2">
        <f t="shared" ca="1" si="100"/>
        <v>-541437.45532610652</v>
      </c>
      <c r="Z243" s="2">
        <f t="shared" ca="1" si="100"/>
        <v>-546064.21908130439</v>
      </c>
      <c r="AA243" s="2">
        <f t="shared" ca="1" si="100"/>
        <v>-550788.14487536123</v>
      </c>
      <c r="AB243" s="2">
        <f t="shared" ref="AB243" ca="1" si="101">IF(V243=0,0,IF($G$15&gt;(AA243/V243)^(1/5)-1+2%,AA243*(AA243/V243)^(1/5)/($G$15-((AA243/V243)^(1/5)-1)),AA243*(1+$G$14)/$G$16))</f>
        <v>225488.48338890547</v>
      </c>
    </row>
    <row r="244" spans="3:28" customFormat="1" x14ac:dyDescent="0.25">
      <c r="E244" t="s">
        <v>23</v>
      </c>
      <c r="F244" t="s">
        <v>7</v>
      </c>
      <c r="G244" s="2">
        <f>SUM(G234:G243)</f>
        <v>-31544434.458640292</v>
      </c>
      <c r="H244" s="2">
        <f ca="1">SUM(H234:H243)</f>
        <v>-2748516.5767724067</v>
      </c>
      <c r="I244" s="2">
        <f t="shared" ref="I244:AB244" ca="1" si="102">SUM(I234:I243)</f>
        <v>-4081652.0486675589</v>
      </c>
      <c r="J244" s="2">
        <f t="shared" ca="1" si="102"/>
        <v>-4536310.4410243873</v>
      </c>
      <c r="K244" s="2">
        <f t="shared" ca="1" si="102"/>
        <v>-2653717.1970469202</v>
      </c>
      <c r="L244" s="2">
        <f t="shared" ca="1" si="102"/>
        <v>-4615401.2917248849</v>
      </c>
      <c r="M244" s="2">
        <f t="shared" ca="1" si="102"/>
        <v>-3951652.0823169854</v>
      </c>
      <c r="N244" s="2">
        <f t="shared" ca="1" si="102"/>
        <v>-2562719.8125177901</v>
      </c>
      <c r="O244" s="2">
        <f t="shared" ca="1" si="102"/>
        <v>-2534016.6967918198</v>
      </c>
      <c r="P244" s="2">
        <f t="shared" ca="1" si="102"/>
        <v>-2728118.9460999551</v>
      </c>
      <c r="Q244" s="2">
        <f t="shared" ca="1" si="102"/>
        <v>-2935354.1095253667</v>
      </c>
      <c r="R244" s="2">
        <f t="shared" ca="1" si="102"/>
        <v>-3200717.3602933791</v>
      </c>
      <c r="S244" s="2">
        <f t="shared" ca="1" si="102"/>
        <v>-3490404.2477161582</v>
      </c>
      <c r="T244" s="2">
        <f t="shared" ca="1" si="102"/>
        <v>-3803547.1582755926</v>
      </c>
      <c r="U244" s="2">
        <f t="shared" ca="1" si="102"/>
        <v>-3929185.1128196032</v>
      </c>
      <c r="V244" s="2">
        <f t="shared" ca="1" si="102"/>
        <v>-4055909.197692553</v>
      </c>
      <c r="W244" s="2">
        <f t="shared" ca="1" si="102"/>
        <v>-876546.46902859793</v>
      </c>
      <c r="X244" s="2">
        <f t="shared" ca="1" si="102"/>
        <v>-901697.36768484931</v>
      </c>
      <c r="Y244" s="2">
        <f t="shared" ca="1" si="102"/>
        <v>-927376.43521288142</v>
      </c>
      <c r="Z244" s="2">
        <f t="shared" ca="1" si="102"/>
        <v>-953594.76315900206</v>
      </c>
      <c r="AA244" s="2">
        <f t="shared" ca="1" si="102"/>
        <v>-980363.67599199119</v>
      </c>
      <c r="AB244" s="2">
        <f t="shared" ca="1" si="102"/>
        <v>-51263882.512300745</v>
      </c>
    </row>
    <row r="245" spans="3:28" customFormat="1" x14ac:dyDescent="0.25">
      <c r="E245" t="s">
        <v>31</v>
      </c>
      <c r="F245" t="s">
        <v>7</v>
      </c>
      <c r="G245" s="2">
        <f ca="1">NPV($G$15,H244:AB244)+G244</f>
        <v>-86690318.865253359</v>
      </c>
    </row>
    <row r="247" spans="3:28" customFormat="1" x14ac:dyDescent="0.25">
      <c r="E247" t="s">
        <v>13</v>
      </c>
      <c r="F247" t="s">
        <v>7</v>
      </c>
      <c r="H247" s="2">
        <f t="shared" ref="H247:AA247" ca="1" si="103">H219</f>
        <v>8468756.7855565809</v>
      </c>
      <c r="I247" s="2">
        <f t="shared" ca="1" si="103"/>
        <v>8465575.0261297524</v>
      </c>
      <c r="J247" s="2">
        <f t="shared" ca="1" si="103"/>
        <v>8616952.723087376</v>
      </c>
      <c r="K247" s="2">
        <f t="shared" ca="1" si="103"/>
        <v>8327071.2081904244</v>
      </c>
      <c r="L247" s="2">
        <f t="shared" ca="1" si="103"/>
        <v>8019307.6065541515</v>
      </c>
      <c r="M247" s="2">
        <f t="shared" ca="1" si="103"/>
        <v>7721331.3586867498</v>
      </c>
      <c r="N247" s="2">
        <f t="shared" ca="1" si="103"/>
        <v>7419642.4162151841</v>
      </c>
      <c r="O247" s="2">
        <f t="shared" ca="1" si="103"/>
        <v>7121369.240244424</v>
      </c>
      <c r="P247" s="2">
        <f t="shared" ca="1" si="103"/>
        <v>7537028.712278503</v>
      </c>
      <c r="Q247" s="2">
        <f t="shared" ca="1" si="103"/>
        <v>7977073.6901889956</v>
      </c>
      <c r="R247" s="2">
        <f t="shared" ca="1" si="103"/>
        <v>8623271.8160428982</v>
      </c>
      <c r="S247" s="2">
        <f t="shared" ca="1" si="103"/>
        <v>9329028.5390901044</v>
      </c>
      <c r="T247" s="2">
        <f t="shared" ca="1" si="103"/>
        <v>10089976.841537073</v>
      </c>
      <c r="U247" s="2">
        <f t="shared" ca="1" si="103"/>
        <v>10234435.957247978</v>
      </c>
      <c r="V247" s="2">
        <f t="shared" ca="1" si="103"/>
        <v>10372863.071996231</v>
      </c>
      <c r="W247" s="2">
        <f t="shared" ca="1" si="103"/>
        <v>0</v>
      </c>
      <c r="X247" s="2">
        <f t="shared" ca="1" si="103"/>
        <v>0</v>
      </c>
      <c r="Y247" s="2">
        <f t="shared" ca="1" si="103"/>
        <v>0</v>
      </c>
      <c r="Z247" s="2">
        <f t="shared" ca="1" si="103"/>
        <v>0</v>
      </c>
      <c r="AA247" s="2">
        <f t="shared" ca="1" si="103"/>
        <v>0</v>
      </c>
    </row>
    <row r="248" spans="3:28" customFormat="1" x14ac:dyDescent="0.25">
      <c r="E248" t="s">
        <v>24</v>
      </c>
      <c r="F248" t="s">
        <v>7</v>
      </c>
      <c r="G248" s="2">
        <f ca="1">NPV($G$15,H247:AA247)+G247</f>
        <v>86690318.865253389</v>
      </c>
    </row>
    <row r="249" spans="3:28" customFormat="1" x14ac:dyDescent="0.25">
      <c r="E249" s="3" t="s">
        <v>34</v>
      </c>
      <c r="F249" s="3"/>
      <c r="G249" s="4" t="str">
        <f ca="1">IF(G245&gt;0,"N/A",IF(ABS(G245+G248)&gt;1,"Error","OK"))</f>
        <v>OK</v>
      </c>
    </row>
    <row r="251" spans="3:28" customFormat="1" x14ac:dyDescent="0.25">
      <c r="C251" s="1" t="s">
        <v>35</v>
      </c>
      <c r="D251" s="1"/>
    </row>
    <row r="252" spans="3:28" customFormat="1" x14ac:dyDescent="0.25">
      <c r="C252" s="1"/>
      <c r="D252" s="1"/>
      <c r="G252" s="8"/>
    </row>
    <row r="253" spans="3:28" customFormat="1" x14ac:dyDescent="0.25">
      <c r="C253" s="1"/>
      <c r="D253" t="s">
        <v>35</v>
      </c>
      <c r="F253" t="s">
        <v>7</v>
      </c>
      <c r="G253" s="8">
        <f ca="1">MAX(0,-G279)</f>
        <v>86699928.876130223</v>
      </c>
    </row>
    <row r="255" spans="3:28" customFormat="1" x14ac:dyDescent="0.25">
      <c r="D255" t="s">
        <v>9</v>
      </c>
    </row>
    <row r="256" spans="3:28" customFormat="1" x14ac:dyDescent="0.25">
      <c r="E256" t="s">
        <v>107</v>
      </c>
      <c r="F256" t="s">
        <v>7</v>
      </c>
      <c r="G256" s="2">
        <f t="shared" ref="G256:AA261" si="104">G222</f>
        <v>0</v>
      </c>
      <c r="H256" s="2">
        <f t="shared" si="104"/>
        <v>8335188.7499999981</v>
      </c>
      <c r="I256" s="2">
        <f t="shared" si="104"/>
        <v>8392379.7586999964</v>
      </c>
      <c r="J256" s="2">
        <f t="shared" si="104"/>
        <v>8606113.4983570743</v>
      </c>
      <c r="K256" s="2">
        <f t="shared" si="104"/>
        <v>8380430.5007549655</v>
      </c>
      <c r="L256" s="2">
        <f t="shared" si="104"/>
        <v>8134522.4812314399</v>
      </c>
      <c r="M256" s="2">
        <f t="shared" si="104"/>
        <v>7896119.479127205</v>
      </c>
      <c r="N256" s="2">
        <f t="shared" si="104"/>
        <v>7651402.7562980503</v>
      </c>
      <c r="O256" s="2">
        <f t="shared" si="104"/>
        <v>7407536.1859209668</v>
      </c>
      <c r="P256" s="2">
        <f t="shared" si="104"/>
        <v>7910137.0749292402</v>
      </c>
      <c r="Q256" s="2">
        <f t="shared" si="104"/>
        <v>8449451.6803531349</v>
      </c>
      <c r="R256" s="2">
        <f t="shared" si="104"/>
        <v>9133915.6896367148</v>
      </c>
      <c r="S256" s="2">
        <f t="shared" si="104"/>
        <v>9881465.1747074034</v>
      </c>
      <c r="T256" s="2">
        <f t="shared" si="104"/>
        <v>10687474.516288407</v>
      </c>
      <c r="U256" s="2">
        <f t="shared" si="104"/>
        <v>10840488.060526701</v>
      </c>
      <c r="V256" s="2">
        <f t="shared" si="104"/>
        <v>10987112.407090601</v>
      </c>
      <c r="W256" s="2">
        <f t="shared" si="104"/>
        <v>0</v>
      </c>
      <c r="X256" s="2">
        <f t="shared" si="104"/>
        <v>0</v>
      </c>
      <c r="Y256" s="2">
        <f t="shared" si="104"/>
        <v>0</v>
      </c>
      <c r="Z256" s="2">
        <f t="shared" si="104"/>
        <v>0</v>
      </c>
      <c r="AA256" s="2">
        <f t="shared" si="104"/>
        <v>0</v>
      </c>
    </row>
    <row r="257" spans="4:28" customFormat="1" x14ac:dyDescent="0.25">
      <c r="E257" t="s">
        <v>11</v>
      </c>
      <c r="F257" t="s">
        <v>7</v>
      </c>
      <c r="G257" s="2">
        <f t="shared" si="104"/>
        <v>0</v>
      </c>
      <c r="H257" s="2">
        <f t="shared" si="104"/>
        <v>95188.648042748115</v>
      </c>
      <c r="I257" s="2">
        <f t="shared" si="104"/>
        <v>187070.36522827731</v>
      </c>
      <c r="J257" s="2">
        <f t="shared" si="104"/>
        <v>285199.40049687558</v>
      </c>
      <c r="K257" s="2">
        <f t="shared" si="104"/>
        <v>382220.1597615697</v>
      </c>
      <c r="L257" s="2">
        <f t="shared" si="104"/>
        <v>477913.88219089445</v>
      </c>
      <c r="M257" s="2">
        <f t="shared" si="104"/>
        <v>572359.69539727166</v>
      </c>
      <c r="N257" s="2">
        <f t="shared" si="104"/>
        <v>665490.80609649548</v>
      </c>
      <c r="O257" s="2">
        <f t="shared" si="104"/>
        <v>757316.9467073651</v>
      </c>
      <c r="P257" s="2">
        <f t="shared" si="104"/>
        <v>855615.42708720453</v>
      </c>
      <c r="Q257" s="2">
        <f t="shared" si="104"/>
        <v>960788.74880751828</v>
      </c>
      <c r="R257" s="2">
        <f t="shared" si="104"/>
        <v>1075234.9504777857</v>
      </c>
      <c r="S257" s="2">
        <f t="shared" si="104"/>
        <v>1199799.8573717987</v>
      </c>
      <c r="T257" s="2">
        <f t="shared" si="104"/>
        <v>1335299.3168401583</v>
      </c>
      <c r="U257" s="2">
        <f t="shared" si="104"/>
        <v>1475223.4925204499</v>
      </c>
      <c r="V257" s="2">
        <f t="shared" si="104"/>
        <v>1619599.3615972986</v>
      </c>
      <c r="W257" s="2">
        <f t="shared" si="104"/>
        <v>1653610.9481908416</v>
      </c>
      <c r="X257" s="2">
        <f t="shared" si="104"/>
        <v>1688336.7781028489</v>
      </c>
      <c r="Y257" s="2">
        <f t="shared" si="104"/>
        <v>1723791.8504430086</v>
      </c>
      <c r="Z257" s="2">
        <f t="shared" si="104"/>
        <v>1759991.4793023115</v>
      </c>
      <c r="AA257" s="2">
        <f t="shared" si="104"/>
        <v>1796951.3003676601</v>
      </c>
    </row>
    <row r="258" spans="4:28" customFormat="1" x14ac:dyDescent="0.25">
      <c r="E258" t="s">
        <v>57</v>
      </c>
      <c r="F258" t="s">
        <v>7</v>
      </c>
      <c r="G258" s="2">
        <f t="shared" si="104"/>
        <v>0</v>
      </c>
      <c r="H258" s="2">
        <f t="shared" si="104"/>
        <v>0</v>
      </c>
      <c r="I258" s="2">
        <f t="shared" si="104"/>
        <v>0</v>
      </c>
      <c r="J258" s="2">
        <f t="shared" si="104"/>
        <v>0</v>
      </c>
      <c r="K258" s="2">
        <f t="shared" si="104"/>
        <v>0</v>
      </c>
      <c r="L258" s="2">
        <f t="shared" si="104"/>
        <v>0</v>
      </c>
      <c r="M258" s="2">
        <f t="shared" si="104"/>
        <v>0</v>
      </c>
      <c r="N258" s="2">
        <f t="shared" si="104"/>
        <v>0</v>
      </c>
      <c r="O258" s="2">
        <f t="shared" si="104"/>
        <v>0</v>
      </c>
      <c r="P258" s="2">
        <f t="shared" si="104"/>
        <v>0</v>
      </c>
      <c r="Q258" s="2">
        <f t="shared" si="104"/>
        <v>0</v>
      </c>
      <c r="R258" s="2">
        <f t="shared" si="104"/>
        <v>0</v>
      </c>
      <c r="S258" s="2">
        <f t="shared" si="104"/>
        <v>0</v>
      </c>
      <c r="T258" s="2">
        <f t="shared" si="104"/>
        <v>0</v>
      </c>
      <c r="U258" s="2">
        <f t="shared" si="104"/>
        <v>0</v>
      </c>
      <c r="V258" s="2">
        <f t="shared" si="104"/>
        <v>0</v>
      </c>
      <c r="W258" s="2">
        <f t="shared" si="104"/>
        <v>0</v>
      </c>
      <c r="X258" s="2">
        <f t="shared" si="104"/>
        <v>0</v>
      </c>
      <c r="Y258" s="2">
        <f t="shared" si="104"/>
        <v>0</v>
      </c>
      <c r="Z258" s="2">
        <f t="shared" si="104"/>
        <v>0</v>
      </c>
      <c r="AA258" s="2">
        <f t="shared" si="104"/>
        <v>0</v>
      </c>
    </row>
    <row r="259" spans="4:28" customFormat="1" x14ac:dyDescent="0.25">
      <c r="E259" t="s">
        <v>10</v>
      </c>
      <c r="F259" t="s">
        <v>7</v>
      </c>
      <c r="G259" s="2">
        <f t="shared" si="104"/>
        <v>0</v>
      </c>
      <c r="H259" s="2">
        <f t="shared" si="104"/>
        <v>-171466.73999999996</v>
      </c>
      <c r="I259" s="2">
        <f t="shared" si="104"/>
        <v>-346469.8605239999</v>
      </c>
      <c r="J259" s="2">
        <f t="shared" si="104"/>
        <v>-528212.9876161936</v>
      </c>
      <c r="K259" s="2">
        <f t="shared" si="104"/>
        <v>-707903.49545986997</v>
      </c>
      <c r="L259" s="2">
        <f t="shared" si="104"/>
        <v>-885136.2208177977</v>
      </c>
      <c r="M259" s="2">
        <f t="shared" si="104"/>
        <v>-1060057.7146030834</v>
      </c>
      <c r="N259" s="2">
        <f t="shared" si="104"/>
        <v>-1232544.2701033654</v>
      </c>
      <c r="O259" s="2">
        <f t="shared" si="104"/>
        <v>-1402613.9125669494</v>
      </c>
      <c r="P259" s="2">
        <f t="shared" si="104"/>
        <v>-1584670.8660847587</v>
      </c>
      <c r="Q259" s="2">
        <f t="shared" si="104"/>
        <v>-1779460.5970120318</v>
      </c>
      <c r="R259" s="2">
        <f t="shared" si="104"/>
        <v>-1991424.4721122517</v>
      </c>
      <c r="S259" s="2">
        <f t="shared" si="104"/>
        <v>-2222129.030074113</v>
      </c>
      <c r="T259" s="2">
        <f t="shared" si="104"/>
        <v>-2473085.2879816247</v>
      </c>
      <c r="U259" s="2">
        <f t="shared" si="104"/>
        <v>-2732236.4879738204</v>
      </c>
      <c r="V259" s="2">
        <f t="shared" si="104"/>
        <v>-2999632.5940382234</v>
      </c>
      <c r="W259" s="2">
        <f t="shared" si="104"/>
        <v>-3062624.8785130256</v>
      </c>
      <c r="X259" s="2">
        <f t="shared" si="104"/>
        <v>-3126940.0009617992</v>
      </c>
      <c r="Y259" s="2">
        <f t="shared" si="104"/>
        <v>-3192605.7409819965</v>
      </c>
      <c r="Z259" s="2">
        <f t="shared" si="104"/>
        <v>-3259650.461542618</v>
      </c>
      <c r="AA259" s="2">
        <f t="shared" si="104"/>
        <v>-3328103.1212350125</v>
      </c>
    </row>
    <row r="260" spans="4:28" customFormat="1" x14ac:dyDescent="0.25">
      <c r="E260" t="s">
        <v>12</v>
      </c>
      <c r="F260" t="s">
        <v>7</v>
      </c>
      <c r="G260" s="2">
        <f t="shared" si="104"/>
        <v>-395046.14224972186</v>
      </c>
      <c r="H260" s="2">
        <f t="shared" si="104"/>
        <v>-502216.26171888539</v>
      </c>
      <c r="I260" s="2">
        <f t="shared" si="104"/>
        <v>-626013.14910648169</v>
      </c>
      <c r="J260" s="2">
        <f t="shared" si="104"/>
        <v>-756837.24966351804</v>
      </c>
      <c r="K260" s="2">
        <f t="shared" si="104"/>
        <v>-861592.630922955</v>
      </c>
      <c r="L260" s="2">
        <f t="shared" si="104"/>
        <v>-988204.39255844743</v>
      </c>
      <c r="M260" s="2">
        <f t="shared" si="104"/>
        <v>-1103906.8506464991</v>
      </c>
      <c r="N260" s="2">
        <f t="shared" si="104"/>
        <v>-1199549.3851002248</v>
      </c>
      <c r="O260" s="2">
        <f t="shared" si="104"/>
        <v>-1292143.5874242368</v>
      </c>
      <c r="P260" s="2">
        <f t="shared" si="104"/>
        <v>-1391020.3008608525</v>
      </c>
      <c r="Q260" s="2">
        <f t="shared" si="104"/>
        <v>-1496638.4468652667</v>
      </c>
      <c r="R260" s="2">
        <f t="shared" si="104"/>
        <v>-1610812.3929857255</v>
      </c>
      <c r="S260" s="2">
        <f t="shared" si="104"/>
        <v>-1734330.707669568</v>
      </c>
      <c r="T260" s="2">
        <f t="shared" si="104"/>
        <v>-1867924.1391231732</v>
      </c>
      <c r="U260" s="2">
        <f t="shared" si="104"/>
        <v>-2003430.2398797569</v>
      </c>
      <c r="V260" s="2">
        <f t="shared" si="104"/>
        <v>-2140769.1449683895</v>
      </c>
      <c r="W260" s="2">
        <f t="shared" si="104"/>
        <v>-2140769.1449683895</v>
      </c>
      <c r="X260" s="2">
        <f t="shared" si="104"/>
        <v>-2140769.1449683895</v>
      </c>
      <c r="Y260" s="2">
        <f t="shared" si="104"/>
        <v>-2140769.1449683895</v>
      </c>
      <c r="Z260" s="2">
        <f t="shared" si="104"/>
        <v>-2140769.1449683895</v>
      </c>
      <c r="AA260" s="2">
        <f t="shared" si="104"/>
        <v>-2140769.1449683895</v>
      </c>
    </row>
    <row r="261" spans="4:28" customFormat="1" x14ac:dyDescent="0.25">
      <c r="E261" t="s">
        <v>48</v>
      </c>
      <c r="F261" t="s">
        <v>7</v>
      </c>
      <c r="G261" s="2">
        <f t="shared" si="104"/>
        <v>0</v>
      </c>
      <c r="H261" s="2">
        <f t="shared" si="104"/>
        <v>0</v>
      </c>
      <c r="I261" s="2">
        <f t="shared" si="104"/>
        <v>0</v>
      </c>
      <c r="J261" s="2">
        <f t="shared" si="104"/>
        <v>0</v>
      </c>
      <c r="K261" s="2">
        <f t="shared" si="104"/>
        <v>0</v>
      </c>
      <c r="L261" s="2">
        <f t="shared" si="104"/>
        <v>0</v>
      </c>
      <c r="M261" s="2">
        <f t="shared" si="104"/>
        <v>0</v>
      </c>
      <c r="N261" s="2">
        <f t="shared" si="104"/>
        <v>0</v>
      </c>
      <c r="O261" s="2">
        <f t="shared" si="104"/>
        <v>0</v>
      </c>
      <c r="P261" s="2">
        <f t="shared" si="104"/>
        <v>0</v>
      </c>
      <c r="Q261" s="2">
        <f t="shared" si="104"/>
        <v>0</v>
      </c>
      <c r="R261" s="2">
        <f t="shared" si="104"/>
        <v>0</v>
      </c>
      <c r="S261" s="2">
        <f t="shared" si="104"/>
        <v>0</v>
      </c>
      <c r="T261" s="2">
        <f t="shared" si="104"/>
        <v>0</v>
      </c>
      <c r="U261" s="2">
        <f t="shared" si="104"/>
        <v>0</v>
      </c>
      <c r="V261" s="2">
        <f t="shared" si="104"/>
        <v>0</v>
      </c>
      <c r="W261" s="2">
        <f t="shared" si="104"/>
        <v>0</v>
      </c>
      <c r="X261" s="2">
        <f t="shared" si="104"/>
        <v>0</v>
      </c>
      <c r="Y261" s="2">
        <f t="shared" si="104"/>
        <v>0</v>
      </c>
      <c r="Z261" s="2">
        <f t="shared" si="104"/>
        <v>0</v>
      </c>
      <c r="AA261" s="2">
        <f t="shared" si="104"/>
        <v>0</v>
      </c>
    </row>
    <row r="262" spans="4:28" customFormat="1" x14ac:dyDescent="0.25">
      <c r="E262" t="s">
        <v>13</v>
      </c>
      <c r="F262" t="s">
        <v>7</v>
      </c>
      <c r="G262" s="2">
        <f ca="1">G253</f>
        <v>86699928.876130223</v>
      </c>
      <c r="H262" s="2"/>
      <c r="I262" s="2"/>
      <c r="J262" s="2"/>
      <c r="K262" s="2"/>
      <c r="L262" s="2"/>
      <c r="M262" s="2"/>
      <c r="N262" s="2"/>
      <c r="O262" s="2"/>
      <c r="P262" s="2"/>
      <c r="Q262" s="2"/>
      <c r="R262" s="2"/>
      <c r="S262" s="2"/>
      <c r="T262" s="2"/>
      <c r="U262" s="2"/>
      <c r="V262" s="2"/>
      <c r="W262" s="2"/>
      <c r="X262" s="2"/>
      <c r="Y262" s="2"/>
      <c r="Z262" s="2"/>
      <c r="AA262" s="2"/>
    </row>
    <row r="263" spans="4:28" customFormat="1" x14ac:dyDescent="0.25"/>
    <row r="264" spans="4:28" customFormat="1" x14ac:dyDescent="0.25">
      <c r="E264" t="s">
        <v>14</v>
      </c>
      <c r="F264" t="s">
        <v>7</v>
      </c>
      <c r="G264" s="2">
        <f t="shared" ref="G264:AA264" ca="1" si="105">SUM(G256:G262)</f>
        <v>86304882.733880505</v>
      </c>
      <c r="H264" s="2">
        <f t="shared" si="105"/>
        <v>7756694.3963238606</v>
      </c>
      <c r="I264" s="2">
        <f t="shared" si="105"/>
        <v>7606967.1142977914</v>
      </c>
      <c r="J264" s="2">
        <f t="shared" si="105"/>
        <v>7606262.6615742389</v>
      </c>
      <c r="K264" s="2">
        <f t="shared" si="105"/>
        <v>7193154.5341337118</v>
      </c>
      <c r="L264" s="2">
        <f t="shared" si="105"/>
        <v>6739095.7500460893</v>
      </c>
      <c r="M264" s="2">
        <f t="shared" si="105"/>
        <v>6304514.609274894</v>
      </c>
      <c r="N264" s="2">
        <f t="shared" si="105"/>
        <v>5884799.9071909552</v>
      </c>
      <c r="O264" s="2">
        <f t="shared" si="105"/>
        <v>5470095.632637145</v>
      </c>
      <c r="P264" s="2">
        <f t="shared" si="105"/>
        <v>5790061.3350708336</v>
      </c>
      <c r="Q264" s="2">
        <f t="shared" si="105"/>
        <v>6134141.3852833547</v>
      </c>
      <c r="R264" s="2">
        <f t="shared" si="105"/>
        <v>6606913.7750165239</v>
      </c>
      <c r="S264" s="2">
        <f t="shared" si="105"/>
        <v>7124805.2943355208</v>
      </c>
      <c r="T264" s="2">
        <f t="shared" si="105"/>
        <v>7681764.4060237687</v>
      </c>
      <c r="U264" s="2">
        <f t="shared" si="105"/>
        <v>7580044.8251935728</v>
      </c>
      <c r="V264" s="2">
        <f t="shared" si="105"/>
        <v>7466310.0296812868</v>
      </c>
      <c r="W264" s="2">
        <f t="shared" si="105"/>
        <v>-3549783.0752905738</v>
      </c>
      <c r="X264" s="2">
        <f t="shared" si="105"/>
        <v>-3579372.36782734</v>
      </c>
      <c r="Y264" s="2">
        <f t="shared" si="105"/>
        <v>-3609583.0355073772</v>
      </c>
      <c r="Z264" s="2">
        <f t="shared" si="105"/>
        <v>-3640428.1272086957</v>
      </c>
      <c r="AA264" s="2">
        <f t="shared" si="105"/>
        <v>-3671920.9658357417</v>
      </c>
    </row>
    <row r="265" spans="4:28" customFormat="1" x14ac:dyDescent="0.25">
      <c r="E265" t="s">
        <v>15</v>
      </c>
      <c r="F265" t="s">
        <v>7</v>
      </c>
      <c r="G265" s="2">
        <f ca="1">-G264*G$18</f>
        <v>-25891464.820164151</v>
      </c>
      <c r="H265" s="2">
        <f t="shared" ref="H265:AA265" si="106">-H264*H$18</f>
        <v>-2327008.3188971579</v>
      </c>
      <c r="I265" s="2">
        <f t="shared" si="106"/>
        <v>-2282090.1342893373</v>
      </c>
      <c r="J265" s="2">
        <f t="shared" si="106"/>
        <v>-2281878.7984722718</v>
      </c>
      <c r="K265" s="2">
        <f t="shared" si="106"/>
        <v>-2157946.3602401135</v>
      </c>
      <c r="L265" s="2">
        <f t="shared" si="106"/>
        <v>-2021728.7250138267</v>
      </c>
      <c r="M265" s="2">
        <f t="shared" si="106"/>
        <v>-1891354.3827824681</v>
      </c>
      <c r="N265" s="2">
        <f t="shared" si="106"/>
        <v>-1765439.9721572865</v>
      </c>
      <c r="O265" s="2">
        <f t="shared" si="106"/>
        <v>-1641028.6897911434</v>
      </c>
      <c r="P265" s="2">
        <f t="shared" si="106"/>
        <v>-1737018.40052125</v>
      </c>
      <c r="Q265" s="2">
        <f t="shared" si="106"/>
        <v>-1840242.4155850064</v>
      </c>
      <c r="R265" s="2">
        <f t="shared" si="106"/>
        <v>-1982074.132504957</v>
      </c>
      <c r="S265" s="2">
        <f t="shared" si="106"/>
        <v>-2137441.5883006561</v>
      </c>
      <c r="T265" s="2">
        <f t="shared" si="106"/>
        <v>-2304529.3218071307</v>
      </c>
      <c r="U265" s="2">
        <f t="shared" si="106"/>
        <v>-2274013.4475580719</v>
      </c>
      <c r="V265" s="2">
        <f t="shared" si="106"/>
        <v>-2239893.0089043858</v>
      </c>
      <c r="W265" s="2">
        <f t="shared" si="106"/>
        <v>1064934.9225871721</v>
      </c>
      <c r="X265" s="2">
        <f t="shared" si="106"/>
        <v>1073811.7103482019</v>
      </c>
      <c r="Y265" s="2">
        <f t="shared" si="106"/>
        <v>1082874.910652213</v>
      </c>
      <c r="Z265" s="2">
        <f t="shared" si="106"/>
        <v>1092128.4381626088</v>
      </c>
      <c r="AA265" s="2">
        <f t="shared" si="106"/>
        <v>1101576.2897507225</v>
      </c>
    </row>
    <row r="266" spans="4:28" customFormat="1" x14ac:dyDescent="0.25"/>
    <row r="267" spans="4:28" customFormat="1" x14ac:dyDescent="0.25">
      <c r="D267" t="s">
        <v>28</v>
      </c>
    </row>
    <row r="268" spans="4:28" customFormat="1" x14ac:dyDescent="0.25">
      <c r="E268" t="s">
        <v>1</v>
      </c>
      <c r="F268" t="s">
        <v>7</v>
      </c>
      <c r="G268" s="2">
        <f t="shared" ref="G268:AA275" si="107">G234</f>
        <v>-31603691.379977748</v>
      </c>
      <c r="H268" s="2">
        <f t="shared" si="107"/>
        <v>-238420.80753308855</v>
      </c>
      <c r="I268" s="2">
        <f t="shared" si="107"/>
        <v>-1511371.2323077051</v>
      </c>
      <c r="J268" s="2">
        <f t="shared" si="107"/>
        <v>-1859814.5462058275</v>
      </c>
      <c r="K268" s="2">
        <f t="shared" si="107"/>
        <v>0</v>
      </c>
      <c r="L268" s="2">
        <f t="shared" si="107"/>
        <v>-1994418.449607946</v>
      </c>
      <c r="M268" s="2">
        <f t="shared" si="107"/>
        <v>-1360077.1679169273</v>
      </c>
      <c r="N268" s="2">
        <f t="shared" si="107"/>
        <v>0</v>
      </c>
      <c r="O268" s="2">
        <f t="shared" si="107"/>
        <v>0</v>
      </c>
      <c r="P268" s="2">
        <f t="shared" si="107"/>
        <v>0</v>
      </c>
      <c r="Q268" s="2">
        <f t="shared" si="107"/>
        <v>0</v>
      </c>
      <c r="R268" s="2">
        <f t="shared" si="107"/>
        <v>0</v>
      </c>
      <c r="S268" s="2">
        <f t="shared" si="107"/>
        <v>0</v>
      </c>
      <c r="T268" s="2">
        <f t="shared" si="107"/>
        <v>0</v>
      </c>
      <c r="U268" s="2">
        <f t="shared" si="107"/>
        <v>0</v>
      </c>
      <c r="V268" s="2">
        <f t="shared" si="107"/>
        <v>0</v>
      </c>
      <c r="W268" s="2">
        <f t="shared" si="107"/>
        <v>0</v>
      </c>
      <c r="X268" s="2">
        <f t="shared" si="107"/>
        <v>0</v>
      </c>
      <c r="Y268" s="2">
        <f t="shared" si="107"/>
        <v>0</v>
      </c>
      <c r="Z268" s="2">
        <f t="shared" si="107"/>
        <v>0</v>
      </c>
      <c r="AA268" s="2">
        <f t="shared" si="107"/>
        <v>0</v>
      </c>
    </row>
    <row r="269" spans="4:28" customFormat="1" x14ac:dyDescent="0.25">
      <c r="E269" t="s">
        <v>19</v>
      </c>
      <c r="F269" t="s">
        <v>7</v>
      </c>
      <c r="G269" s="2">
        <f t="shared" si="107"/>
        <v>0</v>
      </c>
      <c r="H269" s="2">
        <f t="shared" si="107"/>
        <v>0</v>
      </c>
      <c r="I269" s="2">
        <f t="shared" si="107"/>
        <v>0</v>
      </c>
      <c r="J269" s="2">
        <f t="shared" si="107"/>
        <v>0</v>
      </c>
      <c r="K269" s="2">
        <f t="shared" si="107"/>
        <v>0</v>
      </c>
      <c r="L269" s="2">
        <f t="shared" si="107"/>
        <v>0</v>
      </c>
      <c r="M269" s="2">
        <f t="shared" si="107"/>
        <v>0</v>
      </c>
      <c r="N269" s="2">
        <f t="shared" si="107"/>
        <v>0</v>
      </c>
      <c r="O269" s="2">
        <f t="shared" si="107"/>
        <v>0</v>
      </c>
      <c r="P269" s="2">
        <f t="shared" si="107"/>
        <v>0</v>
      </c>
      <c r="Q269" s="2">
        <f t="shared" si="107"/>
        <v>0</v>
      </c>
      <c r="R269" s="2">
        <f t="shared" si="107"/>
        <v>0</v>
      </c>
      <c r="S269" s="2">
        <f t="shared" si="107"/>
        <v>0</v>
      </c>
      <c r="T269" s="2">
        <f t="shared" si="107"/>
        <v>0</v>
      </c>
      <c r="U269" s="2">
        <f t="shared" si="107"/>
        <v>0</v>
      </c>
      <c r="V269" s="2">
        <f t="shared" si="107"/>
        <v>0</v>
      </c>
      <c r="W269" s="2">
        <f t="shared" si="107"/>
        <v>0</v>
      </c>
      <c r="X269" s="2">
        <f t="shared" si="107"/>
        <v>0</v>
      </c>
      <c r="Y269" s="2">
        <f t="shared" si="107"/>
        <v>0</v>
      </c>
      <c r="Z269" s="2">
        <f t="shared" si="107"/>
        <v>0</v>
      </c>
      <c r="AA269" s="2">
        <f t="shared" si="107"/>
        <v>0</v>
      </c>
    </row>
    <row r="270" spans="4:28" customFormat="1" x14ac:dyDescent="0.25">
      <c r="E270" t="s">
        <v>109</v>
      </c>
      <c r="F270" t="s">
        <v>7</v>
      </c>
      <c r="G270" s="2">
        <f t="shared" si="107"/>
        <v>0</v>
      </c>
      <c r="H270" s="2">
        <f t="shared" si="107"/>
        <v>0</v>
      </c>
      <c r="I270" s="2">
        <f t="shared" si="107"/>
        <v>0</v>
      </c>
      <c r="J270" s="2">
        <f t="shared" si="107"/>
        <v>0</v>
      </c>
      <c r="K270" s="2">
        <f t="shared" si="107"/>
        <v>0</v>
      </c>
      <c r="L270" s="2">
        <f t="shared" si="107"/>
        <v>0</v>
      </c>
      <c r="M270" s="2">
        <f t="shared" si="107"/>
        <v>0</v>
      </c>
      <c r="N270" s="2">
        <f t="shared" si="107"/>
        <v>0</v>
      </c>
      <c r="O270" s="2">
        <f t="shared" si="107"/>
        <v>0</v>
      </c>
      <c r="P270" s="2">
        <f t="shared" si="107"/>
        <v>0</v>
      </c>
      <c r="Q270" s="2">
        <f t="shared" si="107"/>
        <v>0</v>
      </c>
      <c r="R270" s="2">
        <f t="shared" si="107"/>
        <v>0</v>
      </c>
      <c r="S270" s="2">
        <f t="shared" si="107"/>
        <v>0</v>
      </c>
      <c r="T270" s="2">
        <f t="shared" si="107"/>
        <v>0</v>
      </c>
      <c r="U270" s="2">
        <f t="shared" si="107"/>
        <v>0</v>
      </c>
      <c r="V270" s="2">
        <f t="shared" si="107"/>
        <v>0</v>
      </c>
      <c r="W270" s="2">
        <f t="shared" si="107"/>
        <v>0</v>
      </c>
      <c r="X270" s="2">
        <f t="shared" si="107"/>
        <v>0</v>
      </c>
      <c r="Y270" s="2">
        <f t="shared" si="107"/>
        <v>0</v>
      </c>
      <c r="Z270" s="2">
        <f t="shared" si="107"/>
        <v>0</v>
      </c>
      <c r="AA270" s="2">
        <f t="shared" si="107"/>
        <v>0</v>
      </c>
    </row>
    <row r="271" spans="4:28" customFormat="1" x14ac:dyDescent="0.25">
      <c r="E271" t="s">
        <v>11</v>
      </c>
      <c r="F271" t="s">
        <v>7</v>
      </c>
      <c r="G271" s="2">
        <f t="shared" si="107"/>
        <v>0</v>
      </c>
      <c r="H271" s="2">
        <f t="shared" si="107"/>
        <v>95188.648042748115</v>
      </c>
      <c r="I271" s="2">
        <f t="shared" si="107"/>
        <v>187070.36522827731</v>
      </c>
      <c r="J271" s="2">
        <f t="shared" si="107"/>
        <v>285199.40049687558</v>
      </c>
      <c r="K271" s="2">
        <f t="shared" si="107"/>
        <v>382220.1597615697</v>
      </c>
      <c r="L271" s="2">
        <f t="shared" si="107"/>
        <v>477913.88219089445</v>
      </c>
      <c r="M271" s="2">
        <f t="shared" si="107"/>
        <v>572359.69539727166</v>
      </c>
      <c r="N271" s="2">
        <f t="shared" si="107"/>
        <v>665490.80609649548</v>
      </c>
      <c r="O271" s="2">
        <f t="shared" si="107"/>
        <v>757316.9467073651</v>
      </c>
      <c r="P271" s="2">
        <f t="shared" si="107"/>
        <v>855615.42708720453</v>
      </c>
      <c r="Q271" s="2">
        <f t="shared" si="107"/>
        <v>960788.74880751828</v>
      </c>
      <c r="R271" s="2">
        <f t="shared" si="107"/>
        <v>1075234.9504777857</v>
      </c>
      <c r="S271" s="2">
        <f t="shared" si="107"/>
        <v>1199799.8573717987</v>
      </c>
      <c r="T271" s="2">
        <f t="shared" si="107"/>
        <v>1335299.3168401583</v>
      </c>
      <c r="U271" s="2">
        <f t="shared" si="107"/>
        <v>1475223.4925204499</v>
      </c>
      <c r="V271" s="2">
        <f t="shared" si="107"/>
        <v>1619599.3615972986</v>
      </c>
      <c r="W271" s="2">
        <f t="shared" si="107"/>
        <v>1653610.9481908416</v>
      </c>
      <c r="X271" s="2">
        <f t="shared" si="107"/>
        <v>1688336.7781028489</v>
      </c>
      <c r="Y271" s="2">
        <f t="shared" si="107"/>
        <v>1723791.8504430086</v>
      </c>
      <c r="Z271" s="2">
        <f t="shared" si="107"/>
        <v>1759991.4793023115</v>
      </c>
      <c r="AA271" s="2">
        <f t="shared" si="107"/>
        <v>1796951.3003676601</v>
      </c>
      <c r="AB271" s="2">
        <f t="shared" ref="AB271:AB275" si="108">IF(V271=0,0,IF($G$15&gt;(AA271/V271)^(1/5)-1+2%,AA271*(AA271/V271)^(1/5)/($G$15-((AA271/V271)^(1/5)-1)),AA271*(1+$G$14)/$G$16))</f>
        <v>59898376.678922132</v>
      </c>
    </row>
    <row r="272" spans="4:28" customFormat="1" x14ac:dyDescent="0.25">
      <c r="E272" t="s">
        <v>57</v>
      </c>
      <c r="F272" t="s">
        <v>7</v>
      </c>
      <c r="G272" s="2">
        <f t="shared" si="107"/>
        <v>0</v>
      </c>
      <c r="H272" s="2">
        <f t="shared" si="107"/>
        <v>0</v>
      </c>
      <c r="I272" s="2">
        <f t="shared" si="107"/>
        <v>0</v>
      </c>
      <c r="J272" s="2">
        <f t="shared" si="107"/>
        <v>0</v>
      </c>
      <c r="K272" s="2">
        <f t="shared" si="107"/>
        <v>0</v>
      </c>
      <c r="L272" s="2">
        <f t="shared" si="107"/>
        <v>0</v>
      </c>
      <c r="M272" s="2">
        <f t="shared" si="107"/>
        <v>0</v>
      </c>
      <c r="N272" s="2">
        <f t="shared" si="107"/>
        <v>0</v>
      </c>
      <c r="O272" s="2">
        <f t="shared" si="107"/>
        <v>0</v>
      </c>
      <c r="P272" s="2">
        <f t="shared" si="107"/>
        <v>0</v>
      </c>
      <c r="Q272" s="2">
        <f t="shared" si="107"/>
        <v>0</v>
      </c>
      <c r="R272" s="2">
        <f t="shared" si="107"/>
        <v>0</v>
      </c>
      <c r="S272" s="2">
        <f t="shared" si="107"/>
        <v>0</v>
      </c>
      <c r="T272" s="2">
        <f t="shared" si="107"/>
        <v>0</v>
      </c>
      <c r="U272" s="2">
        <f t="shared" si="107"/>
        <v>0</v>
      </c>
      <c r="V272" s="2">
        <f t="shared" si="107"/>
        <v>0</v>
      </c>
      <c r="W272" s="2">
        <f t="shared" si="107"/>
        <v>0</v>
      </c>
      <c r="X272" s="2">
        <f t="shared" si="107"/>
        <v>0</v>
      </c>
      <c r="Y272" s="2">
        <f t="shared" si="107"/>
        <v>0</v>
      </c>
      <c r="Z272" s="2">
        <f t="shared" si="107"/>
        <v>0</v>
      </c>
      <c r="AA272" s="2">
        <f t="shared" si="107"/>
        <v>0</v>
      </c>
      <c r="AB272" s="2">
        <f t="shared" si="108"/>
        <v>0</v>
      </c>
    </row>
    <row r="273" spans="1:28" x14ac:dyDescent="0.25">
      <c r="E273" t="s">
        <v>10</v>
      </c>
      <c r="F273" t="s">
        <v>7</v>
      </c>
      <c r="G273" s="2">
        <f t="shared" si="107"/>
        <v>0</v>
      </c>
      <c r="H273" s="2">
        <f t="shared" si="107"/>
        <v>-171466.73999999996</v>
      </c>
      <c r="I273" s="2">
        <f t="shared" si="107"/>
        <v>-346469.8605239999</v>
      </c>
      <c r="J273" s="2">
        <f t="shared" si="107"/>
        <v>-528212.9876161936</v>
      </c>
      <c r="K273" s="2">
        <f t="shared" si="107"/>
        <v>-707903.49545986997</v>
      </c>
      <c r="L273" s="2">
        <f t="shared" si="107"/>
        <v>-885136.2208177977</v>
      </c>
      <c r="M273" s="2">
        <f t="shared" si="107"/>
        <v>-1060057.7146030834</v>
      </c>
      <c r="N273" s="2">
        <f t="shared" si="107"/>
        <v>-1232544.2701033654</v>
      </c>
      <c r="O273" s="2">
        <f t="shared" si="107"/>
        <v>-1402613.9125669494</v>
      </c>
      <c r="P273" s="2">
        <f t="shared" si="107"/>
        <v>-1584670.8660847587</v>
      </c>
      <c r="Q273" s="2">
        <f t="shared" si="107"/>
        <v>-1779460.5970120318</v>
      </c>
      <c r="R273" s="2">
        <f t="shared" si="107"/>
        <v>-1991424.4721122517</v>
      </c>
      <c r="S273" s="2">
        <f t="shared" si="107"/>
        <v>-2222129.030074113</v>
      </c>
      <c r="T273" s="2">
        <f t="shared" si="107"/>
        <v>-2473085.2879816247</v>
      </c>
      <c r="U273" s="2">
        <f t="shared" si="107"/>
        <v>-2732236.4879738204</v>
      </c>
      <c r="V273" s="2">
        <f t="shared" si="107"/>
        <v>-2999632.5940382234</v>
      </c>
      <c r="W273" s="2">
        <f t="shared" si="107"/>
        <v>-3062624.8785130256</v>
      </c>
      <c r="X273" s="2">
        <f t="shared" si="107"/>
        <v>-3126940.0009617992</v>
      </c>
      <c r="Y273" s="2">
        <f t="shared" si="107"/>
        <v>-3192605.7409819965</v>
      </c>
      <c r="Z273" s="2">
        <f t="shared" si="107"/>
        <v>-3259650.461542618</v>
      </c>
      <c r="AA273" s="2">
        <f t="shared" si="107"/>
        <v>-3328103.1212350125</v>
      </c>
      <c r="AB273" s="2">
        <f t="shared" si="108"/>
        <v>-110936770.70783398</v>
      </c>
    </row>
    <row r="274" spans="1:28" x14ac:dyDescent="0.25">
      <c r="E274" t="s">
        <v>48</v>
      </c>
      <c r="F274" t="s">
        <v>7</v>
      </c>
      <c r="G274" s="2">
        <f t="shared" si="107"/>
        <v>0</v>
      </c>
      <c r="H274" s="2">
        <f t="shared" si="107"/>
        <v>0</v>
      </c>
      <c r="I274" s="2">
        <f t="shared" si="107"/>
        <v>0</v>
      </c>
      <c r="J274" s="2">
        <f t="shared" si="107"/>
        <v>0</v>
      </c>
      <c r="K274" s="2">
        <f t="shared" si="107"/>
        <v>0</v>
      </c>
      <c r="L274" s="2">
        <f t="shared" si="107"/>
        <v>0</v>
      </c>
      <c r="M274" s="2">
        <f t="shared" si="107"/>
        <v>0</v>
      </c>
      <c r="N274" s="2">
        <f t="shared" si="107"/>
        <v>0</v>
      </c>
      <c r="O274" s="2">
        <f t="shared" si="107"/>
        <v>0</v>
      </c>
      <c r="P274" s="2">
        <f t="shared" si="107"/>
        <v>0</v>
      </c>
      <c r="Q274" s="2">
        <f t="shared" si="107"/>
        <v>0</v>
      </c>
      <c r="R274" s="2">
        <f t="shared" si="107"/>
        <v>0</v>
      </c>
      <c r="S274" s="2">
        <f t="shared" si="107"/>
        <v>0</v>
      </c>
      <c r="T274" s="2">
        <f t="shared" si="107"/>
        <v>0</v>
      </c>
      <c r="U274" s="2">
        <f t="shared" si="107"/>
        <v>0</v>
      </c>
      <c r="V274" s="2">
        <f t="shared" si="107"/>
        <v>0</v>
      </c>
      <c r="W274" s="2">
        <f t="shared" si="107"/>
        <v>0</v>
      </c>
      <c r="X274" s="2">
        <f t="shared" si="107"/>
        <v>0</v>
      </c>
      <c r="Y274" s="2">
        <f t="shared" si="107"/>
        <v>0</v>
      </c>
      <c r="Z274" s="2">
        <f t="shared" si="107"/>
        <v>0</v>
      </c>
      <c r="AA274" s="2">
        <f t="shared" si="107"/>
        <v>0</v>
      </c>
      <c r="AB274" s="2">
        <f t="shared" si="108"/>
        <v>0</v>
      </c>
    </row>
    <row r="275" spans="1:28" x14ac:dyDescent="0.25">
      <c r="E275" t="s">
        <v>49</v>
      </c>
      <c r="F275" t="s">
        <v>7</v>
      </c>
      <c r="G275" s="2">
        <f t="shared" si="107"/>
        <v>0</v>
      </c>
      <c r="H275" s="2">
        <f t="shared" si="107"/>
        <v>0</v>
      </c>
      <c r="I275" s="2">
        <f t="shared" si="107"/>
        <v>0</v>
      </c>
      <c r="J275" s="2">
        <f t="shared" si="107"/>
        <v>0</v>
      </c>
      <c r="K275" s="2">
        <f t="shared" si="107"/>
        <v>0</v>
      </c>
      <c r="L275" s="2">
        <f t="shared" si="107"/>
        <v>0</v>
      </c>
      <c r="M275" s="2">
        <f t="shared" si="107"/>
        <v>0</v>
      </c>
      <c r="N275" s="2">
        <f t="shared" si="107"/>
        <v>0</v>
      </c>
      <c r="O275" s="2">
        <f t="shared" si="107"/>
        <v>0</v>
      </c>
      <c r="P275" s="2">
        <f t="shared" si="107"/>
        <v>0</v>
      </c>
      <c r="Q275" s="2">
        <f t="shared" si="107"/>
        <v>0</v>
      </c>
      <c r="R275" s="2">
        <f t="shared" si="107"/>
        <v>0</v>
      </c>
      <c r="S275" s="2">
        <f t="shared" si="107"/>
        <v>0</v>
      </c>
      <c r="T275" s="2">
        <f t="shared" si="107"/>
        <v>0</v>
      </c>
      <c r="U275" s="2">
        <f t="shared" si="107"/>
        <v>0</v>
      </c>
      <c r="V275" s="2">
        <f t="shared" si="107"/>
        <v>0</v>
      </c>
      <c r="W275" s="2">
        <f t="shared" si="107"/>
        <v>0</v>
      </c>
      <c r="X275" s="2">
        <f t="shared" si="107"/>
        <v>0</v>
      </c>
      <c r="Y275" s="2">
        <f t="shared" si="107"/>
        <v>0</v>
      </c>
      <c r="Z275" s="2">
        <f t="shared" si="107"/>
        <v>0</v>
      </c>
      <c r="AA275" s="2">
        <f t="shared" si="107"/>
        <v>0</v>
      </c>
      <c r="AB275" s="2">
        <f t="shared" si="108"/>
        <v>0</v>
      </c>
    </row>
    <row r="276" spans="1:28" x14ac:dyDescent="0.25">
      <c r="E276" t="s">
        <v>20</v>
      </c>
      <c r="F276" t="s">
        <v>7</v>
      </c>
      <c r="G276" s="2">
        <f t="shared" ref="G276:AA276" ca="1" si="109">G265</f>
        <v>-25891464.820164151</v>
      </c>
      <c r="H276" s="2">
        <f t="shared" si="109"/>
        <v>-2327008.3188971579</v>
      </c>
      <c r="I276" s="2">
        <f t="shared" si="109"/>
        <v>-2282090.1342893373</v>
      </c>
      <c r="J276" s="2">
        <f t="shared" si="109"/>
        <v>-2281878.7984722718</v>
      </c>
      <c r="K276" s="2">
        <f t="shared" si="109"/>
        <v>-2157946.3602401135</v>
      </c>
      <c r="L276" s="2">
        <f t="shared" si="109"/>
        <v>-2021728.7250138267</v>
      </c>
      <c r="M276" s="2">
        <f t="shared" si="109"/>
        <v>-1891354.3827824681</v>
      </c>
      <c r="N276" s="2">
        <f t="shared" si="109"/>
        <v>-1765439.9721572865</v>
      </c>
      <c r="O276" s="2">
        <f t="shared" si="109"/>
        <v>-1641028.6897911434</v>
      </c>
      <c r="P276" s="2">
        <f t="shared" si="109"/>
        <v>-1737018.40052125</v>
      </c>
      <c r="Q276" s="2">
        <f t="shared" si="109"/>
        <v>-1840242.4155850064</v>
      </c>
      <c r="R276" s="2">
        <f t="shared" si="109"/>
        <v>-1982074.132504957</v>
      </c>
      <c r="S276" s="2">
        <f t="shared" si="109"/>
        <v>-2137441.5883006561</v>
      </c>
      <c r="T276" s="2">
        <f t="shared" si="109"/>
        <v>-2304529.3218071307</v>
      </c>
      <c r="U276" s="2">
        <f t="shared" si="109"/>
        <v>-2274013.4475580719</v>
      </c>
      <c r="V276" s="2">
        <f t="shared" si="109"/>
        <v>-2239893.0089043858</v>
      </c>
      <c r="W276" s="2">
        <f t="shared" si="109"/>
        <v>1064934.9225871721</v>
      </c>
      <c r="X276" s="2">
        <f t="shared" si="109"/>
        <v>1073811.7103482019</v>
      </c>
      <c r="Y276" s="2">
        <f t="shared" si="109"/>
        <v>1082874.910652213</v>
      </c>
      <c r="Z276" s="2">
        <f t="shared" si="109"/>
        <v>1092128.4381626088</v>
      </c>
      <c r="AA276" s="2">
        <f t="shared" si="109"/>
        <v>1101576.2897507225</v>
      </c>
      <c r="AB276" s="2">
        <f>IF(V276=0,0,IF($G$15&gt;(AA276/V276)^(1/5)-1+2%,AA276*(AA276/V276)^(1/5)/($G$15-((AA276/V276)^(1/5)-1)),AA276*(1+$G$14)/$G$16))</f>
        <v>-497998.31780705473</v>
      </c>
    </row>
    <row r="277" spans="1:28" x14ac:dyDescent="0.25">
      <c r="E277" t="s">
        <v>173</v>
      </c>
      <c r="F277" t="s">
        <v>7</v>
      </c>
      <c r="G277" s="2">
        <f ca="1">-$G$17*G276</f>
        <v>12945732.410082076</v>
      </c>
      <c r="H277" s="2">
        <f t="shared" ref="H277:AA277" si="110">-$G$17*H276</f>
        <v>1163504.159448579</v>
      </c>
      <c r="I277" s="2">
        <f t="shared" si="110"/>
        <v>1141045.0671446687</v>
      </c>
      <c r="J277" s="2">
        <f t="shared" si="110"/>
        <v>1140939.3992361359</v>
      </c>
      <c r="K277" s="2">
        <f t="shared" si="110"/>
        <v>1078973.1801200567</v>
      </c>
      <c r="L277" s="2">
        <f t="shared" si="110"/>
        <v>1010864.3625069134</v>
      </c>
      <c r="M277" s="2">
        <f t="shared" si="110"/>
        <v>945677.19139123405</v>
      </c>
      <c r="N277" s="2">
        <f t="shared" si="110"/>
        <v>882719.98607864324</v>
      </c>
      <c r="O277" s="2">
        <f t="shared" si="110"/>
        <v>820514.3448955717</v>
      </c>
      <c r="P277" s="2">
        <f t="shared" si="110"/>
        <v>868509.20026062499</v>
      </c>
      <c r="Q277" s="2">
        <f t="shared" si="110"/>
        <v>920121.20779250318</v>
      </c>
      <c r="R277" s="2">
        <f t="shared" si="110"/>
        <v>991037.06625247851</v>
      </c>
      <c r="S277" s="2">
        <f t="shared" si="110"/>
        <v>1068720.794150328</v>
      </c>
      <c r="T277" s="2">
        <f t="shared" si="110"/>
        <v>1152264.6609035654</v>
      </c>
      <c r="U277" s="2">
        <f t="shared" si="110"/>
        <v>1137006.723779036</v>
      </c>
      <c r="V277" s="2">
        <f t="shared" si="110"/>
        <v>1119946.5044521929</v>
      </c>
      <c r="W277" s="2">
        <f t="shared" si="110"/>
        <v>-532467.46129358606</v>
      </c>
      <c r="X277" s="2">
        <f t="shared" si="110"/>
        <v>-536905.85517410096</v>
      </c>
      <c r="Y277" s="2">
        <f t="shared" si="110"/>
        <v>-541437.45532610652</v>
      </c>
      <c r="Z277" s="2">
        <f t="shared" si="110"/>
        <v>-546064.21908130439</v>
      </c>
      <c r="AA277" s="2">
        <f t="shared" si="110"/>
        <v>-550788.14487536123</v>
      </c>
      <c r="AB277" s="2">
        <f t="shared" ref="AB277" si="111">IF(V277=0,0,IF($G$15&gt;(AA277/V277)^(1/5)-1+2%,AA277*(AA277/V277)^(1/5)/($G$15-((AA277/V277)^(1/5)-1)),AA277*(1+$G$14)/$G$16))</f>
        <v>248999.15890352736</v>
      </c>
    </row>
    <row r="278" spans="1:28" x14ac:dyDescent="0.25">
      <c r="E278" t="s">
        <v>23</v>
      </c>
      <c r="F278" t="s">
        <v>7</v>
      </c>
      <c r="G278" s="2">
        <f t="shared" ref="G278:AB278" ca="1" si="112">SUM(G268:G277)</f>
        <v>-44549423.79005982</v>
      </c>
      <c r="H278" s="2">
        <f t="shared" si="112"/>
        <v>-1478203.0589389196</v>
      </c>
      <c r="I278" s="2">
        <f t="shared" si="112"/>
        <v>-2811815.7947480963</v>
      </c>
      <c r="J278" s="2">
        <f t="shared" si="112"/>
        <v>-3243767.5325612808</v>
      </c>
      <c r="K278" s="2">
        <f t="shared" si="112"/>
        <v>-1404656.5158183572</v>
      </c>
      <c r="L278" s="2">
        <f t="shared" si="112"/>
        <v>-3412505.1507417629</v>
      </c>
      <c r="M278" s="2">
        <f t="shared" si="112"/>
        <v>-2793452.3785139732</v>
      </c>
      <c r="N278" s="2">
        <f t="shared" si="112"/>
        <v>-1449773.4500855133</v>
      </c>
      <c r="O278" s="2">
        <f t="shared" si="112"/>
        <v>-1465811.3107551557</v>
      </c>
      <c r="P278" s="2">
        <f t="shared" si="112"/>
        <v>-1597564.6392581791</v>
      </c>
      <c r="Q278" s="2">
        <f t="shared" si="112"/>
        <v>-1738793.0559970164</v>
      </c>
      <c r="R278" s="2">
        <f t="shared" si="112"/>
        <v>-1907226.5878869444</v>
      </c>
      <c r="S278" s="2">
        <f t="shared" si="112"/>
        <v>-2091049.9668526424</v>
      </c>
      <c r="T278" s="2">
        <f t="shared" si="112"/>
        <v>-2290050.6320450315</v>
      </c>
      <c r="U278" s="2">
        <f t="shared" si="112"/>
        <v>-2394019.7192324065</v>
      </c>
      <c r="V278" s="2">
        <f t="shared" si="112"/>
        <v>-2499979.7368931174</v>
      </c>
      <c r="W278" s="2">
        <f t="shared" si="112"/>
        <v>-876546.46902859793</v>
      </c>
      <c r="X278" s="2">
        <f t="shared" si="112"/>
        <v>-901697.36768484931</v>
      </c>
      <c r="Y278" s="2">
        <f t="shared" si="112"/>
        <v>-927376.43521288142</v>
      </c>
      <c r="Z278" s="2">
        <f t="shared" si="112"/>
        <v>-953594.76315900206</v>
      </c>
      <c r="AA278" s="2">
        <f t="shared" si="112"/>
        <v>-980363.67599199119</v>
      </c>
      <c r="AB278" s="2">
        <f t="shared" si="112"/>
        <v>-51287393.187815376</v>
      </c>
    </row>
    <row r="279" spans="1:28" x14ac:dyDescent="0.25">
      <c r="E279" t="s">
        <v>31</v>
      </c>
      <c r="F279" t="s">
        <v>7</v>
      </c>
      <c r="G279" s="2">
        <f ca="1">NPV($G$15,H278:AB278)+G278</f>
        <v>-86699928.876130223</v>
      </c>
    </row>
    <row r="280" spans="1:28" x14ac:dyDescent="0.25">
      <c r="E280" s="3" t="s">
        <v>34</v>
      </c>
      <c r="F280" s="3"/>
      <c r="G280" s="4" t="str">
        <f ca="1">IF(G279&gt;0,"N/A",IF(ABS(G279+G253)&gt;1,"Error","OK"))</f>
        <v>OK</v>
      </c>
    </row>
    <row r="282" spans="1:28" x14ac:dyDescent="0.25">
      <c r="C282" s="1" t="s">
        <v>36</v>
      </c>
      <c r="D282" s="1"/>
      <c r="G282" s="44"/>
    </row>
    <row r="283" spans="1:28" x14ac:dyDescent="0.25">
      <c r="A283" s="14">
        <f>'Notes &amp; Assumptions'!A67</f>
        <v>54</v>
      </c>
      <c r="C283" s="1"/>
      <c r="D283" s="1"/>
      <c r="E283" t="s">
        <v>42</v>
      </c>
      <c r="F283" t="s">
        <v>3</v>
      </c>
      <c r="G283" s="10"/>
      <c r="H283" s="10">
        <v>1</v>
      </c>
      <c r="I283" s="10">
        <v>1</v>
      </c>
      <c r="J283" s="10">
        <v>1</v>
      </c>
      <c r="K283" s="10">
        <v>1</v>
      </c>
      <c r="L283" s="10">
        <v>1</v>
      </c>
      <c r="M283" s="10">
        <v>1</v>
      </c>
      <c r="N283" s="10">
        <v>1</v>
      </c>
      <c r="O283" s="10">
        <v>1</v>
      </c>
      <c r="P283" s="10">
        <v>1</v>
      </c>
      <c r="Q283" s="10">
        <v>1</v>
      </c>
      <c r="R283" s="10">
        <v>1</v>
      </c>
      <c r="S283" s="10">
        <v>1</v>
      </c>
      <c r="T283" s="10">
        <v>1</v>
      </c>
      <c r="U283" s="10">
        <v>1</v>
      </c>
      <c r="V283" s="10">
        <v>1</v>
      </c>
      <c r="W283" s="10">
        <v>0</v>
      </c>
      <c r="X283" s="10">
        <v>0</v>
      </c>
      <c r="Y283" s="10">
        <v>0</v>
      </c>
      <c r="Z283" s="10">
        <v>0</v>
      </c>
      <c r="AA283" s="10">
        <v>0</v>
      </c>
    </row>
    <row r="284" spans="1:28" x14ac:dyDescent="0.25">
      <c r="E284" t="s">
        <v>37</v>
      </c>
      <c r="F284" t="s">
        <v>38</v>
      </c>
      <c r="G284" s="8">
        <f ca="1">MAX(0,-G311/(NPV($G$16,H283:AA283)+G283))</f>
        <v>7261775.1308490634</v>
      </c>
      <c r="H284" s="2">
        <f t="shared" ref="H284:AA284" ca="1" si="113">G284*(1+$G$14)</f>
        <v>7414272.4085968928</v>
      </c>
      <c r="I284" s="2">
        <f t="shared" ca="1" si="113"/>
        <v>7569972.1291774269</v>
      </c>
      <c r="J284" s="2">
        <f t="shared" ca="1" si="113"/>
        <v>7728941.5438901521</v>
      </c>
      <c r="K284" s="2">
        <f t="shared" ca="1" si="113"/>
        <v>7891249.3163118446</v>
      </c>
      <c r="L284" s="2">
        <f t="shared" ca="1" si="113"/>
        <v>8056965.5519543923</v>
      </c>
      <c r="M284" s="2">
        <f t="shared" ca="1" si="113"/>
        <v>8226161.8285454335</v>
      </c>
      <c r="N284" s="2">
        <f t="shared" ca="1" si="113"/>
        <v>8398911.2269448861</v>
      </c>
      <c r="O284" s="2">
        <f t="shared" ca="1" si="113"/>
        <v>8575288.3627107274</v>
      </c>
      <c r="P284" s="2">
        <f t="shared" ca="1" si="113"/>
        <v>8755369.4183276519</v>
      </c>
      <c r="Q284" s="2">
        <f t="shared" ca="1" si="113"/>
        <v>8939232.1761125326</v>
      </c>
      <c r="R284" s="2">
        <f t="shared" ca="1" si="113"/>
        <v>9126956.0518108942</v>
      </c>
      <c r="S284" s="2">
        <f t="shared" ca="1" si="113"/>
        <v>9318622.1288989224</v>
      </c>
      <c r="T284" s="2">
        <f t="shared" ca="1" si="113"/>
        <v>9514313.1936057992</v>
      </c>
      <c r="U284" s="2">
        <f t="shared" ca="1" si="113"/>
        <v>9714113.7706715204</v>
      </c>
      <c r="V284" s="2">
        <f t="shared" ca="1" si="113"/>
        <v>9918110.1598556209</v>
      </c>
      <c r="W284" s="2">
        <f t="shared" ca="1" si="113"/>
        <v>10126390.473212589</v>
      </c>
      <c r="X284" s="2">
        <f t="shared" ca="1" si="113"/>
        <v>10339044.673150051</v>
      </c>
      <c r="Y284" s="2">
        <f t="shared" ca="1" si="113"/>
        <v>10556164.611286201</v>
      </c>
      <c r="Z284" s="2">
        <f t="shared" ca="1" si="113"/>
        <v>10777844.06812321</v>
      </c>
      <c r="AA284" s="2">
        <f t="shared" ca="1" si="113"/>
        <v>11004178.793553798</v>
      </c>
    </row>
    <row r="285" spans="1:28" x14ac:dyDescent="0.25">
      <c r="E285" t="s">
        <v>21</v>
      </c>
      <c r="F285" t="s">
        <v>7</v>
      </c>
      <c r="G285" s="2">
        <f ca="1">G283*G284</f>
        <v>0</v>
      </c>
      <c r="H285" s="2">
        <f t="shared" ref="H285:AA285" ca="1" si="114">H283*H284</f>
        <v>7414272.4085968928</v>
      </c>
      <c r="I285" s="2">
        <f t="shared" ca="1" si="114"/>
        <v>7569972.1291774269</v>
      </c>
      <c r="J285" s="2">
        <f t="shared" ca="1" si="114"/>
        <v>7728941.5438901521</v>
      </c>
      <c r="K285" s="2">
        <f t="shared" ca="1" si="114"/>
        <v>7891249.3163118446</v>
      </c>
      <c r="L285" s="2">
        <f t="shared" ca="1" si="114"/>
        <v>8056965.5519543923</v>
      </c>
      <c r="M285" s="2">
        <f t="shared" ca="1" si="114"/>
        <v>8226161.8285454335</v>
      </c>
      <c r="N285" s="2">
        <f t="shared" ca="1" si="114"/>
        <v>8398911.2269448861</v>
      </c>
      <c r="O285" s="2">
        <f t="shared" ca="1" si="114"/>
        <v>8575288.3627107274</v>
      </c>
      <c r="P285" s="2">
        <f t="shared" ca="1" si="114"/>
        <v>8755369.4183276519</v>
      </c>
      <c r="Q285" s="2">
        <f t="shared" ca="1" si="114"/>
        <v>8939232.1761125326</v>
      </c>
      <c r="R285" s="2">
        <f t="shared" ca="1" si="114"/>
        <v>9126956.0518108942</v>
      </c>
      <c r="S285" s="2">
        <f t="shared" ca="1" si="114"/>
        <v>9318622.1288989224</v>
      </c>
      <c r="T285" s="2">
        <f t="shared" ca="1" si="114"/>
        <v>9514313.1936057992</v>
      </c>
      <c r="U285" s="2">
        <f t="shared" ca="1" si="114"/>
        <v>9714113.7706715204</v>
      </c>
      <c r="V285" s="2">
        <f t="shared" ca="1" si="114"/>
        <v>9918110.1598556209</v>
      </c>
      <c r="W285" s="2">
        <f t="shared" ca="1" si="114"/>
        <v>0</v>
      </c>
      <c r="X285" s="2">
        <f t="shared" ca="1" si="114"/>
        <v>0</v>
      </c>
      <c r="Y285" s="2">
        <f t="shared" ca="1" si="114"/>
        <v>0</v>
      </c>
      <c r="Z285" s="2">
        <f t="shared" ca="1" si="114"/>
        <v>0</v>
      </c>
      <c r="AA285" s="2">
        <f t="shared" ca="1" si="114"/>
        <v>0</v>
      </c>
    </row>
    <row r="286" spans="1:28" x14ac:dyDescent="0.25">
      <c r="G286" s="8">
        <f ca="1">-G311/(NPV($G$16,H283:AA283)+G283)</f>
        <v>7261775.1308490634</v>
      </c>
    </row>
    <row r="287" spans="1:28" x14ac:dyDescent="0.25">
      <c r="D287" t="s">
        <v>9</v>
      </c>
    </row>
    <row r="288" spans="1:28" x14ac:dyDescent="0.25">
      <c r="E288" t="s">
        <v>107</v>
      </c>
      <c r="F288" t="s">
        <v>7</v>
      </c>
      <c r="G288" s="2">
        <f t="shared" ref="G288:AA293" si="115">G222</f>
        <v>0</v>
      </c>
      <c r="H288" s="2">
        <f t="shared" si="115"/>
        <v>8335188.7499999981</v>
      </c>
      <c r="I288" s="2">
        <f t="shared" si="115"/>
        <v>8392379.7586999964</v>
      </c>
      <c r="J288" s="2">
        <f t="shared" si="115"/>
        <v>8606113.4983570743</v>
      </c>
      <c r="K288" s="2">
        <f t="shared" si="115"/>
        <v>8380430.5007549655</v>
      </c>
      <c r="L288" s="2">
        <f t="shared" si="115"/>
        <v>8134522.4812314399</v>
      </c>
      <c r="M288" s="2">
        <f t="shared" si="115"/>
        <v>7896119.479127205</v>
      </c>
      <c r="N288" s="2">
        <f t="shared" si="115"/>
        <v>7651402.7562980503</v>
      </c>
      <c r="O288" s="2">
        <f t="shared" si="115"/>
        <v>7407536.1859209668</v>
      </c>
      <c r="P288" s="2">
        <f t="shared" si="115"/>
        <v>7910137.0749292402</v>
      </c>
      <c r="Q288" s="2">
        <f t="shared" si="115"/>
        <v>8449451.6803531349</v>
      </c>
      <c r="R288" s="2">
        <f t="shared" si="115"/>
        <v>9133915.6896367148</v>
      </c>
      <c r="S288" s="2">
        <f t="shared" si="115"/>
        <v>9881465.1747074034</v>
      </c>
      <c r="T288" s="2">
        <f t="shared" si="115"/>
        <v>10687474.516288407</v>
      </c>
      <c r="U288" s="2">
        <f t="shared" si="115"/>
        <v>10840488.060526701</v>
      </c>
      <c r="V288" s="2">
        <f t="shared" si="115"/>
        <v>10987112.407090601</v>
      </c>
      <c r="W288" s="2">
        <f t="shared" si="115"/>
        <v>0</v>
      </c>
      <c r="X288" s="2">
        <f t="shared" si="115"/>
        <v>0</v>
      </c>
      <c r="Y288" s="2">
        <f t="shared" si="115"/>
        <v>0</v>
      </c>
      <c r="Z288" s="2">
        <f t="shared" si="115"/>
        <v>0</v>
      </c>
      <c r="AA288" s="2">
        <f t="shared" si="115"/>
        <v>0</v>
      </c>
    </row>
    <row r="289" spans="4:28" customFormat="1" x14ac:dyDescent="0.25">
      <c r="E289" t="s">
        <v>11</v>
      </c>
      <c r="F289" t="s">
        <v>7</v>
      </c>
      <c r="G289" s="2">
        <f t="shared" si="115"/>
        <v>0</v>
      </c>
      <c r="H289" s="2">
        <f t="shared" si="115"/>
        <v>95188.648042748115</v>
      </c>
      <c r="I289" s="2">
        <f t="shared" si="115"/>
        <v>187070.36522827731</v>
      </c>
      <c r="J289" s="2">
        <f t="shared" si="115"/>
        <v>285199.40049687558</v>
      </c>
      <c r="K289" s="2">
        <f t="shared" si="115"/>
        <v>382220.1597615697</v>
      </c>
      <c r="L289" s="2">
        <f t="shared" si="115"/>
        <v>477913.88219089445</v>
      </c>
      <c r="M289" s="2">
        <f t="shared" si="115"/>
        <v>572359.69539727166</v>
      </c>
      <c r="N289" s="2">
        <f t="shared" si="115"/>
        <v>665490.80609649548</v>
      </c>
      <c r="O289" s="2">
        <f t="shared" si="115"/>
        <v>757316.9467073651</v>
      </c>
      <c r="P289" s="2">
        <f t="shared" si="115"/>
        <v>855615.42708720453</v>
      </c>
      <c r="Q289" s="2">
        <f t="shared" si="115"/>
        <v>960788.74880751828</v>
      </c>
      <c r="R289" s="2">
        <f t="shared" si="115"/>
        <v>1075234.9504777857</v>
      </c>
      <c r="S289" s="2">
        <f t="shared" si="115"/>
        <v>1199799.8573717987</v>
      </c>
      <c r="T289" s="2">
        <f t="shared" si="115"/>
        <v>1335299.3168401583</v>
      </c>
      <c r="U289" s="2">
        <f t="shared" si="115"/>
        <v>1475223.4925204499</v>
      </c>
      <c r="V289" s="2">
        <f t="shared" si="115"/>
        <v>1619599.3615972986</v>
      </c>
      <c r="W289" s="2">
        <f t="shared" si="115"/>
        <v>1653610.9481908416</v>
      </c>
      <c r="X289" s="2">
        <f t="shared" si="115"/>
        <v>1688336.7781028489</v>
      </c>
      <c r="Y289" s="2">
        <f t="shared" si="115"/>
        <v>1723791.8504430086</v>
      </c>
      <c r="Z289" s="2">
        <f t="shared" si="115"/>
        <v>1759991.4793023115</v>
      </c>
      <c r="AA289" s="2">
        <f t="shared" si="115"/>
        <v>1796951.3003676601</v>
      </c>
    </row>
    <row r="290" spans="4:28" customFormat="1" x14ac:dyDescent="0.25">
      <c r="E290" t="s">
        <v>57</v>
      </c>
      <c r="F290" t="s">
        <v>7</v>
      </c>
      <c r="G290" s="2">
        <f t="shared" si="115"/>
        <v>0</v>
      </c>
      <c r="H290" s="2">
        <f t="shared" si="115"/>
        <v>0</v>
      </c>
      <c r="I290" s="2">
        <f t="shared" si="115"/>
        <v>0</v>
      </c>
      <c r="J290" s="2">
        <f t="shared" si="115"/>
        <v>0</v>
      </c>
      <c r="K290" s="2">
        <f t="shared" si="115"/>
        <v>0</v>
      </c>
      <c r="L290" s="2">
        <f t="shared" si="115"/>
        <v>0</v>
      </c>
      <c r="M290" s="2">
        <f t="shared" si="115"/>
        <v>0</v>
      </c>
      <c r="N290" s="2">
        <f t="shared" si="115"/>
        <v>0</v>
      </c>
      <c r="O290" s="2">
        <f t="shared" si="115"/>
        <v>0</v>
      </c>
      <c r="P290" s="2">
        <f t="shared" si="115"/>
        <v>0</v>
      </c>
      <c r="Q290" s="2">
        <f t="shared" si="115"/>
        <v>0</v>
      </c>
      <c r="R290" s="2">
        <f t="shared" si="115"/>
        <v>0</v>
      </c>
      <c r="S290" s="2">
        <f t="shared" si="115"/>
        <v>0</v>
      </c>
      <c r="T290" s="2">
        <f t="shared" si="115"/>
        <v>0</v>
      </c>
      <c r="U290" s="2">
        <f t="shared" si="115"/>
        <v>0</v>
      </c>
      <c r="V290" s="2">
        <f t="shared" si="115"/>
        <v>0</v>
      </c>
      <c r="W290" s="2">
        <f t="shared" si="115"/>
        <v>0</v>
      </c>
      <c r="X290" s="2">
        <f t="shared" si="115"/>
        <v>0</v>
      </c>
      <c r="Y290" s="2">
        <f t="shared" si="115"/>
        <v>0</v>
      </c>
      <c r="Z290" s="2">
        <f t="shared" si="115"/>
        <v>0</v>
      </c>
      <c r="AA290" s="2">
        <f t="shared" si="115"/>
        <v>0</v>
      </c>
    </row>
    <row r="291" spans="4:28" customFormat="1" x14ac:dyDescent="0.25">
      <c r="E291" t="s">
        <v>10</v>
      </c>
      <c r="F291" t="s">
        <v>7</v>
      </c>
      <c r="G291" s="2">
        <f t="shared" si="115"/>
        <v>0</v>
      </c>
      <c r="H291" s="2">
        <f t="shared" si="115"/>
        <v>-171466.73999999996</v>
      </c>
      <c r="I291" s="2">
        <f t="shared" si="115"/>
        <v>-346469.8605239999</v>
      </c>
      <c r="J291" s="2">
        <f t="shared" si="115"/>
        <v>-528212.9876161936</v>
      </c>
      <c r="K291" s="2">
        <f t="shared" si="115"/>
        <v>-707903.49545986997</v>
      </c>
      <c r="L291" s="2">
        <f t="shared" si="115"/>
        <v>-885136.2208177977</v>
      </c>
      <c r="M291" s="2">
        <f t="shared" si="115"/>
        <v>-1060057.7146030834</v>
      </c>
      <c r="N291" s="2">
        <f t="shared" si="115"/>
        <v>-1232544.2701033654</v>
      </c>
      <c r="O291" s="2">
        <f t="shared" si="115"/>
        <v>-1402613.9125669494</v>
      </c>
      <c r="P291" s="2">
        <f t="shared" si="115"/>
        <v>-1584670.8660847587</v>
      </c>
      <c r="Q291" s="2">
        <f t="shared" si="115"/>
        <v>-1779460.5970120318</v>
      </c>
      <c r="R291" s="2">
        <f t="shared" si="115"/>
        <v>-1991424.4721122517</v>
      </c>
      <c r="S291" s="2">
        <f t="shared" si="115"/>
        <v>-2222129.030074113</v>
      </c>
      <c r="T291" s="2">
        <f t="shared" si="115"/>
        <v>-2473085.2879816247</v>
      </c>
      <c r="U291" s="2">
        <f t="shared" si="115"/>
        <v>-2732236.4879738204</v>
      </c>
      <c r="V291" s="2">
        <f t="shared" si="115"/>
        <v>-2999632.5940382234</v>
      </c>
      <c r="W291" s="2">
        <f t="shared" si="115"/>
        <v>-3062624.8785130256</v>
      </c>
      <c r="X291" s="2">
        <f t="shared" si="115"/>
        <v>-3126940.0009617992</v>
      </c>
      <c r="Y291" s="2">
        <f t="shared" si="115"/>
        <v>-3192605.7409819965</v>
      </c>
      <c r="Z291" s="2">
        <f t="shared" si="115"/>
        <v>-3259650.461542618</v>
      </c>
      <c r="AA291" s="2">
        <f t="shared" si="115"/>
        <v>-3328103.1212350125</v>
      </c>
    </row>
    <row r="292" spans="4:28" customFormat="1" x14ac:dyDescent="0.25">
      <c r="E292" t="s">
        <v>12</v>
      </c>
      <c r="F292" t="s">
        <v>7</v>
      </c>
      <c r="G292" s="2">
        <f t="shared" si="115"/>
        <v>-395046.14224972186</v>
      </c>
      <c r="H292" s="2">
        <f t="shared" si="115"/>
        <v>-502216.26171888539</v>
      </c>
      <c r="I292" s="2">
        <f t="shared" si="115"/>
        <v>-626013.14910648169</v>
      </c>
      <c r="J292" s="2">
        <f t="shared" si="115"/>
        <v>-756837.24966351804</v>
      </c>
      <c r="K292" s="2">
        <f t="shared" si="115"/>
        <v>-861592.630922955</v>
      </c>
      <c r="L292" s="2">
        <f t="shared" si="115"/>
        <v>-988204.39255844743</v>
      </c>
      <c r="M292" s="2">
        <f t="shared" si="115"/>
        <v>-1103906.8506464991</v>
      </c>
      <c r="N292" s="2">
        <f t="shared" si="115"/>
        <v>-1199549.3851002248</v>
      </c>
      <c r="O292" s="2">
        <f t="shared" si="115"/>
        <v>-1292143.5874242368</v>
      </c>
      <c r="P292" s="2">
        <f t="shared" si="115"/>
        <v>-1391020.3008608525</v>
      </c>
      <c r="Q292" s="2">
        <f t="shared" si="115"/>
        <v>-1496638.4468652667</v>
      </c>
      <c r="R292" s="2">
        <f t="shared" si="115"/>
        <v>-1610812.3929857255</v>
      </c>
      <c r="S292" s="2">
        <f t="shared" si="115"/>
        <v>-1734330.707669568</v>
      </c>
      <c r="T292" s="2">
        <f t="shared" si="115"/>
        <v>-1867924.1391231732</v>
      </c>
      <c r="U292" s="2">
        <f t="shared" si="115"/>
        <v>-2003430.2398797569</v>
      </c>
      <c r="V292" s="2">
        <f t="shared" si="115"/>
        <v>-2140769.1449683895</v>
      </c>
      <c r="W292" s="2">
        <f t="shared" si="115"/>
        <v>-2140769.1449683895</v>
      </c>
      <c r="X292" s="2">
        <f t="shared" si="115"/>
        <v>-2140769.1449683895</v>
      </c>
      <c r="Y292" s="2">
        <f t="shared" si="115"/>
        <v>-2140769.1449683895</v>
      </c>
      <c r="Z292" s="2">
        <f t="shared" si="115"/>
        <v>-2140769.1449683895</v>
      </c>
      <c r="AA292" s="2">
        <f t="shared" si="115"/>
        <v>-2140769.1449683895</v>
      </c>
    </row>
    <row r="293" spans="4:28" customFormat="1" x14ac:dyDescent="0.25">
      <c r="E293" t="s">
        <v>48</v>
      </c>
      <c r="F293" t="s">
        <v>7</v>
      </c>
      <c r="G293" s="2">
        <f t="shared" si="115"/>
        <v>0</v>
      </c>
      <c r="H293" s="2">
        <f t="shared" si="115"/>
        <v>0</v>
      </c>
      <c r="I293" s="2">
        <f t="shared" si="115"/>
        <v>0</v>
      </c>
      <c r="J293" s="2">
        <f t="shared" si="115"/>
        <v>0</v>
      </c>
      <c r="K293" s="2">
        <f t="shared" si="115"/>
        <v>0</v>
      </c>
      <c r="L293" s="2">
        <f t="shared" si="115"/>
        <v>0</v>
      </c>
      <c r="M293" s="2">
        <f t="shared" si="115"/>
        <v>0</v>
      </c>
      <c r="N293" s="2">
        <f t="shared" si="115"/>
        <v>0</v>
      </c>
      <c r="O293" s="2">
        <f t="shared" si="115"/>
        <v>0</v>
      </c>
      <c r="P293" s="2">
        <f t="shared" si="115"/>
        <v>0</v>
      </c>
      <c r="Q293" s="2">
        <f t="shared" si="115"/>
        <v>0</v>
      </c>
      <c r="R293" s="2">
        <f t="shared" si="115"/>
        <v>0</v>
      </c>
      <c r="S293" s="2">
        <f t="shared" si="115"/>
        <v>0</v>
      </c>
      <c r="T293" s="2">
        <f t="shared" si="115"/>
        <v>0</v>
      </c>
      <c r="U293" s="2">
        <f t="shared" si="115"/>
        <v>0</v>
      </c>
      <c r="V293" s="2">
        <f t="shared" si="115"/>
        <v>0</v>
      </c>
      <c r="W293" s="2">
        <f t="shared" si="115"/>
        <v>0</v>
      </c>
      <c r="X293" s="2">
        <f t="shared" si="115"/>
        <v>0</v>
      </c>
      <c r="Y293" s="2">
        <f t="shared" si="115"/>
        <v>0</v>
      </c>
      <c r="Z293" s="2">
        <f t="shared" si="115"/>
        <v>0</v>
      </c>
      <c r="AA293" s="2">
        <f t="shared" si="115"/>
        <v>0</v>
      </c>
    </row>
    <row r="294" spans="4:28" customFormat="1" x14ac:dyDescent="0.25">
      <c r="E294" t="s">
        <v>13</v>
      </c>
      <c r="F294" t="s">
        <v>7</v>
      </c>
      <c r="G294" s="2">
        <f t="shared" ref="G294:AA294" ca="1" si="116">G285</f>
        <v>0</v>
      </c>
      <c r="H294" s="2">
        <f t="shared" ca="1" si="116"/>
        <v>7414272.4085968928</v>
      </c>
      <c r="I294" s="2">
        <f t="shared" ca="1" si="116"/>
        <v>7569972.1291774269</v>
      </c>
      <c r="J294" s="2">
        <f t="shared" ca="1" si="116"/>
        <v>7728941.5438901521</v>
      </c>
      <c r="K294" s="2">
        <f t="shared" ca="1" si="116"/>
        <v>7891249.3163118446</v>
      </c>
      <c r="L294" s="2">
        <f t="shared" ca="1" si="116"/>
        <v>8056965.5519543923</v>
      </c>
      <c r="M294" s="2">
        <f t="shared" ca="1" si="116"/>
        <v>8226161.8285454335</v>
      </c>
      <c r="N294" s="2">
        <f t="shared" ca="1" si="116"/>
        <v>8398911.2269448861</v>
      </c>
      <c r="O294" s="2">
        <f t="shared" ca="1" si="116"/>
        <v>8575288.3627107274</v>
      </c>
      <c r="P294" s="2">
        <f t="shared" ca="1" si="116"/>
        <v>8755369.4183276519</v>
      </c>
      <c r="Q294" s="2">
        <f t="shared" ca="1" si="116"/>
        <v>8939232.1761125326</v>
      </c>
      <c r="R294" s="2">
        <f t="shared" ca="1" si="116"/>
        <v>9126956.0518108942</v>
      </c>
      <c r="S294" s="2">
        <f t="shared" ca="1" si="116"/>
        <v>9318622.1288989224</v>
      </c>
      <c r="T294" s="2">
        <f t="shared" ca="1" si="116"/>
        <v>9514313.1936057992</v>
      </c>
      <c r="U294" s="2">
        <f t="shared" ca="1" si="116"/>
        <v>9714113.7706715204</v>
      </c>
      <c r="V294" s="2">
        <f t="shared" ca="1" si="116"/>
        <v>9918110.1598556209</v>
      </c>
      <c r="W294" s="2">
        <f t="shared" ca="1" si="116"/>
        <v>0</v>
      </c>
      <c r="X294" s="2">
        <f t="shared" ca="1" si="116"/>
        <v>0</v>
      </c>
      <c r="Y294" s="2">
        <f t="shared" ca="1" si="116"/>
        <v>0</v>
      </c>
      <c r="Z294" s="2">
        <f t="shared" ca="1" si="116"/>
        <v>0</v>
      </c>
      <c r="AA294" s="2">
        <f t="shared" ca="1" si="116"/>
        <v>0</v>
      </c>
    </row>
    <row r="295" spans="4:28" customFormat="1" x14ac:dyDescent="0.25"/>
    <row r="296" spans="4:28" customFormat="1" x14ac:dyDescent="0.25">
      <c r="E296" t="s">
        <v>14</v>
      </c>
      <c r="F296" t="s">
        <v>7</v>
      </c>
      <c r="G296" s="2">
        <f t="shared" ref="G296:AA296" ca="1" si="117">SUM(G288:G294)</f>
        <v>-395046.14224972186</v>
      </c>
      <c r="H296" s="2">
        <f t="shared" ca="1" si="117"/>
        <v>15170966.804920753</v>
      </c>
      <c r="I296" s="2">
        <f t="shared" ca="1" si="117"/>
        <v>15176939.243475217</v>
      </c>
      <c r="J296" s="2">
        <f t="shared" ca="1" si="117"/>
        <v>15335204.205464391</v>
      </c>
      <c r="K296" s="2">
        <f t="shared" ca="1" si="117"/>
        <v>15084403.850445557</v>
      </c>
      <c r="L296" s="2">
        <f t="shared" ca="1" si="117"/>
        <v>14796061.302000482</v>
      </c>
      <c r="M296" s="2">
        <f t="shared" ca="1" si="117"/>
        <v>14530676.437820327</v>
      </c>
      <c r="N296" s="2">
        <f t="shared" ca="1" si="117"/>
        <v>14283711.134135842</v>
      </c>
      <c r="O296" s="2">
        <f t="shared" ca="1" si="117"/>
        <v>14045383.995347872</v>
      </c>
      <c r="P296" s="2">
        <f t="shared" ca="1" si="117"/>
        <v>14545430.753398485</v>
      </c>
      <c r="Q296" s="2">
        <f t="shared" ca="1" si="117"/>
        <v>15073373.561395887</v>
      </c>
      <c r="R296" s="2">
        <f t="shared" ca="1" si="117"/>
        <v>15733869.826827418</v>
      </c>
      <c r="S296" s="2">
        <f t="shared" ca="1" si="117"/>
        <v>16443427.423234444</v>
      </c>
      <c r="T296" s="2">
        <f t="shared" ca="1" si="117"/>
        <v>17196077.599629566</v>
      </c>
      <c r="U296" s="2">
        <f t="shared" ca="1" si="117"/>
        <v>17294158.595865093</v>
      </c>
      <c r="V296" s="2">
        <f t="shared" ca="1" si="117"/>
        <v>17384420.189536907</v>
      </c>
      <c r="W296" s="2">
        <f t="shared" ca="1" si="117"/>
        <v>-3549783.0752905738</v>
      </c>
      <c r="X296" s="2">
        <f t="shared" ca="1" si="117"/>
        <v>-3579372.36782734</v>
      </c>
      <c r="Y296" s="2">
        <f t="shared" ca="1" si="117"/>
        <v>-3609583.0355073772</v>
      </c>
      <c r="Z296" s="2">
        <f t="shared" ca="1" si="117"/>
        <v>-3640428.1272086957</v>
      </c>
      <c r="AA296" s="2">
        <f t="shared" ca="1" si="117"/>
        <v>-3671920.9658357417</v>
      </c>
    </row>
    <row r="297" spans="4:28" customFormat="1" x14ac:dyDescent="0.25">
      <c r="E297" t="s">
        <v>15</v>
      </c>
      <c r="F297" t="s">
        <v>7</v>
      </c>
      <c r="G297" s="2">
        <f t="shared" ref="G297:AA297" ca="1" si="118">-G296*G$18</f>
        <v>118513.84267491655</v>
      </c>
      <c r="H297" s="2">
        <f t="shared" ca="1" si="118"/>
        <v>-4551290.0414762255</v>
      </c>
      <c r="I297" s="2">
        <f t="shared" ca="1" si="118"/>
        <v>-4553081.7730425652</v>
      </c>
      <c r="J297" s="2">
        <f t="shared" ca="1" si="118"/>
        <v>-4600561.2616393175</v>
      </c>
      <c r="K297" s="2">
        <f t="shared" ca="1" si="118"/>
        <v>-4525321.1551336674</v>
      </c>
      <c r="L297" s="2">
        <f t="shared" ca="1" si="118"/>
        <v>-4438818.3906001439</v>
      </c>
      <c r="M297" s="2">
        <f t="shared" ca="1" si="118"/>
        <v>-4359202.931346098</v>
      </c>
      <c r="N297" s="2">
        <f t="shared" ca="1" si="118"/>
        <v>-4285113.3402407523</v>
      </c>
      <c r="O297" s="2">
        <f t="shared" ca="1" si="118"/>
        <v>-4213615.1986043612</v>
      </c>
      <c r="P297" s="2">
        <f t="shared" ca="1" si="118"/>
        <v>-4363629.2260195455</v>
      </c>
      <c r="Q297" s="2">
        <f t="shared" ca="1" si="118"/>
        <v>-4522012.0684187664</v>
      </c>
      <c r="R297" s="2">
        <f t="shared" ca="1" si="118"/>
        <v>-4720160.9480482256</v>
      </c>
      <c r="S297" s="2">
        <f t="shared" ca="1" si="118"/>
        <v>-4933028.2269703327</v>
      </c>
      <c r="T297" s="2">
        <f t="shared" ca="1" si="118"/>
        <v>-5158823.2798888693</v>
      </c>
      <c r="U297" s="2">
        <f t="shared" ca="1" si="118"/>
        <v>-5188247.5787595278</v>
      </c>
      <c r="V297" s="2">
        <f t="shared" ca="1" si="118"/>
        <v>-5215326.0568610718</v>
      </c>
      <c r="W297" s="2">
        <f t="shared" ca="1" si="118"/>
        <v>1064934.9225871721</v>
      </c>
      <c r="X297" s="2">
        <f t="shared" ca="1" si="118"/>
        <v>1073811.7103482019</v>
      </c>
      <c r="Y297" s="2">
        <f t="shared" ca="1" si="118"/>
        <v>1082874.910652213</v>
      </c>
      <c r="Z297" s="2">
        <f t="shared" ca="1" si="118"/>
        <v>1092128.4381626088</v>
      </c>
      <c r="AA297" s="2">
        <f t="shared" ca="1" si="118"/>
        <v>1101576.2897507225</v>
      </c>
    </row>
    <row r="298" spans="4:28" customFormat="1" x14ac:dyDescent="0.25"/>
    <row r="299" spans="4:28" customFormat="1" x14ac:dyDescent="0.25">
      <c r="D299" t="s">
        <v>28</v>
      </c>
    </row>
    <row r="300" spans="4:28" customFormat="1" x14ac:dyDescent="0.25">
      <c r="E300" t="s">
        <v>1</v>
      </c>
      <c r="F300" t="s">
        <v>7</v>
      </c>
      <c r="G300" s="2">
        <f t="shared" ref="G300:AA307" si="119">G234</f>
        <v>-31603691.379977748</v>
      </c>
      <c r="H300" s="2">
        <f t="shared" si="119"/>
        <v>-238420.80753308855</v>
      </c>
      <c r="I300" s="2">
        <f t="shared" si="119"/>
        <v>-1511371.2323077051</v>
      </c>
      <c r="J300" s="2">
        <f t="shared" si="119"/>
        <v>-1859814.5462058275</v>
      </c>
      <c r="K300" s="2">
        <f t="shared" si="119"/>
        <v>0</v>
      </c>
      <c r="L300" s="2">
        <f t="shared" si="119"/>
        <v>-1994418.449607946</v>
      </c>
      <c r="M300" s="2">
        <f t="shared" si="119"/>
        <v>-1360077.1679169273</v>
      </c>
      <c r="N300" s="2">
        <f t="shared" si="119"/>
        <v>0</v>
      </c>
      <c r="O300" s="2">
        <f t="shared" si="119"/>
        <v>0</v>
      </c>
      <c r="P300" s="2">
        <f t="shared" si="119"/>
        <v>0</v>
      </c>
      <c r="Q300" s="2">
        <f t="shared" si="119"/>
        <v>0</v>
      </c>
      <c r="R300" s="2">
        <f t="shared" si="119"/>
        <v>0</v>
      </c>
      <c r="S300" s="2">
        <f t="shared" si="119"/>
        <v>0</v>
      </c>
      <c r="T300" s="2">
        <f t="shared" si="119"/>
        <v>0</v>
      </c>
      <c r="U300" s="2">
        <f t="shared" si="119"/>
        <v>0</v>
      </c>
      <c r="V300" s="2">
        <f t="shared" si="119"/>
        <v>0</v>
      </c>
      <c r="W300" s="2">
        <f t="shared" si="119"/>
        <v>0</v>
      </c>
      <c r="X300" s="2">
        <f t="shared" si="119"/>
        <v>0</v>
      </c>
      <c r="Y300" s="2">
        <f t="shared" si="119"/>
        <v>0</v>
      </c>
      <c r="Z300" s="2">
        <f t="shared" si="119"/>
        <v>0</v>
      </c>
      <c r="AA300" s="2">
        <f t="shared" si="119"/>
        <v>0</v>
      </c>
    </row>
    <row r="301" spans="4:28" customFormat="1" x14ac:dyDescent="0.25">
      <c r="E301" t="s">
        <v>19</v>
      </c>
      <c r="F301" t="s">
        <v>7</v>
      </c>
      <c r="G301" s="2">
        <f t="shared" si="119"/>
        <v>0</v>
      </c>
      <c r="H301" s="2">
        <f t="shared" si="119"/>
        <v>0</v>
      </c>
      <c r="I301" s="2">
        <f t="shared" si="119"/>
        <v>0</v>
      </c>
      <c r="J301" s="2">
        <f t="shared" si="119"/>
        <v>0</v>
      </c>
      <c r="K301" s="2">
        <f t="shared" si="119"/>
        <v>0</v>
      </c>
      <c r="L301" s="2">
        <f t="shared" si="119"/>
        <v>0</v>
      </c>
      <c r="M301" s="2">
        <f t="shared" si="119"/>
        <v>0</v>
      </c>
      <c r="N301" s="2">
        <f t="shared" si="119"/>
        <v>0</v>
      </c>
      <c r="O301" s="2">
        <f t="shared" si="119"/>
        <v>0</v>
      </c>
      <c r="P301" s="2">
        <f t="shared" si="119"/>
        <v>0</v>
      </c>
      <c r="Q301" s="2">
        <f t="shared" si="119"/>
        <v>0</v>
      </c>
      <c r="R301" s="2">
        <f t="shared" si="119"/>
        <v>0</v>
      </c>
      <c r="S301" s="2">
        <f t="shared" si="119"/>
        <v>0</v>
      </c>
      <c r="T301" s="2">
        <f t="shared" si="119"/>
        <v>0</v>
      </c>
      <c r="U301" s="2">
        <f t="shared" si="119"/>
        <v>0</v>
      </c>
      <c r="V301" s="2">
        <f t="shared" si="119"/>
        <v>0</v>
      </c>
      <c r="W301" s="2">
        <f t="shared" si="119"/>
        <v>0</v>
      </c>
      <c r="X301" s="2">
        <f t="shared" si="119"/>
        <v>0</v>
      </c>
      <c r="Y301" s="2">
        <f t="shared" si="119"/>
        <v>0</v>
      </c>
      <c r="Z301" s="2">
        <f t="shared" si="119"/>
        <v>0</v>
      </c>
      <c r="AA301" s="2">
        <f t="shared" si="119"/>
        <v>0</v>
      </c>
    </row>
    <row r="302" spans="4:28" customFormat="1" x14ac:dyDescent="0.25">
      <c r="E302" t="s">
        <v>109</v>
      </c>
      <c r="F302" t="s">
        <v>7</v>
      </c>
      <c r="G302" s="2">
        <f t="shared" si="119"/>
        <v>0</v>
      </c>
      <c r="H302" s="2">
        <f t="shared" si="119"/>
        <v>0</v>
      </c>
      <c r="I302" s="2">
        <f t="shared" si="119"/>
        <v>0</v>
      </c>
      <c r="J302" s="2">
        <f t="shared" si="119"/>
        <v>0</v>
      </c>
      <c r="K302" s="2">
        <f t="shared" si="119"/>
        <v>0</v>
      </c>
      <c r="L302" s="2">
        <f t="shared" si="119"/>
        <v>0</v>
      </c>
      <c r="M302" s="2">
        <f t="shared" si="119"/>
        <v>0</v>
      </c>
      <c r="N302" s="2">
        <f t="shared" si="119"/>
        <v>0</v>
      </c>
      <c r="O302" s="2">
        <f t="shared" si="119"/>
        <v>0</v>
      </c>
      <c r="P302" s="2">
        <f t="shared" si="119"/>
        <v>0</v>
      </c>
      <c r="Q302" s="2">
        <f t="shared" si="119"/>
        <v>0</v>
      </c>
      <c r="R302" s="2">
        <f t="shared" si="119"/>
        <v>0</v>
      </c>
      <c r="S302" s="2">
        <f t="shared" si="119"/>
        <v>0</v>
      </c>
      <c r="T302" s="2">
        <f t="shared" si="119"/>
        <v>0</v>
      </c>
      <c r="U302" s="2">
        <f t="shared" si="119"/>
        <v>0</v>
      </c>
      <c r="V302" s="2">
        <f t="shared" si="119"/>
        <v>0</v>
      </c>
      <c r="W302" s="2">
        <f t="shared" si="119"/>
        <v>0</v>
      </c>
      <c r="X302" s="2">
        <f t="shared" si="119"/>
        <v>0</v>
      </c>
      <c r="Y302" s="2">
        <f t="shared" si="119"/>
        <v>0</v>
      </c>
      <c r="Z302" s="2">
        <f t="shared" si="119"/>
        <v>0</v>
      </c>
      <c r="AA302" s="2">
        <f t="shared" si="119"/>
        <v>0</v>
      </c>
    </row>
    <row r="303" spans="4:28" customFormat="1" x14ac:dyDescent="0.25">
      <c r="E303" t="s">
        <v>11</v>
      </c>
      <c r="F303" t="s">
        <v>7</v>
      </c>
      <c r="G303" s="2">
        <f t="shared" si="119"/>
        <v>0</v>
      </c>
      <c r="H303" s="2">
        <f t="shared" si="119"/>
        <v>95188.648042748115</v>
      </c>
      <c r="I303" s="2">
        <f t="shared" si="119"/>
        <v>187070.36522827731</v>
      </c>
      <c r="J303" s="2">
        <f t="shared" si="119"/>
        <v>285199.40049687558</v>
      </c>
      <c r="K303" s="2">
        <f t="shared" si="119"/>
        <v>382220.1597615697</v>
      </c>
      <c r="L303" s="2">
        <f t="shared" si="119"/>
        <v>477913.88219089445</v>
      </c>
      <c r="M303" s="2">
        <f t="shared" si="119"/>
        <v>572359.69539727166</v>
      </c>
      <c r="N303" s="2">
        <f t="shared" si="119"/>
        <v>665490.80609649548</v>
      </c>
      <c r="O303" s="2">
        <f t="shared" si="119"/>
        <v>757316.9467073651</v>
      </c>
      <c r="P303" s="2">
        <f t="shared" si="119"/>
        <v>855615.42708720453</v>
      </c>
      <c r="Q303" s="2">
        <f t="shared" si="119"/>
        <v>960788.74880751828</v>
      </c>
      <c r="R303" s="2">
        <f t="shared" si="119"/>
        <v>1075234.9504777857</v>
      </c>
      <c r="S303" s="2">
        <f t="shared" si="119"/>
        <v>1199799.8573717987</v>
      </c>
      <c r="T303" s="2">
        <f t="shared" si="119"/>
        <v>1335299.3168401583</v>
      </c>
      <c r="U303" s="2">
        <f t="shared" si="119"/>
        <v>1475223.4925204499</v>
      </c>
      <c r="V303" s="2">
        <f t="shared" si="119"/>
        <v>1619599.3615972986</v>
      </c>
      <c r="W303" s="2">
        <f t="shared" si="119"/>
        <v>1653610.9481908416</v>
      </c>
      <c r="X303" s="2">
        <f t="shared" si="119"/>
        <v>1688336.7781028489</v>
      </c>
      <c r="Y303" s="2">
        <f t="shared" si="119"/>
        <v>1723791.8504430086</v>
      </c>
      <c r="Z303" s="2">
        <f t="shared" si="119"/>
        <v>1759991.4793023115</v>
      </c>
      <c r="AA303" s="2">
        <f t="shared" si="119"/>
        <v>1796951.3003676601</v>
      </c>
      <c r="AB303" s="2">
        <f t="shared" ref="AB303:AB307" si="120">IF(V303=0,0,IF($G$15&gt;(AA303/V303)^(1/5)-1+2%,AA303*(AA303/V303)^(1/5)/($G$15-((AA303/V303)^(1/5)-1)),AA303*(1+$G$14)/$G$16))</f>
        <v>59898376.678922132</v>
      </c>
    </row>
    <row r="304" spans="4:28" customFormat="1" x14ac:dyDescent="0.25">
      <c r="E304" t="s">
        <v>57</v>
      </c>
      <c r="F304" t="s">
        <v>7</v>
      </c>
      <c r="G304" s="2">
        <f t="shared" si="119"/>
        <v>0</v>
      </c>
      <c r="H304" s="2">
        <f t="shared" si="119"/>
        <v>0</v>
      </c>
      <c r="I304" s="2">
        <f t="shared" si="119"/>
        <v>0</v>
      </c>
      <c r="J304" s="2">
        <f t="shared" si="119"/>
        <v>0</v>
      </c>
      <c r="K304" s="2">
        <f t="shared" si="119"/>
        <v>0</v>
      </c>
      <c r="L304" s="2">
        <f t="shared" si="119"/>
        <v>0</v>
      </c>
      <c r="M304" s="2">
        <f t="shared" si="119"/>
        <v>0</v>
      </c>
      <c r="N304" s="2">
        <f t="shared" si="119"/>
        <v>0</v>
      </c>
      <c r="O304" s="2">
        <f t="shared" si="119"/>
        <v>0</v>
      </c>
      <c r="P304" s="2">
        <f t="shared" si="119"/>
        <v>0</v>
      </c>
      <c r="Q304" s="2">
        <f t="shared" si="119"/>
        <v>0</v>
      </c>
      <c r="R304" s="2">
        <f t="shared" si="119"/>
        <v>0</v>
      </c>
      <c r="S304" s="2">
        <f t="shared" si="119"/>
        <v>0</v>
      </c>
      <c r="T304" s="2">
        <f t="shared" si="119"/>
        <v>0</v>
      </c>
      <c r="U304" s="2">
        <f t="shared" si="119"/>
        <v>0</v>
      </c>
      <c r="V304" s="2">
        <f t="shared" si="119"/>
        <v>0</v>
      </c>
      <c r="W304" s="2">
        <f t="shared" si="119"/>
        <v>0</v>
      </c>
      <c r="X304" s="2">
        <f t="shared" si="119"/>
        <v>0</v>
      </c>
      <c r="Y304" s="2">
        <f t="shared" si="119"/>
        <v>0</v>
      </c>
      <c r="Z304" s="2">
        <f t="shared" si="119"/>
        <v>0</v>
      </c>
      <c r="AA304" s="2">
        <f t="shared" si="119"/>
        <v>0</v>
      </c>
      <c r="AB304" s="2">
        <f t="shared" si="120"/>
        <v>0</v>
      </c>
    </row>
    <row r="305" spans="1:28" x14ac:dyDescent="0.25">
      <c r="E305" t="s">
        <v>10</v>
      </c>
      <c r="F305" t="s">
        <v>7</v>
      </c>
      <c r="G305" s="2">
        <f t="shared" si="119"/>
        <v>0</v>
      </c>
      <c r="H305" s="2">
        <f t="shared" si="119"/>
        <v>-171466.73999999996</v>
      </c>
      <c r="I305" s="2">
        <f t="shared" si="119"/>
        <v>-346469.8605239999</v>
      </c>
      <c r="J305" s="2">
        <f t="shared" si="119"/>
        <v>-528212.9876161936</v>
      </c>
      <c r="K305" s="2">
        <f t="shared" si="119"/>
        <v>-707903.49545986997</v>
      </c>
      <c r="L305" s="2">
        <f t="shared" si="119"/>
        <v>-885136.2208177977</v>
      </c>
      <c r="M305" s="2">
        <f t="shared" si="119"/>
        <v>-1060057.7146030834</v>
      </c>
      <c r="N305" s="2">
        <f t="shared" si="119"/>
        <v>-1232544.2701033654</v>
      </c>
      <c r="O305" s="2">
        <f t="shared" si="119"/>
        <v>-1402613.9125669494</v>
      </c>
      <c r="P305" s="2">
        <f t="shared" si="119"/>
        <v>-1584670.8660847587</v>
      </c>
      <c r="Q305" s="2">
        <f t="shared" si="119"/>
        <v>-1779460.5970120318</v>
      </c>
      <c r="R305" s="2">
        <f t="shared" si="119"/>
        <v>-1991424.4721122517</v>
      </c>
      <c r="S305" s="2">
        <f t="shared" si="119"/>
        <v>-2222129.030074113</v>
      </c>
      <c r="T305" s="2">
        <f t="shared" si="119"/>
        <v>-2473085.2879816247</v>
      </c>
      <c r="U305" s="2">
        <f t="shared" si="119"/>
        <v>-2732236.4879738204</v>
      </c>
      <c r="V305" s="2">
        <f t="shared" si="119"/>
        <v>-2999632.5940382234</v>
      </c>
      <c r="W305" s="2">
        <f t="shared" si="119"/>
        <v>-3062624.8785130256</v>
      </c>
      <c r="X305" s="2">
        <f t="shared" si="119"/>
        <v>-3126940.0009617992</v>
      </c>
      <c r="Y305" s="2">
        <f t="shared" si="119"/>
        <v>-3192605.7409819965</v>
      </c>
      <c r="Z305" s="2">
        <f t="shared" si="119"/>
        <v>-3259650.461542618</v>
      </c>
      <c r="AA305" s="2">
        <f t="shared" si="119"/>
        <v>-3328103.1212350125</v>
      </c>
      <c r="AB305" s="2">
        <f t="shared" si="120"/>
        <v>-110936770.70783398</v>
      </c>
    </row>
    <row r="306" spans="1:28" x14ac:dyDescent="0.25">
      <c r="E306" t="s">
        <v>48</v>
      </c>
      <c r="F306" t="s">
        <v>7</v>
      </c>
      <c r="G306" s="2">
        <f t="shared" si="119"/>
        <v>0</v>
      </c>
      <c r="H306" s="2">
        <f t="shared" si="119"/>
        <v>0</v>
      </c>
      <c r="I306" s="2">
        <f t="shared" si="119"/>
        <v>0</v>
      </c>
      <c r="J306" s="2">
        <f t="shared" si="119"/>
        <v>0</v>
      </c>
      <c r="K306" s="2">
        <f t="shared" si="119"/>
        <v>0</v>
      </c>
      <c r="L306" s="2">
        <f t="shared" si="119"/>
        <v>0</v>
      </c>
      <c r="M306" s="2">
        <f t="shared" si="119"/>
        <v>0</v>
      </c>
      <c r="N306" s="2">
        <f t="shared" si="119"/>
        <v>0</v>
      </c>
      <c r="O306" s="2">
        <f t="shared" si="119"/>
        <v>0</v>
      </c>
      <c r="P306" s="2">
        <f t="shared" si="119"/>
        <v>0</v>
      </c>
      <c r="Q306" s="2">
        <f t="shared" si="119"/>
        <v>0</v>
      </c>
      <c r="R306" s="2">
        <f t="shared" si="119"/>
        <v>0</v>
      </c>
      <c r="S306" s="2">
        <f t="shared" si="119"/>
        <v>0</v>
      </c>
      <c r="T306" s="2">
        <f t="shared" si="119"/>
        <v>0</v>
      </c>
      <c r="U306" s="2">
        <f t="shared" si="119"/>
        <v>0</v>
      </c>
      <c r="V306" s="2">
        <f t="shared" si="119"/>
        <v>0</v>
      </c>
      <c r="W306" s="2">
        <f t="shared" si="119"/>
        <v>0</v>
      </c>
      <c r="X306" s="2">
        <f t="shared" si="119"/>
        <v>0</v>
      </c>
      <c r="Y306" s="2">
        <f t="shared" si="119"/>
        <v>0</v>
      </c>
      <c r="Z306" s="2">
        <f t="shared" si="119"/>
        <v>0</v>
      </c>
      <c r="AA306" s="2">
        <f t="shared" si="119"/>
        <v>0</v>
      </c>
      <c r="AB306" s="2">
        <f t="shared" si="120"/>
        <v>0</v>
      </c>
    </row>
    <row r="307" spans="1:28" x14ac:dyDescent="0.25">
      <c r="E307" t="s">
        <v>49</v>
      </c>
      <c r="F307" t="s">
        <v>7</v>
      </c>
      <c r="G307" s="2">
        <f t="shared" si="119"/>
        <v>0</v>
      </c>
      <c r="H307" s="2">
        <f t="shared" si="119"/>
        <v>0</v>
      </c>
      <c r="I307" s="2">
        <f t="shared" si="119"/>
        <v>0</v>
      </c>
      <c r="J307" s="2">
        <f t="shared" si="119"/>
        <v>0</v>
      </c>
      <c r="K307" s="2">
        <f t="shared" si="119"/>
        <v>0</v>
      </c>
      <c r="L307" s="2">
        <f t="shared" si="119"/>
        <v>0</v>
      </c>
      <c r="M307" s="2">
        <f t="shared" si="119"/>
        <v>0</v>
      </c>
      <c r="N307" s="2">
        <f t="shared" si="119"/>
        <v>0</v>
      </c>
      <c r="O307" s="2">
        <f t="shared" si="119"/>
        <v>0</v>
      </c>
      <c r="P307" s="2">
        <f t="shared" si="119"/>
        <v>0</v>
      </c>
      <c r="Q307" s="2">
        <f t="shared" si="119"/>
        <v>0</v>
      </c>
      <c r="R307" s="2">
        <f t="shared" si="119"/>
        <v>0</v>
      </c>
      <c r="S307" s="2">
        <f t="shared" si="119"/>
        <v>0</v>
      </c>
      <c r="T307" s="2">
        <f t="shared" si="119"/>
        <v>0</v>
      </c>
      <c r="U307" s="2">
        <f t="shared" si="119"/>
        <v>0</v>
      </c>
      <c r="V307" s="2">
        <f t="shared" si="119"/>
        <v>0</v>
      </c>
      <c r="W307" s="2">
        <f t="shared" si="119"/>
        <v>0</v>
      </c>
      <c r="X307" s="2">
        <f t="shared" si="119"/>
        <v>0</v>
      </c>
      <c r="Y307" s="2">
        <f t="shared" si="119"/>
        <v>0</v>
      </c>
      <c r="Z307" s="2">
        <f t="shared" si="119"/>
        <v>0</v>
      </c>
      <c r="AA307" s="2">
        <f t="shared" si="119"/>
        <v>0</v>
      </c>
      <c r="AB307" s="2">
        <f t="shared" si="120"/>
        <v>0</v>
      </c>
    </row>
    <row r="308" spans="1:28" x14ac:dyDescent="0.25">
      <c r="E308" t="s">
        <v>20</v>
      </c>
      <c r="F308" t="s">
        <v>7</v>
      </c>
      <c r="G308" s="2">
        <f t="shared" ref="G308:AA308" ca="1" si="121">G297</f>
        <v>118513.84267491655</v>
      </c>
      <c r="H308" s="2">
        <f t="shared" ca="1" si="121"/>
        <v>-4551290.0414762255</v>
      </c>
      <c r="I308" s="2">
        <f t="shared" ca="1" si="121"/>
        <v>-4553081.7730425652</v>
      </c>
      <c r="J308" s="2">
        <f t="shared" ca="1" si="121"/>
        <v>-4600561.2616393175</v>
      </c>
      <c r="K308" s="2">
        <f t="shared" ca="1" si="121"/>
        <v>-4525321.1551336674</v>
      </c>
      <c r="L308" s="2">
        <f t="shared" ca="1" si="121"/>
        <v>-4438818.3906001439</v>
      </c>
      <c r="M308" s="2">
        <f t="shared" ca="1" si="121"/>
        <v>-4359202.931346098</v>
      </c>
      <c r="N308" s="2">
        <f t="shared" ca="1" si="121"/>
        <v>-4285113.3402407523</v>
      </c>
      <c r="O308" s="2">
        <f t="shared" ca="1" si="121"/>
        <v>-4213615.1986043612</v>
      </c>
      <c r="P308" s="2">
        <f t="shared" ca="1" si="121"/>
        <v>-4363629.2260195455</v>
      </c>
      <c r="Q308" s="2">
        <f t="shared" ca="1" si="121"/>
        <v>-4522012.0684187664</v>
      </c>
      <c r="R308" s="2">
        <f t="shared" ca="1" si="121"/>
        <v>-4720160.9480482256</v>
      </c>
      <c r="S308" s="2">
        <f t="shared" ca="1" si="121"/>
        <v>-4933028.2269703327</v>
      </c>
      <c r="T308" s="2">
        <f t="shared" ca="1" si="121"/>
        <v>-5158823.2798888693</v>
      </c>
      <c r="U308" s="2">
        <f t="shared" ca="1" si="121"/>
        <v>-5188247.5787595278</v>
      </c>
      <c r="V308" s="2">
        <f t="shared" ca="1" si="121"/>
        <v>-5215326.0568610718</v>
      </c>
      <c r="W308" s="2">
        <f t="shared" ca="1" si="121"/>
        <v>1064934.9225871721</v>
      </c>
      <c r="X308" s="2">
        <f t="shared" ca="1" si="121"/>
        <v>1073811.7103482019</v>
      </c>
      <c r="Y308" s="2">
        <f t="shared" ca="1" si="121"/>
        <v>1082874.910652213</v>
      </c>
      <c r="Z308" s="2">
        <f t="shared" ca="1" si="121"/>
        <v>1092128.4381626088</v>
      </c>
      <c r="AA308" s="2">
        <f t="shared" ca="1" si="121"/>
        <v>1101576.2897507225</v>
      </c>
      <c r="AB308" s="2">
        <f ca="1">IF(V308=0,0,IF($G$15&gt;(AA308/V308)^(1/5)-1+2%,AA308*(AA308/V308)^(1/5)/($G$15-((AA308/V308)^(1/5)-1)),AA308*(1+$G$14)/$G$16))</f>
        <v>-452353.1670768144</v>
      </c>
    </row>
    <row r="309" spans="1:28" x14ac:dyDescent="0.25">
      <c r="E309" t="s">
        <v>173</v>
      </c>
      <c r="F309" t="s">
        <v>7</v>
      </c>
      <c r="G309" s="2">
        <f ca="1">-$G$17*G308</f>
        <v>-59256.921337458276</v>
      </c>
      <c r="H309" s="2">
        <f t="shared" ref="H309:AA309" ca="1" si="122">-$G$17*H308</f>
        <v>2275645.0207381127</v>
      </c>
      <c r="I309" s="2">
        <f t="shared" ca="1" si="122"/>
        <v>2276540.8865212826</v>
      </c>
      <c r="J309" s="2">
        <f t="shared" ca="1" si="122"/>
        <v>2300280.6308196587</v>
      </c>
      <c r="K309" s="2">
        <f t="shared" ca="1" si="122"/>
        <v>2262660.5775668337</v>
      </c>
      <c r="L309" s="2">
        <f t="shared" ca="1" si="122"/>
        <v>2219409.195300072</v>
      </c>
      <c r="M309" s="2">
        <f t="shared" ca="1" si="122"/>
        <v>2179601.465673049</v>
      </c>
      <c r="N309" s="2">
        <f t="shared" ca="1" si="122"/>
        <v>2142556.6701203762</v>
      </c>
      <c r="O309" s="2">
        <f t="shared" ca="1" si="122"/>
        <v>2106807.5993021806</v>
      </c>
      <c r="P309" s="2">
        <f t="shared" ca="1" si="122"/>
        <v>2181814.6130097727</v>
      </c>
      <c r="Q309" s="2">
        <f t="shared" ca="1" si="122"/>
        <v>2261006.0342093832</v>
      </c>
      <c r="R309" s="2">
        <f t="shared" ca="1" si="122"/>
        <v>2360080.4740241128</v>
      </c>
      <c r="S309" s="2">
        <f t="shared" ca="1" si="122"/>
        <v>2466514.1134851663</v>
      </c>
      <c r="T309" s="2">
        <f t="shared" ca="1" si="122"/>
        <v>2579411.6399444346</v>
      </c>
      <c r="U309" s="2">
        <f t="shared" ca="1" si="122"/>
        <v>2594123.7893797639</v>
      </c>
      <c r="V309" s="2">
        <f t="shared" ca="1" si="122"/>
        <v>2607663.0284305359</v>
      </c>
      <c r="W309" s="2">
        <f t="shared" ca="1" si="122"/>
        <v>-532467.46129358606</v>
      </c>
      <c r="X309" s="2">
        <f t="shared" ca="1" si="122"/>
        <v>-536905.85517410096</v>
      </c>
      <c r="Y309" s="2">
        <f t="shared" ca="1" si="122"/>
        <v>-541437.45532610652</v>
      </c>
      <c r="Z309" s="2">
        <f t="shared" ca="1" si="122"/>
        <v>-546064.21908130439</v>
      </c>
      <c r="AA309" s="2">
        <f t="shared" ca="1" si="122"/>
        <v>-550788.14487536123</v>
      </c>
      <c r="AB309" s="2">
        <f t="shared" ref="AB309" ca="1" si="123">IF(V309=0,0,IF($G$15&gt;(AA309/V309)^(1/5)-1+2%,AA309*(AA309/V309)^(1/5)/($G$15-((AA309/V309)^(1/5)-1)),AA309*(1+$G$14)/$G$16))</f>
        <v>226176.5835384072</v>
      </c>
    </row>
    <row r="310" spans="1:28" x14ac:dyDescent="0.25">
      <c r="E310" t="s">
        <v>23</v>
      </c>
      <c r="F310" t="s">
        <v>7</v>
      </c>
      <c r="G310" s="2">
        <f t="shared" ref="G310:AB310" ca="1" si="124">SUM(G300:G309)</f>
        <v>-31544434.458640292</v>
      </c>
      <c r="H310" s="2">
        <f t="shared" ca="1" si="124"/>
        <v>-2590343.9202284534</v>
      </c>
      <c r="I310" s="2">
        <f t="shared" ca="1" si="124"/>
        <v>-3947311.6141247107</v>
      </c>
      <c r="J310" s="2">
        <f t="shared" ca="1" si="124"/>
        <v>-4403108.7641448043</v>
      </c>
      <c r="K310" s="2">
        <f t="shared" ca="1" si="124"/>
        <v>-2588343.9132651337</v>
      </c>
      <c r="L310" s="2">
        <f t="shared" ca="1" si="124"/>
        <v>-4621049.983534921</v>
      </c>
      <c r="M310" s="2">
        <f t="shared" ca="1" si="124"/>
        <v>-4027376.6527957879</v>
      </c>
      <c r="N310" s="2">
        <f t="shared" ca="1" si="124"/>
        <v>-2709610.1341272462</v>
      </c>
      <c r="O310" s="2">
        <f t="shared" ca="1" si="124"/>
        <v>-2752104.5651617651</v>
      </c>
      <c r="P310" s="2">
        <f t="shared" ca="1" si="124"/>
        <v>-2910870.0520073273</v>
      </c>
      <c r="Q310" s="2">
        <f t="shared" ca="1" si="124"/>
        <v>-3079677.8824138963</v>
      </c>
      <c r="R310" s="2">
        <f t="shared" ca="1" si="124"/>
        <v>-3276269.9956585788</v>
      </c>
      <c r="S310" s="2">
        <f t="shared" ca="1" si="124"/>
        <v>-3488843.2861874807</v>
      </c>
      <c r="T310" s="2">
        <f t="shared" ca="1" si="124"/>
        <v>-3717197.6110859006</v>
      </c>
      <c r="U310" s="2">
        <f t="shared" ca="1" si="124"/>
        <v>-3851136.7848331346</v>
      </c>
      <c r="V310" s="2">
        <f t="shared" ca="1" si="124"/>
        <v>-3987696.2608714611</v>
      </c>
      <c r="W310" s="2">
        <f t="shared" ca="1" si="124"/>
        <v>-876546.46902859793</v>
      </c>
      <c r="X310" s="2">
        <f t="shared" ca="1" si="124"/>
        <v>-901697.36768484931</v>
      </c>
      <c r="Y310" s="2">
        <f t="shared" ca="1" si="124"/>
        <v>-927376.43521288142</v>
      </c>
      <c r="Z310" s="2">
        <f t="shared" ca="1" si="124"/>
        <v>-953594.76315900206</v>
      </c>
      <c r="AA310" s="2">
        <f t="shared" ca="1" si="124"/>
        <v>-980363.67599199119</v>
      </c>
      <c r="AB310" s="2">
        <f t="shared" ca="1" si="124"/>
        <v>-51264570.612450249</v>
      </c>
    </row>
    <row r="311" spans="1:28" x14ac:dyDescent="0.25">
      <c r="E311" t="s">
        <v>31</v>
      </c>
      <c r="F311" t="s">
        <v>7</v>
      </c>
      <c r="G311" s="2">
        <f ca="1">NPV($G$15,H310:AB310)+G310</f>
        <v>-86690600.126840979</v>
      </c>
    </row>
    <row r="313" spans="1:28" x14ac:dyDescent="0.25">
      <c r="E313" t="s">
        <v>13</v>
      </c>
      <c r="F313" t="s">
        <v>7</v>
      </c>
      <c r="G313" s="2">
        <f t="shared" ref="G313:AA313" ca="1" si="125">G285</f>
        <v>0</v>
      </c>
      <c r="H313" s="2">
        <f t="shared" ca="1" si="125"/>
        <v>7414272.4085968928</v>
      </c>
      <c r="I313" s="2">
        <f t="shared" ca="1" si="125"/>
        <v>7569972.1291774269</v>
      </c>
      <c r="J313" s="2">
        <f t="shared" ca="1" si="125"/>
        <v>7728941.5438901521</v>
      </c>
      <c r="K313" s="2">
        <f t="shared" ca="1" si="125"/>
        <v>7891249.3163118446</v>
      </c>
      <c r="L313" s="2">
        <f t="shared" ca="1" si="125"/>
        <v>8056965.5519543923</v>
      </c>
      <c r="M313" s="2">
        <f t="shared" ca="1" si="125"/>
        <v>8226161.8285454335</v>
      </c>
      <c r="N313" s="2">
        <f t="shared" ca="1" si="125"/>
        <v>8398911.2269448861</v>
      </c>
      <c r="O313" s="2">
        <f t="shared" ca="1" si="125"/>
        <v>8575288.3627107274</v>
      </c>
      <c r="P313" s="2">
        <f t="shared" ca="1" si="125"/>
        <v>8755369.4183276519</v>
      </c>
      <c r="Q313" s="2">
        <f t="shared" ca="1" si="125"/>
        <v>8939232.1761125326</v>
      </c>
      <c r="R313" s="2">
        <f t="shared" ca="1" si="125"/>
        <v>9126956.0518108942</v>
      </c>
      <c r="S313" s="2">
        <f t="shared" ca="1" si="125"/>
        <v>9318622.1288989224</v>
      </c>
      <c r="T313" s="2">
        <f t="shared" ca="1" si="125"/>
        <v>9514313.1936057992</v>
      </c>
      <c r="U313" s="2">
        <f t="shared" ca="1" si="125"/>
        <v>9714113.7706715204</v>
      </c>
      <c r="V313" s="2">
        <f t="shared" ca="1" si="125"/>
        <v>9918110.1598556209</v>
      </c>
      <c r="W313" s="2">
        <f t="shared" ca="1" si="125"/>
        <v>0</v>
      </c>
      <c r="X313" s="2">
        <f t="shared" ca="1" si="125"/>
        <v>0</v>
      </c>
      <c r="Y313" s="2">
        <f t="shared" ca="1" si="125"/>
        <v>0</v>
      </c>
      <c r="Z313" s="2">
        <f t="shared" ca="1" si="125"/>
        <v>0</v>
      </c>
      <c r="AA313" s="2">
        <f t="shared" ca="1" si="125"/>
        <v>0</v>
      </c>
    </row>
    <row r="314" spans="1:28" x14ac:dyDescent="0.25">
      <c r="E314" t="s">
        <v>24</v>
      </c>
      <c r="F314" t="s">
        <v>7</v>
      </c>
      <c r="G314">
        <f ca="1">NPV($G$15,H313:AA313)+G313</f>
        <v>86690600.126840994</v>
      </c>
    </row>
    <row r="315" spans="1:28" x14ac:dyDescent="0.25">
      <c r="E315" s="3" t="s">
        <v>34</v>
      </c>
      <c r="F315" s="3"/>
      <c r="G315" s="4" t="str">
        <f ca="1">IF(G311&gt;0,"N/A",IF(ABS(G311+G314)&gt;1,"Error","OK"))</f>
        <v>OK</v>
      </c>
    </row>
    <row r="318" spans="1:28" x14ac:dyDescent="0.25">
      <c r="C318" s="1" t="s">
        <v>110</v>
      </c>
    </row>
    <row r="319" spans="1:28" x14ac:dyDescent="0.25">
      <c r="E319" t="s">
        <v>116</v>
      </c>
      <c r="F319" t="s">
        <v>117</v>
      </c>
    </row>
    <row r="320" spans="1:28" x14ac:dyDescent="0.25">
      <c r="A320" s="14">
        <f>'Notes &amp; Assumptions'!A68</f>
        <v>55</v>
      </c>
      <c r="E320" s="19" t="s">
        <v>111</v>
      </c>
      <c r="F320" s="19" t="s">
        <v>119</v>
      </c>
    </row>
    <row r="321" spans="5:6" customFormat="1" x14ac:dyDescent="0.25">
      <c r="E321" s="19" t="s">
        <v>112</v>
      </c>
      <c r="F321" s="19" t="s">
        <v>120</v>
      </c>
    </row>
    <row r="322" spans="5:6" customFormat="1" x14ac:dyDescent="0.25">
      <c r="E322" s="19" t="s">
        <v>113</v>
      </c>
      <c r="F322" s="19" t="s">
        <v>121</v>
      </c>
    </row>
  </sheetData>
  <mergeCells count="1">
    <mergeCell ref="G4:H4"/>
  </mergeCells>
  <dataValidations count="1">
    <dataValidation type="list" showInputMessage="1" showErrorMessage="1" sqref="G4" xr:uid="{55FCBD1A-5426-431B-BEE4-893BE413EBC7}">
      <formula1>$E$320:$E$322</formula1>
    </dataValidation>
  </dataValidation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2:AC322"/>
  <sheetViews>
    <sheetView topLeftCell="L13" zoomScale="90" zoomScaleNormal="90" workbookViewId="0">
      <selection activeCell="R21" sqref="R21"/>
    </sheetView>
  </sheetViews>
  <sheetFormatPr defaultColWidth="11" defaultRowHeight="15.75" x14ac:dyDescent="0.25"/>
  <cols>
    <col min="1" max="1" width="7.625" style="14" customWidth="1"/>
    <col min="2" max="2" width="3.125" customWidth="1"/>
    <col min="3" max="3" width="3.375" customWidth="1"/>
    <col min="4" max="4" width="2.875" customWidth="1"/>
    <col min="5" max="5" width="36.5" bestFit="1" customWidth="1"/>
    <col min="6" max="6" width="17.5" customWidth="1"/>
    <col min="7" max="27" width="15.625" customWidth="1"/>
    <col min="28" max="28" width="11.125" customWidth="1"/>
  </cols>
  <sheetData>
    <row r="2" spans="1:27" x14ac:dyDescent="0.25">
      <c r="C2" s="1" t="s">
        <v>0</v>
      </c>
      <c r="D2" s="1"/>
      <c r="G2">
        <v>0</v>
      </c>
      <c r="H2">
        <v>1</v>
      </c>
      <c r="I2">
        <v>2</v>
      </c>
      <c r="J2">
        <v>3</v>
      </c>
      <c r="K2">
        <v>4</v>
      </c>
      <c r="L2">
        <v>5</v>
      </c>
      <c r="M2">
        <v>6</v>
      </c>
      <c r="N2">
        <v>7</v>
      </c>
      <c r="O2">
        <v>8</v>
      </c>
      <c r="P2">
        <v>9</v>
      </c>
      <c r="Q2">
        <v>10</v>
      </c>
      <c r="R2">
        <v>11</v>
      </c>
      <c r="S2">
        <v>12</v>
      </c>
      <c r="T2">
        <v>13</v>
      </c>
      <c r="U2">
        <v>14</v>
      </c>
      <c r="V2">
        <v>15</v>
      </c>
      <c r="W2">
        <v>16</v>
      </c>
      <c r="X2">
        <v>17</v>
      </c>
      <c r="Y2">
        <v>18</v>
      </c>
      <c r="Z2">
        <v>19</v>
      </c>
      <c r="AA2">
        <v>20</v>
      </c>
    </row>
    <row r="4" spans="1:27" x14ac:dyDescent="0.25">
      <c r="A4" s="14">
        <f>'Notes &amp; Assumptions'!A14</f>
        <v>1</v>
      </c>
      <c r="C4" s="1" t="s">
        <v>114</v>
      </c>
      <c r="F4" t="s">
        <v>115</v>
      </c>
      <c r="G4" s="368" t="s">
        <v>111</v>
      </c>
      <c r="H4" s="368"/>
    </row>
    <row r="6" spans="1:27" x14ac:dyDescent="0.25">
      <c r="C6" s="1" t="s">
        <v>126</v>
      </c>
    </row>
    <row r="7" spans="1:27" x14ac:dyDescent="0.25">
      <c r="A7" s="14">
        <f>'Notes &amp; Assumptions'!A15</f>
        <v>2</v>
      </c>
      <c r="E7" s="10" t="s">
        <v>309</v>
      </c>
      <c r="F7" t="s">
        <v>145</v>
      </c>
      <c r="G7" s="10">
        <v>90</v>
      </c>
    </row>
    <row r="8" spans="1:27" x14ac:dyDescent="0.25">
      <c r="A8" s="14">
        <f>'Notes &amp; Assumptions'!A16</f>
        <v>3</v>
      </c>
      <c r="E8" s="10" t="s">
        <v>129</v>
      </c>
      <c r="F8" t="s">
        <v>145</v>
      </c>
      <c r="G8" s="10">
        <v>25</v>
      </c>
    </row>
    <row r="9" spans="1:27" x14ac:dyDescent="0.25">
      <c r="A9" s="14">
        <f>'Notes &amp; Assumptions'!A17</f>
        <v>4</v>
      </c>
      <c r="E9" s="10" t="s">
        <v>130</v>
      </c>
      <c r="F9" t="s">
        <v>145</v>
      </c>
      <c r="G9" s="10">
        <v>30</v>
      </c>
    </row>
    <row r="10" spans="1:27" x14ac:dyDescent="0.25">
      <c r="A10" s="14">
        <f>'Notes &amp; Assumptions'!A18</f>
        <v>5</v>
      </c>
      <c r="E10" t="s">
        <v>127</v>
      </c>
      <c r="F10" t="s">
        <v>145</v>
      </c>
      <c r="G10" s="10">
        <v>5</v>
      </c>
    </row>
    <row r="13" spans="1:27" x14ac:dyDescent="0.25">
      <c r="C13" s="1" t="s">
        <v>92</v>
      </c>
    </row>
    <row r="14" spans="1:27" x14ac:dyDescent="0.25">
      <c r="A14" s="14">
        <f>'Notes &amp; Assumptions'!A19</f>
        <v>6</v>
      </c>
      <c r="E14" t="s">
        <v>5</v>
      </c>
      <c r="F14" t="s">
        <v>8</v>
      </c>
      <c r="G14" s="17">
        <f>'Key assumptions'!B9</f>
        <v>2.1000000000000001E-2</v>
      </c>
    </row>
    <row r="15" spans="1:27" x14ac:dyDescent="0.25">
      <c r="A15" s="14">
        <f>'Notes &amp; Assumptions'!A20</f>
        <v>7</v>
      </c>
      <c r="E15" t="s">
        <v>32</v>
      </c>
      <c r="F15" t="s">
        <v>8</v>
      </c>
      <c r="G15" s="17">
        <f>'Key assumptions'!B8</f>
        <v>5.1629999999999843E-2</v>
      </c>
    </row>
    <row r="16" spans="1:27" x14ac:dyDescent="0.25">
      <c r="E16" t="s">
        <v>30</v>
      </c>
      <c r="F16" t="s">
        <v>8</v>
      </c>
      <c r="G16" s="18">
        <f>(1+G15)/(1+G14)-1</f>
        <v>3.0000000000000027E-2</v>
      </c>
    </row>
    <row r="17" spans="1:27" x14ac:dyDescent="0.25">
      <c r="E17" t="s">
        <v>171</v>
      </c>
      <c r="F17" t="s">
        <v>8</v>
      </c>
      <c r="G17" s="11">
        <v>0.5</v>
      </c>
    </row>
    <row r="18" spans="1:27" x14ac:dyDescent="0.25">
      <c r="A18" s="14">
        <f>'Notes &amp; Assumptions'!A22</f>
        <v>9</v>
      </c>
      <c r="E18" t="s">
        <v>16</v>
      </c>
      <c r="F18" t="s">
        <v>8</v>
      </c>
      <c r="G18" s="11">
        <v>0.3</v>
      </c>
      <c r="H18" s="11">
        <v>0.3</v>
      </c>
      <c r="I18" s="11">
        <v>0.3</v>
      </c>
      <c r="J18" s="11">
        <v>0.3</v>
      </c>
      <c r="K18" s="11">
        <v>0.3</v>
      </c>
      <c r="L18" s="11">
        <v>0.3</v>
      </c>
      <c r="M18" s="11">
        <v>0.3</v>
      </c>
      <c r="N18" s="11">
        <v>0.3</v>
      </c>
      <c r="O18" s="11">
        <v>0.3</v>
      </c>
      <c r="P18" s="11">
        <v>0.3</v>
      </c>
      <c r="Q18" s="11">
        <v>0.3</v>
      </c>
      <c r="R18" s="11">
        <v>0.3</v>
      </c>
      <c r="S18" s="11">
        <v>0.3</v>
      </c>
      <c r="T18" s="11">
        <v>0.3</v>
      </c>
      <c r="U18" s="11">
        <v>0.3</v>
      </c>
      <c r="V18" s="11">
        <v>0.3</v>
      </c>
      <c r="W18" s="11">
        <v>0.3</v>
      </c>
      <c r="X18" s="11">
        <v>0.3</v>
      </c>
      <c r="Y18" s="11">
        <v>0.3</v>
      </c>
      <c r="Z18" s="11">
        <v>0.3</v>
      </c>
      <c r="AA18" s="11">
        <v>0.3</v>
      </c>
    </row>
    <row r="20" spans="1:27" x14ac:dyDescent="0.25">
      <c r="A20" s="14">
        <f>'Notes &amp; Assumptions'!A23</f>
        <v>10</v>
      </c>
      <c r="C20" s="1" t="s">
        <v>1</v>
      </c>
      <c r="D20" s="1"/>
    </row>
    <row r="21" spans="1:27" x14ac:dyDescent="0.25">
      <c r="E21" s="2" t="str">
        <f>E7</f>
        <v>Average asset life for all growth assets</v>
      </c>
      <c r="F21" t="s">
        <v>7</v>
      </c>
      <c r="G21" s="43">
        <f>IF('Key assumptions'!B3="yes",SUM('Historical growth capex'!M79:V79),0)</f>
        <v>134535238.53477734</v>
      </c>
      <c r="H21" s="10">
        <f>'Forecast capex'!J73*1000*(1+$G$14)^H2</f>
        <v>10442173.960726788</v>
      </c>
      <c r="I21" s="10">
        <f>'Forecast capex'!K73*1000*(1+$G$14)^I2</f>
        <v>24478610.791561075</v>
      </c>
      <c r="J21" s="10">
        <f>'Forecast capex'!L73*1000*(1+$G$14)^J2</f>
        <v>30802112.308405004</v>
      </c>
      <c r="K21" s="10">
        <f>'Forecast capex'!M73*1000*(1+$G$14)^K2</f>
        <v>34788680.095134988</v>
      </c>
      <c r="L21" s="10">
        <f>'Forecast capex'!N73*1000*(1+$G$14)^L2</f>
        <v>35793501.430380769</v>
      </c>
      <c r="M21" s="10">
        <f>'Forecast capex'!O73*1000*(1+$G$14)^M2</f>
        <v>41311667.245493665</v>
      </c>
      <c r="N21" s="10">
        <f>'Forecast capex'!P73*1000*(1+$G$14)^N2</f>
        <v>48047353.587311171</v>
      </c>
      <c r="O21" s="10">
        <f>'Forecast capex'!Q73*1000*(1+$G$14)^O2</f>
        <v>35417183.249484621</v>
      </c>
      <c r="P21" s="10">
        <f>'Forecast capex'!R73*1000*(1+$G$14)^P2</f>
        <v>24802067.712448962</v>
      </c>
      <c r="Q21" s="10">
        <f>'Forecast capex'!S73*1000*(1+$G$14)^Q2</f>
        <v>35890055.909640156</v>
      </c>
      <c r="R21" s="10">
        <f>'[10]potable water'!$X$189/5*(1+$G$14)^R2</f>
        <v>40515115.035281375</v>
      </c>
      <c r="S21" s="10">
        <f>'[10]potable water'!$X$189/5*(1+$G$14)^S2</f>
        <v>41365932.451022267</v>
      </c>
      <c r="T21" s="10">
        <f>'[10]potable water'!$X$189/5*(1+$G$14)^T2</f>
        <v>42234617.032493733</v>
      </c>
      <c r="U21" s="10">
        <f>'[10]potable water'!$X$189/5*(1+$G$14)^U2</f>
        <v>43121543.990176097</v>
      </c>
      <c r="V21" s="10">
        <f>'[10]potable water'!$X$189/5*(1+$G$14)^V2</f>
        <v>44027096.413969785</v>
      </c>
      <c r="W21" s="10"/>
      <c r="X21" s="10"/>
      <c r="Y21" s="10"/>
      <c r="Z21" s="10"/>
      <c r="AA21" s="10"/>
    </row>
    <row r="22" spans="1:27" x14ac:dyDescent="0.25">
      <c r="E22" s="2" t="str">
        <f>E8</f>
        <v>Pumps</v>
      </c>
      <c r="F22" t="s">
        <v>7</v>
      </c>
      <c r="G22" s="10"/>
      <c r="H22" s="10"/>
      <c r="I22" s="10"/>
      <c r="J22" s="10"/>
      <c r="K22" s="10"/>
      <c r="L22" s="10"/>
      <c r="M22" s="10"/>
      <c r="N22" s="10"/>
      <c r="O22" s="10"/>
      <c r="P22" s="10"/>
      <c r="Q22" s="10"/>
      <c r="R22" s="10"/>
      <c r="S22" s="10"/>
      <c r="T22" s="10"/>
      <c r="U22" s="10"/>
      <c r="V22" s="10"/>
      <c r="W22" s="10"/>
      <c r="X22" s="10"/>
      <c r="Y22" s="10"/>
      <c r="Z22" s="10"/>
      <c r="AA22" s="10"/>
    </row>
    <row r="23" spans="1:27" x14ac:dyDescent="0.25">
      <c r="E23" s="2" t="str">
        <f>E9</f>
        <v>Valves and Meters</v>
      </c>
      <c r="F23" t="s">
        <v>7</v>
      </c>
      <c r="G23" s="10"/>
      <c r="H23" s="10"/>
      <c r="I23" s="10"/>
      <c r="J23" s="10"/>
      <c r="K23" s="10"/>
      <c r="L23" s="10"/>
      <c r="M23" s="10"/>
      <c r="N23" s="10"/>
      <c r="O23" s="10"/>
      <c r="P23" s="10"/>
      <c r="Q23" s="10"/>
      <c r="R23" s="10"/>
      <c r="S23" s="10"/>
      <c r="T23" s="10"/>
      <c r="U23" s="10"/>
      <c r="V23" s="10"/>
      <c r="W23" s="10"/>
      <c r="X23" s="10"/>
      <c r="Y23" s="10"/>
      <c r="Z23" s="10"/>
      <c r="AA23" s="10"/>
    </row>
    <row r="24" spans="1:27" x14ac:dyDescent="0.25">
      <c r="E24" t="s">
        <v>127</v>
      </c>
      <c r="F24" t="s">
        <v>7</v>
      </c>
      <c r="G24" s="10"/>
      <c r="H24" s="10"/>
      <c r="I24" s="10"/>
      <c r="J24" s="10"/>
      <c r="K24" s="10"/>
      <c r="L24" s="10"/>
      <c r="M24" s="10"/>
      <c r="N24" s="10"/>
      <c r="O24" s="10"/>
      <c r="P24" s="10"/>
      <c r="Q24" s="10"/>
      <c r="R24" s="10"/>
      <c r="S24" s="10"/>
      <c r="T24" s="10"/>
      <c r="U24" s="10"/>
      <c r="V24" s="10"/>
      <c r="W24" s="10"/>
      <c r="X24" s="10"/>
      <c r="Y24" s="10"/>
      <c r="Z24" s="10"/>
      <c r="AA24" s="10"/>
    </row>
    <row r="25" spans="1:27" x14ac:dyDescent="0.25">
      <c r="E25" t="s">
        <v>131</v>
      </c>
      <c r="F25" t="s">
        <v>7</v>
      </c>
      <c r="G25" s="10"/>
      <c r="H25" s="10"/>
      <c r="I25" s="10"/>
      <c r="J25" s="10"/>
      <c r="K25" s="10"/>
      <c r="L25" s="10"/>
      <c r="M25" s="10"/>
      <c r="N25" s="10"/>
      <c r="O25" s="10"/>
      <c r="P25" s="10"/>
      <c r="Q25" s="10"/>
      <c r="R25" s="10"/>
      <c r="S25" s="10"/>
      <c r="T25" s="10"/>
      <c r="U25" s="10"/>
      <c r="V25" s="10"/>
      <c r="W25" s="10"/>
      <c r="X25" s="10"/>
      <c r="Y25" s="10"/>
      <c r="Z25" s="10"/>
      <c r="AA25" s="10"/>
    </row>
    <row r="26" spans="1:27" x14ac:dyDescent="0.25">
      <c r="G26" s="2">
        <f>SUM(G21:G25)</f>
        <v>134535238.53477734</v>
      </c>
      <c r="H26" s="2">
        <f t="shared" ref="H26:AA26" si="0">SUM(H21:H25)</f>
        <v>10442173.960726788</v>
      </c>
      <c r="I26" s="2">
        <f t="shared" si="0"/>
        <v>24478610.791561075</v>
      </c>
      <c r="J26" s="2">
        <f t="shared" si="0"/>
        <v>30802112.308405004</v>
      </c>
      <c r="K26" s="2">
        <f t="shared" si="0"/>
        <v>34788680.095134988</v>
      </c>
      <c r="L26" s="2">
        <f t="shared" si="0"/>
        <v>35793501.430380769</v>
      </c>
      <c r="M26" s="2">
        <f t="shared" si="0"/>
        <v>41311667.245493665</v>
      </c>
      <c r="N26" s="2">
        <f t="shared" si="0"/>
        <v>48047353.587311171</v>
      </c>
      <c r="O26" s="2">
        <f t="shared" si="0"/>
        <v>35417183.249484621</v>
      </c>
      <c r="P26" s="2">
        <f t="shared" si="0"/>
        <v>24802067.712448962</v>
      </c>
      <c r="Q26" s="2">
        <f t="shared" si="0"/>
        <v>35890055.909640156</v>
      </c>
      <c r="R26" s="2">
        <f t="shared" si="0"/>
        <v>40515115.035281375</v>
      </c>
      <c r="S26" s="2">
        <f t="shared" si="0"/>
        <v>41365932.451022267</v>
      </c>
      <c r="T26" s="2">
        <f t="shared" si="0"/>
        <v>42234617.032493733</v>
      </c>
      <c r="U26" s="2">
        <f t="shared" si="0"/>
        <v>43121543.990176097</v>
      </c>
      <c r="V26" s="2">
        <f t="shared" si="0"/>
        <v>44027096.413969785</v>
      </c>
      <c r="W26" s="2">
        <f t="shared" si="0"/>
        <v>0</v>
      </c>
      <c r="X26" s="2">
        <f t="shared" si="0"/>
        <v>0</v>
      </c>
      <c r="Y26" s="2">
        <f t="shared" si="0"/>
        <v>0</v>
      </c>
      <c r="Z26" s="2">
        <f t="shared" si="0"/>
        <v>0</v>
      </c>
      <c r="AA26" s="2">
        <f t="shared" si="0"/>
        <v>0</v>
      </c>
    </row>
    <row r="27" spans="1:27" x14ac:dyDescent="0.25">
      <c r="G27" s="2"/>
      <c r="H27" s="2"/>
      <c r="I27" s="2"/>
      <c r="J27" s="2"/>
      <c r="K27" s="2"/>
      <c r="L27" s="2"/>
      <c r="M27" s="2"/>
      <c r="N27" s="2"/>
      <c r="O27" s="2"/>
      <c r="P27" s="2"/>
      <c r="Q27" s="2"/>
    </row>
    <row r="28" spans="1:27" x14ac:dyDescent="0.25">
      <c r="D28" t="s">
        <v>132</v>
      </c>
      <c r="G28" s="2"/>
      <c r="H28" s="2"/>
      <c r="I28" s="2"/>
      <c r="J28" s="2"/>
      <c r="K28" s="2"/>
      <c r="L28" s="2"/>
      <c r="M28" s="2"/>
      <c r="N28" s="2"/>
      <c r="O28" s="2"/>
      <c r="P28" s="2"/>
      <c r="Q28" s="2"/>
    </row>
    <row r="29" spans="1:27" x14ac:dyDescent="0.25">
      <c r="E29" s="2" t="str">
        <f>E21</f>
        <v>Average asset life for all growth assets</v>
      </c>
      <c r="F29" t="s">
        <v>7</v>
      </c>
      <c r="G29" s="2">
        <f t="shared" ref="G29:AA32" si="1">G21/$G7+IF((G$2-$G7+1)&gt;0,-INDEX($G21:$AA21,1,(G$2-$G7+1))/$G7,0)</f>
        <v>1494835.9837197482</v>
      </c>
      <c r="H29" s="2">
        <f t="shared" si="1"/>
        <v>116024.15511918653</v>
      </c>
      <c r="I29" s="2">
        <f t="shared" si="1"/>
        <v>271984.56435067859</v>
      </c>
      <c r="J29" s="2">
        <f t="shared" si="1"/>
        <v>342245.69231561117</v>
      </c>
      <c r="K29" s="2">
        <f t="shared" si="1"/>
        <v>386540.88994594431</v>
      </c>
      <c r="L29" s="2">
        <f t="shared" si="1"/>
        <v>397705.57144867524</v>
      </c>
      <c r="M29" s="2">
        <f t="shared" si="1"/>
        <v>459018.52494992962</v>
      </c>
      <c r="N29" s="2">
        <f t="shared" si="1"/>
        <v>533859.48430345743</v>
      </c>
      <c r="O29" s="2">
        <f t="shared" si="1"/>
        <v>393524.25832760689</v>
      </c>
      <c r="P29" s="2">
        <f t="shared" si="1"/>
        <v>275578.5301383218</v>
      </c>
      <c r="Q29" s="2">
        <f t="shared" si="1"/>
        <v>398778.39899600175</v>
      </c>
      <c r="R29" s="2">
        <f t="shared" si="1"/>
        <v>450167.9448364597</v>
      </c>
      <c r="S29" s="2">
        <f t="shared" si="1"/>
        <v>459621.47167802521</v>
      </c>
      <c r="T29" s="2">
        <f t="shared" si="1"/>
        <v>469273.52258326369</v>
      </c>
      <c r="U29" s="2">
        <f t="shared" si="1"/>
        <v>479128.26655751216</v>
      </c>
      <c r="V29" s="2">
        <f t="shared" si="1"/>
        <v>489189.96015521983</v>
      </c>
      <c r="W29" s="2">
        <f t="shared" si="1"/>
        <v>0</v>
      </c>
      <c r="X29" s="2">
        <f t="shared" si="1"/>
        <v>0</v>
      </c>
      <c r="Y29" s="2">
        <f t="shared" si="1"/>
        <v>0</v>
      </c>
      <c r="Z29" s="2">
        <f t="shared" si="1"/>
        <v>0</v>
      </c>
      <c r="AA29" s="2">
        <f t="shared" si="1"/>
        <v>0</v>
      </c>
    </row>
    <row r="30" spans="1:27" x14ac:dyDescent="0.25">
      <c r="E30" s="2" t="str">
        <f t="shared" ref="E30:E32" si="2">E22</f>
        <v>Pumps</v>
      </c>
      <c r="F30" t="s">
        <v>7</v>
      </c>
      <c r="G30" s="2">
        <f t="shared" si="1"/>
        <v>0</v>
      </c>
      <c r="H30" s="2">
        <f t="shared" si="1"/>
        <v>0</v>
      </c>
      <c r="I30" s="2">
        <f t="shared" si="1"/>
        <v>0</v>
      </c>
      <c r="J30" s="2">
        <f t="shared" si="1"/>
        <v>0</v>
      </c>
      <c r="K30" s="2">
        <f t="shared" si="1"/>
        <v>0</v>
      </c>
      <c r="L30" s="2">
        <f t="shared" si="1"/>
        <v>0</v>
      </c>
      <c r="M30" s="2">
        <f t="shared" si="1"/>
        <v>0</v>
      </c>
      <c r="N30" s="2">
        <f t="shared" si="1"/>
        <v>0</v>
      </c>
      <c r="O30" s="2">
        <f t="shared" si="1"/>
        <v>0</v>
      </c>
      <c r="P30" s="2">
        <f t="shared" si="1"/>
        <v>0</v>
      </c>
      <c r="Q30" s="2">
        <f t="shared" si="1"/>
        <v>0</v>
      </c>
      <c r="R30" s="2">
        <f t="shared" si="1"/>
        <v>0</v>
      </c>
      <c r="S30" s="2">
        <f t="shared" si="1"/>
        <v>0</v>
      </c>
      <c r="T30" s="2">
        <f t="shared" si="1"/>
        <v>0</v>
      </c>
      <c r="U30" s="2">
        <f t="shared" si="1"/>
        <v>0</v>
      </c>
      <c r="V30" s="2">
        <f t="shared" si="1"/>
        <v>0</v>
      </c>
      <c r="W30" s="2">
        <f t="shared" si="1"/>
        <v>0</v>
      </c>
      <c r="X30" s="2">
        <f t="shared" si="1"/>
        <v>0</v>
      </c>
      <c r="Y30" s="2">
        <f t="shared" si="1"/>
        <v>0</v>
      </c>
      <c r="Z30" s="2">
        <f t="shared" si="1"/>
        <v>0</v>
      </c>
      <c r="AA30" s="2">
        <f t="shared" si="1"/>
        <v>0</v>
      </c>
    </row>
    <row r="31" spans="1:27" x14ac:dyDescent="0.25">
      <c r="E31" s="2" t="str">
        <f t="shared" si="2"/>
        <v>Valves and Meters</v>
      </c>
      <c r="F31" t="s">
        <v>7</v>
      </c>
      <c r="G31" s="2">
        <f t="shared" si="1"/>
        <v>0</v>
      </c>
      <c r="H31" s="2">
        <f t="shared" si="1"/>
        <v>0</v>
      </c>
      <c r="I31" s="2">
        <f t="shared" si="1"/>
        <v>0</v>
      </c>
      <c r="J31" s="2">
        <f t="shared" si="1"/>
        <v>0</v>
      </c>
      <c r="K31" s="2">
        <f t="shared" si="1"/>
        <v>0</v>
      </c>
      <c r="L31" s="2">
        <f t="shared" si="1"/>
        <v>0</v>
      </c>
      <c r="M31" s="2">
        <f t="shared" si="1"/>
        <v>0</v>
      </c>
      <c r="N31" s="2">
        <f t="shared" si="1"/>
        <v>0</v>
      </c>
      <c r="O31" s="2">
        <f t="shared" si="1"/>
        <v>0</v>
      </c>
      <c r="P31" s="2">
        <f t="shared" si="1"/>
        <v>0</v>
      </c>
      <c r="Q31" s="2">
        <f t="shared" si="1"/>
        <v>0</v>
      </c>
      <c r="R31" s="2">
        <f t="shared" si="1"/>
        <v>0</v>
      </c>
      <c r="S31" s="2">
        <f t="shared" si="1"/>
        <v>0</v>
      </c>
      <c r="T31" s="2">
        <f t="shared" si="1"/>
        <v>0</v>
      </c>
      <c r="U31" s="2">
        <f t="shared" si="1"/>
        <v>0</v>
      </c>
      <c r="V31" s="2">
        <f t="shared" si="1"/>
        <v>0</v>
      </c>
      <c r="W31" s="2">
        <f t="shared" si="1"/>
        <v>0</v>
      </c>
      <c r="X31" s="2">
        <f t="shared" si="1"/>
        <v>0</v>
      </c>
      <c r="Y31" s="2">
        <f t="shared" si="1"/>
        <v>0</v>
      </c>
      <c r="Z31" s="2">
        <f t="shared" si="1"/>
        <v>0</v>
      </c>
      <c r="AA31" s="2">
        <f t="shared" si="1"/>
        <v>0</v>
      </c>
    </row>
    <row r="32" spans="1:27" x14ac:dyDescent="0.25">
      <c r="E32" s="2" t="str">
        <f t="shared" si="2"/>
        <v>Temporary Assets</v>
      </c>
      <c r="F32" t="s">
        <v>7</v>
      </c>
      <c r="G32" s="2">
        <f t="shared" si="1"/>
        <v>0</v>
      </c>
      <c r="H32" s="2">
        <f t="shared" si="1"/>
        <v>0</v>
      </c>
      <c r="I32" s="2">
        <f t="shared" si="1"/>
        <v>0</v>
      </c>
      <c r="J32" s="2">
        <f t="shared" si="1"/>
        <v>0</v>
      </c>
      <c r="K32" s="2">
        <f t="shared" si="1"/>
        <v>0</v>
      </c>
      <c r="L32" s="2">
        <f t="shared" si="1"/>
        <v>0</v>
      </c>
      <c r="M32" s="2">
        <f t="shared" si="1"/>
        <v>0</v>
      </c>
      <c r="N32" s="2">
        <f t="shared" si="1"/>
        <v>0</v>
      </c>
      <c r="O32" s="2">
        <f t="shared" si="1"/>
        <v>0</v>
      </c>
      <c r="P32" s="2">
        <f t="shared" si="1"/>
        <v>0</v>
      </c>
      <c r="Q32" s="2">
        <f t="shared" si="1"/>
        <v>0</v>
      </c>
      <c r="R32" s="2">
        <f t="shared" si="1"/>
        <v>0</v>
      </c>
      <c r="S32" s="2">
        <f t="shared" si="1"/>
        <v>0</v>
      </c>
      <c r="T32" s="2">
        <f t="shared" si="1"/>
        <v>0</v>
      </c>
      <c r="U32" s="2">
        <f t="shared" si="1"/>
        <v>0</v>
      </c>
      <c r="V32" s="2">
        <f t="shared" si="1"/>
        <v>0</v>
      </c>
      <c r="W32" s="2">
        <f t="shared" si="1"/>
        <v>0</v>
      </c>
      <c r="X32" s="2">
        <f t="shared" si="1"/>
        <v>0</v>
      </c>
      <c r="Y32" s="2">
        <f t="shared" si="1"/>
        <v>0</v>
      </c>
      <c r="Z32" s="2">
        <f t="shared" si="1"/>
        <v>0</v>
      </c>
      <c r="AA32" s="2">
        <f t="shared" si="1"/>
        <v>0</v>
      </c>
    </row>
    <row r="33" spans="1:27" x14ac:dyDescent="0.25">
      <c r="G33" s="2"/>
      <c r="H33" s="2"/>
      <c r="I33" s="2"/>
      <c r="J33" s="2"/>
      <c r="K33" s="2"/>
      <c r="L33" s="2"/>
      <c r="M33" s="2"/>
      <c r="N33" s="2"/>
      <c r="O33" s="2"/>
      <c r="P33" s="2"/>
      <c r="Q33" s="2"/>
    </row>
    <row r="34" spans="1:27" x14ac:dyDescent="0.25">
      <c r="D34" t="s">
        <v>133</v>
      </c>
      <c r="F34" t="s">
        <v>7</v>
      </c>
      <c r="G34" s="2">
        <f>SUM($G$29:G32)</f>
        <v>1494835.9837197482</v>
      </c>
      <c r="H34" s="2">
        <f>SUM($G$29:H32)</f>
        <v>1610860.1388389347</v>
      </c>
      <c r="I34" s="2">
        <f>SUM($G$29:I32)</f>
        <v>1882844.7031896133</v>
      </c>
      <c r="J34" s="2">
        <f>SUM($G$29:J32)</f>
        <v>2225090.3955052244</v>
      </c>
      <c r="K34" s="2">
        <f>SUM($G$29:K32)</f>
        <v>2611631.2854511687</v>
      </c>
      <c r="L34" s="2">
        <f>SUM($G$29:L32)</f>
        <v>3009336.856899844</v>
      </c>
      <c r="M34" s="2">
        <f>SUM($G$29:M32)</f>
        <v>3468355.3818497737</v>
      </c>
      <c r="N34" s="2">
        <f>SUM($G$29:N32)</f>
        <v>4002214.8661532309</v>
      </c>
      <c r="O34" s="2">
        <f>SUM($G$29:O32)</f>
        <v>4395739.124480838</v>
      </c>
      <c r="P34" s="2">
        <f>SUM($G$29:P32)</f>
        <v>4671317.6546191601</v>
      </c>
      <c r="Q34" s="2">
        <f>SUM($G$29:Q32)</f>
        <v>5070096.0536151621</v>
      </c>
      <c r="R34" s="2">
        <f>SUM($G$29:R32)</f>
        <v>5520263.9984516222</v>
      </c>
      <c r="S34" s="2">
        <f>SUM($G$29:S32)</f>
        <v>5979885.4701296473</v>
      </c>
      <c r="T34" s="2">
        <f>SUM($G$29:T32)</f>
        <v>6449158.9927129112</v>
      </c>
      <c r="U34" s="2">
        <f>SUM($G$29:U32)</f>
        <v>6928287.2592704231</v>
      </c>
      <c r="V34" s="2">
        <f>SUM($G$29:V32)</f>
        <v>7417477.2194256429</v>
      </c>
      <c r="W34" s="2">
        <f>SUM($G$29:W32)</f>
        <v>7417477.2194256429</v>
      </c>
      <c r="X34" s="2">
        <f>SUM($G$29:X32)</f>
        <v>7417477.2194256429</v>
      </c>
      <c r="Y34" s="2">
        <f>SUM($G$29:Y32)</f>
        <v>7417477.2194256429</v>
      </c>
      <c r="Z34" s="2">
        <f>SUM($G$29:Z32)</f>
        <v>7417477.2194256429</v>
      </c>
      <c r="AA34" s="2">
        <f>SUM($G$29:AA32)</f>
        <v>7417477.2194256429</v>
      </c>
    </row>
    <row r="35" spans="1:27" x14ac:dyDescent="0.25">
      <c r="G35" s="2"/>
      <c r="H35" s="2"/>
      <c r="I35" s="2"/>
      <c r="J35" s="2"/>
      <c r="K35" s="2"/>
      <c r="L35" s="2"/>
      <c r="M35" s="2"/>
      <c r="N35" s="2"/>
      <c r="O35" s="2"/>
      <c r="P35" s="2"/>
      <c r="Q35" s="2"/>
      <c r="R35" s="2"/>
      <c r="S35" s="2"/>
      <c r="T35" s="2"/>
      <c r="U35" s="2"/>
      <c r="V35" s="2"/>
      <c r="W35" s="2"/>
      <c r="X35" s="2"/>
      <c r="Y35" s="2"/>
      <c r="Z35" s="2"/>
      <c r="AA35" s="2"/>
    </row>
    <row r="36" spans="1:27" x14ac:dyDescent="0.25">
      <c r="A36" s="14">
        <f>'Notes &amp; Assumptions'!A24</f>
        <v>11</v>
      </c>
      <c r="C36" s="1" t="s">
        <v>107</v>
      </c>
      <c r="D36" s="1"/>
    </row>
    <row r="37" spans="1:27" x14ac:dyDescent="0.25">
      <c r="E37" s="2" t="str">
        <f>E7</f>
        <v>Average asset life for all growth assets</v>
      </c>
      <c r="F37" t="s">
        <v>7</v>
      </c>
      <c r="G37" s="10"/>
      <c r="H37" s="10">
        <f>'Key assumptions'!$B31*(1+$G$14)^H2*(H90+H111+H132+H153)</f>
        <v>7325674.9999999991</v>
      </c>
      <c r="I37" s="10">
        <f>'Key assumptions'!$B31*(1+$G$14)^I2*(I90+I111+I132+I153)</f>
        <v>9267300.4899999965</v>
      </c>
      <c r="J37" s="10">
        <f>'Key assumptions'!$B31*(1+$G$14)^J2*(J90+J111+J132+J153)</f>
        <v>11487284.876359947</v>
      </c>
      <c r="K37" s="10">
        <f>'Key assumptions'!$B31*(1+$G$14)^K2*(K90+K111+K132+K153)</f>
        <v>13151366.557068599</v>
      </c>
      <c r="L37" s="10">
        <f>'Key assumptions'!$B31*(1+$G$14)^L2*(L90+L111+L132+L153)</f>
        <v>14724166.621117525</v>
      </c>
      <c r="M37" s="10">
        <f>'Key assumptions'!$B31*(1+$G$14)^M2*(M90+M111+M132+M153)</f>
        <v>16227971.694442844</v>
      </c>
      <c r="N37" s="10">
        <f>'Key assumptions'!$B31*(1+$G$14)^N2*(N90+N111+N132+N153)</f>
        <v>17650808.772011723</v>
      </c>
      <c r="O37" s="10">
        <f>'Key assumptions'!$B31*(1+$G$14)^O2*(O90+O111+O132+O153)</f>
        <v>18995229.784195982</v>
      </c>
      <c r="P37" s="10">
        <f>'Key assumptions'!$B31*(1+$G$14)^P2*(P90+P111+P132+P153)</f>
        <v>22361546.642566416</v>
      </c>
      <c r="Q37" s="10">
        <f>'Key assumptions'!$B31*(1+$G$14)^Q2*(Q90+Q111+Q132+Q153)</f>
        <v>26164189.871211268</v>
      </c>
      <c r="R37" s="10">
        <f>'Key assumptions'!$B31*(1+$G$14)^R2*(R90+R111+R132+R153)</f>
        <v>28283191.103013303</v>
      </c>
      <c r="S37" s="10">
        <f>'Key assumptions'!$B31*(1+$G$14)^S2*(S90+S111+S132+S153)</f>
        <v>30603164.11789469</v>
      </c>
      <c r="T37" s="10">
        <f>'Key assumptions'!$B31*(1+$G$14)^T2*(T90+T111+T132+T153)</f>
        <v>33092479.419381183</v>
      </c>
      <c r="U37" s="10">
        <f>'Key assumptions'!$B31*(1+$G$14)^U2*(U90+U111+U132+U153)</f>
        <v>33563155.22386992</v>
      </c>
      <c r="V37" s="10">
        <f>'Key assumptions'!$B31*(1+$G$14)^V2*(V90+V111+V132+V153)</f>
        <v>34024186.732062921</v>
      </c>
      <c r="W37" s="10"/>
      <c r="X37" s="10"/>
      <c r="Y37" s="10"/>
      <c r="Z37" s="10"/>
      <c r="AA37" s="10"/>
    </row>
    <row r="38" spans="1:27" x14ac:dyDescent="0.25">
      <c r="E38" s="2" t="str">
        <f>E8</f>
        <v>Pumps</v>
      </c>
      <c r="F38" t="s">
        <v>7</v>
      </c>
      <c r="G38" s="10"/>
      <c r="H38" s="10"/>
      <c r="I38" s="10"/>
      <c r="J38" s="10"/>
      <c r="K38" s="10"/>
      <c r="L38" s="10"/>
      <c r="M38" s="10"/>
      <c r="N38" s="10"/>
      <c r="O38" s="10"/>
      <c r="P38" s="10"/>
      <c r="Q38" s="10"/>
      <c r="R38" s="10"/>
      <c r="S38" s="10"/>
      <c r="T38" s="10"/>
      <c r="U38" s="10"/>
      <c r="V38" s="10"/>
      <c r="W38" s="10"/>
      <c r="X38" s="10"/>
      <c r="Y38" s="10"/>
      <c r="Z38" s="10"/>
      <c r="AA38" s="10"/>
    </row>
    <row r="39" spans="1:27" x14ac:dyDescent="0.25">
      <c r="E39" s="2" t="str">
        <f>E9</f>
        <v>Valves and Meters</v>
      </c>
      <c r="F39" t="s">
        <v>7</v>
      </c>
      <c r="G39" s="10"/>
      <c r="H39" s="10"/>
      <c r="I39" s="10"/>
      <c r="J39" s="10"/>
      <c r="K39" s="10"/>
      <c r="L39" s="10"/>
      <c r="M39" s="10"/>
      <c r="N39" s="10"/>
      <c r="O39" s="10"/>
      <c r="P39" s="10"/>
      <c r="Q39" s="10"/>
      <c r="R39" s="10"/>
      <c r="S39" s="10"/>
      <c r="T39" s="10"/>
      <c r="U39" s="10"/>
      <c r="V39" s="10"/>
      <c r="W39" s="10"/>
      <c r="X39" s="10"/>
      <c r="Y39" s="10"/>
      <c r="Z39" s="10"/>
      <c r="AA39" s="10"/>
    </row>
    <row r="40" spans="1:27" x14ac:dyDescent="0.25">
      <c r="E40" s="2" t="str">
        <f>E10</f>
        <v>Temporary Assets</v>
      </c>
      <c r="F40" t="s">
        <v>7</v>
      </c>
      <c r="G40" s="10"/>
      <c r="H40" s="10"/>
      <c r="I40" s="10"/>
      <c r="J40" s="10"/>
      <c r="K40" s="10"/>
      <c r="L40" s="10"/>
      <c r="M40" s="10"/>
      <c r="N40" s="10"/>
      <c r="O40" s="10"/>
      <c r="P40" s="10"/>
      <c r="Q40" s="10"/>
      <c r="R40" s="10"/>
      <c r="S40" s="10"/>
      <c r="T40" s="10"/>
      <c r="U40" s="10"/>
      <c r="V40" s="10"/>
      <c r="W40" s="10"/>
      <c r="X40" s="10"/>
      <c r="Y40" s="10"/>
      <c r="Z40" s="10"/>
      <c r="AA40" s="10"/>
    </row>
    <row r="41" spans="1:27" x14ac:dyDescent="0.25">
      <c r="E41" t="s">
        <v>131</v>
      </c>
      <c r="F41" t="s">
        <v>7</v>
      </c>
      <c r="G41" s="10"/>
      <c r="H41" s="10"/>
      <c r="I41" s="10"/>
      <c r="J41" s="10"/>
      <c r="K41" s="10"/>
      <c r="L41" s="10"/>
      <c r="M41" s="10"/>
      <c r="N41" s="10"/>
      <c r="O41" s="10"/>
      <c r="P41" s="10"/>
      <c r="Q41" s="10"/>
      <c r="R41" s="10"/>
      <c r="S41" s="10"/>
      <c r="T41" s="10"/>
      <c r="U41" s="10"/>
      <c r="V41" s="10"/>
      <c r="W41" s="10"/>
      <c r="X41" s="10"/>
      <c r="Y41" s="10"/>
      <c r="Z41" s="10"/>
      <c r="AA41" s="10"/>
    </row>
    <row r="42" spans="1:27" x14ac:dyDescent="0.25">
      <c r="G42" s="2">
        <f>SUM(G37:G41)</f>
        <v>0</v>
      </c>
      <c r="H42" s="2">
        <f t="shared" ref="H42:AA42" si="3">SUM(H37:H41)</f>
        <v>7325674.9999999991</v>
      </c>
      <c r="I42" s="2">
        <f t="shared" si="3"/>
        <v>9267300.4899999965</v>
      </c>
      <c r="J42" s="2">
        <f t="shared" si="3"/>
        <v>11487284.876359947</v>
      </c>
      <c r="K42" s="2">
        <f t="shared" si="3"/>
        <v>13151366.557068599</v>
      </c>
      <c r="L42" s="2">
        <f t="shared" si="3"/>
        <v>14724166.621117525</v>
      </c>
      <c r="M42" s="2">
        <f t="shared" si="3"/>
        <v>16227971.694442844</v>
      </c>
      <c r="N42" s="2">
        <f t="shared" si="3"/>
        <v>17650808.772011723</v>
      </c>
      <c r="O42" s="2">
        <f t="shared" si="3"/>
        <v>18995229.784195982</v>
      </c>
      <c r="P42" s="2">
        <f t="shared" si="3"/>
        <v>22361546.642566416</v>
      </c>
      <c r="Q42" s="2">
        <f t="shared" si="3"/>
        <v>26164189.871211268</v>
      </c>
      <c r="R42" s="2">
        <f t="shared" si="3"/>
        <v>28283191.103013303</v>
      </c>
      <c r="S42" s="2">
        <f t="shared" si="3"/>
        <v>30603164.11789469</v>
      </c>
      <c r="T42" s="2">
        <f t="shared" si="3"/>
        <v>33092479.419381183</v>
      </c>
      <c r="U42" s="2">
        <f t="shared" si="3"/>
        <v>33563155.22386992</v>
      </c>
      <c r="V42" s="2">
        <f t="shared" si="3"/>
        <v>34024186.732062921</v>
      </c>
      <c r="W42" s="2">
        <f t="shared" si="3"/>
        <v>0</v>
      </c>
      <c r="X42" s="2">
        <f t="shared" si="3"/>
        <v>0</v>
      </c>
      <c r="Y42" s="2">
        <f t="shared" si="3"/>
        <v>0</v>
      </c>
      <c r="Z42" s="2">
        <f t="shared" si="3"/>
        <v>0</v>
      </c>
      <c r="AA42" s="2">
        <f t="shared" si="3"/>
        <v>0</v>
      </c>
    </row>
    <row r="43" spans="1:27" x14ac:dyDescent="0.25">
      <c r="G43" s="2"/>
      <c r="H43" s="2"/>
      <c r="I43" s="2"/>
      <c r="J43" s="2"/>
      <c r="K43" s="2"/>
      <c r="L43" s="2"/>
      <c r="M43" s="2"/>
      <c r="N43" s="2"/>
      <c r="O43" s="2"/>
      <c r="P43" s="2"/>
      <c r="Q43" s="2"/>
    </row>
    <row r="44" spans="1:27" x14ac:dyDescent="0.25">
      <c r="D44" t="s">
        <v>134</v>
      </c>
      <c r="G44" s="2"/>
      <c r="H44" s="2"/>
      <c r="I44" s="2"/>
      <c r="J44" s="2"/>
      <c r="K44" s="2"/>
      <c r="L44" s="2"/>
      <c r="M44" s="2"/>
      <c r="N44" s="2"/>
      <c r="O44" s="2"/>
      <c r="P44" s="2"/>
      <c r="Q44" s="2"/>
    </row>
    <row r="45" spans="1:27" x14ac:dyDescent="0.25">
      <c r="E45" s="2" t="str">
        <f>E37</f>
        <v>Average asset life for all growth assets</v>
      </c>
      <c r="F45" t="s">
        <v>7</v>
      </c>
      <c r="G45" s="2">
        <f t="shared" ref="G45:AA48" si="4">G37/$G7+IF((G$2-$G7+1)&gt;0,-INDEX($G37:$AA37,1,(G$2-$G7+1))/$G7,0)</f>
        <v>0</v>
      </c>
      <c r="H45" s="2">
        <f t="shared" si="4"/>
        <v>81396.388888888876</v>
      </c>
      <c r="I45" s="2">
        <f t="shared" si="4"/>
        <v>102970.00544444441</v>
      </c>
      <c r="J45" s="2">
        <f t="shared" si="4"/>
        <v>127636.49862622164</v>
      </c>
      <c r="K45" s="2">
        <f t="shared" si="4"/>
        <v>146126.29507853999</v>
      </c>
      <c r="L45" s="2">
        <f t="shared" si="4"/>
        <v>163601.85134575027</v>
      </c>
      <c r="M45" s="2">
        <f t="shared" si="4"/>
        <v>180310.7966049205</v>
      </c>
      <c r="N45" s="2">
        <f t="shared" si="4"/>
        <v>196120.09746679693</v>
      </c>
      <c r="O45" s="2">
        <f t="shared" si="4"/>
        <v>211058.10871328868</v>
      </c>
      <c r="P45" s="2">
        <f t="shared" si="4"/>
        <v>248461.62936184907</v>
      </c>
      <c r="Q45" s="2">
        <f t="shared" si="4"/>
        <v>290713.22079123632</v>
      </c>
      <c r="R45" s="2">
        <f t="shared" si="4"/>
        <v>314257.67892237002</v>
      </c>
      <c r="S45" s="2">
        <f t="shared" si="4"/>
        <v>340035.15686549654</v>
      </c>
      <c r="T45" s="2">
        <f t="shared" si="4"/>
        <v>367694.21577090205</v>
      </c>
      <c r="U45" s="2">
        <f t="shared" si="4"/>
        <v>372923.946931888</v>
      </c>
      <c r="V45" s="2">
        <f t="shared" si="4"/>
        <v>378046.51924514357</v>
      </c>
      <c r="W45" s="2">
        <f t="shared" si="4"/>
        <v>0</v>
      </c>
      <c r="X45" s="2">
        <f t="shared" si="4"/>
        <v>0</v>
      </c>
      <c r="Y45" s="2">
        <f t="shared" si="4"/>
        <v>0</v>
      </c>
      <c r="Z45" s="2">
        <f t="shared" si="4"/>
        <v>0</v>
      </c>
      <c r="AA45" s="2">
        <f t="shared" si="4"/>
        <v>0</v>
      </c>
    </row>
    <row r="46" spans="1:27" x14ac:dyDescent="0.25">
      <c r="E46" s="2" t="str">
        <f t="shared" ref="E46:E48" si="5">E38</f>
        <v>Pumps</v>
      </c>
      <c r="F46" t="s">
        <v>7</v>
      </c>
      <c r="G46" s="2">
        <f t="shared" si="4"/>
        <v>0</v>
      </c>
      <c r="H46" s="2">
        <f t="shared" si="4"/>
        <v>0</v>
      </c>
      <c r="I46" s="2">
        <f t="shared" si="4"/>
        <v>0</v>
      </c>
      <c r="J46" s="2">
        <f t="shared" si="4"/>
        <v>0</v>
      </c>
      <c r="K46" s="2">
        <f t="shared" si="4"/>
        <v>0</v>
      </c>
      <c r="L46" s="2">
        <f t="shared" si="4"/>
        <v>0</v>
      </c>
      <c r="M46" s="2">
        <f t="shared" si="4"/>
        <v>0</v>
      </c>
      <c r="N46" s="2">
        <f t="shared" si="4"/>
        <v>0</v>
      </c>
      <c r="O46" s="2">
        <f t="shared" si="4"/>
        <v>0</v>
      </c>
      <c r="P46" s="2">
        <f t="shared" si="4"/>
        <v>0</v>
      </c>
      <c r="Q46" s="2">
        <f t="shared" si="4"/>
        <v>0</v>
      </c>
      <c r="R46" s="2">
        <f t="shared" si="4"/>
        <v>0</v>
      </c>
      <c r="S46" s="2">
        <f t="shared" si="4"/>
        <v>0</v>
      </c>
      <c r="T46" s="2">
        <f t="shared" si="4"/>
        <v>0</v>
      </c>
      <c r="U46" s="2">
        <f t="shared" si="4"/>
        <v>0</v>
      </c>
      <c r="V46" s="2">
        <f t="shared" si="4"/>
        <v>0</v>
      </c>
      <c r="W46" s="2">
        <f t="shared" si="4"/>
        <v>0</v>
      </c>
      <c r="X46" s="2">
        <f t="shared" si="4"/>
        <v>0</v>
      </c>
      <c r="Y46" s="2">
        <f t="shared" si="4"/>
        <v>0</v>
      </c>
      <c r="Z46" s="2">
        <f t="shared" si="4"/>
        <v>0</v>
      </c>
      <c r="AA46" s="2">
        <f t="shared" si="4"/>
        <v>0</v>
      </c>
    </row>
    <row r="47" spans="1:27" x14ac:dyDescent="0.25">
      <c r="E47" s="2" t="str">
        <f t="shared" si="5"/>
        <v>Valves and Meters</v>
      </c>
      <c r="F47" t="s">
        <v>7</v>
      </c>
      <c r="G47" s="2">
        <f t="shared" si="4"/>
        <v>0</v>
      </c>
      <c r="H47" s="2">
        <f t="shared" si="4"/>
        <v>0</v>
      </c>
      <c r="I47" s="2">
        <f t="shared" si="4"/>
        <v>0</v>
      </c>
      <c r="J47" s="2">
        <f t="shared" si="4"/>
        <v>0</v>
      </c>
      <c r="K47" s="2">
        <f t="shared" si="4"/>
        <v>0</v>
      </c>
      <c r="L47" s="2">
        <f t="shared" si="4"/>
        <v>0</v>
      </c>
      <c r="M47" s="2">
        <f t="shared" si="4"/>
        <v>0</v>
      </c>
      <c r="N47" s="2">
        <f t="shared" si="4"/>
        <v>0</v>
      </c>
      <c r="O47" s="2">
        <f t="shared" si="4"/>
        <v>0</v>
      </c>
      <c r="P47" s="2">
        <f t="shared" si="4"/>
        <v>0</v>
      </c>
      <c r="Q47" s="2">
        <f t="shared" si="4"/>
        <v>0</v>
      </c>
      <c r="R47" s="2">
        <f t="shared" si="4"/>
        <v>0</v>
      </c>
      <c r="S47" s="2">
        <f t="shared" si="4"/>
        <v>0</v>
      </c>
      <c r="T47" s="2">
        <f t="shared" si="4"/>
        <v>0</v>
      </c>
      <c r="U47" s="2">
        <f t="shared" si="4"/>
        <v>0</v>
      </c>
      <c r="V47" s="2">
        <f t="shared" si="4"/>
        <v>0</v>
      </c>
      <c r="W47" s="2">
        <f t="shared" si="4"/>
        <v>0</v>
      </c>
      <c r="X47" s="2">
        <f t="shared" si="4"/>
        <v>0</v>
      </c>
      <c r="Y47" s="2">
        <f t="shared" si="4"/>
        <v>0</v>
      </c>
      <c r="Z47" s="2">
        <f t="shared" si="4"/>
        <v>0</v>
      </c>
      <c r="AA47" s="2">
        <f t="shared" si="4"/>
        <v>0</v>
      </c>
    </row>
    <row r="48" spans="1:27" x14ac:dyDescent="0.25">
      <c r="E48" s="2" t="str">
        <f t="shared" si="5"/>
        <v>Temporary Assets</v>
      </c>
      <c r="F48" t="s">
        <v>7</v>
      </c>
      <c r="G48" s="2">
        <f t="shared" si="4"/>
        <v>0</v>
      </c>
      <c r="H48" s="2">
        <f t="shared" si="4"/>
        <v>0</v>
      </c>
      <c r="I48" s="2">
        <f t="shared" si="4"/>
        <v>0</v>
      </c>
      <c r="J48" s="2">
        <f t="shared" si="4"/>
        <v>0</v>
      </c>
      <c r="K48" s="2">
        <f t="shared" si="4"/>
        <v>0</v>
      </c>
      <c r="L48" s="2">
        <f t="shared" si="4"/>
        <v>0</v>
      </c>
      <c r="M48" s="2">
        <f t="shared" si="4"/>
        <v>0</v>
      </c>
      <c r="N48" s="2">
        <f t="shared" si="4"/>
        <v>0</v>
      </c>
      <c r="O48" s="2">
        <f t="shared" si="4"/>
        <v>0</v>
      </c>
      <c r="P48" s="2">
        <f t="shared" si="4"/>
        <v>0</v>
      </c>
      <c r="Q48" s="2">
        <f t="shared" si="4"/>
        <v>0</v>
      </c>
      <c r="R48" s="2">
        <f t="shared" si="4"/>
        <v>0</v>
      </c>
      <c r="S48" s="2">
        <f t="shared" si="4"/>
        <v>0</v>
      </c>
      <c r="T48" s="2">
        <f t="shared" si="4"/>
        <v>0</v>
      </c>
      <c r="U48" s="2">
        <f t="shared" si="4"/>
        <v>0</v>
      </c>
      <c r="V48" s="2">
        <f t="shared" si="4"/>
        <v>0</v>
      </c>
      <c r="W48" s="2">
        <f t="shared" si="4"/>
        <v>0</v>
      </c>
      <c r="X48" s="2">
        <f t="shared" si="4"/>
        <v>0</v>
      </c>
      <c r="Y48" s="2">
        <f t="shared" si="4"/>
        <v>0</v>
      </c>
      <c r="Z48" s="2">
        <f t="shared" si="4"/>
        <v>0</v>
      </c>
      <c r="AA48" s="2">
        <f t="shared" si="4"/>
        <v>0</v>
      </c>
    </row>
    <row r="49" spans="1:27" x14ac:dyDescent="0.25">
      <c r="G49" s="2"/>
      <c r="H49" s="2"/>
      <c r="I49" s="2"/>
      <c r="J49" s="2"/>
      <c r="K49" s="2"/>
      <c r="L49" s="2"/>
      <c r="M49" s="2"/>
      <c r="N49" s="2"/>
      <c r="O49" s="2"/>
      <c r="P49" s="2"/>
      <c r="Q49" s="2"/>
    </row>
    <row r="50" spans="1:27" x14ac:dyDescent="0.25">
      <c r="D50" t="s">
        <v>135</v>
      </c>
      <c r="F50" t="s">
        <v>7</v>
      </c>
      <c r="G50" s="2">
        <f>SUM($G$45:G48)</f>
        <v>0</v>
      </c>
      <c r="H50" s="2">
        <f>SUM($G$45:H48)</f>
        <v>81396.388888888876</v>
      </c>
      <c r="I50" s="2">
        <f>SUM($G$45:I48)</f>
        <v>184366.3943333333</v>
      </c>
      <c r="J50" s="2">
        <f>SUM($G$45:J48)</f>
        <v>312002.89295955491</v>
      </c>
      <c r="K50" s="2">
        <f>SUM($G$45:K48)</f>
        <v>458129.1880380949</v>
      </c>
      <c r="L50" s="2">
        <f>SUM($G$45:L48)</f>
        <v>621731.03938384517</v>
      </c>
      <c r="M50" s="2">
        <f>SUM($G$45:M48)</f>
        <v>802041.8359887657</v>
      </c>
      <c r="N50" s="2">
        <f>SUM($G$45:N48)</f>
        <v>998161.93345556268</v>
      </c>
      <c r="O50" s="2">
        <f>SUM($G$45:O48)</f>
        <v>1209220.0421688515</v>
      </c>
      <c r="P50" s="2">
        <f>SUM($G$45:P48)</f>
        <v>1457681.6715307005</v>
      </c>
      <c r="Q50" s="2">
        <f>SUM($G$45:Q48)</f>
        <v>1748394.8923219368</v>
      </c>
      <c r="R50" s="2">
        <f>SUM($G$45:R48)</f>
        <v>2062652.5712443069</v>
      </c>
      <c r="S50" s="2">
        <f>SUM($G$45:S48)</f>
        <v>2402687.7281098035</v>
      </c>
      <c r="T50" s="2">
        <f>SUM($G$45:T48)</f>
        <v>2770381.9438807056</v>
      </c>
      <c r="U50" s="2">
        <f>SUM($G$45:U48)</f>
        <v>3143305.8908125935</v>
      </c>
      <c r="V50" s="2">
        <f>SUM($G$45:V48)</f>
        <v>3521352.410057737</v>
      </c>
      <c r="W50" s="2">
        <f>SUM($G$45:W48)</f>
        <v>3521352.410057737</v>
      </c>
      <c r="X50" s="2">
        <f>SUM($G$45:X48)</f>
        <v>3521352.410057737</v>
      </c>
      <c r="Y50" s="2">
        <f>SUM($G$45:Y48)</f>
        <v>3521352.410057737</v>
      </c>
      <c r="Z50" s="2">
        <f>SUM($G$45:Z48)</f>
        <v>3521352.410057737</v>
      </c>
      <c r="AA50" s="2">
        <f>SUM($G$45:AA48)</f>
        <v>3521352.410057737</v>
      </c>
    </row>
    <row r="51" spans="1:27" x14ac:dyDescent="0.25">
      <c r="G51" s="2"/>
      <c r="H51" s="2"/>
      <c r="I51" s="2"/>
      <c r="J51" s="2"/>
      <c r="K51" s="2"/>
      <c r="L51" s="2"/>
      <c r="M51" s="2"/>
      <c r="N51" s="2"/>
      <c r="O51" s="2"/>
      <c r="P51" s="2"/>
      <c r="Q51" s="2"/>
      <c r="R51" s="2"/>
      <c r="S51" s="2"/>
      <c r="T51" s="2"/>
      <c r="U51" s="2"/>
      <c r="V51" s="2"/>
      <c r="W51" s="2"/>
      <c r="X51" s="2"/>
      <c r="Y51" s="2"/>
      <c r="Z51" s="2"/>
      <c r="AA51" s="2"/>
    </row>
    <row r="52" spans="1:27" x14ac:dyDescent="0.25">
      <c r="A52" s="14">
        <f>'Notes &amp; Assumptions'!A25</f>
        <v>12</v>
      </c>
      <c r="C52" s="1" t="s">
        <v>109</v>
      </c>
      <c r="G52" s="2"/>
      <c r="H52" s="2"/>
      <c r="I52" s="2"/>
      <c r="J52" s="2"/>
      <c r="K52" s="2"/>
      <c r="L52" s="2"/>
      <c r="M52" s="2"/>
      <c r="N52" s="2"/>
      <c r="O52" s="2"/>
      <c r="P52" s="2"/>
      <c r="Q52" s="2"/>
      <c r="R52" s="2"/>
      <c r="S52" s="2"/>
      <c r="T52" s="2"/>
      <c r="U52" s="2"/>
      <c r="V52" s="2"/>
      <c r="W52" s="2"/>
      <c r="X52" s="2"/>
      <c r="Y52" s="2"/>
      <c r="Z52" s="2"/>
      <c r="AA52" s="2"/>
    </row>
    <row r="53" spans="1:27" x14ac:dyDescent="0.25">
      <c r="E53" t="s">
        <v>109</v>
      </c>
      <c r="F53" t="s">
        <v>7</v>
      </c>
      <c r="G53" s="10"/>
      <c r="H53" s="10"/>
      <c r="I53" s="10"/>
      <c r="J53" s="10"/>
      <c r="K53" s="10"/>
      <c r="L53" s="10"/>
      <c r="M53" s="10"/>
      <c r="N53" s="10"/>
      <c r="O53" s="10"/>
      <c r="P53" s="10"/>
      <c r="Q53" s="10"/>
      <c r="R53" s="10"/>
      <c r="S53" s="10"/>
      <c r="T53" s="10"/>
      <c r="U53" s="10"/>
      <c r="V53" s="10"/>
      <c r="W53" s="10"/>
      <c r="X53" s="10"/>
      <c r="Y53" s="10"/>
      <c r="Z53" s="10"/>
      <c r="AA53" s="10"/>
    </row>
    <row r="55" spans="1:27" x14ac:dyDescent="0.25">
      <c r="C55" s="1" t="s">
        <v>25</v>
      </c>
      <c r="D55" s="1"/>
    </row>
    <row r="56" spans="1:27" x14ac:dyDescent="0.25">
      <c r="A56" s="14">
        <f>'Notes &amp; Assumptions'!A26</f>
        <v>13</v>
      </c>
      <c r="D56" t="s">
        <v>2</v>
      </c>
    </row>
    <row r="57" spans="1:27" x14ac:dyDescent="0.25">
      <c r="E57" s="2" t="str">
        <f>E7</f>
        <v>Average asset life for all growth assets</v>
      </c>
      <c r="F57" t="s">
        <v>7</v>
      </c>
      <c r="G57" s="10"/>
      <c r="H57" s="10"/>
      <c r="I57" s="10"/>
      <c r="J57" s="10"/>
      <c r="K57" s="10"/>
      <c r="L57" s="10"/>
      <c r="M57" s="10"/>
      <c r="N57" s="10"/>
      <c r="O57" s="10"/>
      <c r="P57" s="10"/>
      <c r="Q57" s="10"/>
      <c r="R57" s="10"/>
      <c r="S57" s="10"/>
      <c r="T57" s="10"/>
      <c r="U57" s="10"/>
      <c r="V57" s="10"/>
      <c r="W57" s="10"/>
      <c r="X57" s="10"/>
      <c r="Y57" s="10"/>
      <c r="Z57" s="10"/>
      <c r="AA57" s="10"/>
    </row>
    <row r="58" spans="1:27" x14ac:dyDescent="0.25">
      <c r="E58" s="2" t="str">
        <f>E8</f>
        <v>Pumps</v>
      </c>
      <c r="F58" t="s">
        <v>7</v>
      </c>
      <c r="G58" s="10"/>
      <c r="H58" s="10"/>
      <c r="I58" s="10"/>
      <c r="J58" s="10"/>
      <c r="K58" s="10"/>
      <c r="L58" s="10"/>
      <c r="M58" s="10"/>
      <c r="N58" s="10"/>
      <c r="O58" s="10"/>
      <c r="P58" s="10"/>
      <c r="Q58" s="10"/>
      <c r="R58" s="10"/>
      <c r="S58" s="10"/>
      <c r="T58" s="10"/>
      <c r="U58" s="10"/>
      <c r="V58" s="10"/>
      <c r="W58" s="10"/>
      <c r="X58" s="10"/>
      <c r="Y58" s="10"/>
      <c r="Z58" s="10"/>
      <c r="AA58" s="10"/>
    </row>
    <row r="59" spans="1:27" x14ac:dyDescent="0.25">
      <c r="E59" s="2" t="str">
        <f>E9</f>
        <v>Valves and Meters</v>
      </c>
      <c r="F59" t="s">
        <v>7</v>
      </c>
      <c r="G59" s="10"/>
      <c r="H59" s="10"/>
      <c r="I59" s="10"/>
      <c r="J59" s="10"/>
      <c r="K59" s="10"/>
      <c r="L59" s="10"/>
      <c r="M59" s="10"/>
      <c r="N59" s="10"/>
      <c r="O59" s="10"/>
      <c r="P59" s="10"/>
      <c r="Q59" s="10"/>
      <c r="R59" s="10"/>
      <c r="S59" s="10"/>
      <c r="T59" s="10"/>
      <c r="U59" s="10"/>
      <c r="V59" s="10"/>
      <c r="W59" s="10"/>
      <c r="X59" s="10"/>
      <c r="Y59" s="10"/>
      <c r="Z59" s="10"/>
      <c r="AA59" s="10"/>
    </row>
    <row r="60" spans="1:27" x14ac:dyDescent="0.25">
      <c r="E60" t="s">
        <v>131</v>
      </c>
      <c r="F60" t="s">
        <v>7</v>
      </c>
      <c r="G60" s="10"/>
      <c r="H60" s="10"/>
      <c r="I60" s="10"/>
      <c r="J60" s="10"/>
      <c r="K60" s="10"/>
      <c r="L60" s="10"/>
      <c r="M60" s="10"/>
      <c r="N60" s="10"/>
      <c r="O60" s="10"/>
      <c r="P60" s="10"/>
      <c r="Q60" s="10"/>
      <c r="R60" s="10"/>
      <c r="S60" s="10"/>
      <c r="T60" s="10"/>
      <c r="U60" s="10"/>
      <c r="V60" s="10"/>
      <c r="W60" s="10"/>
      <c r="X60" s="10"/>
      <c r="Y60" s="10"/>
      <c r="Z60" s="10"/>
      <c r="AA60" s="10"/>
    </row>
    <row r="61" spans="1:27" x14ac:dyDescent="0.25">
      <c r="G61" s="2">
        <f>SUM(G57:G60)</f>
        <v>0</v>
      </c>
      <c r="H61" s="2">
        <f t="shared" ref="H61:AA61" si="6">SUM(H57:H60)</f>
        <v>0</v>
      </c>
      <c r="I61" s="2">
        <f t="shared" si="6"/>
        <v>0</v>
      </c>
      <c r="J61" s="2">
        <f t="shared" si="6"/>
        <v>0</v>
      </c>
      <c r="K61" s="2">
        <f t="shared" si="6"/>
        <v>0</v>
      </c>
      <c r="L61" s="2">
        <f t="shared" si="6"/>
        <v>0</v>
      </c>
      <c r="M61" s="2">
        <f t="shared" si="6"/>
        <v>0</v>
      </c>
      <c r="N61" s="2">
        <f t="shared" si="6"/>
        <v>0</v>
      </c>
      <c r="O61" s="2">
        <f t="shared" si="6"/>
        <v>0</v>
      </c>
      <c r="P61" s="2">
        <f t="shared" si="6"/>
        <v>0</v>
      </c>
      <c r="Q61" s="2">
        <f t="shared" si="6"/>
        <v>0</v>
      </c>
      <c r="R61" s="2">
        <f t="shared" si="6"/>
        <v>0</v>
      </c>
      <c r="S61" s="2">
        <f t="shared" si="6"/>
        <v>0</v>
      </c>
      <c r="T61" s="2">
        <f t="shared" si="6"/>
        <v>0</v>
      </c>
      <c r="U61" s="2">
        <f t="shared" si="6"/>
        <v>0</v>
      </c>
      <c r="V61" s="2">
        <f t="shared" si="6"/>
        <v>0</v>
      </c>
      <c r="W61" s="2">
        <f t="shared" si="6"/>
        <v>0</v>
      </c>
      <c r="X61" s="2">
        <f t="shared" si="6"/>
        <v>0</v>
      </c>
      <c r="Y61" s="2">
        <f t="shared" si="6"/>
        <v>0</v>
      </c>
      <c r="Z61" s="2">
        <f t="shared" si="6"/>
        <v>0</v>
      </c>
      <c r="AA61" s="2">
        <f t="shared" si="6"/>
        <v>0</v>
      </c>
    </row>
    <row r="63" spans="1:27" x14ac:dyDescent="0.25">
      <c r="D63" t="s">
        <v>136</v>
      </c>
      <c r="G63" s="2"/>
      <c r="H63" s="2"/>
      <c r="I63" s="2"/>
      <c r="J63" s="2"/>
      <c r="K63" s="2"/>
      <c r="L63" s="2"/>
      <c r="M63" s="2"/>
      <c r="N63" s="2"/>
      <c r="O63" s="2"/>
      <c r="P63" s="2"/>
      <c r="Q63" s="2"/>
    </row>
    <row r="64" spans="1:27" x14ac:dyDescent="0.25">
      <c r="E64" s="2" t="str">
        <f>E57</f>
        <v>Average asset life for all growth assets</v>
      </c>
      <c r="F64" t="s">
        <v>7</v>
      </c>
      <c r="G64" s="2">
        <f t="shared" ref="G64:AA66" si="7">G57/$G7+IF((G$2-$G7+1)&gt;0,-INDEX($G57:$AA57,1,(G$2-$G7+1))/$G7,0)</f>
        <v>0</v>
      </c>
      <c r="H64" s="2">
        <f t="shared" si="7"/>
        <v>0</v>
      </c>
      <c r="I64" s="2">
        <f t="shared" si="7"/>
        <v>0</v>
      </c>
      <c r="J64" s="2">
        <f t="shared" si="7"/>
        <v>0</v>
      </c>
      <c r="K64" s="2">
        <f t="shared" si="7"/>
        <v>0</v>
      </c>
      <c r="L64" s="2">
        <f t="shared" si="7"/>
        <v>0</v>
      </c>
      <c r="M64" s="2">
        <f t="shared" si="7"/>
        <v>0</v>
      </c>
      <c r="N64" s="2">
        <f t="shared" si="7"/>
        <v>0</v>
      </c>
      <c r="O64" s="2">
        <f t="shared" si="7"/>
        <v>0</v>
      </c>
      <c r="P64" s="2">
        <f t="shared" si="7"/>
        <v>0</v>
      </c>
      <c r="Q64" s="2">
        <f t="shared" si="7"/>
        <v>0</v>
      </c>
      <c r="R64" s="2">
        <f t="shared" si="7"/>
        <v>0</v>
      </c>
      <c r="S64" s="2">
        <f t="shared" si="7"/>
        <v>0</v>
      </c>
      <c r="T64" s="2">
        <f t="shared" si="7"/>
        <v>0</v>
      </c>
      <c r="U64" s="2">
        <f t="shared" si="7"/>
        <v>0</v>
      </c>
      <c r="V64" s="2">
        <f t="shared" si="7"/>
        <v>0</v>
      </c>
      <c r="W64" s="2">
        <f t="shared" si="7"/>
        <v>0</v>
      </c>
      <c r="X64" s="2">
        <f t="shared" si="7"/>
        <v>0</v>
      </c>
      <c r="Y64" s="2">
        <f t="shared" si="7"/>
        <v>0</v>
      </c>
      <c r="Z64" s="2">
        <f t="shared" si="7"/>
        <v>0</v>
      </c>
      <c r="AA64" s="2">
        <f t="shared" si="7"/>
        <v>0</v>
      </c>
    </row>
    <row r="65" spans="1:27" x14ac:dyDescent="0.25">
      <c r="E65" s="2" t="str">
        <f t="shared" ref="E65:E66" si="8">E58</f>
        <v>Pumps</v>
      </c>
      <c r="F65" t="s">
        <v>7</v>
      </c>
      <c r="G65" s="2">
        <f t="shared" si="7"/>
        <v>0</v>
      </c>
      <c r="H65" s="2">
        <f t="shared" si="7"/>
        <v>0</v>
      </c>
      <c r="I65" s="2">
        <f t="shared" si="7"/>
        <v>0</v>
      </c>
      <c r="J65" s="2">
        <f t="shared" si="7"/>
        <v>0</v>
      </c>
      <c r="K65" s="2">
        <f t="shared" si="7"/>
        <v>0</v>
      </c>
      <c r="L65" s="2">
        <f t="shared" si="7"/>
        <v>0</v>
      </c>
      <c r="M65" s="2">
        <f t="shared" si="7"/>
        <v>0</v>
      </c>
      <c r="N65" s="2">
        <f t="shared" si="7"/>
        <v>0</v>
      </c>
      <c r="O65" s="2">
        <f t="shared" si="7"/>
        <v>0</v>
      </c>
      <c r="P65" s="2">
        <f t="shared" si="7"/>
        <v>0</v>
      </c>
      <c r="Q65" s="2">
        <f t="shared" si="7"/>
        <v>0</v>
      </c>
      <c r="R65" s="2">
        <f t="shared" si="7"/>
        <v>0</v>
      </c>
      <c r="S65" s="2">
        <f t="shared" si="7"/>
        <v>0</v>
      </c>
      <c r="T65" s="2">
        <f t="shared" si="7"/>
        <v>0</v>
      </c>
      <c r="U65" s="2">
        <f t="shared" si="7"/>
        <v>0</v>
      </c>
      <c r="V65" s="2">
        <f t="shared" si="7"/>
        <v>0</v>
      </c>
      <c r="W65" s="2">
        <f t="shared" si="7"/>
        <v>0</v>
      </c>
      <c r="X65" s="2">
        <f t="shared" si="7"/>
        <v>0</v>
      </c>
      <c r="Y65" s="2">
        <f t="shared" si="7"/>
        <v>0</v>
      </c>
      <c r="Z65" s="2">
        <f t="shared" si="7"/>
        <v>0</v>
      </c>
      <c r="AA65" s="2">
        <f t="shared" si="7"/>
        <v>0</v>
      </c>
    </row>
    <row r="66" spans="1:27" x14ac:dyDescent="0.25">
      <c r="E66" s="2" t="str">
        <f t="shared" si="8"/>
        <v>Valves and Meters</v>
      </c>
      <c r="F66" t="s">
        <v>7</v>
      </c>
      <c r="G66" s="2">
        <f t="shared" si="7"/>
        <v>0</v>
      </c>
      <c r="H66" s="2">
        <f t="shared" si="7"/>
        <v>0</v>
      </c>
      <c r="I66" s="2">
        <f t="shared" si="7"/>
        <v>0</v>
      </c>
      <c r="J66" s="2">
        <f t="shared" si="7"/>
        <v>0</v>
      </c>
      <c r="K66" s="2">
        <f t="shared" si="7"/>
        <v>0</v>
      </c>
      <c r="L66" s="2">
        <f t="shared" si="7"/>
        <v>0</v>
      </c>
      <c r="M66" s="2">
        <f t="shared" si="7"/>
        <v>0</v>
      </c>
      <c r="N66" s="2">
        <f t="shared" si="7"/>
        <v>0</v>
      </c>
      <c r="O66" s="2">
        <f t="shared" si="7"/>
        <v>0</v>
      </c>
      <c r="P66" s="2">
        <f t="shared" si="7"/>
        <v>0</v>
      </c>
      <c r="Q66" s="2">
        <f t="shared" si="7"/>
        <v>0</v>
      </c>
      <c r="R66" s="2">
        <f t="shared" si="7"/>
        <v>0</v>
      </c>
      <c r="S66" s="2">
        <f t="shared" si="7"/>
        <v>0</v>
      </c>
      <c r="T66" s="2">
        <f t="shared" si="7"/>
        <v>0</v>
      </c>
      <c r="U66" s="2">
        <f t="shared" si="7"/>
        <v>0</v>
      </c>
      <c r="V66" s="2">
        <f t="shared" si="7"/>
        <v>0</v>
      </c>
      <c r="W66" s="2">
        <f t="shared" si="7"/>
        <v>0</v>
      </c>
      <c r="X66" s="2">
        <f t="shared" si="7"/>
        <v>0</v>
      </c>
      <c r="Y66" s="2">
        <f t="shared" si="7"/>
        <v>0</v>
      </c>
      <c r="Z66" s="2">
        <f t="shared" si="7"/>
        <v>0</v>
      </c>
      <c r="AA66" s="2">
        <f t="shared" si="7"/>
        <v>0</v>
      </c>
    </row>
    <row r="68" spans="1:27" x14ac:dyDescent="0.25">
      <c r="D68" t="s">
        <v>137</v>
      </c>
      <c r="F68" t="s">
        <v>7</v>
      </c>
      <c r="G68" s="2">
        <f>SUM($G$64:G66)</f>
        <v>0</v>
      </c>
      <c r="H68" s="2">
        <f>SUM($G$64:H66)</f>
        <v>0</v>
      </c>
      <c r="I68" s="2">
        <f>SUM($G$64:I66)</f>
        <v>0</v>
      </c>
      <c r="J68" s="2">
        <f>SUM($G$64:J66)</f>
        <v>0</v>
      </c>
      <c r="K68" s="2">
        <f>SUM($G$64:K66)</f>
        <v>0</v>
      </c>
      <c r="L68" s="2">
        <f>SUM($G$64:L66)</f>
        <v>0</v>
      </c>
      <c r="M68" s="2">
        <f>SUM($G$64:M66)</f>
        <v>0</v>
      </c>
      <c r="N68" s="2">
        <f>SUM($G$64:N66)</f>
        <v>0</v>
      </c>
      <c r="O68" s="2">
        <f>SUM($G$64:O66)</f>
        <v>0</v>
      </c>
      <c r="P68" s="2">
        <f>SUM($G$64:P66)</f>
        <v>0</v>
      </c>
      <c r="Q68" s="2">
        <f>SUM($G$64:Q66)</f>
        <v>0</v>
      </c>
      <c r="R68" s="2">
        <f>SUM($G$64:R66)</f>
        <v>0</v>
      </c>
      <c r="S68" s="2">
        <f>SUM($G$64:S66)</f>
        <v>0</v>
      </c>
      <c r="T68" s="2">
        <f>SUM($G$64:T66)</f>
        <v>0</v>
      </c>
      <c r="U68" s="2">
        <f>SUM($G$64:U66)</f>
        <v>0</v>
      </c>
      <c r="V68" s="2">
        <f>SUM($G$64:V66)</f>
        <v>0</v>
      </c>
      <c r="W68" s="2">
        <f>SUM($G$64:W66)</f>
        <v>0</v>
      </c>
      <c r="X68" s="2">
        <f>SUM($G$64:X66)</f>
        <v>0</v>
      </c>
      <c r="Y68" s="2">
        <f>SUM($G$64:Y66)</f>
        <v>0</v>
      </c>
      <c r="Z68" s="2">
        <f>SUM($G$64:Z66)</f>
        <v>0</v>
      </c>
      <c r="AA68" s="2">
        <f>SUM($G$64:AA66)</f>
        <v>0</v>
      </c>
    </row>
    <row r="70" spans="1:27" x14ac:dyDescent="0.25">
      <c r="A70" s="14">
        <f>'Notes &amp; Assumptions'!A27</f>
        <v>14</v>
      </c>
      <c r="D70" t="s">
        <v>6</v>
      </c>
    </row>
    <row r="71" spans="1:27" x14ac:dyDescent="0.25">
      <c r="E71" s="2" t="str">
        <f>E7</f>
        <v>Average asset life for all growth assets</v>
      </c>
      <c r="F71" t="s">
        <v>7</v>
      </c>
      <c r="G71" s="10"/>
      <c r="H71" s="10"/>
      <c r="I71" s="10"/>
      <c r="J71" s="10"/>
      <c r="K71" s="10"/>
      <c r="L71" s="10"/>
      <c r="M71" s="10"/>
      <c r="N71" s="10"/>
      <c r="O71" s="10"/>
      <c r="P71" s="10"/>
      <c r="Q71" s="10"/>
      <c r="R71" s="10"/>
      <c r="S71" s="10"/>
      <c r="T71" s="10"/>
      <c r="U71" s="10"/>
      <c r="V71" s="10"/>
      <c r="W71" s="10"/>
      <c r="X71" s="10"/>
      <c r="Y71" s="10"/>
      <c r="Z71" s="10"/>
      <c r="AA71" s="10"/>
    </row>
    <row r="72" spans="1:27" x14ac:dyDescent="0.25">
      <c r="E72" s="2" t="str">
        <f>E8</f>
        <v>Pumps</v>
      </c>
      <c r="F72" t="s">
        <v>7</v>
      </c>
      <c r="G72" s="10"/>
      <c r="H72" s="10"/>
      <c r="I72" s="10"/>
      <c r="J72" s="10"/>
      <c r="K72" s="10"/>
      <c r="L72" s="10"/>
      <c r="M72" s="10"/>
      <c r="N72" s="10"/>
      <c r="O72" s="10"/>
      <c r="P72" s="10"/>
      <c r="Q72" s="10"/>
      <c r="R72" s="10"/>
      <c r="S72" s="10"/>
      <c r="T72" s="10"/>
      <c r="U72" s="10"/>
      <c r="V72" s="10"/>
      <c r="W72" s="10"/>
      <c r="X72" s="10"/>
      <c r="Y72" s="10"/>
      <c r="Z72" s="10"/>
      <c r="AA72" s="10"/>
    </row>
    <row r="73" spans="1:27" x14ac:dyDescent="0.25">
      <c r="E73" s="2" t="str">
        <f>E9</f>
        <v>Valves and Meters</v>
      </c>
      <c r="F73" t="s">
        <v>7</v>
      </c>
      <c r="G73" s="10"/>
      <c r="H73" s="10"/>
      <c r="I73" s="10"/>
      <c r="J73" s="10"/>
      <c r="K73" s="10"/>
      <c r="L73" s="10"/>
      <c r="M73" s="10"/>
      <c r="N73" s="10"/>
      <c r="O73" s="10"/>
      <c r="P73" s="10"/>
      <c r="Q73" s="10"/>
      <c r="R73" s="10"/>
      <c r="S73" s="10"/>
      <c r="T73" s="10"/>
      <c r="U73" s="10"/>
      <c r="V73" s="10"/>
      <c r="W73" s="10"/>
      <c r="X73" s="10"/>
      <c r="Y73" s="10"/>
      <c r="Z73" s="10"/>
      <c r="AA73" s="10"/>
    </row>
    <row r="74" spans="1:27" x14ac:dyDescent="0.25">
      <c r="E74" t="s">
        <v>131</v>
      </c>
      <c r="F74" t="s">
        <v>7</v>
      </c>
      <c r="G74" s="10"/>
      <c r="H74" s="10"/>
      <c r="I74" s="10"/>
      <c r="J74" s="10"/>
      <c r="K74" s="10"/>
      <c r="L74" s="10"/>
      <c r="M74" s="10"/>
      <c r="N74" s="10"/>
      <c r="O74" s="10"/>
      <c r="P74" s="10"/>
      <c r="Q74" s="10"/>
      <c r="R74" s="10"/>
      <c r="S74" s="10"/>
      <c r="T74" s="10"/>
      <c r="U74" s="10"/>
      <c r="V74" s="10"/>
      <c r="W74" s="10"/>
      <c r="X74" s="10"/>
      <c r="Y74" s="10"/>
      <c r="Z74" s="10"/>
      <c r="AA74" s="10"/>
    </row>
    <row r="75" spans="1:27" x14ac:dyDescent="0.25">
      <c r="G75" s="2">
        <f>SUM(G71:G74)</f>
        <v>0</v>
      </c>
      <c r="H75" s="2">
        <f t="shared" ref="H75:AA75" si="9">SUM(H71:H74)</f>
        <v>0</v>
      </c>
      <c r="I75" s="2">
        <f t="shared" si="9"/>
        <v>0</v>
      </c>
      <c r="J75" s="2">
        <f t="shared" si="9"/>
        <v>0</v>
      </c>
      <c r="K75" s="2">
        <f t="shared" si="9"/>
        <v>0</v>
      </c>
      <c r="L75" s="2">
        <f t="shared" si="9"/>
        <v>0</v>
      </c>
      <c r="M75" s="2">
        <f t="shared" si="9"/>
        <v>0</v>
      </c>
      <c r="N75" s="2">
        <f t="shared" si="9"/>
        <v>0</v>
      </c>
      <c r="O75" s="2">
        <f t="shared" si="9"/>
        <v>0</v>
      </c>
      <c r="P75" s="2">
        <f t="shared" si="9"/>
        <v>0</v>
      </c>
      <c r="Q75" s="2">
        <f t="shared" si="9"/>
        <v>0</v>
      </c>
      <c r="R75" s="2">
        <f t="shared" si="9"/>
        <v>0</v>
      </c>
      <c r="S75" s="2">
        <f t="shared" si="9"/>
        <v>0</v>
      </c>
      <c r="T75" s="2">
        <f t="shared" si="9"/>
        <v>0</v>
      </c>
      <c r="U75" s="2">
        <f t="shared" si="9"/>
        <v>0</v>
      </c>
      <c r="V75" s="2">
        <f t="shared" si="9"/>
        <v>0</v>
      </c>
      <c r="W75" s="2">
        <f t="shared" si="9"/>
        <v>0</v>
      </c>
      <c r="X75" s="2">
        <f t="shared" si="9"/>
        <v>0</v>
      </c>
      <c r="Y75" s="2">
        <f t="shared" si="9"/>
        <v>0</v>
      </c>
      <c r="Z75" s="2">
        <f t="shared" si="9"/>
        <v>0</v>
      </c>
      <c r="AA75" s="2">
        <f t="shared" si="9"/>
        <v>0</v>
      </c>
    </row>
    <row r="76" spans="1:27" x14ac:dyDescent="0.25">
      <c r="G76" s="2"/>
      <c r="H76" s="2"/>
      <c r="I76" s="2"/>
      <c r="J76" s="2"/>
      <c r="K76" s="2"/>
      <c r="L76" s="2"/>
      <c r="M76" s="2"/>
      <c r="N76" s="2"/>
      <c r="O76" s="2"/>
      <c r="P76" s="2"/>
      <c r="Q76" s="2"/>
      <c r="R76" s="2"/>
      <c r="S76" s="2"/>
      <c r="T76" s="2"/>
      <c r="U76" s="2"/>
      <c r="V76" s="2"/>
      <c r="W76" s="2"/>
      <c r="X76" s="2"/>
      <c r="Y76" s="2"/>
      <c r="Z76" s="2"/>
      <c r="AA76" s="2"/>
    </row>
    <row r="77" spans="1:27" x14ac:dyDescent="0.25">
      <c r="D77" t="s">
        <v>136</v>
      </c>
      <c r="G77" s="2"/>
      <c r="H77" s="2"/>
      <c r="I77" s="2"/>
      <c r="J77" s="2"/>
      <c r="K77" s="2"/>
      <c r="L77" s="2"/>
      <c r="M77" s="2"/>
      <c r="N77" s="2"/>
      <c r="O77" s="2"/>
      <c r="P77" s="2"/>
      <c r="Q77" s="2"/>
    </row>
    <row r="78" spans="1:27" x14ac:dyDescent="0.25">
      <c r="E78" s="2" t="str">
        <f>E71</f>
        <v>Average asset life for all growth assets</v>
      </c>
      <c r="F78" t="s">
        <v>7</v>
      </c>
      <c r="G78" s="2">
        <f t="shared" ref="G78:AA80" si="10">G71/$G7+IF((G$2-$G7+1)&gt;0,-INDEX($G71:$AA71,1,(G$2-$G7+1))/$G7,0)</f>
        <v>0</v>
      </c>
      <c r="H78" s="2">
        <f t="shared" si="10"/>
        <v>0</v>
      </c>
      <c r="I78" s="2">
        <f t="shared" si="10"/>
        <v>0</v>
      </c>
      <c r="J78" s="2">
        <f t="shared" si="10"/>
        <v>0</v>
      </c>
      <c r="K78" s="2">
        <f t="shared" si="10"/>
        <v>0</v>
      </c>
      <c r="L78" s="2">
        <f t="shared" si="10"/>
        <v>0</v>
      </c>
      <c r="M78" s="2">
        <f t="shared" si="10"/>
        <v>0</v>
      </c>
      <c r="N78" s="2">
        <f t="shared" si="10"/>
        <v>0</v>
      </c>
      <c r="O78" s="2">
        <f t="shared" si="10"/>
        <v>0</v>
      </c>
      <c r="P78" s="2">
        <f t="shared" si="10"/>
        <v>0</v>
      </c>
      <c r="Q78" s="2">
        <f t="shared" si="10"/>
        <v>0</v>
      </c>
      <c r="R78" s="2">
        <f t="shared" si="10"/>
        <v>0</v>
      </c>
      <c r="S78" s="2">
        <f t="shared" si="10"/>
        <v>0</v>
      </c>
      <c r="T78" s="2">
        <f t="shared" si="10"/>
        <v>0</v>
      </c>
      <c r="U78" s="2">
        <f t="shared" si="10"/>
        <v>0</v>
      </c>
      <c r="V78" s="2">
        <f t="shared" si="10"/>
        <v>0</v>
      </c>
      <c r="W78" s="2">
        <f t="shared" si="10"/>
        <v>0</v>
      </c>
      <c r="X78" s="2">
        <f t="shared" si="10"/>
        <v>0</v>
      </c>
      <c r="Y78" s="2">
        <f t="shared" si="10"/>
        <v>0</v>
      </c>
      <c r="Z78" s="2">
        <f t="shared" si="10"/>
        <v>0</v>
      </c>
      <c r="AA78" s="2">
        <f t="shared" si="10"/>
        <v>0</v>
      </c>
    </row>
    <row r="79" spans="1:27" x14ac:dyDescent="0.25">
      <c r="E79" s="2" t="str">
        <f t="shared" ref="E79:E80" si="11">E72</f>
        <v>Pumps</v>
      </c>
      <c r="F79" t="s">
        <v>7</v>
      </c>
      <c r="G79" s="2">
        <f t="shared" si="10"/>
        <v>0</v>
      </c>
      <c r="H79" s="2">
        <f t="shared" si="10"/>
        <v>0</v>
      </c>
      <c r="I79" s="2">
        <f t="shared" si="10"/>
        <v>0</v>
      </c>
      <c r="J79" s="2">
        <f t="shared" si="10"/>
        <v>0</v>
      </c>
      <c r="K79" s="2">
        <f t="shared" si="10"/>
        <v>0</v>
      </c>
      <c r="L79" s="2">
        <f t="shared" si="10"/>
        <v>0</v>
      </c>
      <c r="M79" s="2">
        <f t="shared" si="10"/>
        <v>0</v>
      </c>
      <c r="N79" s="2">
        <f t="shared" si="10"/>
        <v>0</v>
      </c>
      <c r="O79" s="2">
        <f t="shared" si="10"/>
        <v>0</v>
      </c>
      <c r="P79" s="2">
        <f t="shared" si="10"/>
        <v>0</v>
      </c>
      <c r="Q79" s="2">
        <f t="shared" si="10"/>
        <v>0</v>
      </c>
      <c r="R79" s="2">
        <f t="shared" si="10"/>
        <v>0</v>
      </c>
      <c r="S79" s="2">
        <f t="shared" si="10"/>
        <v>0</v>
      </c>
      <c r="T79" s="2">
        <f t="shared" si="10"/>
        <v>0</v>
      </c>
      <c r="U79" s="2">
        <f t="shared" si="10"/>
        <v>0</v>
      </c>
      <c r="V79" s="2">
        <f t="shared" si="10"/>
        <v>0</v>
      </c>
      <c r="W79" s="2">
        <f t="shared" si="10"/>
        <v>0</v>
      </c>
      <c r="X79" s="2">
        <f t="shared" si="10"/>
        <v>0</v>
      </c>
      <c r="Y79" s="2">
        <f t="shared" si="10"/>
        <v>0</v>
      </c>
      <c r="Z79" s="2">
        <f t="shared" si="10"/>
        <v>0</v>
      </c>
      <c r="AA79" s="2">
        <f t="shared" si="10"/>
        <v>0</v>
      </c>
    </row>
    <row r="80" spans="1:27" x14ac:dyDescent="0.25">
      <c r="E80" s="2" t="str">
        <f t="shared" si="11"/>
        <v>Valves and Meters</v>
      </c>
      <c r="F80" t="s">
        <v>7</v>
      </c>
      <c r="G80" s="2">
        <f t="shared" si="10"/>
        <v>0</v>
      </c>
      <c r="H80" s="2">
        <f t="shared" si="10"/>
        <v>0</v>
      </c>
      <c r="I80" s="2">
        <f t="shared" si="10"/>
        <v>0</v>
      </c>
      <c r="J80" s="2">
        <f t="shared" si="10"/>
        <v>0</v>
      </c>
      <c r="K80" s="2">
        <f t="shared" si="10"/>
        <v>0</v>
      </c>
      <c r="L80" s="2">
        <f t="shared" si="10"/>
        <v>0</v>
      </c>
      <c r="M80" s="2">
        <f t="shared" si="10"/>
        <v>0</v>
      </c>
      <c r="N80" s="2">
        <f t="shared" si="10"/>
        <v>0</v>
      </c>
      <c r="O80" s="2">
        <f t="shared" si="10"/>
        <v>0</v>
      </c>
      <c r="P80" s="2">
        <f t="shared" si="10"/>
        <v>0</v>
      </c>
      <c r="Q80" s="2">
        <f t="shared" si="10"/>
        <v>0</v>
      </c>
      <c r="R80" s="2">
        <f t="shared" si="10"/>
        <v>0</v>
      </c>
      <c r="S80" s="2">
        <f t="shared" si="10"/>
        <v>0</v>
      </c>
      <c r="T80" s="2">
        <f t="shared" si="10"/>
        <v>0</v>
      </c>
      <c r="U80" s="2">
        <f t="shared" si="10"/>
        <v>0</v>
      </c>
      <c r="V80" s="2">
        <f t="shared" si="10"/>
        <v>0</v>
      </c>
      <c r="W80" s="2">
        <f t="shared" si="10"/>
        <v>0</v>
      </c>
      <c r="X80" s="2">
        <f t="shared" si="10"/>
        <v>0</v>
      </c>
      <c r="Y80" s="2">
        <f t="shared" si="10"/>
        <v>0</v>
      </c>
      <c r="Z80" s="2">
        <f t="shared" si="10"/>
        <v>0</v>
      </c>
      <c r="AA80" s="2">
        <f t="shared" si="10"/>
        <v>0</v>
      </c>
    </row>
    <row r="82" spans="1:27" x14ac:dyDescent="0.25">
      <c r="D82" t="s">
        <v>137</v>
      </c>
      <c r="F82" t="s">
        <v>7</v>
      </c>
      <c r="G82" s="2">
        <f>SUM($G$77:G80)</f>
        <v>0</v>
      </c>
      <c r="H82" s="2">
        <f>SUM($G$77:H80)</f>
        <v>0</v>
      </c>
      <c r="I82" s="2">
        <f>SUM($G$77:I80)</f>
        <v>0</v>
      </c>
      <c r="J82" s="2">
        <f>SUM($G$77:J80)</f>
        <v>0</v>
      </c>
      <c r="K82" s="2">
        <f>SUM($G$77:K80)</f>
        <v>0</v>
      </c>
      <c r="L82" s="2">
        <f>SUM($G$77:L80)</f>
        <v>0</v>
      </c>
      <c r="M82" s="2">
        <f>SUM($G$77:M80)</f>
        <v>0</v>
      </c>
      <c r="N82" s="2">
        <f>SUM($G$77:N80)</f>
        <v>0</v>
      </c>
      <c r="O82" s="2">
        <f>SUM($G$77:O80)</f>
        <v>0</v>
      </c>
      <c r="P82" s="2">
        <f>SUM($G$77:P80)</f>
        <v>0</v>
      </c>
      <c r="Q82" s="2">
        <f>SUM($G$77:Q80)</f>
        <v>0</v>
      </c>
      <c r="R82" s="2">
        <f>SUM($G$77:R80)</f>
        <v>0</v>
      </c>
      <c r="S82" s="2">
        <f>SUM($G$77:S80)</f>
        <v>0</v>
      </c>
      <c r="T82" s="2">
        <f>SUM($G$77:T80)</f>
        <v>0</v>
      </c>
      <c r="U82" s="2">
        <f>SUM($G$77:U80)</f>
        <v>0</v>
      </c>
      <c r="V82" s="2">
        <f>SUM($G$77:V80)</f>
        <v>0</v>
      </c>
      <c r="W82" s="2">
        <f>SUM($G$77:W80)</f>
        <v>0</v>
      </c>
      <c r="X82" s="2">
        <f>SUM($G$77:X80)</f>
        <v>0</v>
      </c>
      <c r="Y82" s="2">
        <f>SUM($G$77:Y80)</f>
        <v>0</v>
      </c>
      <c r="Z82" s="2">
        <f>SUM($G$77:Z80)</f>
        <v>0</v>
      </c>
      <c r="AA82" s="2">
        <f>SUM($G$77:AA80)</f>
        <v>0</v>
      </c>
    </row>
    <row r="83" spans="1:27" x14ac:dyDescent="0.25">
      <c r="G83" s="2"/>
      <c r="H83" s="2"/>
      <c r="I83" s="2"/>
      <c r="J83" s="2"/>
      <c r="K83" s="2"/>
      <c r="L83" s="2"/>
      <c r="M83" s="2"/>
      <c r="N83" s="2"/>
      <c r="O83" s="2"/>
      <c r="P83" s="2"/>
      <c r="Q83" s="2"/>
      <c r="R83" s="2"/>
      <c r="S83" s="2"/>
      <c r="T83" s="2"/>
      <c r="U83" s="2"/>
      <c r="V83" s="2"/>
      <c r="W83" s="2"/>
      <c r="X83" s="2"/>
      <c r="Y83" s="2"/>
      <c r="Z83" s="2"/>
      <c r="AA83" s="2"/>
    </row>
    <row r="84" spans="1:27" x14ac:dyDescent="0.25">
      <c r="D84" t="s">
        <v>138</v>
      </c>
      <c r="F84" t="s">
        <v>7</v>
      </c>
      <c r="G84" s="2">
        <f t="shared" ref="G84:AA84" si="12">G61-G75</f>
        <v>0</v>
      </c>
      <c r="H84" s="2">
        <f t="shared" si="12"/>
        <v>0</v>
      </c>
      <c r="I84" s="2">
        <f t="shared" si="12"/>
        <v>0</v>
      </c>
      <c r="J84" s="2">
        <f t="shared" si="12"/>
        <v>0</v>
      </c>
      <c r="K84" s="2">
        <f t="shared" si="12"/>
        <v>0</v>
      </c>
      <c r="L84" s="2">
        <f t="shared" si="12"/>
        <v>0</v>
      </c>
      <c r="M84" s="2">
        <f t="shared" si="12"/>
        <v>0</v>
      </c>
      <c r="N84" s="2">
        <f t="shared" si="12"/>
        <v>0</v>
      </c>
      <c r="O84" s="2">
        <f t="shared" si="12"/>
        <v>0</v>
      </c>
      <c r="P84" s="2">
        <f t="shared" si="12"/>
        <v>0</v>
      </c>
      <c r="Q84" s="2">
        <f t="shared" si="12"/>
        <v>0</v>
      </c>
      <c r="R84" s="2">
        <f t="shared" si="12"/>
        <v>0</v>
      </c>
      <c r="S84" s="2">
        <f t="shared" si="12"/>
        <v>0</v>
      </c>
      <c r="T84" s="2">
        <f t="shared" si="12"/>
        <v>0</v>
      </c>
      <c r="U84" s="2">
        <f t="shared" si="12"/>
        <v>0</v>
      </c>
      <c r="V84" s="2">
        <f t="shared" si="12"/>
        <v>0</v>
      </c>
      <c r="W84" s="2">
        <f t="shared" si="12"/>
        <v>0</v>
      </c>
      <c r="X84" s="2">
        <f t="shared" si="12"/>
        <v>0</v>
      </c>
      <c r="Y84" s="2">
        <f t="shared" si="12"/>
        <v>0</v>
      </c>
      <c r="Z84" s="2">
        <f t="shared" si="12"/>
        <v>0</v>
      </c>
      <c r="AA84" s="2">
        <f t="shared" si="12"/>
        <v>0</v>
      </c>
    </row>
    <row r="85" spans="1:27" x14ac:dyDescent="0.25">
      <c r="D85" t="s">
        <v>139</v>
      </c>
      <c r="F85" t="s">
        <v>7</v>
      </c>
      <c r="G85" s="2">
        <f t="shared" ref="G85:AA85" si="13">-G68+G82</f>
        <v>0</v>
      </c>
      <c r="H85" s="2">
        <f t="shared" si="13"/>
        <v>0</v>
      </c>
      <c r="I85" s="2">
        <f t="shared" si="13"/>
        <v>0</v>
      </c>
      <c r="J85" s="2">
        <f t="shared" si="13"/>
        <v>0</v>
      </c>
      <c r="K85" s="2">
        <f t="shared" si="13"/>
        <v>0</v>
      </c>
      <c r="L85" s="2">
        <f t="shared" si="13"/>
        <v>0</v>
      </c>
      <c r="M85" s="2">
        <f t="shared" si="13"/>
        <v>0</v>
      </c>
      <c r="N85" s="2">
        <f t="shared" si="13"/>
        <v>0</v>
      </c>
      <c r="O85" s="2">
        <f t="shared" si="13"/>
        <v>0</v>
      </c>
      <c r="P85" s="2">
        <f t="shared" si="13"/>
        <v>0</v>
      </c>
      <c r="Q85" s="2">
        <f t="shared" si="13"/>
        <v>0</v>
      </c>
      <c r="R85" s="2">
        <f t="shared" si="13"/>
        <v>0</v>
      </c>
      <c r="S85" s="2">
        <f t="shared" si="13"/>
        <v>0</v>
      </c>
      <c r="T85" s="2">
        <f t="shared" si="13"/>
        <v>0</v>
      </c>
      <c r="U85" s="2">
        <f t="shared" si="13"/>
        <v>0</v>
      </c>
      <c r="V85" s="2">
        <f t="shared" si="13"/>
        <v>0</v>
      </c>
      <c r="W85" s="2">
        <f t="shared" si="13"/>
        <v>0</v>
      </c>
      <c r="X85" s="2">
        <f t="shared" si="13"/>
        <v>0</v>
      </c>
      <c r="Y85" s="2">
        <f t="shared" si="13"/>
        <v>0</v>
      </c>
      <c r="Z85" s="2">
        <f t="shared" si="13"/>
        <v>0</v>
      </c>
      <c r="AA85" s="2">
        <f t="shared" si="13"/>
        <v>0</v>
      </c>
    </row>
    <row r="87" spans="1:27" x14ac:dyDescent="0.25">
      <c r="C87" s="1" t="str">
        <f>"Incremental "&amp;G4&amp;" Service Revenue"</f>
        <v>Incremental Water Supply Service Revenue</v>
      </c>
      <c r="D87" s="1"/>
    </row>
    <row r="88" spans="1:27" x14ac:dyDescent="0.25">
      <c r="C88" s="1"/>
      <c r="D88" s="1"/>
    </row>
    <row r="89" spans="1:27" x14ac:dyDescent="0.25">
      <c r="C89" s="1"/>
      <c r="D89" t="s">
        <v>59</v>
      </c>
      <c r="F89" t="s">
        <v>325</v>
      </c>
      <c r="G89" t="s">
        <v>326</v>
      </c>
    </row>
    <row r="90" spans="1:27" x14ac:dyDescent="0.25">
      <c r="A90" s="14">
        <f>'Notes &amp; Assumptions'!A28</f>
        <v>15</v>
      </c>
      <c r="C90" s="1"/>
      <c r="D90" s="1"/>
      <c r="E90" t="s">
        <v>87</v>
      </c>
      <c r="F90" t="s">
        <v>3</v>
      </c>
      <c r="H90" s="10">
        <f>'Customer numbers'!P7</f>
        <v>1866</v>
      </c>
      <c r="I90" s="10">
        <f>'Customer numbers'!Q7</f>
        <v>2356</v>
      </c>
      <c r="J90" s="10">
        <f>'Customer numbers'!R7</f>
        <v>2895.7000000000003</v>
      </c>
      <c r="K90" s="10">
        <f>'Customer numbers'!S7</f>
        <v>3277.8</v>
      </c>
      <c r="L90" s="10">
        <f>'Customer numbers'!T7</f>
        <v>3617.7</v>
      </c>
      <c r="M90" s="10">
        <f>'Customer numbers'!U7</f>
        <v>3926.9999999999995</v>
      </c>
      <c r="N90" s="10">
        <f>'Customer numbers'!V7</f>
        <v>4200.2999999999993</v>
      </c>
      <c r="O90" s="10">
        <f>'Customer numbers'!W7</f>
        <v>4441.8999999999996</v>
      </c>
      <c r="P90" s="10">
        <f>'Customer numbers'!X7</f>
        <v>5137.0999999999995</v>
      </c>
      <c r="Q90" s="10">
        <f>'Customer numbers'!Y7</f>
        <v>5900.6999999999989</v>
      </c>
      <c r="R90" s="10">
        <f>'Customer numbers'!Z7</f>
        <v>6247.4999999999991</v>
      </c>
      <c r="S90" s="10">
        <f>'Customer numbers'!AA7</f>
        <v>6619.7999999999984</v>
      </c>
      <c r="T90" s="10">
        <f>'Customer numbers'!AB7</f>
        <v>7012.4999999999982</v>
      </c>
      <c r="U90" s="10">
        <f>'Customer numbers'!AC7</f>
        <v>6966.5999999999985</v>
      </c>
      <c r="V90" s="10">
        <f>'Customer numbers'!AD7</f>
        <v>6915.5999999999985</v>
      </c>
    </row>
    <row r="91" spans="1:27" x14ac:dyDescent="0.25">
      <c r="C91" s="1"/>
      <c r="D91" s="1"/>
      <c r="E91" t="s">
        <v>60</v>
      </c>
      <c r="F91" t="s">
        <v>3</v>
      </c>
      <c r="G91" s="2">
        <f>IF('Key assumptions'!B4="yes",SUM('Customer numbers'!F7:O7),0)</f>
        <v>0</v>
      </c>
      <c r="H91" s="2">
        <f>G91+H90</f>
        <v>1866</v>
      </c>
      <c r="I91" s="2">
        <f t="shared" ref="I91:AA91" si="14">H91+I90</f>
        <v>4222</v>
      </c>
      <c r="J91" s="2">
        <f t="shared" si="14"/>
        <v>7117.7000000000007</v>
      </c>
      <c r="K91" s="2">
        <f t="shared" si="14"/>
        <v>10395.5</v>
      </c>
      <c r="L91" s="2">
        <f t="shared" si="14"/>
        <v>14013.2</v>
      </c>
      <c r="M91" s="2">
        <f t="shared" si="14"/>
        <v>17940.2</v>
      </c>
      <c r="N91" s="2">
        <f t="shared" si="14"/>
        <v>22140.5</v>
      </c>
      <c r="O91" s="2">
        <f t="shared" si="14"/>
        <v>26582.400000000001</v>
      </c>
      <c r="P91" s="2">
        <f t="shared" si="14"/>
        <v>31719.5</v>
      </c>
      <c r="Q91" s="2">
        <f t="shared" si="14"/>
        <v>37620.199999999997</v>
      </c>
      <c r="R91" s="2">
        <f t="shared" si="14"/>
        <v>43867.7</v>
      </c>
      <c r="S91" s="2">
        <f t="shared" si="14"/>
        <v>50487.499999999993</v>
      </c>
      <c r="T91" s="2">
        <f t="shared" si="14"/>
        <v>57499.999999999993</v>
      </c>
      <c r="U91" s="2">
        <f t="shared" si="14"/>
        <v>64466.599999999991</v>
      </c>
      <c r="V91" s="2">
        <f t="shared" si="14"/>
        <v>71382.199999999983</v>
      </c>
      <c r="W91" s="2">
        <f t="shared" si="14"/>
        <v>71382.199999999983</v>
      </c>
      <c r="X91" s="2">
        <f t="shared" si="14"/>
        <v>71382.199999999983</v>
      </c>
      <c r="Y91" s="2">
        <f t="shared" si="14"/>
        <v>71382.199999999983</v>
      </c>
      <c r="Z91" s="2">
        <f t="shared" si="14"/>
        <v>71382.199999999983</v>
      </c>
      <c r="AA91" s="2">
        <f t="shared" si="14"/>
        <v>71382.199999999983</v>
      </c>
    </row>
    <row r="92" spans="1:27" x14ac:dyDescent="0.25">
      <c r="A92" s="14">
        <f>'Notes &amp; Assumptions'!A29</f>
        <v>16</v>
      </c>
      <c r="C92" s="1"/>
      <c r="D92" s="1"/>
      <c r="E92" t="s">
        <v>61</v>
      </c>
      <c r="F92" t="s">
        <v>3</v>
      </c>
      <c r="G92" s="10">
        <v>1</v>
      </c>
    </row>
    <row r="93" spans="1:27" x14ac:dyDescent="0.25">
      <c r="C93" s="1"/>
      <c r="D93" s="1"/>
      <c r="E93" t="s">
        <v>88</v>
      </c>
      <c r="F93" t="s">
        <v>3</v>
      </c>
      <c r="H93">
        <f>H90*$G92</f>
        <v>1866</v>
      </c>
      <c r="I93">
        <f t="shared" ref="I93:AA93" si="15">I90*$G92</f>
        <v>2356</v>
      </c>
      <c r="J93">
        <f t="shared" si="15"/>
        <v>2895.7000000000003</v>
      </c>
      <c r="K93">
        <f t="shared" si="15"/>
        <v>3277.8</v>
      </c>
      <c r="L93">
        <f t="shared" si="15"/>
        <v>3617.7</v>
      </c>
      <c r="M93">
        <f t="shared" si="15"/>
        <v>3926.9999999999995</v>
      </c>
      <c r="N93">
        <f t="shared" si="15"/>
        <v>4200.2999999999993</v>
      </c>
      <c r="O93">
        <f t="shared" si="15"/>
        <v>4441.8999999999996</v>
      </c>
      <c r="P93">
        <f t="shared" si="15"/>
        <v>5137.0999999999995</v>
      </c>
      <c r="Q93">
        <f t="shared" si="15"/>
        <v>5900.6999999999989</v>
      </c>
      <c r="R93">
        <f t="shared" si="15"/>
        <v>6247.4999999999991</v>
      </c>
      <c r="S93">
        <f t="shared" si="15"/>
        <v>6619.7999999999984</v>
      </c>
      <c r="T93">
        <f t="shared" si="15"/>
        <v>7012.4999999999982</v>
      </c>
      <c r="U93">
        <f t="shared" si="15"/>
        <v>6966.5999999999985</v>
      </c>
      <c r="V93">
        <f t="shared" si="15"/>
        <v>6915.5999999999985</v>
      </c>
      <c r="W93">
        <f t="shared" si="15"/>
        <v>0</v>
      </c>
      <c r="X93">
        <f t="shared" si="15"/>
        <v>0</v>
      </c>
      <c r="Y93">
        <f t="shared" si="15"/>
        <v>0</v>
      </c>
      <c r="Z93">
        <f t="shared" si="15"/>
        <v>0</v>
      </c>
      <c r="AA93">
        <f t="shared" si="15"/>
        <v>0</v>
      </c>
    </row>
    <row r="94" spans="1:27" x14ac:dyDescent="0.25">
      <c r="C94" s="1"/>
      <c r="D94" s="1"/>
      <c r="E94" t="s">
        <v>89</v>
      </c>
      <c r="F94" t="s">
        <v>3</v>
      </c>
      <c r="H94">
        <f>H91*$G92</f>
        <v>1866</v>
      </c>
      <c r="I94">
        <f>I91*$G92</f>
        <v>4222</v>
      </c>
      <c r="J94">
        <f t="shared" ref="J94:AA94" si="16">J91*$G92</f>
        <v>7117.7000000000007</v>
      </c>
      <c r="K94">
        <f t="shared" si="16"/>
        <v>10395.5</v>
      </c>
      <c r="L94">
        <f t="shared" si="16"/>
        <v>14013.2</v>
      </c>
      <c r="M94">
        <f t="shared" si="16"/>
        <v>17940.2</v>
      </c>
      <c r="N94">
        <f t="shared" si="16"/>
        <v>22140.5</v>
      </c>
      <c r="O94">
        <f t="shared" si="16"/>
        <v>26582.400000000001</v>
      </c>
      <c r="P94">
        <f t="shared" si="16"/>
        <v>31719.5</v>
      </c>
      <c r="Q94">
        <f t="shared" si="16"/>
        <v>37620.199999999997</v>
      </c>
      <c r="R94">
        <f t="shared" si="16"/>
        <v>43867.7</v>
      </c>
      <c r="S94">
        <f t="shared" si="16"/>
        <v>50487.499999999993</v>
      </c>
      <c r="T94">
        <f t="shared" si="16"/>
        <v>57499.999999999993</v>
      </c>
      <c r="U94">
        <f t="shared" si="16"/>
        <v>64466.599999999991</v>
      </c>
      <c r="V94">
        <f t="shared" si="16"/>
        <v>71382.199999999983</v>
      </c>
      <c r="W94">
        <f t="shared" si="16"/>
        <v>71382.199999999983</v>
      </c>
      <c r="X94">
        <f t="shared" si="16"/>
        <v>71382.199999999983</v>
      </c>
      <c r="Y94">
        <f t="shared" si="16"/>
        <v>71382.199999999983</v>
      </c>
      <c r="Z94">
        <f t="shared" si="16"/>
        <v>71382.199999999983</v>
      </c>
      <c r="AA94">
        <f t="shared" si="16"/>
        <v>71382.199999999983</v>
      </c>
    </row>
    <row r="95" spans="1:27" x14ac:dyDescent="0.25">
      <c r="A95" s="14">
        <f>'Notes &amp; Assumptions'!A30</f>
        <v>17</v>
      </c>
      <c r="C95" s="1"/>
      <c r="D95" s="1"/>
      <c r="E95" t="s">
        <v>62</v>
      </c>
      <c r="F95" t="s">
        <v>43</v>
      </c>
      <c r="H95" s="10">
        <f>'Key assumptions'!$B22</f>
        <v>110</v>
      </c>
      <c r="I95" s="10">
        <f>'Key assumptions'!$B22</f>
        <v>110</v>
      </c>
      <c r="J95" s="10">
        <f>'Key assumptions'!$B22</f>
        <v>110</v>
      </c>
      <c r="K95" s="10">
        <f>'Key assumptions'!$B22</f>
        <v>110</v>
      </c>
      <c r="L95" s="10">
        <f>'Key assumptions'!$B22</f>
        <v>110</v>
      </c>
      <c r="M95" s="10">
        <f>'Key assumptions'!$B22</f>
        <v>110</v>
      </c>
      <c r="N95" s="10">
        <f>'Key assumptions'!$B22</f>
        <v>110</v>
      </c>
      <c r="O95" s="10">
        <f>'Key assumptions'!$B22</f>
        <v>110</v>
      </c>
      <c r="P95" s="10">
        <f>'Key assumptions'!$B22</f>
        <v>110</v>
      </c>
      <c r="Q95" s="10">
        <f>'Key assumptions'!$B22</f>
        <v>110</v>
      </c>
      <c r="R95" s="10">
        <f>'Key assumptions'!$B22</f>
        <v>110</v>
      </c>
      <c r="S95" s="10">
        <f>'Key assumptions'!$B22</f>
        <v>110</v>
      </c>
      <c r="T95" s="10">
        <f>'Key assumptions'!$B22</f>
        <v>110</v>
      </c>
      <c r="U95" s="10">
        <f>'Key assumptions'!$B22</f>
        <v>110</v>
      </c>
      <c r="V95" s="10">
        <f>'Key assumptions'!$B22</f>
        <v>110</v>
      </c>
      <c r="W95" s="10">
        <f>'Key assumptions'!$B22</f>
        <v>110</v>
      </c>
      <c r="X95" s="10">
        <f>'Key assumptions'!$B22</f>
        <v>110</v>
      </c>
      <c r="Y95" s="10">
        <f>'Key assumptions'!$B22</f>
        <v>110</v>
      </c>
      <c r="Z95" s="10">
        <f>'Key assumptions'!$B22</f>
        <v>110</v>
      </c>
      <c r="AA95" s="10">
        <f>'Key assumptions'!$B22</f>
        <v>110</v>
      </c>
    </row>
    <row r="96" spans="1:27" x14ac:dyDescent="0.25">
      <c r="C96" s="1"/>
      <c r="D96" s="1"/>
      <c r="E96" t="s">
        <v>63</v>
      </c>
      <c r="F96" t="s">
        <v>43</v>
      </c>
      <c r="H96" s="10"/>
      <c r="I96" s="10"/>
      <c r="J96" s="10"/>
      <c r="K96" s="10"/>
      <c r="L96" s="10"/>
      <c r="M96" s="10"/>
      <c r="N96" s="10"/>
      <c r="O96" s="10"/>
      <c r="P96" s="10"/>
      <c r="Q96" s="10"/>
      <c r="R96" s="10"/>
      <c r="S96" s="10"/>
      <c r="T96" s="10"/>
      <c r="U96" s="10"/>
      <c r="V96" s="10"/>
      <c r="W96" s="10"/>
      <c r="X96" s="10"/>
      <c r="Y96" s="10"/>
      <c r="Z96" s="10"/>
      <c r="AA96" s="10"/>
    </row>
    <row r="97" spans="1:27" x14ac:dyDescent="0.25">
      <c r="C97" s="1"/>
      <c r="D97" s="1"/>
      <c r="E97" t="s">
        <v>140</v>
      </c>
      <c r="F97" t="s">
        <v>43</v>
      </c>
      <c r="H97" s="10"/>
      <c r="I97" s="10"/>
      <c r="J97" s="10"/>
      <c r="K97" s="10"/>
      <c r="L97" s="10"/>
      <c r="M97" s="10"/>
      <c r="N97" s="10"/>
      <c r="O97" s="10"/>
      <c r="P97" s="10"/>
      <c r="Q97" s="10"/>
      <c r="R97" s="10"/>
      <c r="S97" s="10"/>
      <c r="T97" s="10"/>
      <c r="U97" s="10"/>
      <c r="V97" s="10"/>
      <c r="W97" s="10"/>
      <c r="X97" s="10"/>
      <c r="Y97" s="10"/>
      <c r="Z97" s="10"/>
      <c r="AA97" s="10"/>
    </row>
    <row r="98" spans="1:27" x14ac:dyDescent="0.25">
      <c r="C98" s="1"/>
      <c r="D98" s="1"/>
      <c r="E98" t="s">
        <v>64</v>
      </c>
      <c r="F98" t="s">
        <v>144</v>
      </c>
      <c r="H98" s="2">
        <f>H91*H95</f>
        <v>205260</v>
      </c>
      <c r="I98" s="2">
        <f t="shared" ref="I98:AA98" si="17">I91*I95</f>
        <v>464420</v>
      </c>
      <c r="J98" s="2">
        <f t="shared" si="17"/>
        <v>782947.00000000012</v>
      </c>
      <c r="K98" s="2">
        <f t="shared" si="17"/>
        <v>1143505</v>
      </c>
      <c r="L98" s="2">
        <f t="shared" si="17"/>
        <v>1541452</v>
      </c>
      <c r="M98" s="2">
        <f t="shared" si="17"/>
        <v>1973422</v>
      </c>
      <c r="N98" s="2">
        <f t="shared" si="17"/>
        <v>2435455</v>
      </c>
      <c r="O98" s="2">
        <f t="shared" si="17"/>
        <v>2924064</v>
      </c>
      <c r="P98" s="2">
        <f t="shared" si="17"/>
        <v>3489145</v>
      </c>
      <c r="Q98" s="2">
        <f t="shared" si="17"/>
        <v>4138221.9999999995</v>
      </c>
      <c r="R98" s="2">
        <f t="shared" si="17"/>
        <v>4825447</v>
      </c>
      <c r="S98" s="2">
        <f t="shared" si="17"/>
        <v>5553624.9999999991</v>
      </c>
      <c r="T98" s="2">
        <f t="shared" si="17"/>
        <v>6324999.9999999991</v>
      </c>
      <c r="U98" s="2">
        <f t="shared" si="17"/>
        <v>7091325.9999999991</v>
      </c>
      <c r="V98" s="2">
        <f t="shared" si="17"/>
        <v>7852041.9999999981</v>
      </c>
      <c r="W98" s="2">
        <f t="shared" si="17"/>
        <v>7852041.9999999981</v>
      </c>
      <c r="X98" s="2">
        <f t="shared" si="17"/>
        <v>7852041.9999999981</v>
      </c>
      <c r="Y98" s="2">
        <f t="shared" si="17"/>
        <v>7852041.9999999981</v>
      </c>
      <c r="Z98" s="2">
        <f t="shared" si="17"/>
        <v>7852041.9999999981</v>
      </c>
      <c r="AA98" s="2">
        <f t="shared" si="17"/>
        <v>7852041.9999999981</v>
      </c>
    </row>
    <row r="99" spans="1:27" x14ac:dyDescent="0.25">
      <c r="C99" s="1"/>
      <c r="D99" s="1"/>
      <c r="E99" t="s">
        <v>65</v>
      </c>
      <c r="F99" t="s">
        <v>144</v>
      </c>
      <c r="H99" s="2">
        <f>H91*H96</f>
        <v>0</v>
      </c>
      <c r="I99" s="2">
        <f t="shared" ref="I99:AA99" si="18">I91*I96</f>
        <v>0</v>
      </c>
      <c r="J99" s="2">
        <f t="shared" si="18"/>
        <v>0</v>
      </c>
      <c r="K99" s="2">
        <f t="shared" si="18"/>
        <v>0</v>
      </c>
      <c r="L99" s="2">
        <f t="shared" si="18"/>
        <v>0</v>
      </c>
      <c r="M99" s="2">
        <f t="shared" si="18"/>
        <v>0</v>
      </c>
      <c r="N99" s="2">
        <f t="shared" si="18"/>
        <v>0</v>
      </c>
      <c r="O99" s="2">
        <f t="shared" si="18"/>
        <v>0</v>
      </c>
      <c r="P99" s="2">
        <f t="shared" si="18"/>
        <v>0</v>
      </c>
      <c r="Q99" s="2">
        <f t="shared" si="18"/>
        <v>0</v>
      </c>
      <c r="R99" s="2">
        <f t="shared" si="18"/>
        <v>0</v>
      </c>
      <c r="S99" s="2">
        <f t="shared" si="18"/>
        <v>0</v>
      </c>
      <c r="T99" s="2">
        <f t="shared" si="18"/>
        <v>0</v>
      </c>
      <c r="U99" s="2">
        <f t="shared" si="18"/>
        <v>0</v>
      </c>
      <c r="V99" s="2">
        <f t="shared" si="18"/>
        <v>0</v>
      </c>
      <c r="W99" s="2">
        <f t="shared" si="18"/>
        <v>0</v>
      </c>
      <c r="X99" s="2">
        <f t="shared" si="18"/>
        <v>0</v>
      </c>
      <c r="Y99" s="2">
        <f t="shared" si="18"/>
        <v>0</v>
      </c>
      <c r="Z99" s="2">
        <f t="shared" si="18"/>
        <v>0</v>
      </c>
      <c r="AA99" s="2">
        <f t="shared" si="18"/>
        <v>0</v>
      </c>
    </row>
    <row r="100" spans="1:27" x14ac:dyDescent="0.25">
      <c r="C100" s="1"/>
      <c r="D100" s="1"/>
      <c r="E100" t="s">
        <v>141</v>
      </c>
      <c r="F100" t="s">
        <v>144</v>
      </c>
      <c r="H100" s="2">
        <f>H91*H97</f>
        <v>0</v>
      </c>
      <c r="I100" s="2">
        <f t="shared" ref="I100:AA100" si="19">I91*I97</f>
        <v>0</v>
      </c>
      <c r="J100" s="2">
        <f t="shared" si="19"/>
        <v>0</v>
      </c>
      <c r="K100" s="2">
        <f t="shared" si="19"/>
        <v>0</v>
      </c>
      <c r="L100" s="2">
        <f t="shared" si="19"/>
        <v>0</v>
      </c>
      <c r="M100" s="2">
        <f t="shared" si="19"/>
        <v>0</v>
      </c>
      <c r="N100" s="2">
        <f t="shared" si="19"/>
        <v>0</v>
      </c>
      <c r="O100" s="2">
        <f t="shared" si="19"/>
        <v>0</v>
      </c>
      <c r="P100" s="2">
        <f t="shared" si="19"/>
        <v>0</v>
      </c>
      <c r="Q100" s="2">
        <f t="shared" si="19"/>
        <v>0</v>
      </c>
      <c r="R100" s="2">
        <f t="shared" si="19"/>
        <v>0</v>
      </c>
      <c r="S100" s="2">
        <f t="shared" si="19"/>
        <v>0</v>
      </c>
      <c r="T100" s="2">
        <f t="shared" si="19"/>
        <v>0</v>
      </c>
      <c r="U100" s="2">
        <f t="shared" si="19"/>
        <v>0</v>
      </c>
      <c r="V100" s="2">
        <f t="shared" si="19"/>
        <v>0</v>
      </c>
      <c r="W100" s="2">
        <f t="shared" si="19"/>
        <v>0</v>
      </c>
      <c r="X100" s="2">
        <f t="shared" si="19"/>
        <v>0</v>
      </c>
      <c r="Y100" s="2">
        <f t="shared" si="19"/>
        <v>0</v>
      </c>
      <c r="Z100" s="2">
        <f t="shared" si="19"/>
        <v>0</v>
      </c>
      <c r="AA100" s="2">
        <f t="shared" si="19"/>
        <v>0</v>
      </c>
    </row>
    <row r="101" spans="1:27" x14ac:dyDescent="0.25">
      <c r="A101" s="14">
        <f>'Notes &amp; Assumptions'!A31</f>
        <v>18</v>
      </c>
      <c r="C101" s="1"/>
      <c r="D101" s="1"/>
      <c r="E101" t="s">
        <v>66</v>
      </c>
      <c r="F101" t="s">
        <v>8</v>
      </c>
      <c r="H101" s="11">
        <f>'YVW tariffs'!D25</f>
        <v>-4.24E-2</v>
      </c>
      <c r="I101" s="11">
        <f>'YVW tariffs'!E25</f>
        <v>-2.7400000000000001E-2</v>
      </c>
      <c r="J101" s="11">
        <f>'YVW tariffs'!F25</f>
        <v>0</v>
      </c>
      <c r="K101" s="11">
        <f>'YVW tariffs'!G25</f>
        <v>0</v>
      </c>
      <c r="L101" s="11">
        <v>0</v>
      </c>
      <c r="M101" s="11">
        <v>0</v>
      </c>
      <c r="N101" s="11">
        <v>0</v>
      </c>
      <c r="O101" s="11">
        <v>0</v>
      </c>
      <c r="P101" s="11">
        <v>0</v>
      </c>
      <c r="Q101" s="11">
        <v>0</v>
      </c>
      <c r="R101" s="11">
        <v>0</v>
      </c>
      <c r="S101" s="11">
        <v>0</v>
      </c>
      <c r="T101" s="11">
        <v>0</v>
      </c>
      <c r="U101" s="11">
        <v>0</v>
      </c>
      <c r="V101" s="11">
        <v>0</v>
      </c>
      <c r="W101" s="11">
        <v>0</v>
      </c>
      <c r="X101" s="11">
        <v>0</v>
      </c>
      <c r="Y101" s="11">
        <v>0</v>
      </c>
      <c r="Z101" s="11">
        <v>0</v>
      </c>
      <c r="AA101" s="11">
        <v>0</v>
      </c>
    </row>
    <row r="102" spans="1:27" x14ac:dyDescent="0.25">
      <c r="A102" s="14">
        <f>'Notes &amp; Assumptions'!A32</f>
        <v>19</v>
      </c>
      <c r="C102" s="1"/>
      <c r="D102" s="1"/>
      <c r="E102" t="s">
        <v>40</v>
      </c>
      <c r="F102" t="s">
        <v>41</v>
      </c>
      <c r="G102" s="20">
        <f>'YVW tariffs'!E4</f>
        <v>79.83198999999999</v>
      </c>
      <c r="H102" s="2">
        <f>G102*(1+$G$14)*(1+H101)</f>
        <v>78.05250301010399</v>
      </c>
      <c r="I102" s="2">
        <f t="shared" ref="I102:AA102" si="20">H102*(1+$G$14)*(1+I101)</f>
        <v>77.508055580607305</v>
      </c>
      <c r="J102" s="2">
        <f t="shared" si="20"/>
        <v>79.135724747800055</v>
      </c>
      <c r="K102" s="2">
        <f t="shared" si="20"/>
        <v>80.797574967503849</v>
      </c>
      <c r="L102" s="2">
        <f t="shared" si="20"/>
        <v>82.494324041821429</v>
      </c>
      <c r="M102" s="2">
        <f t="shared" si="20"/>
        <v>84.226704846699675</v>
      </c>
      <c r="N102" s="2">
        <f t="shared" si="20"/>
        <v>85.995465648480362</v>
      </c>
      <c r="O102" s="2">
        <f t="shared" si="20"/>
        <v>87.801370427098448</v>
      </c>
      <c r="P102" s="2">
        <f t="shared" si="20"/>
        <v>89.645199206067502</v>
      </c>
      <c r="Q102" s="2">
        <f t="shared" si="20"/>
        <v>91.527748389394915</v>
      </c>
      <c r="R102" s="2">
        <f t="shared" si="20"/>
        <v>93.449831105572201</v>
      </c>
      <c r="S102" s="2">
        <f t="shared" si="20"/>
        <v>95.412277558789214</v>
      </c>
      <c r="T102" s="2">
        <f t="shared" si="20"/>
        <v>97.415935387523774</v>
      </c>
      <c r="U102" s="2">
        <f t="shared" si="20"/>
        <v>99.461670030661764</v>
      </c>
      <c r="V102" s="2">
        <f t="shared" si="20"/>
        <v>101.55036510130566</v>
      </c>
      <c r="W102" s="2">
        <f t="shared" si="20"/>
        <v>103.68292276843307</v>
      </c>
      <c r="X102" s="2">
        <f t="shared" si="20"/>
        <v>105.86026414657016</v>
      </c>
      <c r="Y102" s="2">
        <f t="shared" si="20"/>
        <v>108.08332969364812</v>
      </c>
      <c r="Z102" s="2">
        <f t="shared" si="20"/>
        <v>110.35307961721473</v>
      </c>
      <c r="AA102" s="2">
        <f t="shared" si="20"/>
        <v>112.67049428917623</v>
      </c>
    </row>
    <row r="103" spans="1:27" x14ac:dyDescent="0.25">
      <c r="C103" s="1"/>
      <c r="D103" s="1"/>
      <c r="E103" t="s">
        <v>67</v>
      </c>
      <c r="F103" t="s">
        <v>143</v>
      </c>
      <c r="G103" s="20">
        <f>'YVW tariffs'!E5</f>
        <v>2.5268728999999999</v>
      </c>
      <c r="H103" s="21">
        <f>G103*(1+$G$14)*(1+'YVW tariffs'!D26)</f>
        <v>3.2883879945051393</v>
      </c>
      <c r="I103" s="21">
        <f t="shared" ref="I103:AA103" si="21">H103*(1+$G$14)*(1+I101)</f>
        <v>3.2654501728882677</v>
      </c>
      <c r="J103" s="21">
        <f t="shared" si="21"/>
        <v>3.3340246265189211</v>
      </c>
      <c r="K103" s="21">
        <f t="shared" si="21"/>
        <v>3.4040391436758179</v>
      </c>
      <c r="L103" s="21">
        <f t="shared" si="21"/>
        <v>3.4755239656930099</v>
      </c>
      <c r="M103" s="21">
        <f t="shared" si="21"/>
        <v>3.5485099689725628</v>
      </c>
      <c r="N103" s="21">
        <f t="shared" si="21"/>
        <v>3.6230286783209862</v>
      </c>
      <c r="O103" s="21">
        <f t="shared" si="21"/>
        <v>3.6991122805657266</v>
      </c>
      <c r="P103" s="21">
        <f t="shared" si="21"/>
        <v>3.7767936384576064</v>
      </c>
      <c r="Q103" s="21">
        <f t="shared" si="21"/>
        <v>3.8561063048652158</v>
      </c>
      <c r="R103" s="21">
        <f t="shared" si="21"/>
        <v>3.9370845372673848</v>
      </c>
      <c r="S103" s="21">
        <f t="shared" si="21"/>
        <v>4.0197633125499994</v>
      </c>
      <c r="T103" s="21">
        <f t="shared" si="21"/>
        <v>4.1041783421135491</v>
      </c>
      <c r="U103" s="21">
        <f t="shared" si="21"/>
        <v>4.1903660872979334</v>
      </c>
      <c r="V103" s="21">
        <f t="shared" si="21"/>
        <v>4.2783637751311892</v>
      </c>
      <c r="W103" s="21">
        <f t="shared" si="21"/>
        <v>4.3682094144089438</v>
      </c>
      <c r="X103" s="21">
        <f t="shared" si="21"/>
        <v>4.4599418121115315</v>
      </c>
      <c r="Y103" s="21">
        <f t="shared" si="21"/>
        <v>4.5536005901658729</v>
      </c>
      <c r="Z103" s="21">
        <f t="shared" si="21"/>
        <v>4.6492262025593556</v>
      </c>
      <c r="AA103" s="21">
        <f t="shared" si="21"/>
        <v>4.7468599528131019</v>
      </c>
    </row>
    <row r="104" spans="1:27" x14ac:dyDescent="0.25">
      <c r="C104" s="1"/>
      <c r="D104" s="1"/>
      <c r="E104" t="s">
        <v>68</v>
      </c>
      <c r="F104" t="s">
        <v>143</v>
      </c>
      <c r="G104" s="20">
        <f>'YVW tariffs'!E6</f>
        <v>3.2042042999999998</v>
      </c>
      <c r="H104" s="21">
        <f>G104*(1+$G$14)*(1+'YVW tariffs'!D27)</f>
        <v>4.3039756517986785</v>
      </c>
      <c r="I104" s="21">
        <f t="shared" ref="I104:AA104" si="22">H104*(1+$G$14)*(1+I101)</f>
        <v>4.2739537000371222</v>
      </c>
      <c r="J104" s="21">
        <f t="shared" si="22"/>
        <v>4.3637067277379016</v>
      </c>
      <c r="K104" s="21">
        <f t="shared" si="22"/>
        <v>4.4553445690203972</v>
      </c>
      <c r="L104" s="21">
        <f t="shared" si="22"/>
        <v>4.5489068049698256</v>
      </c>
      <c r="M104" s="21">
        <f t="shared" si="22"/>
        <v>4.6444338478741916</v>
      </c>
      <c r="N104" s="21">
        <f t="shared" si="22"/>
        <v>4.7419669586795488</v>
      </c>
      <c r="O104" s="21">
        <f t="shared" si="22"/>
        <v>4.8415482648118191</v>
      </c>
      <c r="P104" s="21">
        <f t="shared" si="22"/>
        <v>4.9432207783728668</v>
      </c>
      <c r="Q104" s="21">
        <f t="shared" si="22"/>
        <v>5.0470284147186968</v>
      </c>
      <c r="R104" s="21">
        <f t="shared" si="22"/>
        <v>5.1530160114277885</v>
      </c>
      <c r="S104" s="21">
        <f t="shared" si="22"/>
        <v>5.2612293476677721</v>
      </c>
      <c r="T104" s="21">
        <f t="shared" si="22"/>
        <v>5.371715163968795</v>
      </c>
      <c r="U104" s="21">
        <f t="shared" si="22"/>
        <v>5.4845211824121396</v>
      </c>
      <c r="V104" s="21">
        <f t="shared" si="22"/>
        <v>5.5996961272427939</v>
      </c>
      <c r="W104" s="21">
        <f t="shared" si="22"/>
        <v>5.7172897459148917</v>
      </c>
      <c r="X104" s="21">
        <f t="shared" si="22"/>
        <v>5.8373528305791043</v>
      </c>
      <c r="Y104" s="21">
        <f t="shared" si="22"/>
        <v>5.9599372400212651</v>
      </c>
      <c r="Z104" s="21">
        <f t="shared" si="22"/>
        <v>6.0850959220617113</v>
      </c>
      <c r="AA104" s="21">
        <f t="shared" si="22"/>
        <v>6.2128829364250064</v>
      </c>
    </row>
    <row r="105" spans="1:27" x14ac:dyDescent="0.25">
      <c r="C105" s="1"/>
      <c r="D105" s="1"/>
      <c r="E105" t="s">
        <v>142</v>
      </c>
      <c r="F105" t="s">
        <v>143</v>
      </c>
      <c r="G105" s="20">
        <f>'YVW tariffs'!E7</f>
        <v>4.7208997999999998</v>
      </c>
      <c r="H105" s="21">
        <f>G105*(1+$G$14)*(1+'YVW tariffs'!D28)</f>
        <v>4.9771719572830788</v>
      </c>
      <c r="I105" s="21">
        <f t="shared" ref="I105:AA105" si="23">H105*(1+$G$14)*(1+I101)</f>
        <v>4.9424541920122458</v>
      </c>
      <c r="J105" s="21">
        <f t="shared" si="23"/>
        <v>5.0462457300445021</v>
      </c>
      <c r="K105" s="21">
        <f t="shared" si="23"/>
        <v>5.1522168903754357</v>
      </c>
      <c r="L105" s="21">
        <f t="shared" si="23"/>
        <v>5.2604134450733193</v>
      </c>
      <c r="M105" s="21">
        <f t="shared" si="23"/>
        <v>5.3708821274198586</v>
      </c>
      <c r="N105" s="21">
        <f t="shared" si="23"/>
        <v>5.4836706520956753</v>
      </c>
      <c r="O105" s="21">
        <f t="shared" si="23"/>
        <v>5.5988277357896843</v>
      </c>
      <c r="P105" s="21">
        <f t="shared" si="23"/>
        <v>5.7164031182412671</v>
      </c>
      <c r="Q105" s="21">
        <f t="shared" si="23"/>
        <v>5.8364475837243335</v>
      </c>
      <c r="R105" s="21">
        <f t="shared" si="23"/>
        <v>5.9590129829825438</v>
      </c>
      <c r="S105" s="21">
        <f t="shared" si="23"/>
        <v>6.0841522556251766</v>
      </c>
      <c r="T105" s="21">
        <f t="shared" si="23"/>
        <v>6.2119194529933051</v>
      </c>
      <c r="U105" s="21">
        <f t="shared" si="23"/>
        <v>6.3423697615061636</v>
      </c>
      <c r="V105" s="21">
        <f t="shared" si="23"/>
        <v>6.4755595264977925</v>
      </c>
      <c r="W105" s="21">
        <f t="shared" si="23"/>
        <v>6.6115462765542459</v>
      </c>
      <c r="X105" s="21">
        <f t="shared" si="23"/>
        <v>6.7503887483618845</v>
      </c>
      <c r="Y105" s="21">
        <f t="shared" si="23"/>
        <v>6.8921469120774832</v>
      </c>
      <c r="Z105" s="21">
        <f t="shared" si="23"/>
        <v>7.0368819972311094</v>
      </c>
      <c r="AA105" s="21">
        <f t="shared" si="23"/>
        <v>7.1846565191729619</v>
      </c>
    </row>
    <row r="106" spans="1:27" x14ac:dyDescent="0.25">
      <c r="C106" s="1"/>
      <c r="D106" s="1"/>
    </row>
    <row r="107" spans="1:27" x14ac:dyDescent="0.25">
      <c r="C107" s="1"/>
      <c r="D107" s="1"/>
      <c r="E107" t="s">
        <v>69</v>
      </c>
      <c r="F107" t="s">
        <v>58</v>
      </c>
      <c r="H107" s="2">
        <f>SUM(H98:H100)/1000</f>
        <v>205.26</v>
      </c>
      <c r="I107" s="2">
        <f t="shared" ref="I107:AA107" si="24">SUM(I98:I100)/1000</f>
        <v>464.42</v>
      </c>
      <c r="J107" s="2">
        <f t="shared" si="24"/>
        <v>782.94700000000012</v>
      </c>
      <c r="K107" s="2">
        <f t="shared" si="24"/>
        <v>1143.5050000000001</v>
      </c>
      <c r="L107" s="2">
        <f t="shared" si="24"/>
        <v>1541.452</v>
      </c>
      <c r="M107" s="2">
        <f t="shared" si="24"/>
        <v>1973.422</v>
      </c>
      <c r="N107" s="2">
        <f t="shared" si="24"/>
        <v>2435.4549999999999</v>
      </c>
      <c r="O107" s="2">
        <f t="shared" si="24"/>
        <v>2924.0639999999999</v>
      </c>
      <c r="P107" s="2">
        <f t="shared" si="24"/>
        <v>3489.145</v>
      </c>
      <c r="Q107" s="2">
        <f t="shared" si="24"/>
        <v>4138.2219999999998</v>
      </c>
      <c r="R107" s="2">
        <f t="shared" si="24"/>
        <v>4825.4470000000001</v>
      </c>
      <c r="S107" s="2">
        <f t="shared" si="24"/>
        <v>5553.6249999999991</v>
      </c>
      <c r="T107" s="2">
        <f t="shared" si="24"/>
        <v>6324.9999999999991</v>
      </c>
      <c r="U107" s="2">
        <f t="shared" si="24"/>
        <v>7091.3259999999991</v>
      </c>
      <c r="V107" s="2">
        <f t="shared" si="24"/>
        <v>7852.0419999999986</v>
      </c>
      <c r="W107" s="2">
        <f t="shared" si="24"/>
        <v>7852.0419999999986</v>
      </c>
      <c r="X107" s="2">
        <f t="shared" si="24"/>
        <v>7852.0419999999986</v>
      </c>
      <c r="Y107" s="2">
        <f t="shared" si="24"/>
        <v>7852.0419999999986</v>
      </c>
      <c r="Z107" s="2">
        <f t="shared" si="24"/>
        <v>7852.0419999999986</v>
      </c>
      <c r="AA107" s="2">
        <f t="shared" si="24"/>
        <v>7852.0419999999986</v>
      </c>
    </row>
    <row r="108" spans="1:27" x14ac:dyDescent="0.25">
      <c r="C108" s="1"/>
      <c r="D108" s="1"/>
      <c r="E108" t="s">
        <v>70</v>
      </c>
      <c r="F108" t="s">
        <v>7</v>
      </c>
      <c r="H108" s="2">
        <f>H91*H102+H98*H103+H99*H104+H100*H105</f>
        <v>820620.49036897894</v>
      </c>
      <c r="I108" s="2">
        <f t="shared" ref="I108:AA108" si="25">I91*I102+I98*I103+I99*I104+I100*I105</f>
        <v>1843779.3799540934</v>
      </c>
      <c r="J108" s="2">
        <f t="shared" si="25"/>
        <v>3173628.9272965267</v>
      </c>
      <c r="K108" s="2">
        <f t="shared" si="25"/>
        <v>4732466.9715637024</v>
      </c>
      <c r="L108" s="2">
        <f t="shared" si="25"/>
        <v>6513362.8296282738</v>
      </c>
      <c r="M108" s="2">
        <f t="shared" si="25"/>
        <v>8513751.5702805351</v>
      </c>
      <c r="N108" s="2">
        <f t="shared" si="25"/>
        <v>10727705.916950416</v>
      </c>
      <c r="O108" s="2">
        <f t="shared" si="25"/>
        <v>13150412.200801443</v>
      </c>
      <c r="P108" s="2">
        <f t="shared" si="25"/>
        <v>16021281.535873024</v>
      </c>
      <c r="Q108" s="2">
        <f t="shared" si="25"/>
        <v>19400716.145090654</v>
      </c>
      <c r="R108" s="2">
        <f t="shared" si="25"/>
        <v>23097621.925093196</v>
      </c>
      <c r="S108" s="2">
        <f t="shared" si="25"/>
        <v>27141385.389909856</v>
      </c>
      <c r="T108" s="2">
        <f t="shared" si="25"/>
        <v>31560344.298650809</v>
      </c>
      <c r="U108" s="2">
        <f t="shared" si="25"/>
        <v>36127207.681572765</v>
      </c>
      <c r="V108" s="2">
        <f t="shared" si="25"/>
        <v>40842780.52534306</v>
      </c>
      <c r="W108" s="2">
        <f t="shared" si="25"/>
        <v>41700478.916375265</v>
      </c>
      <c r="X108" s="2">
        <f t="shared" si="25"/>
        <v>42576188.973619141</v>
      </c>
      <c r="Y108" s="2">
        <f t="shared" si="25"/>
        <v>43470288.942065142</v>
      </c>
      <c r="Z108" s="2">
        <f t="shared" si="25"/>
        <v>44383165.009848505</v>
      </c>
      <c r="AA108" s="2">
        <f t="shared" si="25"/>
        <v>45315211.475055322</v>
      </c>
    </row>
    <row r="109" spans="1:27" x14ac:dyDescent="0.25">
      <c r="C109" s="1"/>
      <c r="D109" s="1"/>
    </row>
    <row r="110" spans="1:27" x14ac:dyDescent="0.25">
      <c r="C110" s="1"/>
      <c r="D110" t="s">
        <v>71</v>
      </c>
    </row>
    <row r="111" spans="1:27" x14ac:dyDescent="0.25">
      <c r="A111" s="14">
        <f>'Notes &amp; Assumptions'!A33</f>
        <v>20</v>
      </c>
      <c r="C111" s="1"/>
      <c r="D111" s="1"/>
      <c r="E111" t="s">
        <v>87</v>
      </c>
      <c r="F111" t="s">
        <v>3</v>
      </c>
      <c r="H111" s="10">
        <f>'Customer numbers'!P31</f>
        <v>184</v>
      </c>
      <c r="I111" s="10">
        <f>'Customer numbers'!Q31</f>
        <v>184</v>
      </c>
      <c r="J111" s="10">
        <f>'Customer numbers'!R31</f>
        <v>188</v>
      </c>
      <c r="K111" s="10">
        <f>'Customer numbers'!S31</f>
        <v>180</v>
      </c>
      <c r="L111" s="10">
        <f>'Customer numbers'!T31</f>
        <v>174</v>
      </c>
      <c r="M111" s="10">
        <f>'Customer numbers'!U31</f>
        <v>166</v>
      </c>
      <c r="N111" s="10">
        <f>'Customer numbers'!V31</f>
        <v>160</v>
      </c>
      <c r="O111" s="10">
        <f>'Customer numbers'!W31</f>
        <v>154</v>
      </c>
      <c r="P111" s="10">
        <f>'Customer numbers'!X31</f>
        <v>162</v>
      </c>
      <c r="Q111" s="10">
        <f>'Customer numbers'!Y31</f>
        <v>172</v>
      </c>
      <c r="R111" s="10">
        <f>'Customer numbers'!Z31</f>
        <v>182</v>
      </c>
      <c r="S111" s="10">
        <f>'Customer numbers'!AA31</f>
        <v>194</v>
      </c>
      <c r="T111" s="10">
        <f>'Customer numbers'!AB31</f>
        <v>204</v>
      </c>
      <c r="U111" s="10">
        <f>'Customer numbers'!AC31</f>
        <v>202</v>
      </c>
      <c r="V111" s="10">
        <f>'Customer numbers'!AD31</f>
        <v>202</v>
      </c>
    </row>
    <row r="112" spans="1:27" x14ac:dyDescent="0.25">
      <c r="C112" s="1"/>
      <c r="D112" s="1"/>
      <c r="E112" t="s">
        <v>60</v>
      </c>
      <c r="F112" t="s">
        <v>3</v>
      </c>
      <c r="G112">
        <f>IF('Key assumptions'!B4="yes",SUM('Customer numbers'!F31:O31),0)</f>
        <v>0</v>
      </c>
      <c r="H112" s="2">
        <f>G112+H111</f>
        <v>184</v>
      </c>
      <c r="I112" s="2">
        <f t="shared" ref="I112:AA112" si="26">H112+I111</f>
        <v>368</v>
      </c>
      <c r="J112" s="2">
        <f t="shared" si="26"/>
        <v>556</v>
      </c>
      <c r="K112" s="2">
        <f t="shared" si="26"/>
        <v>736</v>
      </c>
      <c r="L112" s="2">
        <f t="shared" si="26"/>
        <v>910</v>
      </c>
      <c r="M112" s="2">
        <f t="shared" si="26"/>
        <v>1076</v>
      </c>
      <c r="N112" s="2">
        <f t="shared" si="26"/>
        <v>1236</v>
      </c>
      <c r="O112" s="2">
        <f t="shared" si="26"/>
        <v>1390</v>
      </c>
      <c r="P112" s="2">
        <f t="shared" si="26"/>
        <v>1552</v>
      </c>
      <c r="Q112" s="2">
        <f t="shared" si="26"/>
        <v>1724</v>
      </c>
      <c r="R112" s="2">
        <f t="shared" si="26"/>
        <v>1906</v>
      </c>
      <c r="S112" s="2">
        <f t="shared" si="26"/>
        <v>2100</v>
      </c>
      <c r="T112" s="2">
        <f t="shared" si="26"/>
        <v>2304</v>
      </c>
      <c r="U112" s="2">
        <f t="shared" si="26"/>
        <v>2506</v>
      </c>
      <c r="V112" s="2">
        <f t="shared" si="26"/>
        <v>2708</v>
      </c>
      <c r="W112" s="2">
        <f t="shared" si="26"/>
        <v>2708</v>
      </c>
      <c r="X112" s="2">
        <f t="shared" si="26"/>
        <v>2708</v>
      </c>
      <c r="Y112" s="2">
        <f t="shared" si="26"/>
        <v>2708</v>
      </c>
      <c r="Z112" s="2">
        <f t="shared" si="26"/>
        <v>2708</v>
      </c>
      <c r="AA112" s="2">
        <f t="shared" si="26"/>
        <v>2708</v>
      </c>
    </row>
    <row r="113" spans="1:27" x14ac:dyDescent="0.25">
      <c r="A113" s="14">
        <f>'Notes &amp; Assumptions'!A34</f>
        <v>21</v>
      </c>
      <c r="C113" s="1"/>
      <c r="D113" s="1"/>
      <c r="E113" t="s">
        <v>61</v>
      </c>
      <c r="F113" t="s">
        <v>3</v>
      </c>
      <c r="G113" s="10">
        <v>1</v>
      </c>
    </row>
    <row r="114" spans="1:27" x14ac:dyDescent="0.25">
      <c r="C114" s="1"/>
      <c r="D114" s="1"/>
      <c r="E114" t="s">
        <v>88</v>
      </c>
      <c r="F114" t="s">
        <v>3</v>
      </c>
      <c r="H114">
        <f>H111*$G113</f>
        <v>184</v>
      </c>
      <c r="I114">
        <f t="shared" ref="I114:AA114" si="27">I111*$G113</f>
        <v>184</v>
      </c>
      <c r="J114">
        <f t="shared" si="27"/>
        <v>188</v>
      </c>
      <c r="K114">
        <f t="shared" si="27"/>
        <v>180</v>
      </c>
      <c r="L114">
        <f t="shared" si="27"/>
        <v>174</v>
      </c>
      <c r="M114">
        <f t="shared" si="27"/>
        <v>166</v>
      </c>
      <c r="N114">
        <f t="shared" si="27"/>
        <v>160</v>
      </c>
      <c r="O114">
        <f t="shared" si="27"/>
        <v>154</v>
      </c>
      <c r="P114">
        <f t="shared" si="27"/>
        <v>162</v>
      </c>
      <c r="Q114">
        <f t="shared" si="27"/>
        <v>172</v>
      </c>
      <c r="R114">
        <f t="shared" si="27"/>
        <v>182</v>
      </c>
      <c r="S114">
        <f t="shared" si="27"/>
        <v>194</v>
      </c>
      <c r="T114">
        <f t="shared" si="27"/>
        <v>204</v>
      </c>
      <c r="U114">
        <f t="shared" si="27"/>
        <v>202</v>
      </c>
      <c r="V114">
        <f t="shared" si="27"/>
        <v>202</v>
      </c>
      <c r="W114">
        <f t="shared" si="27"/>
        <v>0</v>
      </c>
      <c r="X114">
        <f t="shared" si="27"/>
        <v>0</v>
      </c>
      <c r="Y114">
        <f t="shared" si="27"/>
        <v>0</v>
      </c>
      <c r="Z114">
        <f t="shared" si="27"/>
        <v>0</v>
      </c>
      <c r="AA114">
        <f t="shared" si="27"/>
        <v>0</v>
      </c>
    </row>
    <row r="115" spans="1:27" x14ac:dyDescent="0.25">
      <c r="C115" s="1"/>
      <c r="D115" s="1"/>
      <c r="E115" t="s">
        <v>89</v>
      </c>
      <c r="F115" t="s">
        <v>3</v>
      </c>
      <c r="H115">
        <f>H112*$G113</f>
        <v>184</v>
      </c>
      <c r="I115">
        <f t="shared" ref="I115:AA115" si="28">I112*$G113</f>
        <v>368</v>
      </c>
      <c r="J115">
        <f t="shared" si="28"/>
        <v>556</v>
      </c>
      <c r="K115">
        <f t="shared" si="28"/>
        <v>736</v>
      </c>
      <c r="L115">
        <f t="shared" si="28"/>
        <v>910</v>
      </c>
      <c r="M115">
        <f t="shared" si="28"/>
        <v>1076</v>
      </c>
      <c r="N115">
        <f t="shared" si="28"/>
        <v>1236</v>
      </c>
      <c r="O115">
        <f t="shared" si="28"/>
        <v>1390</v>
      </c>
      <c r="P115">
        <f t="shared" si="28"/>
        <v>1552</v>
      </c>
      <c r="Q115">
        <f t="shared" si="28"/>
        <v>1724</v>
      </c>
      <c r="R115">
        <f t="shared" si="28"/>
        <v>1906</v>
      </c>
      <c r="S115">
        <f t="shared" si="28"/>
        <v>2100</v>
      </c>
      <c r="T115">
        <f t="shared" si="28"/>
        <v>2304</v>
      </c>
      <c r="U115">
        <f t="shared" si="28"/>
        <v>2506</v>
      </c>
      <c r="V115">
        <f t="shared" si="28"/>
        <v>2708</v>
      </c>
      <c r="W115">
        <f t="shared" si="28"/>
        <v>2708</v>
      </c>
      <c r="X115">
        <f t="shared" si="28"/>
        <v>2708</v>
      </c>
      <c r="Y115">
        <f t="shared" si="28"/>
        <v>2708</v>
      </c>
      <c r="Z115">
        <f t="shared" si="28"/>
        <v>2708</v>
      </c>
      <c r="AA115">
        <f t="shared" si="28"/>
        <v>2708</v>
      </c>
    </row>
    <row r="116" spans="1:27" x14ac:dyDescent="0.25">
      <c r="A116" s="14">
        <f>'Notes &amp; Assumptions'!A35</f>
        <v>22</v>
      </c>
      <c r="C116" s="1"/>
      <c r="D116" s="1"/>
      <c r="E116" t="s">
        <v>62</v>
      </c>
      <c r="F116" t="s">
        <v>43</v>
      </c>
      <c r="H116" s="10">
        <f>'Key assumptions'!$B26</f>
        <v>520</v>
      </c>
      <c r="I116" s="10">
        <f>'Key assumptions'!$B26</f>
        <v>520</v>
      </c>
      <c r="J116" s="10">
        <f>'Key assumptions'!$B26</f>
        <v>520</v>
      </c>
      <c r="K116" s="10">
        <f>'Key assumptions'!$B26</f>
        <v>520</v>
      </c>
      <c r="L116" s="10">
        <f>'Key assumptions'!$B26</f>
        <v>520</v>
      </c>
      <c r="M116" s="10">
        <f>'Key assumptions'!$B26</f>
        <v>520</v>
      </c>
      <c r="N116" s="10">
        <f>'Key assumptions'!$B26</f>
        <v>520</v>
      </c>
      <c r="O116" s="10">
        <f>'Key assumptions'!$B26</f>
        <v>520</v>
      </c>
      <c r="P116" s="10">
        <f>'Key assumptions'!$B26</f>
        <v>520</v>
      </c>
      <c r="Q116" s="10">
        <f>'Key assumptions'!$B26</f>
        <v>520</v>
      </c>
      <c r="R116" s="10">
        <f>'Key assumptions'!$B26</f>
        <v>520</v>
      </c>
      <c r="S116" s="10">
        <f>'Key assumptions'!$B26</f>
        <v>520</v>
      </c>
      <c r="T116" s="10">
        <f>'Key assumptions'!$B26</f>
        <v>520</v>
      </c>
      <c r="U116" s="10">
        <f>'Key assumptions'!$B26</f>
        <v>520</v>
      </c>
      <c r="V116" s="10">
        <f>'Key assumptions'!$B26</f>
        <v>520</v>
      </c>
      <c r="W116" s="10">
        <f>'Key assumptions'!$B26</f>
        <v>520</v>
      </c>
      <c r="X116" s="10">
        <f>'Key assumptions'!$B26</f>
        <v>520</v>
      </c>
      <c r="Y116" s="10">
        <f>'Key assumptions'!$B26</f>
        <v>520</v>
      </c>
      <c r="Z116" s="10">
        <f>'Key assumptions'!$B26</f>
        <v>520</v>
      </c>
      <c r="AA116" s="10">
        <f>'Key assumptions'!$B26</f>
        <v>520</v>
      </c>
    </row>
    <row r="117" spans="1:27" x14ac:dyDescent="0.25">
      <c r="C117" s="1"/>
      <c r="D117" s="1"/>
      <c r="E117" t="s">
        <v>63</v>
      </c>
      <c r="F117" t="s">
        <v>43</v>
      </c>
      <c r="H117" s="10"/>
      <c r="I117" s="10"/>
      <c r="J117" s="10"/>
      <c r="K117" s="10"/>
      <c r="L117" s="10"/>
      <c r="M117" s="10"/>
      <c r="N117" s="10"/>
      <c r="O117" s="10"/>
      <c r="P117" s="10"/>
      <c r="Q117" s="10"/>
      <c r="R117" s="10"/>
      <c r="S117" s="10"/>
      <c r="T117" s="10"/>
      <c r="U117" s="10"/>
      <c r="V117" s="10"/>
      <c r="W117" s="10"/>
      <c r="X117" s="10"/>
      <c r="Y117" s="10"/>
      <c r="Z117" s="10"/>
      <c r="AA117" s="10"/>
    </row>
    <row r="118" spans="1:27" x14ac:dyDescent="0.25">
      <c r="C118" s="1"/>
      <c r="D118" s="1"/>
      <c r="E118" t="s">
        <v>140</v>
      </c>
      <c r="F118" t="s">
        <v>43</v>
      </c>
      <c r="H118" s="10"/>
      <c r="I118" s="10"/>
      <c r="J118" s="10"/>
      <c r="K118" s="10"/>
      <c r="L118" s="10"/>
      <c r="M118" s="10"/>
      <c r="N118" s="10"/>
      <c r="O118" s="10"/>
      <c r="P118" s="10"/>
      <c r="Q118" s="10"/>
      <c r="R118" s="10"/>
      <c r="S118" s="10"/>
      <c r="T118" s="10"/>
      <c r="U118" s="10"/>
      <c r="V118" s="10"/>
      <c r="W118" s="10"/>
      <c r="X118" s="10"/>
      <c r="Y118" s="10"/>
      <c r="Z118" s="10"/>
      <c r="AA118" s="10"/>
    </row>
    <row r="119" spans="1:27" x14ac:dyDescent="0.25">
      <c r="C119" s="1"/>
      <c r="D119" s="1"/>
      <c r="E119" t="s">
        <v>64</v>
      </c>
      <c r="F119" t="s">
        <v>144</v>
      </c>
      <c r="H119" s="2">
        <f>H112*H116</f>
        <v>95680</v>
      </c>
      <c r="I119" s="2">
        <f t="shared" ref="I119:AA119" si="29">I112*I116</f>
        <v>191360</v>
      </c>
      <c r="J119" s="2">
        <f t="shared" si="29"/>
        <v>289120</v>
      </c>
      <c r="K119" s="2">
        <f t="shared" si="29"/>
        <v>382720</v>
      </c>
      <c r="L119" s="2">
        <f t="shared" si="29"/>
        <v>473200</v>
      </c>
      <c r="M119" s="2">
        <f t="shared" si="29"/>
        <v>559520</v>
      </c>
      <c r="N119" s="2">
        <f t="shared" si="29"/>
        <v>642720</v>
      </c>
      <c r="O119" s="2">
        <f t="shared" si="29"/>
        <v>722800</v>
      </c>
      <c r="P119" s="2">
        <f t="shared" si="29"/>
        <v>807040</v>
      </c>
      <c r="Q119" s="2">
        <f t="shared" si="29"/>
        <v>896480</v>
      </c>
      <c r="R119" s="2">
        <f t="shared" si="29"/>
        <v>991120</v>
      </c>
      <c r="S119" s="2">
        <f t="shared" si="29"/>
        <v>1092000</v>
      </c>
      <c r="T119" s="2">
        <f t="shared" si="29"/>
        <v>1198080</v>
      </c>
      <c r="U119" s="2">
        <f t="shared" si="29"/>
        <v>1303120</v>
      </c>
      <c r="V119" s="2">
        <f t="shared" si="29"/>
        <v>1408160</v>
      </c>
      <c r="W119" s="2">
        <f t="shared" si="29"/>
        <v>1408160</v>
      </c>
      <c r="X119" s="2">
        <f t="shared" si="29"/>
        <v>1408160</v>
      </c>
      <c r="Y119" s="2">
        <f t="shared" si="29"/>
        <v>1408160</v>
      </c>
      <c r="Z119" s="2">
        <f t="shared" si="29"/>
        <v>1408160</v>
      </c>
      <c r="AA119" s="2">
        <f t="shared" si="29"/>
        <v>1408160</v>
      </c>
    </row>
    <row r="120" spans="1:27" x14ac:dyDescent="0.25">
      <c r="C120" s="1"/>
      <c r="D120" s="1"/>
      <c r="E120" t="s">
        <v>65</v>
      </c>
      <c r="F120" t="s">
        <v>144</v>
      </c>
      <c r="H120" s="2">
        <f>H112*H117</f>
        <v>0</v>
      </c>
      <c r="I120" s="2">
        <f t="shared" ref="I120:AA120" si="30">I112*I117</f>
        <v>0</v>
      </c>
      <c r="J120" s="2">
        <f t="shared" si="30"/>
        <v>0</v>
      </c>
      <c r="K120" s="2">
        <f t="shared" si="30"/>
        <v>0</v>
      </c>
      <c r="L120" s="2">
        <f t="shared" si="30"/>
        <v>0</v>
      </c>
      <c r="M120" s="2">
        <f t="shared" si="30"/>
        <v>0</v>
      </c>
      <c r="N120" s="2">
        <f t="shared" si="30"/>
        <v>0</v>
      </c>
      <c r="O120" s="2">
        <f t="shared" si="30"/>
        <v>0</v>
      </c>
      <c r="P120" s="2">
        <f t="shared" si="30"/>
        <v>0</v>
      </c>
      <c r="Q120" s="2">
        <f t="shared" si="30"/>
        <v>0</v>
      </c>
      <c r="R120" s="2">
        <f t="shared" si="30"/>
        <v>0</v>
      </c>
      <c r="S120" s="2">
        <f t="shared" si="30"/>
        <v>0</v>
      </c>
      <c r="T120" s="2">
        <f t="shared" si="30"/>
        <v>0</v>
      </c>
      <c r="U120" s="2">
        <f t="shared" si="30"/>
        <v>0</v>
      </c>
      <c r="V120" s="2">
        <f t="shared" si="30"/>
        <v>0</v>
      </c>
      <c r="W120" s="2">
        <f t="shared" si="30"/>
        <v>0</v>
      </c>
      <c r="X120" s="2">
        <f t="shared" si="30"/>
        <v>0</v>
      </c>
      <c r="Y120" s="2">
        <f t="shared" si="30"/>
        <v>0</v>
      </c>
      <c r="Z120" s="2">
        <f t="shared" si="30"/>
        <v>0</v>
      </c>
      <c r="AA120" s="2">
        <f t="shared" si="30"/>
        <v>0</v>
      </c>
    </row>
    <row r="121" spans="1:27" x14ac:dyDescent="0.25">
      <c r="C121" s="1"/>
      <c r="D121" s="1"/>
      <c r="E121" t="s">
        <v>141</v>
      </c>
      <c r="F121" t="s">
        <v>144</v>
      </c>
      <c r="H121" s="2">
        <f>H112*H118</f>
        <v>0</v>
      </c>
      <c r="I121" s="2">
        <f t="shared" ref="I121:AA121" si="31">I112*I118</f>
        <v>0</v>
      </c>
      <c r="J121" s="2">
        <f t="shared" si="31"/>
        <v>0</v>
      </c>
      <c r="K121" s="2">
        <f t="shared" si="31"/>
        <v>0</v>
      </c>
      <c r="L121" s="2">
        <f t="shared" si="31"/>
        <v>0</v>
      </c>
      <c r="M121" s="2">
        <f t="shared" si="31"/>
        <v>0</v>
      </c>
      <c r="N121" s="2">
        <f t="shared" si="31"/>
        <v>0</v>
      </c>
      <c r="O121" s="2">
        <f t="shared" si="31"/>
        <v>0</v>
      </c>
      <c r="P121" s="2">
        <f t="shared" si="31"/>
        <v>0</v>
      </c>
      <c r="Q121" s="2">
        <f t="shared" si="31"/>
        <v>0</v>
      </c>
      <c r="R121" s="2">
        <f t="shared" si="31"/>
        <v>0</v>
      </c>
      <c r="S121" s="2">
        <f t="shared" si="31"/>
        <v>0</v>
      </c>
      <c r="T121" s="2">
        <f t="shared" si="31"/>
        <v>0</v>
      </c>
      <c r="U121" s="2">
        <f t="shared" si="31"/>
        <v>0</v>
      </c>
      <c r="V121" s="2">
        <f t="shared" si="31"/>
        <v>0</v>
      </c>
      <c r="W121" s="2">
        <f t="shared" si="31"/>
        <v>0</v>
      </c>
      <c r="X121" s="2">
        <f t="shared" si="31"/>
        <v>0</v>
      </c>
      <c r="Y121" s="2">
        <f t="shared" si="31"/>
        <v>0</v>
      </c>
      <c r="Z121" s="2">
        <f t="shared" si="31"/>
        <v>0</v>
      </c>
      <c r="AA121" s="2">
        <f t="shared" si="31"/>
        <v>0</v>
      </c>
    </row>
    <row r="122" spans="1:27" x14ac:dyDescent="0.25">
      <c r="A122" s="14">
        <f>'Notes &amp; Assumptions'!A36</f>
        <v>23</v>
      </c>
      <c r="C122" s="1"/>
      <c r="D122" s="1"/>
      <c r="E122" t="s">
        <v>66</v>
      </c>
      <c r="F122" t="s">
        <v>8</v>
      </c>
      <c r="H122" s="11">
        <f>'YVW tariffs'!D34</f>
        <v>-4.24E-2</v>
      </c>
      <c r="I122" s="11">
        <f>'YVW tariffs'!E34</f>
        <v>-2.7400000000000001E-2</v>
      </c>
      <c r="J122" s="11">
        <f>'YVW tariffs'!F34</f>
        <v>0</v>
      </c>
      <c r="K122" s="11">
        <f>'YVW tariffs'!G34</f>
        <v>0</v>
      </c>
      <c r="L122" s="11">
        <f>'YVW tariffs'!H34</f>
        <v>0</v>
      </c>
      <c r="M122" s="11"/>
      <c r="N122" s="11"/>
      <c r="O122" s="11"/>
      <c r="P122" s="11"/>
      <c r="Q122" s="11"/>
      <c r="R122" s="11"/>
      <c r="S122" s="11"/>
      <c r="T122" s="11"/>
      <c r="U122" s="11"/>
      <c r="V122" s="11"/>
      <c r="W122" s="11"/>
      <c r="X122" s="11"/>
      <c r="Y122" s="11"/>
      <c r="Z122" s="11"/>
      <c r="AA122" s="11"/>
    </row>
    <row r="123" spans="1:27" x14ac:dyDescent="0.25">
      <c r="A123" s="14">
        <f>'Notes &amp; Assumptions'!A37</f>
        <v>24</v>
      </c>
      <c r="C123" s="1"/>
      <c r="D123" s="1"/>
      <c r="E123" t="s">
        <v>40</v>
      </c>
      <c r="F123" t="s">
        <v>41</v>
      </c>
      <c r="G123" s="20">
        <f>'YVW tariffs'!D10</f>
        <v>289.95</v>
      </c>
      <c r="H123" s="2">
        <f>G123*(1+$G$14)*(1+H122)</f>
        <v>283.48689851999995</v>
      </c>
      <c r="I123" s="2">
        <f t="shared" ref="I123:AA123" si="32">H123*(1+$G$14)*(1+I122)</f>
        <v>281.5094640080635</v>
      </c>
      <c r="J123" s="2">
        <f>I123*(1+$G$14)*(1+J122)</f>
        <v>287.42116275223282</v>
      </c>
      <c r="K123" s="2">
        <f t="shared" si="32"/>
        <v>293.45700717002967</v>
      </c>
      <c r="L123" s="2">
        <f t="shared" si="32"/>
        <v>299.61960432060027</v>
      </c>
      <c r="M123" s="2">
        <f t="shared" si="32"/>
        <v>305.91161601133285</v>
      </c>
      <c r="N123" s="2">
        <f t="shared" si="32"/>
        <v>312.33575994757081</v>
      </c>
      <c r="O123" s="2">
        <f t="shared" si="32"/>
        <v>318.89481090646979</v>
      </c>
      <c r="P123" s="2">
        <f t="shared" si="32"/>
        <v>325.59160193550559</v>
      </c>
      <c r="Q123" s="2">
        <f t="shared" si="32"/>
        <v>332.42902557615116</v>
      </c>
      <c r="R123" s="2">
        <f t="shared" si="32"/>
        <v>339.41003511325033</v>
      </c>
      <c r="S123" s="2">
        <f t="shared" si="32"/>
        <v>346.53764585062856</v>
      </c>
      <c r="T123" s="2">
        <f t="shared" si="32"/>
        <v>353.81493641349175</v>
      </c>
      <c r="U123" s="2">
        <f t="shared" si="32"/>
        <v>361.24505007817504</v>
      </c>
      <c r="V123" s="2">
        <f t="shared" si="32"/>
        <v>368.8311961298167</v>
      </c>
      <c r="W123" s="2">
        <f t="shared" si="32"/>
        <v>376.57665124854282</v>
      </c>
      <c r="X123" s="2">
        <f t="shared" si="32"/>
        <v>384.48476092476216</v>
      </c>
      <c r="Y123" s="2">
        <f t="shared" si="32"/>
        <v>392.55894090418212</v>
      </c>
      <c r="Z123" s="2">
        <f t="shared" si="32"/>
        <v>400.8026786631699</v>
      </c>
      <c r="AA123" s="2">
        <f t="shared" si="32"/>
        <v>409.2195349150964</v>
      </c>
    </row>
    <row r="124" spans="1:27" x14ac:dyDescent="0.25">
      <c r="C124" s="1"/>
      <c r="D124" s="1"/>
      <c r="E124" t="s">
        <v>67</v>
      </c>
      <c r="F124" t="s">
        <v>143</v>
      </c>
      <c r="G124" s="20">
        <f>'YVW tariffs'!D11</f>
        <v>2.9171</v>
      </c>
      <c r="H124" s="21">
        <f>G124*(1+$G$14)*(1+H122)</f>
        <v>2.8520766741599997</v>
      </c>
      <c r="I124" s="21">
        <f t="shared" ref="I124:AA124" si="33">H124*(1+$G$14)*(1+I122)</f>
        <v>2.8321822985270639</v>
      </c>
      <c r="J124" s="21">
        <f t="shared" si="33"/>
        <v>2.8916581267961319</v>
      </c>
      <c r="K124" s="21">
        <f t="shared" si="33"/>
        <v>2.9523829474588505</v>
      </c>
      <c r="L124" s="21">
        <f t="shared" si="33"/>
        <v>3.0143829893554863</v>
      </c>
      <c r="M124" s="21">
        <f t="shared" si="33"/>
        <v>3.0776850321319511</v>
      </c>
      <c r="N124" s="21">
        <f t="shared" si="33"/>
        <v>3.1423164178067218</v>
      </c>
      <c r="O124" s="21">
        <f t="shared" si="33"/>
        <v>3.2083050625806626</v>
      </c>
      <c r="P124" s="21">
        <f t="shared" si="33"/>
        <v>3.2756794688948561</v>
      </c>
      <c r="Q124" s="21">
        <f t="shared" si="33"/>
        <v>3.3444687377416478</v>
      </c>
      <c r="R124" s="21">
        <f t="shared" si="33"/>
        <v>3.4147025812342222</v>
      </c>
      <c r="S124" s="21">
        <f t="shared" si="33"/>
        <v>3.4864113354401405</v>
      </c>
      <c r="T124" s="21">
        <f t="shared" si="33"/>
        <v>3.5596259734843829</v>
      </c>
      <c r="U124" s="21">
        <f t="shared" si="33"/>
        <v>3.6343781189275548</v>
      </c>
      <c r="V124" s="21">
        <f t="shared" si="33"/>
        <v>3.710700059425033</v>
      </c>
      <c r="W124" s="21">
        <f t="shared" si="33"/>
        <v>3.7886247606729584</v>
      </c>
      <c r="X124" s="21">
        <f t="shared" si="33"/>
        <v>3.8681858806470903</v>
      </c>
      <c r="Y124" s="21">
        <f t="shared" si="33"/>
        <v>3.949417784140679</v>
      </c>
      <c r="Z124" s="21">
        <f t="shared" si="33"/>
        <v>4.0323555576076329</v>
      </c>
      <c r="AA124" s="21">
        <f t="shared" si="33"/>
        <v>4.117035024317393</v>
      </c>
    </row>
    <row r="125" spans="1:27" x14ac:dyDescent="0.25">
      <c r="C125" s="1"/>
      <c r="D125" s="1"/>
      <c r="E125" t="s">
        <v>68</v>
      </c>
      <c r="F125" t="s">
        <v>143</v>
      </c>
      <c r="G125" s="20"/>
      <c r="H125" s="21">
        <f>G125*(1+$G$14)*(1+H122)</f>
        <v>0</v>
      </c>
      <c r="I125" s="21">
        <f t="shared" ref="I125:AA125" si="34">H125*(1+$G$14)*(1+I122)</f>
        <v>0</v>
      </c>
      <c r="J125" s="21">
        <f t="shared" si="34"/>
        <v>0</v>
      </c>
      <c r="K125" s="21">
        <f t="shared" si="34"/>
        <v>0</v>
      </c>
      <c r="L125" s="21">
        <f t="shared" si="34"/>
        <v>0</v>
      </c>
      <c r="M125" s="21">
        <f t="shared" si="34"/>
        <v>0</v>
      </c>
      <c r="N125" s="21">
        <f t="shared" si="34"/>
        <v>0</v>
      </c>
      <c r="O125" s="21">
        <f t="shared" si="34"/>
        <v>0</v>
      </c>
      <c r="P125" s="21">
        <f t="shared" si="34"/>
        <v>0</v>
      </c>
      <c r="Q125" s="21">
        <f t="shared" si="34"/>
        <v>0</v>
      </c>
      <c r="R125" s="21">
        <f t="shared" si="34"/>
        <v>0</v>
      </c>
      <c r="S125" s="21">
        <f t="shared" si="34"/>
        <v>0</v>
      </c>
      <c r="T125" s="21">
        <f t="shared" si="34"/>
        <v>0</v>
      </c>
      <c r="U125" s="21">
        <f t="shared" si="34"/>
        <v>0</v>
      </c>
      <c r="V125" s="21">
        <f t="shared" si="34"/>
        <v>0</v>
      </c>
      <c r="W125" s="21">
        <f t="shared" si="34"/>
        <v>0</v>
      </c>
      <c r="X125" s="21">
        <f t="shared" si="34"/>
        <v>0</v>
      </c>
      <c r="Y125" s="21">
        <f t="shared" si="34"/>
        <v>0</v>
      </c>
      <c r="Z125" s="21">
        <f t="shared" si="34"/>
        <v>0</v>
      </c>
      <c r="AA125" s="21">
        <f t="shared" si="34"/>
        <v>0</v>
      </c>
    </row>
    <row r="126" spans="1:27" x14ac:dyDescent="0.25">
      <c r="C126" s="1"/>
      <c r="D126" s="1"/>
      <c r="E126" t="s">
        <v>142</v>
      </c>
      <c r="F126" t="s">
        <v>143</v>
      </c>
      <c r="G126" s="20"/>
      <c r="H126" s="21">
        <f>G126*(1+$G$14)*(1+H122)</f>
        <v>0</v>
      </c>
      <c r="I126" s="21">
        <f t="shared" ref="I126:AA126" si="35">H126*(1+$G$14)*(1+I122)</f>
        <v>0</v>
      </c>
      <c r="J126" s="21">
        <f t="shared" si="35"/>
        <v>0</v>
      </c>
      <c r="K126" s="21">
        <f t="shared" si="35"/>
        <v>0</v>
      </c>
      <c r="L126" s="21">
        <f t="shared" si="35"/>
        <v>0</v>
      </c>
      <c r="M126" s="21">
        <f t="shared" si="35"/>
        <v>0</v>
      </c>
      <c r="N126" s="21">
        <f t="shared" si="35"/>
        <v>0</v>
      </c>
      <c r="O126" s="21">
        <f t="shared" si="35"/>
        <v>0</v>
      </c>
      <c r="P126" s="21">
        <f t="shared" si="35"/>
        <v>0</v>
      </c>
      <c r="Q126" s="21">
        <f t="shared" si="35"/>
        <v>0</v>
      </c>
      <c r="R126" s="21">
        <f t="shared" si="35"/>
        <v>0</v>
      </c>
      <c r="S126" s="21">
        <f t="shared" si="35"/>
        <v>0</v>
      </c>
      <c r="T126" s="21">
        <f t="shared" si="35"/>
        <v>0</v>
      </c>
      <c r="U126" s="21">
        <f t="shared" si="35"/>
        <v>0</v>
      </c>
      <c r="V126" s="21">
        <f t="shared" si="35"/>
        <v>0</v>
      </c>
      <c r="W126" s="21">
        <f t="shared" si="35"/>
        <v>0</v>
      </c>
      <c r="X126" s="21">
        <f t="shared" si="35"/>
        <v>0</v>
      </c>
      <c r="Y126" s="21">
        <f t="shared" si="35"/>
        <v>0</v>
      </c>
      <c r="Z126" s="21">
        <f t="shared" si="35"/>
        <v>0</v>
      </c>
      <c r="AA126" s="21">
        <f t="shared" si="35"/>
        <v>0</v>
      </c>
    </row>
    <row r="127" spans="1:27" x14ac:dyDescent="0.25">
      <c r="C127" s="1"/>
      <c r="D127" s="1"/>
    </row>
    <row r="128" spans="1:27" x14ac:dyDescent="0.25">
      <c r="C128" s="1"/>
      <c r="D128" s="1"/>
      <c r="E128" t="s">
        <v>72</v>
      </c>
      <c r="F128" t="s">
        <v>58</v>
      </c>
      <c r="H128" s="2">
        <f>SUM(H119:H121)/1000</f>
        <v>95.68</v>
      </c>
      <c r="I128" s="2">
        <f t="shared" ref="I128:AA128" si="36">SUM(I119:I121)/1000</f>
        <v>191.36</v>
      </c>
      <c r="J128" s="2">
        <f t="shared" si="36"/>
        <v>289.12</v>
      </c>
      <c r="K128" s="2">
        <f t="shared" si="36"/>
        <v>382.72</v>
      </c>
      <c r="L128" s="2">
        <f t="shared" si="36"/>
        <v>473.2</v>
      </c>
      <c r="M128" s="2">
        <f t="shared" si="36"/>
        <v>559.52</v>
      </c>
      <c r="N128" s="2">
        <f t="shared" si="36"/>
        <v>642.72</v>
      </c>
      <c r="O128" s="2">
        <f t="shared" si="36"/>
        <v>722.8</v>
      </c>
      <c r="P128" s="2">
        <f t="shared" si="36"/>
        <v>807.04</v>
      </c>
      <c r="Q128" s="2">
        <f t="shared" si="36"/>
        <v>896.48</v>
      </c>
      <c r="R128" s="2">
        <f t="shared" si="36"/>
        <v>991.12</v>
      </c>
      <c r="S128" s="2">
        <f t="shared" si="36"/>
        <v>1092</v>
      </c>
      <c r="T128" s="2">
        <f t="shared" si="36"/>
        <v>1198.08</v>
      </c>
      <c r="U128" s="2">
        <f t="shared" si="36"/>
        <v>1303.1199999999999</v>
      </c>
      <c r="V128" s="2">
        <f t="shared" si="36"/>
        <v>1408.16</v>
      </c>
      <c r="W128" s="2">
        <f t="shared" si="36"/>
        <v>1408.16</v>
      </c>
      <c r="X128" s="2">
        <f t="shared" si="36"/>
        <v>1408.16</v>
      </c>
      <c r="Y128" s="2">
        <f t="shared" si="36"/>
        <v>1408.16</v>
      </c>
      <c r="Z128" s="2">
        <f t="shared" si="36"/>
        <v>1408.16</v>
      </c>
      <c r="AA128" s="2">
        <f t="shared" si="36"/>
        <v>1408.16</v>
      </c>
    </row>
    <row r="129" spans="1:27" x14ac:dyDescent="0.25">
      <c r="C129" s="1"/>
      <c r="D129" s="1"/>
      <c r="E129" t="s">
        <v>73</v>
      </c>
      <c r="F129" t="s">
        <v>7</v>
      </c>
      <c r="H129" s="2">
        <f>H112*H123+H119*H124+H120*H125+H121*H126</f>
        <v>325048.28551130876</v>
      </c>
      <c r="I129" s="2">
        <f t="shared" ref="I129:AA129" si="37">I112*I123+I119*I124+I120*I125+I121*I126</f>
        <v>645561.88740110642</v>
      </c>
      <c r="J129" s="2">
        <f t="shared" si="37"/>
        <v>995842.36410953908</v>
      </c>
      <c r="K129" s="2">
        <f t="shared" si="37"/>
        <v>1345920.3589285931</v>
      </c>
      <c r="L129" s="2">
        <f t="shared" si="37"/>
        <v>1699059.8704947624</v>
      </c>
      <c r="M129" s="2">
        <f t="shared" si="37"/>
        <v>2051187.2280066633</v>
      </c>
      <c r="N129" s="2">
        <f t="shared" si="37"/>
        <v>2405676.6073479336</v>
      </c>
      <c r="O129" s="2">
        <f t="shared" si="37"/>
        <v>2762226.6863932959</v>
      </c>
      <c r="P129" s="2">
        <f t="shared" si="37"/>
        <v>3148922.5247808089</v>
      </c>
      <c r="Q129" s="2">
        <f t="shared" si="37"/>
        <v>3571356.9741039169</v>
      </c>
      <c r="R129" s="2">
        <f t="shared" si="37"/>
        <v>4031295.5492387172</v>
      </c>
      <c r="S129" s="2">
        <f t="shared" si="37"/>
        <v>4534890.2345869532</v>
      </c>
      <c r="T129" s="2">
        <f t="shared" si="37"/>
        <v>5079906.2998088542</v>
      </c>
      <c r="U129" s="2">
        <f t="shared" si="37"/>
        <v>5641310.9098327821</v>
      </c>
      <c r="V129" s="2">
        <f t="shared" si="37"/>
        <v>6224054.2747994978</v>
      </c>
      <c r="W129" s="2">
        <f t="shared" si="37"/>
        <v>6354759.4145702869</v>
      </c>
      <c r="X129" s="2">
        <f t="shared" si="37"/>
        <v>6488209.3622762626</v>
      </c>
      <c r="Y129" s="2">
        <f t="shared" si="37"/>
        <v>6624461.758884063</v>
      </c>
      <c r="Z129" s="2">
        <f t="shared" si="37"/>
        <v>6763575.4558206294</v>
      </c>
      <c r="AA129" s="2">
        <f t="shared" si="37"/>
        <v>6905610.5403928608</v>
      </c>
    </row>
    <row r="130" spans="1:27" x14ac:dyDescent="0.25">
      <c r="C130" s="1"/>
      <c r="D130" s="1"/>
    </row>
    <row r="131" spans="1:27" x14ac:dyDescent="0.25">
      <c r="C131" s="1"/>
      <c r="D131" t="s">
        <v>74</v>
      </c>
    </row>
    <row r="132" spans="1:27" x14ac:dyDescent="0.25">
      <c r="A132" s="14">
        <f>'Notes &amp; Assumptions'!A38</f>
        <v>25</v>
      </c>
      <c r="C132" s="1"/>
      <c r="D132" s="1"/>
      <c r="E132" t="s">
        <v>87</v>
      </c>
      <c r="F132" t="s">
        <v>3</v>
      </c>
      <c r="H132" s="10">
        <v>0</v>
      </c>
      <c r="I132" s="10">
        <v>0</v>
      </c>
      <c r="J132" s="10">
        <v>0</v>
      </c>
      <c r="K132" s="10">
        <v>0</v>
      </c>
      <c r="L132" s="10">
        <v>0</v>
      </c>
      <c r="M132" s="10">
        <v>0</v>
      </c>
      <c r="N132" s="10">
        <v>0</v>
      </c>
      <c r="O132" s="10">
        <v>0</v>
      </c>
      <c r="P132" s="10">
        <v>0</v>
      </c>
      <c r="Q132" s="10">
        <v>0</v>
      </c>
      <c r="R132" s="10">
        <f>AVERAGE($O132:$Q132)</f>
        <v>0</v>
      </c>
      <c r="S132" s="10">
        <f t="shared" ref="S132:V132" si="38">AVERAGE($O132:$Q132)</f>
        <v>0</v>
      </c>
      <c r="T132" s="10">
        <f t="shared" si="38"/>
        <v>0</v>
      </c>
      <c r="U132" s="10">
        <f t="shared" si="38"/>
        <v>0</v>
      </c>
      <c r="V132" s="10">
        <f t="shared" si="38"/>
        <v>0</v>
      </c>
    </row>
    <row r="133" spans="1:27" x14ac:dyDescent="0.25">
      <c r="C133" s="1"/>
      <c r="D133" s="1"/>
      <c r="E133" t="s">
        <v>60</v>
      </c>
      <c r="F133" t="s">
        <v>3</v>
      </c>
      <c r="H133" s="2">
        <f>G133+H132</f>
        <v>0</v>
      </c>
      <c r="I133" s="2">
        <f t="shared" ref="I133:AA133" si="39">H133+I132</f>
        <v>0</v>
      </c>
      <c r="J133" s="2">
        <f t="shared" si="39"/>
        <v>0</v>
      </c>
      <c r="K133" s="2">
        <f t="shared" si="39"/>
        <v>0</v>
      </c>
      <c r="L133" s="2">
        <f t="shared" si="39"/>
        <v>0</v>
      </c>
      <c r="M133" s="2">
        <f t="shared" si="39"/>
        <v>0</v>
      </c>
      <c r="N133" s="2">
        <f t="shared" si="39"/>
        <v>0</v>
      </c>
      <c r="O133" s="2">
        <f t="shared" si="39"/>
        <v>0</v>
      </c>
      <c r="P133" s="2">
        <f t="shared" si="39"/>
        <v>0</v>
      </c>
      <c r="Q133" s="2">
        <f t="shared" si="39"/>
        <v>0</v>
      </c>
      <c r="R133" s="2">
        <f t="shared" si="39"/>
        <v>0</v>
      </c>
      <c r="S133" s="2">
        <f t="shared" si="39"/>
        <v>0</v>
      </c>
      <c r="T133" s="2">
        <f t="shared" si="39"/>
        <v>0</v>
      </c>
      <c r="U133" s="2">
        <f t="shared" si="39"/>
        <v>0</v>
      </c>
      <c r="V133" s="2">
        <f t="shared" si="39"/>
        <v>0</v>
      </c>
      <c r="W133" s="2">
        <f t="shared" si="39"/>
        <v>0</v>
      </c>
      <c r="X133" s="2">
        <f t="shared" si="39"/>
        <v>0</v>
      </c>
      <c r="Y133" s="2">
        <f t="shared" si="39"/>
        <v>0</v>
      </c>
      <c r="Z133" s="2">
        <f t="shared" si="39"/>
        <v>0</v>
      </c>
      <c r="AA133" s="2">
        <f t="shared" si="39"/>
        <v>0</v>
      </c>
    </row>
    <row r="134" spans="1:27" x14ac:dyDescent="0.25">
      <c r="A134" s="14">
        <f>'Notes &amp; Assumptions'!A39</f>
        <v>26</v>
      </c>
      <c r="C134" s="1"/>
      <c r="D134" s="1"/>
      <c r="E134" t="s">
        <v>61</v>
      </c>
      <c r="F134" t="s">
        <v>3</v>
      </c>
      <c r="G134" s="10">
        <v>1</v>
      </c>
    </row>
    <row r="135" spans="1:27" x14ac:dyDescent="0.25">
      <c r="C135" s="1"/>
      <c r="D135" s="1"/>
      <c r="E135" t="s">
        <v>88</v>
      </c>
      <c r="F135" t="s">
        <v>3</v>
      </c>
      <c r="H135">
        <f>H132*$G134</f>
        <v>0</v>
      </c>
      <c r="I135">
        <f t="shared" ref="I135:AA135" si="40">I132*$G134</f>
        <v>0</v>
      </c>
      <c r="J135">
        <f t="shared" si="40"/>
        <v>0</v>
      </c>
      <c r="K135">
        <f t="shared" si="40"/>
        <v>0</v>
      </c>
      <c r="L135">
        <f t="shared" si="40"/>
        <v>0</v>
      </c>
      <c r="M135">
        <f t="shared" si="40"/>
        <v>0</v>
      </c>
      <c r="N135">
        <f t="shared" si="40"/>
        <v>0</v>
      </c>
      <c r="O135">
        <f t="shared" si="40"/>
        <v>0</v>
      </c>
      <c r="P135">
        <f t="shared" si="40"/>
        <v>0</v>
      </c>
      <c r="Q135">
        <f t="shared" si="40"/>
        <v>0</v>
      </c>
      <c r="R135">
        <f t="shared" si="40"/>
        <v>0</v>
      </c>
      <c r="S135">
        <f t="shared" si="40"/>
        <v>0</v>
      </c>
      <c r="T135">
        <f t="shared" si="40"/>
        <v>0</v>
      </c>
      <c r="U135">
        <f t="shared" si="40"/>
        <v>0</v>
      </c>
      <c r="V135">
        <f t="shared" si="40"/>
        <v>0</v>
      </c>
      <c r="W135">
        <f t="shared" si="40"/>
        <v>0</v>
      </c>
      <c r="X135">
        <f t="shared" si="40"/>
        <v>0</v>
      </c>
      <c r="Y135">
        <f t="shared" si="40"/>
        <v>0</v>
      </c>
      <c r="Z135">
        <f t="shared" si="40"/>
        <v>0</v>
      </c>
      <c r="AA135">
        <f t="shared" si="40"/>
        <v>0</v>
      </c>
    </row>
    <row r="136" spans="1:27" x14ac:dyDescent="0.25">
      <c r="C136" s="1"/>
      <c r="D136" s="1"/>
      <c r="E136" t="s">
        <v>89</v>
      </c>
      <c r="F136" t="s">
        <v>3</v>
      </c>
      <c r="H136">
        <f>H133*$G134</f>
        <v>0</v>
      </c>
      <c r="I136">
        <f t="shared" ref="I136:AA136" si="41">I133*$G134</f>
        <v>0</v>
      </c>
      <c r="J136">
        <f t="shared" si="41"/>
        <v>0</v>
      </c>
      <c r="K136">
        <f t="shared" si="41"/>
        <v>0</v>
      </c>
      <c r="L136">
        <f t="shared" si="41"/>
        <v>0</v>
      </c>
      <c r="M136">
        <f t="shared" si="41"/>
        <v>0</v>
      </c>
      <c r="N136">
        <f t="shared" si="41"/>
        <v>0</v>
      </c>
      <c r="O136">
        <f t="shared" si="41"/>
        <v>0</v>
      </c>
      <c r="P136">
        <f t="shared" si="41"/>
        <v>0</v>
      </c>
      <c r="Q136">
        <f t="shared" si="41"/>
        <v>0</v>
      </c>
      <c r="R136">
        <f t="shared" si="41"/>
        <v>0</v>
      </c>
      <c r="S136">
        <f t="shared" si="41"/>
        <v>0</v>
      </c>
      <c r="T136">
        <f t="shared" si="41"/>
        <v>0</v>
      </c>
      <c r="U136">
        <f t="shared" si="41"/>
        <v>0</v>
      </c>
      <c r="V136">
        <f t="shared" si="41"/>
        <v>0</v>
      </c>
      <c r="W136">
        <f t="shared" si="41"/>
        <v>0</v>
      </c>
      <c r="X136">
        <f t="shared" si="41"/>
        <v>0</v>
      </c>
      <c r="Y136">
        <f t="shared" si="41"/>
        <v>0</v>
      </c>
      <c r="Z136">
        <f t="shared" si="41"/>
        <v>0</v>
      </c>
      <c r="AA136">
        <f t="shared" si="41"/>
        <v>0</v>
      </c>
    </row>
    <row r="137" spans="1:27" x14ac:dyDescent="0.25">
      <c r="A137" s="14">
        <f>'Notes &amp; Assumptions'!A40</f>
        <v>27</v>
      </c>
      <c r="C137" s="1"/>
      <c r="D137" s="1"/>
      <c r="E137" t="s">
        <v>62</v>
      </c>
      <c r="F137" t="s">
        <v>43</v>
      </c>
      <c r="H137" s="10"/>
      <c r="I137" s="10"/>
      <c r="J137" s="10"/>
      <c r="K137" s="10"/>
      <c r="L137" s="10"/>
      <c r="M137" s="10"/>
      <c r="N137" s="10"/>
      <c r="O137" s="10"/>
      <c r="P137" s="10"/>
      <c r="Q137" s="10"/>
      <c r="R137" s="10"/>
      <c r="S137" s="10"/>
      <c r="T137" s="10"/>
      <c r="U137" s="10"/>
      <c r="V137" s="10"/>
      <c r="W137" s="10"/>
      <c r="X137" s="10"/>
      <c r="Y137" s="10"/>
      <c r="Z137" s="10"/>
      <c r="AA137" s="10"/>
    </row>
    <row r="138" spans="1:27" x14ac:dyDescent="0.25">
      <c r="C138" s="1"/>
      <c r="D138" s="1"/>
      <c r="E138" t="s">
        <v>63</v>
      </c>
      <c r="F138" t="s">
        <v>43</v>
      </c>
      <c r="H138" s="10"/>
      <c r="I138" s="10"/>
      <c r="J138" s="10"/>
      <c r="K138" s="10"/>
      <c r="L138" s="10"/>
      <c r="M138" s="10"/>
      <c r="N138" s="10"/>
      <c r="O138" s="10"/>
      <c r="P138" s="10"/>
      <c r="Q138" s="10"/>
      <c r="R138" s="10"/>
      <c r="S138" s="10"/>
      <c r="T138" s="10"/>
      <c r="U138" s="10"/>
      <c r="V138" s="10"/>
      <c r="W138" s="10"/>
      <c r="X138" s="10"/>
      <c r="Y138" s="10"/>
      <c r="Z138" s="10"/>
      <c r="AA138" s="10"/>
    </row>
    <row r="139" spans="1:27" x14ac:dyDescent="0.25">
      <c r="A139" s="14">
        <f>'Notes &amp; Assumptions'!A41</f>
        <v>28</v>
      </c>
      <c r="C139" s="1"/>
      <c r="D139" s="1"/>
      <c r="E139" t="s">
        <v>140</v>
      </c>
      <c r="F139" t="s">
        <v>43</v>
      </c>
      <c r="H139" s="10"/>
      <c r="I139" s="10"/>
      <c r="J139" s="10"/>
      <c r="K139" s="10"/>
      <c r="L139" s="10"/>
      <c r="M139" s="10"/>
      <c r="N139" s="10"/>
      <c r="O139" s="10"/>
      <c r="P139" s="10"/>
      <c r="Q139" s="10"/>
      <c r="R139" s="10"/>
      <c r="S139" s="10"/>
      <c r="T139" s="10"/>
      <c r="U139" s="10"/>
      <c r="V139" s="10"/>
      <c r="W139" s="10"/>
      <c r="X139" s="10"/>
      <c r="Y139" s="10"/>
      <c r="Z139" s="10"/>
      <c r="AA139" s="10"/>
    </row>
    <row r="140" spans="1:27" x14ac:dyDescent="0.25">
      <c r="C140" s="1"/>
      <c r="D140" s="1"/>
      <c r="E140" t="s">
        <v>64</v>
      </c>
      <c r="F140" t="s">
        <v>144</v>
      </c>
      <c r="H140" s="2">
        <f>H133*H137</f>
        <v>0</v>
      </c>
      <c r="I140" s="2">
        <f t="shared" ref="I140:AA140" si="42">I133*I137</f>
        <v>0</v>
      </c>
      <c r="J140" s="2">
        <f t="shared" si="42"/>
        <v>0</v>
      </c>
      <c r="K140" s="2">
        <f t="shared" si="42"/>
        <v>0</v>
      </c>
      <c r="L140" s="2">
        <f t="shared" si="42"/>
        <v>0</v>
      </c>
      <c r="M140" s="2">
        <f t="shared" si="42"/>
        <v>0</v>
      </c>
      <c r="N140" s="2">
        <f t="shared" si="42"/>
        <v>0</v>
      </c>
      <c r="O140" s="2">
        <f t="shared" si="42"/>
        <v>0</v>
      </c>
      <c r="P140" s="2">
        <f t="shared" si="42"/>
        <v>0</v>
      </c>
      <c r="Q140" s="2">
        <f t="shared" si="42"/>
        <v>0</v>
      </c>
      <c r="R140" s="2">
        <f t="shared" si="42"/>
        <v>0</v>
      </c>
      <c r="S140" s="2">
        <f t="shared" si="42"/>
        <v>0</v>
      </c>
      <c r="T140" s="2">
        <f t="shared" si="42"/>
        <v>0</v>
      </c>
      <c r="U140" s="2">
        <f t="shared" si="42"/>
        <v>0</v>
      </c>
      <c r="V140" s="2">
        <f t="shared" si="42"/>
        <v>0</v>
      </c>
      <c r="W140" s="2">
        <f t="shared" si="42"/>
        <v>0</v>
      </c>
      <c r="X140" s="2">
        <f t="shared" si="42"/>
        <v>0</v>
      </c>
      <c r="Y140" s="2">
        <f t="shared" si="42"/>
        <v>0</v>
      </c>
      <c r="Z140" s="2">
        <f t="shared" si="42"/>
        <v>0</v>
      </c>
      <c r="AA140" s="2">
        <f t="shared" si="42"/>
        <v>0</v>
      </c>
    </row>
    <row r="141" spans="1:27" x14ac:dyDescent="0.25">
      <c r="C141" s="1"/>
      <c r="D141" s="1"/>
      <c r="E141" t="s">
        <v>65</v>
      </c>
      <c r="F141" t="s">
        <v>144</v>
      </c>
      <c r="H141" s="2">
        <f>H133*H138</f>
        <v>0</v>
      </c>
      <c r="I141" s="2">
        <f t="shared" ref="I141:AA141" si="43">I133*I138</f>
        <v>0</v>
      </c>
      <c r="J141" s="2">
        <f t="shared" si="43"/>
        <v>0</v>
      </c>
      <c r="K141" s="2">
        <f t="shared" si="43"/>
        <v>0</v>
      </c>
      <c r="L141" s="2">
        <f t="shared" si="43"/>
        <v>0</v>
      </c>
      <c r="M141" s="2">
        <f t="shared" si="43"/>
        <v>0</v>
      </c>
      <c r="N141" s="2">
        <f t="shared" si="43"/>
        <v>0</v>
      </c>
      <c r="O141" s="2">
        <f t="shared" si="43"/>
        <v>0</v>
      </c>
      <c r="P141" s="2">
        <f t="shared" si="43"/>
        <v>0</v>
      </c>
      <c r="Q141" s="2">
        <f t="shared" si="43"/>
        <v>0</v>
      </c>
      <c r="R141" s="2">
        <f t="shared" si="43"/>
        <v>0</v>
      </c>
      <c r="S141" s="2">
        <f t="shared" si="43"/>
        <v>0</v>
      </c>
      <c r="T141" s="2">
        <f t="shared" si="43"/>
        <v>0</v>
      </c>
      <c r="U141" s="2">
        <f t="shared" si="43"/>
        <v>0</v>
      </c>
      <c r="V141" s="2">
        <f t="shared" si="43"/>
        <v>0</v>
      </c>
      <c r="W141" s="2">
        <f t="shared" si="43"/>
        <v>0</v>
      </c>
      <c r="X141" s="2">
        <f t="shared" si="43"/>
        <v>0</v>
      </c>
      <c r="Y141" s="2">
        <f t="shared" si="43"/>
        <v>0</v>
      </c>
      <c r="Z141" s="2">
        <f t="shared" si="43"/>
        <v>0</v>
      </c>
      <c r="AA141" s="2">
        <f t="shared" si="43"/>
        <v>0</v>
      </c>
    </row>
    <row r="142" spans="1:27" x14ac:dyDescent="0.25">
      <c r="C142" s="1"/>
      <c r="D142" s="1"/>
      <c r="E142" t="s">
        <v>141</v>
      </c>
      <c r="F142" t="s">
        <v>144</v>
      </c>
      <c r="H142" s="2">
        <f>H133*H139</f>
        <v>0</v>
      </c>
      <c r="I142" s="2">
        <f t="shared" ref="I142:AA142" si="44">I133*I139</f>
        <v>0</v>
      </c>
      <c r="J142" s="2">
        <f t="shared" si="44"/>
        <v>0</v>
      </c>
      <c r="K142" s="2">
        <f t="shared" si="44"/>
        <v>0</v>
      </c>
      <c r="L142" s="2">
        <f t="shared" si="44"/>
        <v>0</v>
      </c>
      <c r="M142" s="2">
        <f t="shared" si="44"/>
        <v>0</v>
      </c>
      <c r="N142" s="2">
        <f t="shared" si="44"/>
        <v>0</v>
      </c>
      <c r="O142" s="2">
        <f t="shared" si="44"/>
        <v>0</v>
      </c>
      <c r="P142" s="2">
        <f t="shared" si="44"/>
        <v>0</v>
      </c>
      <c r="Q142" s="2">
        <f t="shared" si="44"/>
        <v>0</v>
      </c>
      <c r="R142" s="2">
        <f t="shared" si="44"/>
        <v>0</v>
      </c>
      <c r="S142" s="2">
        <f t="shared" si="44"/>
        <v>0</v>
      </c>
      <c r="T142" s="2">
        <f t="shared" si="44"/>
        <v>0</v>
      </c>
      <c r="U142" s="2">
        <f t="shared" si="44"/>
        <v>0</v>
      </c>
      <c r="V142" s="2">
        <f t="shared" si="44"/>
        <v>0</v>
      </c>
      <c r="W142" s="2">
        <f t="shared" si="44"/>
        <v>0</v>
      </c>
      <c r="X142" s="2">
        <f t="shared" si="44"/>
        <v>0</v>
      </c>
      <c r="Y142" s="2">
        <f t="shared" si="44"/>
        <v>0</v>
      </c>
      <c r="Z142" s="2">
        <f t="shared" si="44"/>
        <v>0</v>
      </c>
      <c r="AA142" s="2">
        <f t="shared" si="44"/>
        <v>0</v>
      </c>
    </row>
    <row r="143" spans="1:27" x14ac:dyDescent="0.25">
      <c r="A143" s="14">
        <f>'Notes &amp; Assumptions'!A42</f>
        <v>29</v>
      </c>
      <c r="C143" s="1"/>
      <c r="D143" s="1"/>
      <c r="E143" t="s">
        <v>66</v>
      </c>
      <c r="F143" t="s">
        <v>8</v>
      </c>
      <c r="H143" s="11"/>
      <c r="I143" s="11"/>
      <c r="J143" s="11"/>
      <c r="K143" s="11"/>
      <c r="L143" s="11"/>
      <c r="M143" s="11"/>
      <c r="N143" s="11"/>
      <c r="O143" s="11"/>
      <c r="P143" s="11"/>
      <c r="Q143" s="11"/>
      <c r="R143" s="11"/>
      <c r="S143" s="11"/>
      <c r="T143" s="11"/>
      <c r="U143" s="11"/>
      <c r="V143" s="11"/>
      <c r="W143" s="11"/>
      <c r="X143" s="11"/>
      <c r="Y143" s="11"/>
      <c r="Z143" s="11"/>
      <c r="AA143" s="11"/>
    </row>
    <row r="144" spans="1:27" x14ac:dyDescent="0.25">
      <c r="A144" s="14">
        <f>'Notes &amp; Assumptions'!A43</f>
        <v>30</v>
      </c>
      <c r="C144" s="1"/>
      <c r="D144" s="1"/>
      <c r="E144" t="s">
        <v>40</v>
      </c>
      <c r="F144" t="s">
        <v>41</v>
      </c>
      <c r="G144" s="10"/>
      <c r="H144" s="2">
        <f>G144*(1+$G$14)*(1+H143)</f>
        <v>0</v>
      </c>
      <c r="I144" s="2">
        <f t="shared" ref="I144:AA144" si="45">H144*(1+$G$14)*(1+I143)</f>
        <v>0</v>
      </c>
      <c r="J144" s="2">
        <f t="shared" si="45"/>
        <v>0</v>
      </c>
      <c r="K144" s="2">
        <f t="shared" si="45"/>
        <v>0</v>
      </c>
      <c r="L144" s="2">
        <f t="shared" si="45"/>
        <v>0</v>
      </c>
      <c r="M144" s="2">
        <f t="shared" si="45"/>
        <v>0</v>
      </c>
      <c r="N144" s="2">
        <f t="shared" si="45"/>
        <v>0</v>
      </c>
      <c r="O144" s="2">
        <f t="shared" si="45"/>
        <v>0</v>
      </c>
      <c r="P144" s="2">
        <f t="shared" si="45"/>
        <v>0</v>
      </c>
      <c r="Q144" s="2">
        <f t="shared" si="45"/>
        <v>0</v>
      </c>
      <c r="R144" s="2">
        <f t="shared" si="45"/>
        <v>0</v>
      </c>
      <c r="S144" s="2">
        <f t="shared" si="45"/>
        <v>0</v>
      </c>
      <c r="T144" s="2">
        <f t="shared" si="45"/>
        <v>0</v>
      </c>
      <c r="U144" s="2">
        <f t="shared" si="45"/>
        <v>0</v>
      </c>
      <c r="V144" s="2">
        <f t="shared" si="45"/>
        <v>0</v>
      </c>
      <c r="W144" s="2">
        <f t="shared" si="45"/>
        <v>0</v>
      </c>
      <c r="X144" s="2">
        <f t="shared" si="45"/>
        <v>0</v>
      </c>
      <c r="Y144" s="2">
        <f t="shared" si="45"/>
        <v>0</v>
      </c>
      <c r="Z144" s="2">
        <f t="shared" si="45"/>
        <v>0</v>
      </c>
      <c r="AA144" s="2">
        <f t="shared" si="45"/>
        <v>0</v>
      </c>
    </row>
    <row r="145" spans="1:27" x14ac:dyDescent="0.25">
      <c r="C145" s="1"/>
      <c r="D145" s="1"/>
      <c r="E145" t="s">
        <v>67</v>
      </c>
      <c r="F145" t="s">
        <v>143</v>
      </c>
      <c r="G145" s="20"/>
      <c r="H145" s="21">
        <f>G145*(1+$G$14)*(1+H143)</f>
        <v>0</v>
      </c>
      <c r="I145" s="21">
        <f t="shared" ref="I145:AA145" si="46">H145*(1+$G$14)*(1+I143)</f>
        <v>0</v>
      </c>
      <c r="J145" s="21">
        <f t="shared" si="46"/>
        <v>0</v>
      </c>
      <c r="K145" s="21">
        <f t="shared" si="46"/>
        <v>0</v>
      </c>
      <c r="L145" s="21">
        <f t="shared" si="46"/>
        <v>0</v>
      </c>
      <c r="M145" s="21">
        <f t="shared" si="46"/>
        <v>0</v>
      </c>
      <c r="N145" s="21">
        <f t="shared" si="46"/>
        <v>0</v>
      </c>
      <c r="O145" s="21">
        <f t="shared" si="46"/>
        <v>0</v>
      </c>
      <c r="P145" s="21">
        <f t="shared" si="46"/>
        <v>0</v>
      </c>
      <c r="Q145" s="21">
        <f t="shared" si="46"/>
        <v>0</v>
      </c>
      <c r="R145" s="21">
        <f t="shared" si="46"/>
        <v>0</v>
      </c>
      <c r="S145" s="21">
        <f t="shared" si="46"/>
        <v>0</v>
      </c>
      <c r="T145" s="21">
        <f t="shared" si="46"/>
        <v>0</v>
      </c>
      <c r="U145" s="21">
        <f t="shared" si="46"/>
        <v>0</v>
      </c>
      <c r="V145" s="21">
        <f t="shared" si="46"/>
        <v>0</v>
      </c>
      <c r="W145" s="21">
        <f t="shared" si="46"/>
        <v>0</v>
      </c>
      <c r="X145" s="21">
        <f t="shared" si="46"/>
        <v>0</v>
      </c>
      <c r="Y145" s="21">
        <f t="shared" si="46"/>
        <v>0</v>
      </c>
      <c r="Z145" s="21">
        <f t="shared" si="46"/>
        <v>0</v>
      </c>
      <c r="AA145" s="21">
        <f t="shared" si="46"/>
        <v>0</v>
      </c>
    </row>
    <row r="146" spans="1:27" x14ac:dyDescent="0.25">
      <c r="C146" s="1"/>
      <c r="D146" s="1"/>
      <c r="E146" t="s">
        <v>68</v>
      </c>
      <c r="F146" t="s">
        <v>143</v>
      </c>
      <c r="G146" s="20"/>
      <c r="H146" s="21">
        <f>G146*(1+$G$14)*(1+H143)</f>
        <v>0</v>
      </c>
      <c r="I146" s="21">
        <f t="shared" ref="I146:AA146" si="47">H146*(1+$G$14)*(1+I143)</f>
        <v>0</v>
      </c>
      <c r="J146" s="21">
        <f t="shared" si="47"/>
        <v>0</v>
      </c>
      <c r="K146" s="21">
        <f t="shared" si="47"/>
        <v>0</v>
      </c>
      <c r="L146" s="21">
        <f t="shared" si="47"/>
        <v>0</v>
      </c>
      <c r="M146" s="21">
        <f t="shared" si="47"/>
        <v>0</v>
      </c>
      <c r="N146" s="21">
        <f t="shared" si="47"/>
        <v>0</v>
      </c>
      <c r="O146" s="21">
        <f t="shared" si="47"/>
        <v>0</v>
      </c>
      <c r="P146" s="21">
        <f t="shared" si="47"/>
        <v>0</v>
      </c>
      <c r="Q146" s="21">
        <f t="shared" si="47"/>
        <v>0</v>
      </c>
      <c r="R146" s="21">
        <f t="shared" si="47"/>
        <v>0</v>
      </c>
      <c r="S146" s="21">
        <f t="shared" si="47"/>
        <v>0</v>
      </c>
      <c r="T146" s="21">
        <f t="shared" si="47"/>
        <v>0</v>
      </c>
      <c r="U146" s="21">
        <f t="shared" si="47"/>
        <v>0</v>
      </c>
      <c r="V146" s="21">
        <f t="shared" si="47"/>
        <v>0</v>
      </c>
      <c r="W146" s="21">
        <f t="shared" si="47"/>
        <v>0</v>
      </c>
      <c r="X146" s="21">
        <f t="shared" si="47"/>
        <v>0</v>
      </c>
      <c r="Y146" s="21">
        <f t="shared" si="47"/>
        <v>0</v>
      </c>
      <c r="Z146" s="21">
        <f t="shared" si="47"/>
        <v>0</v>
      </c>
      <c r="AA146" s="21">
        <f t="shared" si="47"/>
        <v>0</v>
      </c>
    </row>
    <row r="147" spans="1:27" x14ac:dyDescent="0.25">
      <c r="C147" s="1"/>
      <c r="D147" s="1"/>
      <c r="E147" t="s">
        <v>142</v>
      </c>
      <c r="F147" t="s">
        <v>143</v>
      </c>
      <c r="G147" s="20"/>
      <c r="H147" s="21">
        <f>G147*(1+$G$14)*(1+H143)</f>
        <v>0</v>
      </c>
      <c r="I147" s="21">
        <f t="shared" ref="I147:AA147" si="48">H147*(1+$G$14)*(1+I143)</f>
        <v>0</v>
      </c>
      <c r="J147" s="21">
        <f t="shared" si="48"/>
        <v>0</v>
      </c>
      <c r="K147" s="21">
        <f t="shared" si="48"/>
        <v>0</v>
      </c>
      <c r="L147" s="21">
        <f t="shared" si="48"/>
        <v>0</v>
      </c>
      <c r="M147" s="21">
        <f t="shared" si="48"/>
        <v>0</v>
      </c>
      <c r="N147" s="21">
        <f t="shared" si="48"/>
        <v>0</v>
      </c>
      <c r="O147" s="21">
        <f t="shared" si="48"/>
        <v>0</v>
      </c>
      <c r="P147" s="21">
        <f t="shared" si="48"/>
        <v>0</v>
      </c>
      <c r="Q147" s="21">
        <f t="shared" si="48"/>
        <v>0</v>
      </c>
      <c r="R147" s="21">
        <f t="shared" si="48"/>
        <v>0</v>
      </c>
      <c r="S147" s="21">
        <f t="shared" si="48"/>
        <v>0</v>
      </c>
      <c r="T147" s="21">
        <f t="shared" si="48"/>
        <v>0</v>
      </c>
      <c r="U147" s="21">
        <f t="shared" si="48"/>
        <v>0</v>
      </c>
      <c r="V147" s="21">
        <f t="shared" si="48"/>
        <v>0</v>
      </c>
      <c r="W147" s="21">
        <f t="shared" si="48"/>
        <v>0</v>
      </c>
      <c r="X147" s="21">
        <f t="shared" si="48"/>
        <v>0</v>
      </c>
      <c r="Y147" s="21">
        <f t="shared" si="48"/>
        <v>0</v>
      </c>
      <c r="Z147" s="21">
        <f t="shared" si="48"/>
        <v>0</v>
      </c>
      <c r="AA147" s="21">
        <f t="shared" si="48"/>
        <v>0</v>
      </c>
    </row>
    <row r="148" spans="1:27" x14ac:dyDescent="0.25">
      <c r="C148" s="1"/>
      <c r="D148" s="1"/>
    </row>
    <row r="149" spans="1:27" x14ac:dyDescent="0.25">
      <c r="C149" s="1"/>
      <c r="D149" s="1"/>
      <c r="E149" t="s">
        <v>75</v>
      </c>
      <c r="F149" t="s">
        <v>58</v>
      </c>
      <c r="H149" s="2">
        <f>SUM(H140:H142)/1000</f>
        <v>0</v>
      </c>
      <c r="I149" s="2">
        <f t="shared" ref="I149:AA149" si="49">SUM(I140:I142)/1000</f>
        <v>0</v>
      </c>
      <c r="J149" s="2">
        <f t="shared" si="49"/>
        <v>0</v>
      </c>
      <c r="K149" s="2">
        <f t="shared" si="49"/>
        <v>0</v>
      </c>
      <c r="L149" s="2">
        <f t="shared" si="49"/>
        <v>0</v>
      </c>
      <c r="M149" s="2">
        <f t="shared" si="49"/>
        <v>0</v>
      </c>
      <c r="N149" s="2">
        <f t="shared" si="49"/>
        <v>0</v>
      </c>
      <c r="O149" s="2">
        <f t="shared" si="49"/>
        <v>0</v>
      </c>
      <c r="P149" s="2">
        <f t="shared" si="49"/>
        <v>0</v>
      </c>
      <c r="Q149" s="2">
        <f t="shared" si="49"/>
        <v>0</v>
      </c>
      <c r="R149" s="2">
        <f t="shared" si="49"/>
        <v>0</v>
      </c>
      <c r="S149" s="2">
        <f t="shared" si="49"/>
        <v>0</v>
      </c>
      <c r="T149" s="2">
        <f t="shared" si="49"/>
        <v>0</v>
      </c>
      <c r="U149" s="2">
        <f t="shared" si="49"/>
        <v>0</v>
      </c>
      <c r="V149" s="2">
        <f t="shared" si="49"/>
        <v>0</v>
      </c>
      <c r="W149" s="2">
        <f t="shared" si="49"/>
        <v>0</v>
      </c>
      <c r="X149" s="2">
        <f t="shared" si="49"/>
        <v>0</v>
      </c>
      <c r="Y149" s="2">
        <f t="shared" si="49"/>
        <v>0</v>
      </c>
      <c r="Z149" s="2">
        <f t="shared" si="49"/>
        <v>0</v>
      </c>
      <c r="AA149" s="2">
        <f t="shared" si="49"/>
        <v>0</v>
      </c>
    </row>
    <row r="150" spans="1:27" x14ac:dyDescent="0.25">
      <c r="C150" s="1"/>
      <c r="D150" s="1"/>
      <c r="E150" t="s">
        <v>76</v>
      </c>
      <c r="F150" t="s">
        <v>7</v>
      </c>
      <c r="H150" s="2">
        <f>H133*H144+H140*H145+H141*H146+H142*H147</f>
        <v>0</v>
      </c>
      <c r="I150" s="2">
        <f t="shared" ref="I150:AA150" si="50">I133*I144+I140*I145+I141*I146+I142*I147</f>
        <v>0</v>
      </c>
      <c r="J150" s="2">
        <f t="shared" si="50"/>
        <v>0</v>
      </c>
      <c r="K150" s="2">
        <f t="shared" si="50"/>
        <v>0</v>
      </c>
      <c r="L150" s="2">
        <f t="shared" si="50"/>
        <v>0</v>
      </c>
      <c r="M150" s="2">
        <f t="shared" si="50"/>
        <v>0</v>
      </c>
      <c r="N150" s="2">
        <f t="shared" si="50"/>
        <v>0</v>
      </c>
      <c r="O150" s="2">
        <f t="shared" si="50"/>
        <v>0</v>
      </c>
      <c r="P150" s="2">
        <f t="shared" si="50"/>
        <v>0</v>
      </c>
      <c r="Q150" s="2">
        <f t="shared" si="50"/>
        <v>0</v>
      </c>
      <c r="R150" s="2">
        <f t="shared" si="50"/>
        <v>0</v>
      </c>
      <c r="S150" s="2">
        <f t="shared" si="50"/>
        <v>0</v>
      </c>
      <c r="T150" s="2">
        <f t="shared" si="50"/>
        <v>0</v>
      </c>
      <c r="U150" s="2">
        <f t="shared" si="50"/>
        <v>0</v>
      </c>
      <c r="V150" s="2">
        <f t="shared" si="50"/>
        <v>0</v>
      </c>
      <c r="W150" s="2">
        <f t="shared" si="50"/>
        <v>0</v>
      </c>
      <c r="X150" s="2">
        <f t="shared" si="50"/>
        <v>0</v>
      </c>
      <c r="Y150" s="2">
        <f t="shared" si="50"/>
        <v>0</v>
      </c>
      <c r="Z150" s="2">
        <f t="shared" si="50"/>
        <v>0</v>
      </c>
      <c r="AA150" s="2">
        <f t="shared" si="50"/>
        <v>0</v>
      </c>
    </row>
    <row r="151" spans="1:27" x14ac:dyDescent="0.25">
      <c r="C151" s="1"/>
      <c r="D151" s="1"/>
    </row>
    <row r="152" spans="1:27" x14ac:dyDescent="0.25">
      <c r="C152" s="1"/>
      <c r="D152" t="s">
        <v>77</v>
      </c>
    </row>
    <row r="153" spans="1:27" x14ac:dyDescent="0.25">
      <c r="A153" s="14">
        <f>'Notes &amp; Assumptions'!A44</f>
        <v>31</v>
      </c>
      <c r="C153" s="1"/>
      <c r="D153" s="1"/>
      <c r="E153" t="s">
        <v>87</v>
      </c>
      <c r="F153" t="s">
        <v>3</v>
      </c>
      <c r="H153" s="10">
        <v>0</v>
      </c>
      <c r="I153" s="10">
        <v>0</v>
      </c>
      <c r="J153" s="10">
        <v>0</v>
      </c>
      <c r="K153" s="10">
        <v>0</v>
      </c>
      <c r="L153" s="10">
        <v>0</v>
      </c>
      <c r="M153" s="10">
        <v>0</v>
      </c>
      <c r="N153" s="10">
        <v>0</v>
      </c>
      <c r="O153" s="10">
        <v>0</v>
      </c>
      <c r="P153" s="10">
        <v>0</v>
      </c>
      <c r="Q153" s="10">
        <v>0</v>
      </c>
      <c r="R153" s="10">
        <f>AVERAGE($O153:$Q153)</f>
        <v>0</v>
      </c>
      <c r="S153" s="10">
        <f t="shared" ref="S153:V153" si="51">AVERAGE($O153:$Q153)</f>
        <v>0</v>
      </c>
      <c r="T153" s="10">
        <f t="shared" si="51"/>
        <v>0</v>
      </c>
      <c r="U153" s="10">
        <f t="shared" si="51"/>
        <v>0</v>
      </c>
      <c r="V153" s="10">
        <f t="shared" si="51"/>
        <v>0</v>
      </c>
    </row>
    <row r="154" spans="1:27" x14ac:dyDescent="0.25">
      <c r="C154" s="1"/>
      <c r="D154" s="1"/>
      <c r="E154" t="s">
        <v>60</v>
      </c>
      <c r="F154" t="s">
        <v>3</v>
      </c>
      <c r="H154" s="2">
        <f>G154+H153</f>
        <v>0</v>
      </c>
      <c r="I154" s="2">
        <f t="shared" ref="I154:AA154" si="52">H154+I153</f>
        <v>0</v>
      </c>
      <c r="J154" s="2">
        <f t="shared" si="52"/>
        <v>0</v>
      </c>
      <c r="K154" s="2">
        <f t="shared" si="52"/>
        <v>0</v>
      </c>
      <c r="L154" s="2">
        <f t="shared" si="52"/>
        <v>0</v>
      </c>
      <c r="M154" s="2">
        <f t="shared" si="52"/>
        <v>0</v>
      </c>
      <c r="N154" s="2">
        <f t="shared" si="52"/>
        <v>0</v>
      </c>
      <c r="O154" s="2">
        <f t="shared" si="52"/>
        <v>0</v>
      </c>
      <c r="P154" s="2">
        <f t="shared" si="52"/>
        <v>0</v>
      </c>
      <c r="Q154" s="2">
        <f t="shared" si="52"/>
        <v>0</v>
      </c>
      <c r="R154" s="2">
        <f t="shared" si="52"/>
        <v>0</v>
      </c>
      <c r="S154" s="2">
        <f t="shared" si="52"/>
        <v>0</v>
      </c>
      <c r="T154" s="2">
        <f t="shared" si="52"/>
        <v>0</v>
      </c>
      <c r="U154" s="2">
        <f t="shared" si="52"/>
        <v>0</v>
      </c>
      <c r="V154" s="2">
        <f t="shared" si="52"/>
        <v>0</v>
      </c>
      <c r="W154" s="2">
        <f t="shared" si="52"/>
        <v>0</v>
      </c>
      <c r="X154" s="2">
        <f t="shared" si="52"/>
        <v>0</v>
      </c>
      <c r="Y154" s="2">
        <f t="shared" si="52"/>
        <v>0</v>
      </c>
      <c r="Z154" s="2">
        <f t="shared" si="52"/>
        <v>0</v>
      </c>
      <c r="AA154" s="2">
        <f t="shared" si="52"/>
        <v>0</v>
      </c>
    </row>
    <row r="155" spans="1:27" x14ac:dyDescent="0.25">
      <c r="A155" s="14">
        <f>'Notes &amp; Assumptions'!A45</f>
        <v>32</v>
      </c>
      <c r="C155" s="1"/>
      <c r="D155" s="1"/>
      <c r="E155" t="s">
        <v>61</v>
      </c>
      <c r="F155" t="s">
        <v>3</v>
      </c>
      <c r="G155" s="10">
        <v>1</v>
      </c>
    </row>
    <row r="156" spans="1:27" x14ac:dyDescent="0.25">
      <c r="C156" s="1"/>
      <c r="D156" s="1"/>
      <c r="E156" t="s">
        <v>88</v>
      </c>
      <c r="F156" t="s">
        <v>3</v>
      </c>
      <c r="H156">
        <f>H153*$G155</f>
        <v>0</v>
      </c>
      <c r="I156">
        <f t="shared" ref="I156:AA156" si="53">I153*$G155</f>
        <v>0</v>
      </c>
      <c r="J156">
        <f t="shared" si="53"/>
        <v>0</v>
      </c>
      <c r="K156">
        <f t="shared" si="53"/>
        <v>0</v>
      </c>
      <c r="L156">
        <f t="shared" si="53"/>
        <v>0</v>
      </c>
      <c r="M156">
        <f t="shared" si="53"/>
        <v>0</v>
      </c>
      <c r="N156">
        <f t="shared" si="53"/>
        <v>0</v>
      </c>
      <c r="O156">
        <f t="shared" si="53"/>
        <v>0</v>
      </c>
      <c r="P156">
        <f t="shared" si="53"/>
        <v>0</v>
      </c>
      <c r="Q156">
        <f t="shared" si="53"/>
        <v>0</v>
      </c>
      <c r="R156">
        <f t="shared" si="53"/>
        <v>0</v>
      </c>
      <c r="S156">
        <f t="shared" si="53"/>
        <v>0</v>
      </c>
      <c r="T156">
        <f t="shared" si="53"/>
        <v>0</v>
      </c>
      <c r="U156">
        <f t="shared" si="53"/>
        <v>0</v>
      </c>
      <c r="V156">
        <f t="shared" si="53"/>
        <v>0</v>
      </c>
      <c r="W156">
        <f t="shared" si="53"/>
        <v>0</v>
      </c>
      <c r="X156">
        <f t="shared" si="53"/>
        <v>0</v>
      </c>
      <c r="Y156">
        <f t="shared" si="53"/>
        <v>0</v>
      </c>
      <c r="Z156">
        <f t="shared" si="53"/>
        <v>0</v>
      </c>
      <c r="AA156">
        <f t="shared" si="53"/>
        <v>0</v>
      </c>
    </row>
    <row r="157" spans="1:27" x14ac:dyDescent="0.25">
      <c r="C157" s="1"/>
      <c r="D157" s="1"/>
      <c r="E157" t="s">
        <v>89</v>
      </c>
      <c r="F157" t="s">
        <v>3</v>
      </c>
      <c r="H157">
        <f>H154*$G155</f>
        <v>0</v>
      </c>
      <c r="I157">
        <f t="shared" ref="I157:AA157" si="54">I154*$G155</f>
        <v>0</v>
      </c>
      <c r="J157">
        <f t="shared" si="54"/>
        <v>0</v>
      </c>
      <c r="K157">
        <f t="shared" si="54"/>
        <v>0</v>
      </c>
      <c r="L157">
        <f t="shared" si="54"/>
        <v>0</v>
      </c>
      <c r="M157">
        <f t="shared" si="54"/>
        <v>0</v>
      </c>
      <c r="N157">
        <f t="shared" si="54"/>
        <v>0</v>
      </c>
      <c r="O157">
        <f t="shared" si="54"/>
        <v>0</v>
      </c>
      <c r="P157">
        <f t="shared" si="54"/>
        <v>0</v>
      </c>
      <c r="Q157">
        <f t="shared" si="54"/>
        <v>0</v>
      </c>
      <c r="R157">
        <f t="shared" si="54"/>
        <v>0</v>
      </c>
      <c r="S157">
        <f t="shared" si="54"/>
        <v>0</v>
      </c>
      <c r="T157">
        <f t="shared" si="54"/>
        <v>0</v>
      </c>
      <c r="U157">
        <f t="shared" si="54"/>
        <v>0</v>
      </c>
      <c r="V157">
        <f t="shared" si="54"/>
        <v>0</v>
      </c>
      <c r="W157">
        <f t="shared" si="54"/>
        <v>0</v>
      </c>
      <c r="X157">
        <f t="shared" si="54"/>
        <v>0</v>
      </c>
      <c r="Y157">
        <f t="shared" si="54"/>
        <v>0</v>
      </c>
      <c r="Z157">
        <f t="shared" si="54"/>
        <v>0</v>
      </c>
      <c r="AA157">
        <f t="shared" si="54"/>
        <v>0</v>
      </c>
    </row>
    <row r="158" spans="1:27" x14ac:dyDescent="0.25">
      <c r="A158" s="14">
        <f>'Notes &amp; Assumptions'!A46</f>
        <v>33</v>
      </c>
      <c r="C158" s="1"/>
      <c r="D158" s="1"/>
      <c r="E158" t="s">
        <v>62</v>
      </c>
      <c r="F158" t="s">
        <v>43</v>
      </c>
      <c r="H158" s="10"/>
      <c r="I158" s="10"/>
      <c r="J158" s="10"/>
      <c r="K158" s="10"/>
      <c r="L158" s="10"/>
      <c r="M158" s="10"/>
      <c r="N158" s="10"/>
      <c r="O158" s="10"/>
      <c r="P158" s="10"/>
      <c r="Q158" s="10"/>
      <c r="R158" s="10"/>
      <c r="S158" s="10"/>
      <c r="T158" s="10"/>
      <c r="U158" s="10"/>
      <c r="V158" s="10"/>
      <c r="W158" s="10"/>
      <c r="X158" s="10"/>
      <c r="Y158" s="10"/>
      <c r="Z158" s="10"/>
      <c r="AA158" s="10"/>
    </row>
    <row r="159" spans="1:27" x14ac:dyDescent="0.25">
      <c r="C159" s="1"/>
      <c r="D159" s="1"/>
      <c r="E159" t="s">
        <v>63</v>
      </c>
      <c r="F159" t="s">
        <v>43</v>
      </c>
      <c r="H159" s="10"/>
      <c r="I159" s="10"/>
      <c r="J159" s="10"/>
      <c r="K159" s="10"/>
      <c r="L159" s="10"/>
      <c r="M159" s="10"/>
      <c r="N159" s="10"/>
      <c r="O159" s="10"/>
      <c r="P159" s="10"/>
      <c r="Q159" s="10"/>
      <c r="R159" s="10"/>
      <c r="S159" s="10"/>
      <c r="T159" s="10"/>
      <c r="U159" s="10"/>
      <c r="V159" s="10"/>
      <c r="W159" s="10"/>
      <c r="X159" s="10"/>
      <c r="Y159" s="10"/>
      <c r="Z159" s="10"/>
      <c r="AA159" s="10"/>
    </row>
    <row r="160" spans="1:27" x14ac:dyDescent="0.25">
      <c r="A160" s="14">
        <f>'Notes &amp; Assumptions'!A47</f>
        <v>34</v>
      </c>
      <c r="C160" s="1"/>
      <c r="D160" s="1"/>
      <c r="E160" t="s">
        <v>140</v>
      </c>
      <c r="F160" t="s">
        <v>43</v>
      </c>
      <c r="H160" s="10"/>
      <c r="I160" s="10"/>
      <c r="J160" s="10"/>
      <c r="K160" s="10"/>
      <c r="L160" s="10"/>
      <c r="M160" s="10"/>
      <c r="N160" s="10"/>
      <c r="O160" s="10"/>
      <c r="P160" s="10"/>
      <c r="Q160" s="10"/>
      <c r="R160" s="10"/>
      <c r="S160" s="10"/>
      <c r="T160" s="10"/>
      <c r="U160" s="10"/>
      <c r="V160" s="10"/>
      <c r="W160" s="10"/>
      <c r="X160" s="10"/>
      <c r="Y160" s="10"/>
      <c r="Z160" s="10"/>
      <c r="AA160" s="10"/>
    </row>
    <row r="161" spans="1:27" x14ac:dyDescent="0.25">
      <c r="C161" s="1"/>
      <c r="D161" s="1"/>
      <c r="E161" t="s">
        <v>64</v>
      </c>
      <c r="F161" t="s">
        <v>144</v>
      </c>
      <c r="H161" s="2">
        <f>H154*H158</f>
        <v>0</v>
      </c>
      <c r="I161" s="2">
        <f t="shared" ref="I161:AA161" si="55">I154*I158</f>
        <v>0</v>
      </c>
      <c r="J161" s="2">
        <f t="shared" si="55"/>
        <v>0</v>
      </c>
      <c r="K161" s="2">
        <f t="shared" si="55"/>
        <v>0</v>
      </c>
      <c r="L161" s="2">
        <f t="shared" si="55"/>
        <v>0</v>
      </c>
      <c r="M161" s="2">
        <f t="shared" si="55"/>
        <v>0</v>
      </c>
      <c r="N161" s="2">
        <f t="shared" si="55"/>
        <v>0</v>
      </c>
      <c r="O161" s="2">
        <f t="shared" si="55"/>
        <v>0</v>
      </c>
      <c r="P161" s="2">
        <f t="shared" si="55"/>
        <v>0</v>
      </c>
      <c r="Q161" s="2">
        <f t="shared" si="55"/>
        <v>0</v>
      </c>
      <c r="R161" s="2">
        <f t="shared" si="55"/>
        <v>0</v>
      </c>
      <c r="S161" s="2">
        <f t="shared" si="55"/>
        <v>0</v>
      </c>
      <c r="T161" s="2">
        <f t="shared" si="55"/>
        <v>0</v>
      </c>
      <c r="U161" s="2">
        <f t="shared" si="55"/>
        <v>0</v>
      </c>
      <c r="V161" s="2">
        <f t="shared" si="55"/>
        <v>0</v>
      </c>
      <c r="W161" s="2">
        <f t="shared" si="55"/>
        <v>0</v>
      </c>
      <c r="X161" s="2">
        <f t="shared" si="55"/>
        <v>0</v>
      </c>
      <c r="Y161" s="2">
        <f t="shared" si="55"/>
        <v>0</v>
      </c>
      <c r="Z161" s="2">
        <f t="shared" si="55"/>
        <v>0</v>
      </c>
      <c r="AA161" s="2">
        <f t="shared" si="55"/>
        <v>0</v>
      </c>
    </row>
    <row r="162" spans="1:27" x14ac:dyDescent="0.25">
      <c r="C162" s="1"/>
      <c r="D162" s="1"/>
      <c r="E162" t="s">
        <v>65</v>
      </c>
      <c r="F162" t="s">
        <v>144</v>
      </c>
      <c r="H162" s="2">
        <f>H154*H159</f>
        <v>0</v>
      </c>
      <c r="I162" s="2">
        <f t="shared" ref="I162:AA162" si="56">I154*I159</f>
        <v>0</v>
      </c>
      <c r="J162" s="2">
        <f t="shared" si="56"/>
        <v>0</v>
      </c>
      <c r="K162" s="2">
        <f t="shared" si="56"/>
        <v>0</v>
      </c>
      <c r="L162" s="2">
        <f t="shared" si="56"/>
        <v>0</v>
      </c>
      <c r="M162" s="2">
        <f t="shared" si="56"/>
        <v>0</v>
      </c>
      <c r="N162" s="2">
        <f t="shared" si="56"/>
        <v>0</v>
      </c>
      <c r="O162" s="2">
        <f t="shared" si="56"/>
        <v>0</v>
      </c>
      <c r="P162" s="2">
        <f t="shared" si="56"/>
        <v>0</v>
      </c>
      <c r="Q162" s="2">
        <f t="shared" si="56"/>
        <v>0</v>
      </c>
      <c r="R162" s="2">
        <f t="shared" si="56"/>
        <v>0</v>
      </c>
      <c r="S162" s="2">
        <f t="shared" si="56"/>
        <v>0</v>
      </c>
      <c r="T162" s="2">
        <f t="shared" si="56"/>
        <v>0</v>
      </c>
      <c r="U162" s="2">
        <f t="shared" si="56"/>
        <v>0</v>
      </c>
      <c r="V162" s="2">
        <f t="shared" si="56"/>
        <v>0</v>
      </c>
      <c r="W162" s="2">
        <f t="shared" si="56"/>
        <v>0</v>
      </c>
      <c r="X162" s="2">
        <f t="shared" si="56"/>
        <v>0</v>
      </c>
      <c r="Y162" s="2">
        <f t="shared" si="56"/>
        <v>0</v>
      </c>
      <c r="Z162" s="2">
        <f t="shared" si="56"/>
        <v>0</v>
      </c>
      <c r="AA162" s="2">
        <f t="shared" si="56"/>
        <v>0</v>
      </c>
    </row>
    <row r="163" spans="1:27" x14ac:dyDescent="0.25">
      <c r="C163" s="1"/>
      <c r="D163" s="1"/>
      <c r="E163" t="s">
        <v>141</v>
      </c>
      <c r="F163" t="s">
        <v>144</v>
      </c>
      <c r="H163" s="2">
        <f>H154*H160</f>
        <v>0</v>
      </c>
      <c r="I163" s="2">
        <f t="shared" ref="I163:AA163" si="57">I154*I160</f>
        <v>0</v>
      </c>
      <c r="J163" s="2">
        <f t="shared" si="57"/>
        <v>0</v>
      </c>
      <c r="K163" s="2">
        <f t="shared" si="57"/>
        <v>0</v>
      </c>
      <c r="L163" s="2">
        <f t="shared" si="57"/>
        <v>0</v>
      </c>
      <c r="M163" s="2">
        <f t="shared" si="57"/>
        <v>0</v>
      </c>
      <c r="N163" s="2">
        <f t="shared" si="57"/>
        <v>0</v>
      </c>
      <c r="O163" s="2">
        <f t="shared" si="57"/>
        <v>0</v>
      </c>
      <c r="P163" s="2">
        <f t="shared" si="57"/>
        <v>0</v>
      </c>
      <c r="Q163" s="2">
        <f t="shared" si="57"/>
        <v>0</v>
      </c>
      <c r="R163" s="2">
        <f t="shared" si="57"/>
        <v>0</v>
      </c>
      <c r="S163" s="2">
        <f t="shared" si="57"/>
        <v>0</v>
      </c>
      <c r="T163" s="2">
        <f t="shared" si="57"/>
        <v>0</v>
      </c>
      <c r="U163" s="2">
        <f t="shared" si="57"/>
        <v>0</v>
      </c>
      <c r="V163" s="2">
        <f t="shared" si="57"/>
        <v>0</v>
      </c>
      <c r="W163" s="2">
        <f t="shared" si="57"/>
        <v>0</v>
      </c>
      <c r="X163" s="2">
        <f t="shared" si="57"/>
        <v>0</v>
      </c>
      <c r="Y163" s="2">
        <f t="shared" si="57"/>
        <v>0</v>
      </c>
      <c r="Z163" s="2">
        <f t="shared" si="57"/>
        <v>0</v>
      </c>
      <c r="AA163" s="2">
        <f t="shared" si="57"/>
        <v>0</v>
      </c>
    </row>
    <row r="164" spans="1:27" x14ac:dyDescent="0.25">
      <c r="A164" s="14">
        <f>'Notes &amp; Assumptions'!A48</f>
        <v>35</v>
      </c>
      <c r="C164" s="1"/>
      <c r="D164" s="1"/>
      <c r="E164" t="s">
        <v>66</v>
      </c>
      <c r="F164" t="s">
        <v>8</v>
      </c>
      <c r="H164" s="11"/>
      <c r="I164" s="11"/>
      <c r="J164" s="11"/>
      <c r="K164" s="11"/>
      <c r="L164" s="11"/>
      <c r="M164" s="11"/>
      <c r="N164" s="11"/>
      <c r="O164" s="11"/>
      <c r="P164" s="11"/>
      <c r="Q164" s="11"/>
      <c r="R164" s="11"/>
      <c r="S164" s="11"/>
      <c r="T164" s="11"/>
      <c r="U164" s="11"/>
      <c r="V164" s="11"/>
      <c r="W164" s="11"/>
      <c r="X164" s="11"/>
      <c r="Y164" s="11"/>
      <c r="Z164" s="11"/>
      <c r="AA164" s="11"/>
    </row>
    <row r="165" spans="1:27" x14ac:dyDescent="0.25">
      <c r="A165" s="14">
        <f>'Notes &amp; Assumptions'!A49</f>
        <v>36</v>
      </c>
      <c r="C165" s="1"/>
      <c r="D165" s="1"/>
      <c r="E165" t="s">
        <v>40</v>
      </c>
      <c r="F165" t="s">
        <v>41</v>
      </c>
      <c r="G165" s="10"/>
      <c r="H165" s="2">
        <f>G165*(1+$G$14)*(1+H164)</f>
        <v>0</v>
      </c>
      <c r="I165" s="2">
        <f t="shared" ref="I165:AA165" si="58">H165*(1+$G$14)*(1+I164)</f>
        <v>0</v>
      </c>
      <c r="J165" s="2">
        <f t="shared" si="58"/>
        <v>0</v>
      </c>
      <c r="K165" s="2">
        <f t="shared" si="58"/>
        <v>0</v>
      </c>
      <c r="L165" s="2">
        <f t="shared" si="58"/>
        <v>0</v>
      </c>
      <c r="M165" s="2">
        <f t="shared" si="58"/>
        <v>0</v>
      </c>
      <c r="N165" s="2">
        <f t="shared" si="58"/>
        <v>0</v>
      </c>
      <c r="O165" s="2">
        <f t="shared" si="58"/>
        <v>0</v>
      </c>
      <c r="P165" s="2">
        <f t="shared" si="58"/>
        <v>0</v>
      </c>
      <c r="Q165" s="2">
        <f t="shared" si="58"/>
        <v>0</v>
      </c>
      <c r="R165" s="2">
        <f t="shared" si="58"/>
        <v>0</v>
      </c>
      <c r="S165" s="2">
        <f t="shared" si="58"/>
        <v>0</v>
      </c>
      <c r="T165" s="2">
        <f t="shared" si="58"/>
        <v>0</v>
      </c>
      <c r="U165" s="2">
        <f t="shared" si="58"/>
        <v>0</v>
      </c>
      <c r="V165" s="2">
        <f t="shared" si="58"/>
        <v>0</v>
      </c>
      <c r="W165" s="2">
        <f t="shared" si="58"/>
        <v>0</v>
      </c>
      <c r="X165" s="2">
        <f t="shared" si="58"/>
        <v>0</v>
      </c>
      <c r="Y165" s="2">
        <f t="shared" si="58"/>
        <v>0</v>
      </c>
      <c r="Z165" s="2">
        <f t="shared" si="58"/>
        <v>0</v>
      </c>
      <c r="AA165" s="2">
        <f t="shared" si="58"/>
        <v>0</v>
      </c>
    </row>
    <row r="166" spans="1:27" x14ac:dyDescent="0.25">
      <c r="C166" s="1"/>
      <c r="D166" s="1"/>
      <c r="E166" t="s">
        <v>67</v>
      </c>
      <c r="F166" t="s">
        <v>143</v>
      </c>
      <c r="G166" s="20"/>
      <c r="H166" s="21">
        <f>G166*(1+$G$14)*(1+H164)</f>
        <v>0</v>
      </c>
      <c r="I166" s="21">
        <f t="shared" ref="I166:AA166" si="59">H166*(1+$G$14)*(1+I164)</f>
        <v>0</v>
      </c>
      <c r="J166" s="21">
        <f t="shared" si="59"/>
        <v>0</v>
      </c>
      <c r="K166" s="21">
        <f t="shared" si="59"/>
        <v>0</v>
      </c>
      <c r="L166" s="21">
        <f t="shared" si="59"/>
        <v>0</v>
      </c>
      <c r="M166" s="21">
        <f t="shared" si="59"/>
        <v>0</v>
      </c>
      <c r="N166" s="21">
        <f t="shared" si="59"/>
        <v>0</v>
      </c>
      <c r="O166" s="21">
        <f t="shared" si="59"/>
        <v>0</v>
      </c>
      <c r="P166" s="21">
        <f t="shared" si="59"/>
        <v>0</v>
      </c>
      <c r="Q166" s="21">
        <f t="shared" si="59"/>
        <v>0</v>
      </c>
      <c r="R166" s="21">
        <f t="shared" si="59"/>
        <v>0</v>
      </c>
      <c r="S166" s="21">
        <f t="shared" si="59"/>
        <v>0</v>
      </c>
      <c r="T166" s="21">
        <f t="shared" si="59"/>
        <v>0</v>
      </c>
      <c r="U166" s="21">
        <f t="shared" si="59"/>
        <v>0</v>
      </c>
      <c r="V166" s="21">
        <f t="shared" si="59"/>
        <v>0</v>
      </c>
      <c r="W166" s="21">
        <f t="shared" si="59"/>
        <v>0</v>
      </c>
      <c r="X166" s="21">
        <f t="shared" si="59"/>
        <v>0</v>
      </c>
      <c r="Y166" s="21">
        <f t="shared" si="59"/>
        <v>0</v>
      </c>
      <c r="Z166" s="21">
        <f t="shared" si="59"/>
        <v>0</v>
      </c>
      <c r="AA166" s="21">
        <f t="shared" si="59"/>
        <v>0</v>
      </c>
    </row>
    <row r="167" spans="1:27" x14ac:dyDescent="0.25">
      <c r="C167" s="1"/>
      <c r="D167" s="1"/>
      <c r="E167" t="s">
        <v>68</v>
      </c>
      <c r="F167" t="s">
        <v>143</v>
      </c>
      <c r="G167" s="20"/>
      <c r="H167" s="21">
        <f>G167*(1+$G$14)*(1+H164)</f>
        <v>0</v>
      </c>
      <c r="I167" s="21">
        <f t="shared" ref="I167:AA167" si="60">H167*(1+$G$14)*(1+I164)</f>
        <v>0</v>
      </c>
      <c r="J167" s="21">
        <f t="shared" si="60"/>
        <v>0</v>
      </c>
      <c r="K167" s="21">
        <f t="shared" si="60"/>
        <v>0</v>
      </c>
      <c r="L167" s="21">
        <f t="shared" si="60"/>
        <v>0</v>
      </c>
      <c r="M167" s="21">
        <f t="shared" si="60"/>
        <v>0</v>
      </c>
      <c r="N167" s="21">
        <f t="shared" si="60"/>
        <v>0</v>
      </c>
      <c r="O167" s="21">
        <f t="shared" si="60"/>
        <v>0</v>
      </c>
      <c r="P167" s="21">
        <f t="shared" si="60"/>
        <v>0</v>
      </c>
      <c r="Q167" s="21">
        <f t="shared" si="60"/>
        <v>0</v>
      </c>
      <c r="R167" s="21">
        <f t="shared" si="60"/>
        <v>0</v>
      </c>
      <c r="S167" s="21">
        <f t="shared" si="60"/>
        <v>0</v>
      </c>
      <c r="T167" s="21">
        <f t="shared" si="60"/>
        <v>0</v>
      </c>
      <c r="U167" s="21">
        <f t="shared" si="60"/>
        <v>0</v>
      </c>
      <c r="V167" s="21">
        <f t="shared" si="60"/>
        <v>0</v>
      </c>
      <c r="W167" s="21">
        <f t="shared" si="60"/>
        <v>0</v>
      </c>
      <c r="X167" s="21">
        <f t="shared" si="60"/>
        <v>0</v>
      </c>
      <c r="Y167" s="21">
        <f t="shared" si="60"/>
        <v>0</v>
      </c>
      <c r="Z167" s="21">
        <f t="shared" si="60"/>
        <v>0</v>
      </c>
      <c r="AA167" s="21">
        <f t="shared" si="60"/>
        <v>0</v>
      </c>
    </row>
    <row r="168" spans="1:27" x14ac:dyDescent="0.25">
      <c r="C168" s="1"/>
      <c r="D168" s="1"/>
      <c r="E168" t="s">
        <v>142</v>
      </c>
      <c r="F168" t="s">
        <v>143</v>
      </c>
      <c r="G168" s="20"/>
      <c r="H168" s="21">
        <f>G168*(1+$G$14)*(1+H164)</f>
        <v>0</v>
      </c>
      <c r="I168" s="21">
        <f t="shared" ref="I168:AA168" si="61">H168*(1+$G$14)*(1+I164)</f>
        <v>0</v>
      </c>
      <c r="J168" s="21">
        <f t="shared" si="61"/>
        <v>0</v>
      </c>
      <c r="K168" s="21">
        <f t="shared" si="61"/>
        <v>0</v>
      </c>
      <c r="L168" s="21">
        <f t="shared" si="61"/>
        <v>0</v>
      </c>
      <c r="M168" s="21">
        <f t="shared" si="61"/>
        <v>0</v>
      </c>
      <c r="N168" s="21">
        <f t="shared" si="61"/>
        <v>0</v>
      </c>
      <c r="O168" s="21">
        <f t="shared" si="61"/>
        <v>0</v>
      </c>
      <c r="P168" s="21">
        <f t="shared" si="61"/>
        <v>0</v>
      </c>
      <c r="Q168" s="21">
        <f t="shared" si="61"/>
        <v>0</v>
      </c>
      <c r="R168" s="21">
        <f t="shared" si="61"/>
        <v>0</v>
      </c>
      <c r="S168" s="21">
        <f t="shared" si="61"/>
        <v>0</v>
      </c>
      <c r="T168" s="21">
        <f t="shared" si="61"/>
        <v>0</v>
      </c>
      <c r="U168" s="21">
        <f t="shared" si="61"/>
        <v>0</v>
      </c>
      <c r="V168" s="21">
        <f t="shared" si="61"/>
        <v>0</v>
      </c>
      <c r="W168" s="21">
        <f t="shared" si="61"/>
        <v>0</v>
      </c>
      <c r="X168" s="21">
        <f t="shared" si="61"/>
        <v>0</v>
      </c>
      <c r="Y168" s="21">
        <f t="shared" si="61"/>
        <v>0</v>
      </c>
      <c r="Z168" s="21">
        <f t="shared" si="61"/>
        <v>0</v>
      </c>
      <c r="AA168" s="21">
        <f t="shared" si="61"/>
        <v>0</v>
      </c>
    </row>
    <row r="169" spans="1:27" x14ac:dyDescent="0.25">
      <c r="C169" s="1"/>
      <c r="D169" s="1"/>
    </row>
    <row r="170" spans="1:27" x14ac:dyDescent="0.25">
      <c r="C170" s="1"/>
      <c r="D170" s="1"/>
      <c r="E170" t="s">
        <v>78</v>
      </c>
      <c r="F170" t="s">
        <v>58</v>
      </c>
      <c r="H170" s="2">
        <f>SUM(H161:H163)/1000</f>
        <v>0</v>
      </c>
      <c r="I170" s="2">
        <f t="shared" ref="I170:AA170" si="62">SUM(I161:I163)/1000</f>
        <v>0</v>
      </c>
      <c r="J170" s="2">
        <f t="shared" si="62"/>
        <v>0</v>
      </c>
      <c r="K170" s="2">
        <f t="shared" si="62"/>
        <v>0</v>
      </c>
      <c r="L170" s="2">
        <f t="shared" si="62"/>
        <v>0</v>
      </c>
      <c r="M170" s="2">
        <f t="shared" si="62"/>
        <v>0</v>
      </c>
      <c r="N170" s="2">
        <f t="shared" si="62"/>
        <v>0</v>
      </c>
      <c r="O170" s="2">
        <f t="shared" si="62"/>
        <v>0</v>
      </c>
      <c r="P170" s="2">
        <f t="shared" si="62"/>
        <v>0</v>
      </c>
      <c r="Q170" s="2">
        <f t="shared" si="62"/>
        <v>0</v>
      </c>
      <c r="R170" s="2">
        <f t="shared" si="62"/>
        <v>0</v>
      </c>
      <c r="S170" s="2">
        <f t="shared" si="62"/>
        <v>0</v>
      </c>
      <c r="T170" s="2">
        <f t="shared" si="62"/>
        <v>0</v>
      </c>
      <c r="U170" s="2">
        <f t="shared" si="62"/>
        <v>0</v>
      </c>
      <c r="V170" s="2">
        <f t="shared" si="62"/>
        <v>0</v>
      </c>
      <c r="W170" s="2">
        <f t="shared" si="62"/>
        <v>0</v>
      </c>
      <c r="X170" s="2">
        <f t="shared" si="62"/>
        <v>0</v>
      </c>
      <c r="Y170" s="2">
        <f t="shared" si="62"/>
        <v>0</v>
      </c>
      <c r="Z170" s="2">
        <f t="shared" si="62"/>
        <v>0</v>
      </c>
      <c r="AA170" s="2">
        <f t="shared" si="62"/>
        <v>0</v>
      </c>
    </row>
    <row r="171" spans="1:27" x14ac:dyDescent="0.25">
      <c r="C171" s="1"/>
      <c r="D171" s="1"/>
      <c r="E171" t="s">
        <v>79</v>
      </c>
      <c r="F171" t="s">
        <v>7</v>
      </c>
      <c r="H171" s="2">
        <f>H154*H165+H161*H166+H162*H167+H163*H168</f>
        <v>0</v>
      </c>
      <c r="I171" s="2">
        <f t="shared" ref="I171:AA171" si="63">I154*I165+I161*I166+I162*I167+I163*I168</f>
        <v>0</v>
      </c>
      <c r="J171" s="2">
        <f t="shared" si="63"/>
        <v>0</v>
      </c>
      <c r="K171" s="2">
        <f t="shared" si="63"/>
        <v>0</v>
      </c>
      <c r="L171" s="2">
        <f t="shared" si="63"/>
        <v>0</v>
      </c>
      <c r="M171" s="2">
        <f t="shared" si="63"/>
        <v>0</v>
      </c>
      <c r="N171" s="2">
        <f t="shared" si="63"/>
        <v>0</v>
      </c>
      <c r="O171" s="2">
        <f t="shared" si="63"/>
        <v>0</v>
      </c>
      <c r="P171" s="2">
        <f t="shared" si="63"/>
        <v>0</v>
      </c>
      <c r="Q171" s="2">
        <f t="shared" si="63"/>
        <v>0</v>
      </c>
      <c r="R171" s="2">
        <f t="shared" si="63"/>
        <v>0</v>
      </c>
      <c r="S171" s="2">
        <f t="shared" si="63"/>
        <v>0</v>
      </c>
      <c r="T171" s="2">
        <f t="shared" si="63"/>
        <v>0</v>
      </c>
      <c r="U171" s="2">
        <f t="shared" si="63"/>
        <v>0</v>
      </c>
      <c r="V171" s="2">
        <f t="shared" si="63"/>
        <v>0</v>
      </c>
      <c r="W171" s="2">
        <f t="shared" si="63"/>
        <v>0</v>
      </c>
      <c r="X171" s="2">
        <f t="shared" si="63"/>
        <v>0</v>
      </c>
      <c r="Y171" s="2">
        <f t="shared" si="63"/>
        <v>0</v>
      </c>
      <c r="Z171" s="2">
        <f t="shared" si="63"/>
        <v>0</v>
      </c>
      <c r="AA171" s="2">
        <f t="shared" si="63"/>
        <v>0</v>
      </c>
    </row>
    <row r="172" spans="1:27" x14ac:dyDescent="0.25">
      <c r="C172" s="1"/>
      <c r="D172" s="1"/>
    </row>
    <row r="173" spans="1:27" x14ac:dyDescent="0.25">
      <c r="C173" s="1"/>
      <c r="D173" t="s">
        <v>80</v>
      </c>
    </row>
    <row r="174" spans="1:27" x14ac:dyDescent="0.25">
      <c r="C174" s="1"/>
      <c r="E174" t="s">
        <v>91</v>
      </c>
      <c r="F174" t="s">
        <v>3</v>
      </c>
      <c r="H174">
        <f>SUM(H93,H114,H135,H156)</f>
        <v>2050</v>
      </c>
      <c r="I174">
        <f t="shared" ref="H174:AA175" si="64">SUM(I93,I114,I135,I156)</f>
        <v>2540</v>
      </c>
      <c r="J174">
        <f t="shared" si="64"/>
        <v>3083.7000000000003</v>
      </c>
      <c r="K174">
        <f t="shared" si="64"/>
        <v>3457.8</v>
      </c>
      <c r="L174">
        <f t="shared" si="64"/>
        <v>3791.7</v>
      </c>
      <c r="M174">
        <f t="shared" si="64"/>
        <v>4092.9999999999995</v>
      </c>
      <c r="N174">
        <f t="shared" si="64"/>
        <v>4360.2999999999993</v>
      </c>
      <c r="O174">
        <f t="shared" si="64"/>
        <v>4595.8999999999996</v>
      </c>
      <c r="P174">
        <f t="shared" si="64"/>
        <v>5299.0999999999995</v>
      </c>
      <c r="Q174">
        <f t="shared" si="64"/>
        <v>6072.6999999999989</v>
      </c>
      <c r="R174">
        <f t="shared" si="64"/>
        <v>6429.4999999999991</v>
      </c>
      <c r="S174">
        <f t="shared" si="64"/>
        <v>6813.7999999999984</v>
      </c>
      <c r="T174">
        <f t="shared" si="64"/>
        <v>7216.4999999999982</v>
      </c>
      <c r="U174">
        <f t="shared" si="64"/>
        <v>7168.5999999999985</v>
      </c>
      <c r="V174">
        <f t="shared" si="64"/>
        <v>7117.5999999999985</v>
      </c>
      <c r="W174">
        <f t="shared" si="64"/>
        <v>0</v>
      </c>
      <c r="X174">
        <f t="shared" si="64"/>
        <v>0</v>
      </c>
      <c r="Y174">
        <f t="shared" si="64"/>
        <v>0</v>
      </c>
      <c r="Z174">
        <f t="shared" si="64"/>
        <v>0</v>
      </c>
      <c r="AA174">
        <f t="shared" si="64"/>
        <v>0</v>
      </c>
    </row>
    <row r="175" spans="1:27" x14ac:dyDescent="0.25">
      <c r="C175" s="1"/>
      <c r="D175" s="1"/>
      <c r="E175" t="s">
        <v>90</v>
      </c>
      <c r="F175" t="s">
        <v>3</v>
      </c>
      <c r="H175">
        <f t="shared" si="64"/>
        <v>2050</v>
      </c>
      <c r="I175">
        <f t="shared" si="64"/>
        <v>4590</v>
      </c>
      <c r="J175">
        <f t="shared" si="64"/>
        <v>7673.7000000000007</v>
      </c>
      <c r="K175">
        <f t="shared" si="64"/>
        <v>11131.5</v>
      </c>
      <c r="L175">
        <f t="shared" si="64"/>
        <v>14923.2</v>
      </c>
      <c r="M175">
        <f t="shared" si="64"/>
        <v>19016.2</v>
      </c>
      <c r="N175">
        <f t="shared" si="64"/>
        <v>23376.5</v>
      </c>
      <c r="O175">
        <f t="shared" si="64"/>
        <v>27972.400000000001</v>
      </c>
      <c r="P175">
        <f t="shared" si="64"/>
        <v>33271.5</v>
      </c>
      <c r="Q175">
        <f t="shared" si="64"/>
        <v>39344.199999999997</v>
      </c>
      <c r="R175">
        <f t="shared" si="64"/>
        <v>45773.7</v>
      </c>
      <c r="S175">
        <f t="shared" si="64"/>
        <v>52587.499999999993</v>
      </c>
      <c r="T175">
        <f t="shared" si="64"/>
        <v>59803.999999999993</v>
      </c>
      <c r="U175">
        <f t="shared" si="64"/>
        <v>66972.599999999991</v>
      </c>
      <c r="V175">
        <f t="shared" si="64"/>
        <v>74090.199999999983</v>
      </c>
      <c r="W175">
        <f t="shared" si="64"/>
        <v>74090.199999999983</v>
      </c>
      <c r="X175">
        <f t="shared" si="64"/>
        <v>74090.199999999983</v>
      </c>
      <c r="Y175">
        <f t="shared" si="64"/>
        <v>74090.199999999983</v>
      </c>
      <c r="Z175">
        <f t="shared" si="64"/>
        <v>74090.199999999983</v>
      </c>
      <c r="AA175">
        <f t="shared" si="64"/>
        <v>74090.199999999983</v>
      </c>
    </row>
    <row r="176" spans="1:27" x14ac:dyDescent="0.25">
      <c r="C176" s="1"/>
      <c r="D176" s="1"/>
      <c r="E176" t="s">
        <v>81</v>
      </c>
      <c r="F176" t="s">
        <v>58</v>
      </c>
      <c r="H176" s="2">
        <f t="shared" ref="H176:AA177" si="65">SUM(H107,H128,H149,H170)</f>
        <v>300.94</v>
      </c>
      <c r="I176" s="2">
        <f t="shared" si="65"/>
        <v>655.78</v>
      </c>
      <c r="J176" s="2">
        <f t="shared" si="65"/>
        <v>1072.067</v>
      </c>
      <c r="K176" s="2">
        <f t="shared" si="65"/>
        <v>1526.2250000000001</v>
      </c>
      <c r="L176" s="2">
        <f t="shared" si="65"/>
        <v>2014.652</v>
      </c>
      <c r="M176" s="2">
        <f t="shared" si="65"/>
        <v>2532.942</v>
      </c>
      <c r="N176" s="2">
        <f t="shared" si="65"/>
        <v>3078.1750000000002</v>
      </c>
      <c r="O176" s="2">
        <f t="shared" si="65"/>
        <v>3646.8639999999996</v>
      </c>
      <c r="P176" s="2">
        <f t="shared" si="65"/>
        <v>4296.1849999999995</v>
      </c>
      <c r="Q176" s="2">
        <f t="shared" si="65"/>
        <v>5034.7019999999993</v>
      </c>
      <c r="R176" s="2">
        <f t="shared" si="65"/>
        <v>5816.567</v>
      </c>
      <c r="S176" s="2">
        <f t="shared" si="65"/>
        <v>6645.6249999999991</v>
      </c>
      <c r="T176" s="2">
        <f t="shared" si="65"/>
        <v>7523.079999999999</v>
      </c>
      <c r="U176" s="2">
        <f t="shared" si="65"/>
        <v>8394.4459999999999</v>
      </c>
      <c r="V176" s="2">
        <f t="shared" si="65"/>
        <v>9260.2019999999993</v>
      </c>
      <c r="W176" s="2">
        <f t="shared" si="65"/>
        <v>9260.2019999999993</v>
      </c>
      <c r="X176" s="2">
        <f t="shared" si="65"/>
        <v>9260.2019999999993</v>
      </c>
      <c r="Y176" s="2">
        <f t="shared" si="65"/>
        <v>9260.2019999999993</v>
      </c>
      <c r="Z176" s="2">
        <f t="shared" si="65"/>
        <v>9260.2019999999993</v>
      </c>
      <c r="AA176" s="2">
        <f t="shared" si="65"/>
        <v>9260.2019999999993</v>
      </c>
    </row>
    <row r="177" spans="1:27" x14ac:dyDescent="0.25">
      <c r="C177" s="1"/>
      <c r="D177" s="1"/>
      <c r="E177" t="s">
        <v>82</v>
      </c>
      <c r="F177" t="s">
        <v>7</v>
      </c>
      <c r="H177" s="2">
        <f t="shared" si="65"/>
        <v>1145668.7758802876</v>
      </c>
      <c r="I177" s="2">
        <f t="shared" si="65"/>
        <v>2489341.2673551999</v>
      </c>
      <c r="J177" s="2">
        <f t="shared" si="65"/>
        <v>4169471.2914060657</v>
      </c>
      <c r="K177" s="2">
        <f t="shared" si="65"/>
        <v>6078387.3304922953</v>
      </c>
      <c r="L177" s="2">
        <f t="shared" si="65"/>
        <v>8212422.7001230363</v>
      </c>
      <c r="M177" s="2">
        <f t="shared" si="65"/>
        <v>10564938.798287198</v>
      </c>
      <c r="N177" s="2">
        <f t="shared" si="65"/>
        <v>13133382.524298349</v>
      </c>
      <c r="O177" s="2">
        <f t="shared" si="65"/>
        <v>15912638.88719474</v>
      </c>
      <c r="P177" s="2">
        <f t="shared" si="65"/>
        <v>19170204.060653832</v>
      </c>
      <c r="Q177" s="2">
        <f t="shared" si="65"/>
        <v>22972073.119194571</v>
      </c>
      <c r="R177" s="2">
        <f t="shared" si="65"/>
        <v>27128917.474331915</v>
      </c>
      <c r="S177" s="2">
        <f t="shared" si="65"/>
        <v>31676275.62449681</v>
      </c>
      <c r="T177" s="2">
        <f t="shared" si="65"/>
        <v>36640250.598459661</v>
      </c>
      <c r="U177" s="2">
        <f t="shared" si="65"/>
        <v>41768518.591405548</v>
      </c>
      <c r="V177" s="2">
        <f t="shared" si="65"/>
        <v>47066834.800142556</v>
      </c>
      <c r="W177" s="2">
        <f t="shared" si="65"/>
        <v>48055238.330945551</v>
      </c>
      <c r="X177" s="2">
        <f t="shared" si="65"/>
        <v>49064398.335895404</v>
      </c>
      <c r="Y177" s="2">
        <f t="shared" si="65"/>
        <v>50094750.700949207</v>
      </c>
      <c r="Z177" s="2">
        <f t="shared" si="65"/>
        <v>51146740.465669133</v>
      </c>
      <c r="AA177" s="2">
        <f t="shared" si="65"/>
        <v>52220822.015448183</v>
      </c>
    </row>
    <row r="178" spans="1:27" x14ac:dyDescent="0.25">
      <c r="C178" s="1"/>
      <c r="D178" s="1"/>
    </row>
    <row r="179" spans="1:27" x14ac:dyDescent="0.25">
      <c r="C179" s="1"/>
      <c r="D179" s="1"/>
      <c r="E179" s="3" t="s">
        <v>84</v>
      </c>
      <c r="F179" s="3" t="s">
        <v>85</v>
      </c>
      <c r="G179" s="3"/>
      <c r="H179" s="9">
        <f>H176*1000/H175</f>
        <v>146.80000000000001</v>
      </c>
      <c r="I179" s="9">
        <f t="shared" ref="I179:AA179" si="66">I176*1000/I175</f>
        <v>142.87145969498911</v>
      </c>
      <c r="J179" s="9">
        <f t="shared" si="66"/>
        <v>139.70666041153549</v>
      </c>
      <c r="K179" s="9">
        <f t="shared" si="66"/>
        <v>137.10865561694294</v>
      </c>
      <c r="L179" s="9">
        <f t="shared" si="66"/>
        <v>135.0013401951324</v>
      </c>
      <c r="M179" s="9">
        <f t="shared" si="66"/>
        <v>133.19916702600941</v>
      </c>
      <c r="N179" s="9">
        <f t="shared" si="66"/>
        <v>131.67818107928903</v>
      </c>
      <c r="O179" s="9">
        <f t="shared" si="66"/>
        <v>130.37365403040138</v>
      </c>
      <c r="P179" s="9">
        <f t="shared" si="66"/>
        <v>129.12507701786811</v>
      </c>
      <c r="Q179" s="9">
        <f t="shared" si="66"/>
        <v>127.96554511211308</v>
      </c>
      <c r="R179" s="9">
        <f t="shared" si="66"/>
        <v>127.07224891149285</v>
      </c>
      <c r="S179" s="9">
        <f t="shared" si="66"/>
        <v>126.37271214642263</v>
      </c>
      <c r="T179" s="9">
        <f t="shared" si="66"/>
        <v>125.79559895659153</v>
      </c>
      <c r="U179" s="9">
        <f t="shared" si="66"/>
        <v>125.3414978662916</v>
      </c>
      <c r="V179" s="9">
        <f t="shared" si="66"/>
        <v>124.98551765280702</v>
      </c>
      <c r="W179" s="9">
        <f t="shared" si="66"/>
        <v>124.98551765280702</v>
      </c>
      <c r="X179" s="9">
        <f t="shared" si="66"/>
        <v>124.98551765280702</v>
      </c>
      <c r="Y179" s="9">
        <f t="shared" si="66"/>
        <v>124.98551765280702</v>
      </c>
      <c r="Z179" s="9">
        <f t="shared" si="66"/>
        <v>124.98551765280702</v>
      </c>
      <c r="AA179" s="9">
        <f t="shared" si="66"/>
        <v>124.98551765280702</v>
      </c>
    </row>
    <row r="180" spans="1:27" x14ac:dyDescent="0.25">
      <c r="C180" s="1"/>
      <c r="D180" s="1"/>
      <c r="E180" s="3" t="s">
        <v>83</v>
      </c>
      <c r="F180" s="3" t="s">
        <v>22</v>
      </c>
      <c r="G180" s="3"/>
      <c r="H180" s="9">
        <f>H177/H175</f>
        <v>558.86281750257933</v>
      </c>
      <c r="I180" s="9">
        <f t="shared" ref="I180:AA180" si="67">I177/I175</f>
        <v>542.34014539328973</v>
      </c>
      <c r="J180" s="9">
        <f t="shared" si="67"/>
        <v>543.34562093984198</v>
      </c>
      <c r="K180" s="9">
        <f t="shared" si="67"/>
        <v>546.05285275949291</v>
      </c>
      <c r="L180" s="9">
        <f t="shared" si="67"/>
        <v>550.31244640043928</v>
      </c>
      <c r="M180" s="9">
        <f t="shared" si="67"/>
        <v>555.57570904214288</v>
      </c>
      <c r="N180" s="9">
        <f t="shared" si="67"/>
        <v>561.81988425548514</v>
      </c>
      <c r="O180" s="9">
        <f t="shared" si="67"/>
        <v>568.8692742558643</v>
      </c>
      <c r="P180" s="9">
        <f t="shared" si="67"/>
        <v>576.17492630791617</v>
      </c>
      <c r="Q180" s="9">
        <f t="shared" si="67"/>
        <v>583.87444958074059</v>
      </c>
      <c r="R180" s="9">
        <f t="shared" si="67"/>
        <v>592.67477775080272</v>
      </c>
      <c r="S180" s="9">
        <f t="shared" si="67"/>
        <v>602.35370809596986</v>
      </c>
      <c r="T180" s="9">
        <f t="shared" si="67"/>
        <v>612.67223928933959</v>
      </c>
      <c r="U180" s="9">
        <f t="shared" si="67"/>
        <v>623.66577662216423</v>
      </c>
      <c r="V180" s="9">
        <f t="shared" si="67"/>
        <v>635.26397283503843</v>
      </c>
      <c r="W180" s="9">
        <f t="shared" si="67"/>
        <v>648.60451626457427</v>
      </c>
      <c r="X180" s="9">
        <f t="shared" si="67"/>
        <v>662.22521110613036</v>
      </c>
      <c r="Y180" s="9">
        <f t="shared" si="67"/>
        <v>676.13194053935899</v>
      </c>
      <c r="Z180" s="9">
        <f t="shared" si="67"/>
        <v>690.33071129068549</v>
      </c>
      <c r="AA180" s="9">
        <f t="shared" si="67"/>
        <v>704.82765622778982</v>
      </c>
    </row>
    <row r="181" spans="1:27" x14ac:dyDescent="0.25">
      <c r="C181" s="1"/>
      <c r="D181" s="1"/>
      <c r="E181" s="3" t="s">
        <v>86</v>
      </c>
      <c r="F181" s="3" t="s">
        <v>4</v>
      </c>
      <c r="G181" s="3"/>
      <c r="H181" s="9">
        <f>H177/H176</f>
        <v>3806.9674216796957</v>
      </c>
      <c r="I181" s="9">
        <f t="shared" ref="I181:AA181" si="68">I177/I176</f>
        <v>3796.0005906785814</v>
      </c>
      <c r="J181" s="9">
        <f t="shared" si="68"/>
        <v>3889.1891005003099</v>
      </c>
      <c r="K181" s="9">
        <f t="shared" si="68"/>
        <v>3982.6285970235676</v>
      </c>
      <c r="L181" s="9">
        <f t="shared" si="68"/>
        <v>4076.348024434511</v>
      </c>
      <c r="M181" s="9">
        <f t="shared" si="68"/>
        <v>4171.0148903082654</v>
      </c>
      <c r="N181" s="9">
        <f t="shared" si="68"/>
        <v>4266.6133420933993</v>
      </c>
      <c r="O181" s="9">
        <f t="shared" si="68"/>
        <v>4363.3760094137706</v>
      </c>
      <c r="P181" s="9">
        <f t="shared" si="68"/>
        <v>4462.1458481545451</v>
      </c>
      <c r="Q181" s="9">
        <f t="shared" si="68"/>
        <v>4562.7473322541382</v>
      </c>
      <c r="R181" s="9">
        <f t="shared" si="68"/>
        <v>4664.0771909499044</v>
      </c>
      <c r="S181" s="9">
        <f t="shared" si="68"/>
        <v>4766.4855637350611</v>
      </c>
      <c r="T181" s="9">
        <f t="shared" si="68"/>
        <v>4870.3789669204189</v>
      </c>
      <c r="U181" s="9">
        <f t="shared" si="68"/>
        <v>4975.7325964578904</v>
      </c>
      <c r="V181" s="9">
        <f t="shared" si="68"/>
        <v>5082.7006581651849</v>
      </c>
      <c r="W181" s="9">
        <f t="shared" si="68"/>
        <v>5189.4373719866535</v>
      </c>
      <c r="X181" s="9">
        <f t="shared" si="68"/>
        <v>5298.4155567983735</v>
      </c>
      <c r="Y181" s="9">
        <f t="shared" si="68"/>
        <v>5409.6822834911391</v>
      </c>
      <c r="Z181" s="9">
        <f t="shared" si="68"/>
        <v>5523.2856114444521</v>
      </c>
      <c r="AA181" s="9">
        <f t="shared" si="68"/>
        <v>5639.2746092847856</v>
      </c>
    </row>
    <row r="182" spans="1:27" x14ac:dyDescent="0.25">
      <c r="C182" s="1"/>
      <c r="D182" s="1"/>
    </row>
    <row r="183" spans="1:27" x14ac:dyDescent="0.25">
      <c r="C183" s="1" t="str">
        <f>"Incremental "&amp;VLOOKUP(G4,E320:F322,2,FALSE)&amp;" Charges"</f>
        <v>Incremental Bulk Water Charges</v>
      </c>
      <c r="H183" s="2"/>
      <c r="I183" s="2"/>
      <c r="J183" s="2"/>
      <c r="K183" s="2"/>
      <c r="L183" s="2"/>
      <c r="M183" s="2"/>
      <c r="N183" s="2"/>
      <c r="O183" s="2"/>
      <c r="P183" s="2"/>
      <c r="Q183" s="2"/>
      <c r="R183" s="2"/>
      <c r="S183" s="2"/>
      <c r="T183" s="2"/>
      <c r="U183" s="2"/>
      <c r="V183" s="2"/>
      <c r="W183" s="2"/>
      <c r="X183" s="2"/>
      <c r="Y183" s="2"/>
      <c r="Z183" s="2"/>
      <c r="AA183" s="2"/>
    </row>
    <row r="184" spans="1:27" x14ac:dyDescent="0.25">
      <c r="A184" s="14">
        <f>'Notes &amp; Assumptions'!A50</f>
        <v>37</v>
      </c>
      <c r="E184" t="s">
        <v>118</v>
      </c>
      <c r="F184" t="s">
        <v>8</v>
      </c>
      <c r="H184" s="11">
        <f>'Bulk charges'!E22</f>
        <v>3.4299999999999997E-2</v>
      </c>
      <c r="I184" s="11">
        <f>'Bulk charges'!F22</f>
        <v>7.0000000000000001E-3</v>
      </c>
      <c r="J184" s="11">
        <f>'Bulk charges'!G22</f>
        <v>1.01E-2</v>
      </c>
      <c r="K184" s="11"/>
      <c r="L184" s="11"/>
      <c r="M184" s="11"/>
      <c r="N184" s="11"/>
      <c r="O184" s="11"/>
      <c r="P184" s="11"/>
      <c r="Q184" s="11"/>
      <c r="R184" s="11"/>
      <c r="S184" s="11"/>
      <c r="T184" s="11"/>
      <c r="U184" s="11"/>
      <c r="V184" s="11"/>
      <c r="W184" s="11"/>
      <c r="X184" s="11"/>
      <c r="Y184" s="11"/>
      <c r="Z184" s="11"/>
      <c r="AA184" s="11"/>
    </row>
    <row r="185" spans="1:27" x14ac:dyDescent="0.25">
      <c r="A185" s="14">
        <f>'Notes &amp; Assumptions'!A51</f>
        <v>38</v>
      </c>
      <c r="E185" t="s">
        <v>122</v>
      </c>
      <c r="F185" t="s">
        <v>4</v>
      </c>
      <c r="G185" s="10">
        <f>'Bulk charges'!D23</f>
        <v>260.27774017446001</v>
      </c>
      <c r="H185" s="2">
        <f>G185*(1+$G$14)*(1+H184)</f>
        <v>274.85857726235525</v>
      </c>
      <c r="I185" s="2">
        <f t="shared" ref="I185:AA185" si="69">H185*(1+$G$14)*(1+I184)</f>
        <v>282.59502163655867</v>
      </c>
      <c r="J185" s="2">
        <f t="shared" si="69"/>
        <v>291.44366521354476</v>
      </c>
      <c r="K185" s="2">
        <f t="shared" si="69"/>
        <v>297.56398218302917</v>
      </c>
      <c r="L185" s="2">
        <f t="shared" si="69"/>
        <v>303.81282580887273</v>
      </c>
      <c r="M185" s="2">
        <f t="shared" si="69"/>
        <v>310.19289515085904</v>
      </c>
      <c r="N185" s="2">
        <f t="shared" si="69"/>
        <v>316.70694594902704</v>
      </c>
      <c r="O185" s="2">
        <f t="shared" si="69"/>
        <v>323.35779181395657</v>
      </c>
      <c r="P185" s="2">
        <f t="shared" si="69"/>
        <v>330.1483054420496</v>
      </c>
      <c r="Q185" s="2">
        <f t="shared" si="69"/>
        <v>337.08141985633262</v>
      </c>
      <c r="R185" s="2">
        <f t="shared" si="69"/>
        <v>344.16012967331557</v>
      </c>
      <c r="S185" s="2">
        <f t="shared" si="69"/>
        <v>351.38749239645517</v>
      </c>
      <c r="T185" s="2">
        <f t="shared" si="69"/>
        <v>358.76662973678071</v>
      </c>
      <c r="U185" s="2">
        <f t="shared" si="69"/>
        <v>366.30072896125307</v>
      </c>
      <c r="V185" s="2">
        <f t="shared" si="69"/>
        <v>373.99304426943934</v>
      </c>
      <c r="W185" s="2">
        <f t="shared" si="69"/>
        <v>381.84689819909755</v>
      </c>
      <c r="X185" s="2">
        <f t="shared" si="69"/>
        <v>389.86568306127856</v>
      </c>
      <c r="Y185" s="2">
        <f t="shared" si="69"/>
        <v>398.05286240556535</v>
      </c>
      <c r="Z185" s="2">
        <f t="shared" si="69"/>
        <v>406.41197251608219</v>
      </c>
      <c r="AA185" s="2">
        <f t="shared" si="69"/>
        <v>414.94662393891986</v>
      </c>
    </row>
    <row r="186" spans="1:27" x14ac:dyDescent="0.25">
      <c r="A186" s="14">
        <f>'Notes &amp; Assumptions'!A52</f>
        <v>39</v>
      </c>
      <c r="E186" t="s">
        <v>123</v>
      </c>
      <c r="F186" t="s">
        <v>7</v>
      </c>
      <c r="G186" s="10">
        <f>AVERAGE('Bulk charges'!C19:G19)</f>
        <v>353.9658908426249</v>
      </c>
      <c r="H186" s="10">
        <f>G186*(1+$G$14)*(H154+H133+H112+H91)</f>
        <v>740868.30782815593</v>
      </c>
      <c r="I186" s="10">
        <f>$G186*(1+$G$14)^I2*(I154+I133+I112+I91)</f>
        <v>1693657.4776208738</v>
      </c>
      <c r="J186" s="10">
        <f t="shared" ref="J186:AA186" si="70">$G186*(1+$G$14)^J2*(J154+J133+J112+J91)</f>
        <v>2890969.14882913</v>
      </c>
      <c r="K186" s="10">
        <f t="shared" si="70"/>
        <v>4281718.1235747384</v>
      </c>
      <c r="L186" s="10">
        <f t="shared" si="70"/>
        <v>5860734.9913009806</v>
      </c>
      <c r="M186" s="10">
        <f t="shared" si="70"/>
        <v>7624995.6996589759</v>
      </c>
      <c r="N186" s="10">
        <f t="shared" si="70"/>
        <v>9570201.823945513</v>
      </c>
      <c r="O186" s="10">
        <f t="shared" si="70"/>
        <v>11692222.757197881</v>
      </c>
      <c r="P186" s="10">
        <f t="shared" si="70"/>
        <v>14199252.22880044</v>
      </c>
      <c r="Q186" s="10">
        <f t="shared" si="70"/>
        <v>17143502.461587787</v>
      </c>
      <c r="R186" s="10">
        <f t="shared" si="70"/>
        <v>20363883.13746693</v>
      </c>
      <c r="S186" s="10">
        <f t="shared" si="70"/>
        <v>23886517.89752334</v>
      </c>
      <c r="T186" s="10">
        <f t="shared" si="70"/>
        <v>27734880.189906329</v>
      </c>
      <c r="U186" s="10">
        <f t="shared" si="70"/>
        <v>31711658.999124769</v>
      </c>
      <c r="V186" s="10">
        <f t="shared" si="70"/>
        <v>35818575.714337938</v>
      </c>
      <c r="W186" s="10">
        <f t="shared" si="70"/>
        <v>36570765.804339036</v>
      </c>
      <c r="X186" s="10">
        <f t="shared" si="70"/>
        <v>37338751.886230148</v>
      </c>
      <c r="Y186" s="10">
        <f t="shared" si="70"/>
        <v>38122865.675840974</v>
      </c>
      <c r="Z186" s="10">
        <f t="shared" si="70"/>
        <v>38923445.855033636</v>
      </c>
      <c r="AA186" s="10">
        <f t="shared" si="70"/>
        <v>39740838.217989333</v>
      </c>
    </row>
    <row r="187" spans="1:27" x14ac:dyDescent="0.25">
      <c r="E187" t="s">
        <v>57</v>
      </c>
      <c r="F187" t="s">
        <v>7</v>
      </c>
      <c r="H187" s="2">
        <f>H185*H176+H186</f>
        <v>823584.24806948914</v>
      </c>
      <c r="I187" s="2">
        <f t="shared" ref="I187:AA187" si="71">I185*I176+I186</f>
        <v>1878977.6409096962</v>
      </c>
      <c r="J187" s="2">
        <f t="shared" si="71"/>
        <v>3203416.2846636195</v>
      </c>
      <c r="K187" s="2">
        <f t="shared" si="71"/>
        <v>4735867.7122820318</v>
      </c>
      <c r="L187" s="2">
        <f t="shared" si="71"/>
        <v>6472812.1084424779</v>
      </c>
      <c r="M187" s="2">
        <f t="shared" si="71"/>
        <v>8410696.3118881825</v>
      </c>
      <c r="N187" s="2">
        <f t="shared" si="71"/>
        <v>10545081.22729216</v>
      </c>
      <c r="O187" s="2">
        <f t="shared" si="71"/>
        <v>12871464.647283694</v>
      </c>
      <c r="P187" s="2">
        <f t="shared" si="71"/>
        <v>15617630.426415991</v>
      </c>
      <c r="Q187" s="2">
        <f t="shared" si="71"/>
        <v>18840606.960301302</v>
      </c>
      <c r="R187" s="2">
        <f t="shared" si="71"/>
        <v>22365713.59044046</v>
      </c>
      <c r="S187" s="2">
        <f t="shared" si="71"/>
        <v>26221707.401680533</v>
      </c>
      <c r="T187" s="2">
        <f t="shared" si="71"/>
        <v>30433910.24674651</v>
      </c>
      <c r="U187" s="2">
        <f t="shared" si="71"/>
        <v>34786550.688150644</v>
      </c>
      <c r="V187" s="2">
        <f t="shared" si="71"/>
        <v>39281826.85086789</v>
      </c>
      <c r="W187" s="2">
        <f t="shared" si="71"/>
        <v>40106745.214736119</v>
      </c>
      <c r="X187" s="2">
        <f t="shared" si="71"/>
        <v>40948986.864245564</v>
      </c>
      <c r="Y187" s="2">
        <f t="shared" si="71"/>
        <v>41808915.588394716</v>
      </c>
      <c r="Z187" s="2">
        <f t="shared" si="71"/>
        <v>42686902.815751001</v>
      </c>
      <c r="AA187" s="2">
        <f t="shared" si="71"/>
        <v>43583327.774881765</v>
      </c>
    </row>
    <row r="188" spans="1:27" x14ac:dyDescent="0.25">
      <c r="H188" s="2"/>
      <c r="I188" s="2">
        <f>$G186*(1+$G$14)^I2*(I154+I133+I112+I91)</f>
        <v>1693657.4776208738</v>
      </c>
      <c r="J188" s="2">
        <f>$G186*(1+$G$14)^J2*(J154+J133+J112+J91)</f>
        <v>2890969.14882913</v>
      </c>
      <c r="K188" s="2">
        <f t="shared" ref="K188:AA188" si="72">$G186*(1+$G$14)^K2*(K154+K133+K112+K91)</f>
        <v>4281718.1235747384</v>
      </c>
      <c r="L188" s="2">
        <f t="shared" si="72"/>
        <v>5860734.9913009806</v>
      </c>
      <c r="M188" s="2">
        <f t="shared" si="72"/>
        <v>7624995.6996589759</v>
      </c>
      <c r="N188" s="2">
        <f t="shared" si="72"/>
        <v>9570201.823945513</v>
      </c>
      <c r="O188" s="2">
        <f t="shared" si="72"/>
        <v>11692222.757197881</v>
      </c>
      <c r="P188" s="2">
        <f t="shared" si="72"/>
        <v>14199252.22880044</v>
      </c>
      <c r="Q188" s="2">
        <f t="shared" si="72"/>
        <v>17143502.461587787</v>
      </c>
      <c r="R188" s="2">
        <f t="shared" si="72"/>
        <v>20363883.13746693</v>
      </c>
      <c r="S188" s="2">
        <f t="shared" si="72"/>
        <v>23886517.89752334</v>
      </c>
      <c r="T188" s="2">
        <f t="shared" si="72"/>
        <v>27734880.189906329</v>
      </c>
      <c r="U188" s="2">
        <f t="shared" si="72"/>
        <v>31711658.999124769</v>
      </c>
      <c r="V188" s="2">
        <f t="shared" si="72"/>
        <v>35818575.714337938</v>
      </c>
      <c r="W188" s="2">
        <f t="shared" si="72"/>
        <v>36570765.804339036</v>
      </c>
      <c r="X188" s="2">
        <f t="shared" si="72"/>
        <v>37338751.886230148</v>
      </c>
      <c r="Y188" s="2">
        <f t="shared" si="72"/>
        <v>38122865.675840974</v>
      </c>
      <c r="Z188" s="2">
        <f t="shared" si="72"/>
        <v>38923445.855033636</v>
      </c>
      <c r="AA188" s="2">
        <f t="shared" si="72"/>
        <v>39740838.217989333</v>
      </c>
    </row>
    <row r="189" spans="1:27" x14ac:dyDescent="0.25">
      <c r="C189" s="1" t="s">
        <v>10</v>
      </c>
      <c r="G189" s="2"/>
    </row>
    <row r="190" spans="1:27" x14ac:dyDescent="0.25">
      <c r="C190" s="1"/>
      <c r="D190" t="s">
        <v>149</v>
      </c>
      <c r="G190" s="2"/>
    </row>
    <row r="191" spans="1:27" x14ac:dyDescent="0.25">
      <c r="A191" s="14">
        <f>'Notes &amp; Assumptions'!A53</f>
        <v>40</v>
      </c>
      <c r="C191" s="1"/>
      <c r="E191" t="s">
        <v>125</v>
      </c>
      <c r="G191" s="2"/>
      <c r="H191" s="11"/>
      <c r="I191" s="11"/>
      <c r="J191" s="11"/>
      <c r="K191" s="11"/>
      <c r="L191" s="11"/>
      <c r="M191" s="11"/>
      <c r="N191" s="11"/>
      <c r="O191" s="11"/>
      <c r="P191" s="11"/>
      <c r="Q191" s="11"/>
      <c r="R191" s="11"/>
      <c r="S191" s="11"/>
      <c r="T191" s="11"/>
      <c r="U191" s="11"/>
      <c r="V191" s="11"/>
      <c r="W191" s="11"/>
      <c r="X191" s="11"/>
      <c r="Y191" s="11"/>
      <c r="Z191" s="11"/>
      <c r="AA191" s="11"/>
    </row>
    <row r="192" spans="1:27" x14ac:dyDescent="0.25">
      <c r="A192" s="14">
        <f>'Notes &amp; Assumptions'!A54</f>
        <v>41</v>
      </c>
      <c r="E192" t="s">
        <v>26</v>
      </c>
      <c r="F192" t="s">
        <v>22</v>
      </c>
      <c r="G192" s="10">
        <f>'Key assumptions'!B12</f>
        <v>114</v>
      </c>
      <c r="H192" s="2">
        <f t="shared" ref="H192:W193" si="73">G192*(1+$G$14)*(1+H$191)</f>
        <v>116.39399999999999</v>
      </c>
      <c r="I192" s="2">
        <f t="shared" si="73"/>
        <v>118.83827399999998</v>
      </c>
      <c r="J192" s="2">
        <f t="shared" si="73"/>
        <v>121.33387775399997</v>
      </c>
      <c r="K192" s="2">
        <f t="shared" si="73"/>
        <v>123.88188918683396</v>
      </c>
      <c r="L192" s="2">
        <f t="shared" si="73"/>
        <v>126.48340885975746</v>
      </c>
      <c r="M192" s="2">
        <f t="shared" si="73"/>
        <v>129.13956044581235</v>
      </c>
      <c r="N192" s="2">
        <f t="shared" si="73"/>
        <v>131.85149121517441</v>
      </c>
      <c r="O192" s="2">
        <f t="shared" si="73"/>
        <v>134.62037253069306</v>
      </c>
      <c r="P192" s="2">
        <f t="shared" si="73"/>
        <v>137.44740035383759</v>
      </c>
      <c r="Q192" s="2">
        <f t="shared" si="73"/>
        <v>140.33379576126816</v>
      </c>
      <c r="R192" s="2">
        <f t="shared" si="73"/>
        <v>143.28080547225477</v>
      </c>
      <c r="S192" s="2">
        <f t="shared" si="73"/>
        <v>146.2897023871721</v>
      </c>
      <c r="T192" s="2">
        <f t="shared" si="73"/>
        <v>149.36178613730269</v>
      </c>
      <c r="U192" s="2">
        <f t="shared" si="73"/>
        <v>152.49838364618603</v>
      </c>
      <c r="V192" s="2">
        <f t="shared" si="73"/>
        <v>155.70084970275593</v>
      </c>
      <c r="W192" s="2">
        <f t="shared" si="73"/>
        <v>158.97056754651379</v>
      </c>
      <c r="X192" s="2">
        <f t="shared" ref="X192:AA193" si="74">W192*(1+$G$14)*(1+X$191)</f>
        <v>162.30894946499058</v>
      </c>
      <c r="Y192" s="2">
        <f t="shared" si="74"/>
        <v>165.71743740375535</v>
      </c>
      <c r="Z192" s="2">
        <f t="shared" si="74"/>
        <v>169.1975035892342</v>
      </c>
      <c r="AA192" s="2">
        <f t="shared" si="74"/>
        <v>172.75065116460812</v>
      </c>
    </row>
    <row r="193" spans="1:29" x14ac:dyDescent="0.25">
      <c r="A193" s="14">
        <f>'Notes &amp; Assumptions'!A55</f>
        <v>42</v>
      </c>
      <c r="E193" t="s">
        <v>27</v>
      </c>
      <c r="F193" t="s">
        <v>4</v>
      </c>
      <c r="G193" s="10"/>
      <c r="H193" s="2">
        <f t="shared" si="73"/>
        <v>0</v>
      </c>
      <c r="I193" s="2">
        <f t="shared" si="73"/>
        <v>0</v>
      </c>
      <c r="J193" s="2">
        <f t="shared" si="73"/>
        <v>0</v>
      </c>
      <c r="K193" s="2">
        <f t="shared" si="73"/>
        <v>0</v>
      </c>
      <c r="L193" s="2">
        <f t="shared" si="73"/>
        <v>0</v>
      </c>
      <c r="M193" s="2">
        <f t="shared" si="73"/>
        <v>0</v>
      </c>
      <c r="N193" s="2">
        <f t="shared" si="73"/>
        <v>0</v>
      </c>
      <c r="O193" s="2">
        <f t="shared" si="73"/>
        <v>0</v>
      </c>
      <c r="P193" s="2">
        <f t="shared" si="73"/>
        <v>0</v>
      </c>
      <c r="Q193" s="2">
        <f t="shared" si="73"/>
        <v>0</v>
      </c>
      <c r="R193" s="2">
        <f t="shared" si="73"/>
        <v>0</v>
      </c>
      <c r="S193" s="2">
        <f t="shared" si="73"/>
        <v>0</v>
      </c>
      <c r="T193" s="2">
        <f t="shared" si="73"/>
        <v>0</v>
      </c>
      <c r="U193" s="2">
        <f t="shared" si="73"/>
        <v>0</v>
      </c>
      <c r="V193" s="2">
        <f t="shared" si="73"/>
        <v>0</v>
      </c>
      <c r="W193" s="2">
        <f t="shared" si="73"/>
        <v>0</v>
      </c>
      <c r="X193" s="2">
        <f t="shared" si="74"/>
        <v>0</v>
      </c>
      <c r="Y193" s="2">
        <f t="shared" si="74"/>
        <v>0</v>
      </c>
      <c r="Z193" s="2">
        <f t="shared" si="74"/>
        <v>0</v>
      </c>
      <c r="AA193" s="2">
        <f t="shared" si="74"/>
        <v>0</v>
      </c>
    </row>
    <row r="194" spans="1:29" x14ac:dyDescent="0.25">
      <c r="A194" s="14">
        <f>'Notes &amp; Assumptions'!A56</f>
        <v>43</v>
      </c>
      <c r="E194" t="s">
        <v>39</v>
      </c>
      <c r="F194" t="s">
        <v>7</v>
      </c>
      <c r="G194" s="2"/>
      <c r="H194" s="10"/>
      <c r="I194" s="10"/>
      <c r="J194" s="10"/>
      <c r="K194" s="10"/>
      <c r="L194" s="10"/>
      <c r="M194" s="10"/>
      <c r="N194" s="10"/>
      <c r="O194" s="10"/>
      <c r="P194" s="10"/>
      <c r="Q194" s="10"/>
      <c r="R194" s="10"/>
      <c r="S194" s="10"/>
      <c r="T194" s="10"/>
      <c r="U194" s="10"/>
      <c r="V194" s="10"/>
      <c r="W194" s="10"/>
      <c r="X194" s="10"/>
      <c r="Y194" s="10"/>
      <c r="Z194" s="10"/>
      <c r="AA194" s="10"/>
    </row>
    <row r="195" spans="1:29" x14ac:dyDescent="0.25">
      <c r="B195" s="14"/>
      <c r="C195" s="14"/>
      <c r="D195" s="14"/>
      <c r="E195" s="14"/>
      <c r="F195" s="14"/>
      <c r="G195" s="14"/>
      <c r="H195" s="14"/>
      <c r="I195" s="14"/>
      <c r="J195" s="14"/>
      <c r="K195" s="14"/>
      <c r="L195" s="14"/>
      <c r="M195" s="14"/>
      <c r="N195" s="14"/>
      <c r="O195" s="14"/>
      <c r="P195" s="14"/>
      <c r="Q195" s="14"/>
      <c r="R195" s="14"/>
      <c r="S195" s="14"/>
      <c r="T195" s="14"/>
      <c r="U195" s="14"/>
      <c r="V195" s="14"/>
      <c r="W195" s="14"/>
      <c r="X195" s="14"/>
      <c r="Y195" s="14"/>
      <c r="Z195" s="14"/>
      <c r="AA195" s="14"/>
      <c r="AB195" s="14"/>
      <c r="AC195" s="14"/>
    </row>
    <row r="196" spans="1:29" x14ac:dyDescent="0.25">
      <c r="D196" t="s">
        <v>124</v>
      </c>
      <c r="G196" s="14"/>
      <c r="H196" s="14"/>
      <c r="I196" s="14"/>
      <c r="J196" s="14"/>
      <c r="K196" s="14"/>
      <c r="L196" s="14"/>
      <c r="M196" s="14"/>
      <c r="N196" s="14"/>
      <c r="O196" s="14"/>
      <c r="P196" s="14"/>
      <c r="Q196" s="14"/>
      <c r="R196" s="14"/>
      <c r="S196" s="14"/>
      <c r="T196" s="14"/>
      <c r="U196" s="14"/>
      <c r="V196" s="14"/>
      <c r="W196" s="14"/>
      <c r="X196" s="14"/>
      <c r="Y196" s="14"/>
      <c r="Z196" s="14"/>
      <c r="AA196" s="14"/>
    </row>
    <row r="197" spans="1:29" x14ac:dyDescent="0.25">
      <c r="A197" s="14">
        <f>'Notes &amp; Assumptions'!A57</f>
        <v>44</v>
      </c>
      <c r="E197" t="s">
        <v>27</v>
      </c>
      <c r="F197" t="s">
        <v>4</v>
      </c>
      <c r="G197" s="14"/>
      <c r="H197" s="10"/>
      <c r="I197" s="10"/>
      <c r="J197" s="10"/>
      <c r="K197" s="10"/>
      <c r="L197" s="10"/>
      <c r="M197" s="10"/>
      <c r="N197" s="10"/>
      <c r="O197" s="10"/>
      <c r="P197" s="10"/>
      <c r="Q197" s="10"/>
      <c r="R197" s="10"/>
      <c r="S197" s="10"/>
      <c r="T197" s="10"/>
      <c r="U197" s="10"/>
      <c r="V197" s="10"/>
      <c r="W197" s="10"/>
      <c r="X197" s="10"/>
      <c r="Y197" s="10"/>
      <c r="Z197" s="10"/>
      <c r="AA197" s="10"/>
    </row>
    <row r="198" spans="1:29" x14ac:dyDescent="0.25">
      <c r="A198" s="14">
        <f>'Notes &amp; Assumptions'!A58</f>
        <v>45</v>
      </c>
      <c r="E198" t="s">
        <v>39</v>
      </c>
      <c r="F198" t="s">
        <v>7</v>
      </c>
      <c r="G198" s="2"/>
      <c r="H198" s="10"/>
      <c r="I198" s="10"/>
      <c r="J198" s="10"/>
      <c r="K198" s="10"/>
      <c r="L198" s="10"/>
      <c r="M198" s="10"/>
      <c r="N198" s="10"/>
      <c r="O198" s="10"/>
      <c r="P198" s="10"/>
      <c r="Q198" s="10"/>
      <c r="R198" s="10"/>
      <c r="S198" s="10"/>
      <c r="T198" s="10"/>
      <c r="U198" s="10"/>
      <c r="V198" s="10"/>
      <c r="W198" s="10"/>
      <c r="X198" s="10"/>
      <c r="Y198" s="10"/>
      <c r="Z198" s="10"/>
      <c r="AA198" s="10"/>
    </row>
    <row r="199" spans="1:29" x14ac:dyDescent="0.25">
      <c r="G199" s="2"/>
    </row>
    <row r="200" spans="1:29" x14ac:dyDescent="0.25">
      <c r="E200" t="s">
        <v>10</v>
      </c>
      <c r="F200" t="s">
        <v>7</v>
      </c>
      <c r="G200" s="2"/>
      <c r="H200" s="2">
        <f>H192*H175+(H193+H197)*H176+H194+H198</f>
        <v>238607.69999999998</v>
      </c>
      <c r="I200" s="2">
        <f t="shared" ref="I200:AA200" si="75">I192*I175+(I193+I197)*I176+I194+I198</f>
        <v>545467.67765999993</v>
      </c>
      <c r="J200" s="2">
        <f t="shared" si="75"/>
        <v>931079.77772086964</v>
      </c>
      <c r="K200" s="2">
        <f t="shared" si="75"/>
        <v>1378991.2494832422</v>
      </c>
      <c r="L200" s="2">
        <f t="shared" si="75"/>
        <v>1887537.2070959327</v>
      </c>
      <c r="M200" s="2">
        <f t="shared" si="75"/>
        <v>2455743.7093496569</v>
      </c>
      <c r="N200" s="2">
        <f t="shared" si="75"/>
        <v>3082226.3843915244</v>
      </c>
      <c r="O200" s="2">
        <f t="shared" si="75"/>
        <v>3765654.9085775586</v>
      </c>
      <c r="P200" s="2">
        <f t="shared" si="75"/>
        <v>4573081.1808727076</v>
      </c>
      <c r="Q200" s="2">
        <f t="shared" si="75"/>
        <v>5521320.9271904863</v>
      </c>
      <c r="R200" s="2">
        <f t="shared" si="75"/>
        <v>6558492.6054453477</v>
      </c>
      <c r="S200" s="2">
        <f t="shared" si="75"/>
        <v>7693009.7242854116</v>
      </c>
      <c r="T200" s="2">
        <f t="shared" si="75"/>
        <v>8932432.2581552491</v>
      </c>
      <c r="U200" s="2">
        <f t="shared" si="75"/>
        <v>10213213.248582557</v>
      </c>
      <c r="V200" s="2">
        <f t="shared" si="75"/>
        <v>11535907.094647124</v>
      </c>
      <c r="W200" s="2">
        <f t="shared" si="75"/>
        <v>11778161.143634714</v>
      </c>
      <c r="X200" s="2">
        <f t="shared" si="75"/>
        <v>12025502.527651042</v>
      </c>
      <c r="Y200" s="2">
        <f t="shared" si="75"/>
        <v>12278038.080731712</v>
      </c>
      <c r="Z200" s="2">
        <f t="shared" si="75"/>
        <v>12535876.880427077</v>
      </c>
      <c r="AA200" s="2">
        <f t="shared" si="75"/>
        <v>12799130.294916045</v>
      </c>
    </row>
    <row r="201" spans="1:29" x14ac:dyDescent="0.25">
      <c r="G201" s="2"/>
      <c r="H201" s="2"/>
      <c r="I201" s="2"/>
      <c r="J201" s="2"/>
      <c r="K201" s="2"/>
      <c r="L201" s="2"/>
      <c r="M201" s="2"/>
      <c r="N201" s="2"/>
      <c r="O201" s="2"/>
      <c r="P201" s="2"/>
      <c r="Q201" s="2"/>
      <c r="R201" s="2"/>
      <c r="S201" s="2"/>
      <c r="T201" s="2"/>
      <c r="U201" s="2"/>
      <c r="V201" s="2"/>
      <c r="W201" s="2"/>
      <c r="X201" s="2"/>
      <c r="Y201" s="2"/>
      <c r="Z201" s="2"/>
      <c r="AA201" s="2"/>
    </row>
    <row r="202" spans="1:29" x14ac:dyDescent="0.25">
      <c r="C202" s="1" t="s">
        <v>48</v>
      </c>
      <c r="G202" s="2"/>
      <c r="H202" s="2"/>
      <c r="I202" s="2"/>
      <c r="J202" s="2"/>
      <c r="K202" s="2"/>
      <c r="L202" s="2"/>
      <c r="M202" s="2"/>
      <c r="N202" s="2"/>
      <c r="O202" s="2"/>
      <c r="P202" s="2"/>
      <c r="Q202" s="2"/>
      <c r="R202" s="2"/>
      <c r="S202" s="2"/>
      <c r="T202" s="2"/>
      <c r="U202" s="2"/>
      <c r="V202" s="2"/>
      <c r="W202" s="2"/>
      <c r="X202" s="2"/>
      <c r="Y202" s="2"/>
      <c r="Z202" s="2"/>
      <c r="AA202" s="2"/>
    </row>
    <row r="203" spans="1:29" x14ac:dyDescent="0.25">
      <c r="A203" s="14">
        <f>'Notes &amp; Assumptions'!A59</f>
        <v>46</v>
      </c>
      <c r="E203" s="10" t="s">
        <v>44</v>
      </c>
      <c r="F203" t="s">
        <v>7</v>
      </c>
      <c r="G203" s="2"/>
      <c r="H203" s="10"/>
      <c r="I203" s="10"/>
      <c r="J203" s="10"/>
      <c r="K203" s="10"/>
      <c r="L203" s="10"/>
      <c r="M203" s="10"/>
      <c r="N203" s="10"/>
      <c r="O203" s="10"/>
      <c r="P203" s="10"/>
      <c r="Q203" s="10"/>
      <c r="R203" s="10"/>
      <c r="S203" s="10"/>
      <c r="T203" s="10"/>
      <c r="U203" s="10"/>
      <c r="V203" s="10"/>
      <c r="W203" s="10"/>
      <c r="X203" s="10"/>
      <c r="Y203" s="10"/>
      <c r="Z203" s="10"/>
      <c r="AA203" s="10"/>
    </row>
    <row r="204" spans="1:29" x14ac:dyDescent="0.25">
      <c r="A204" s="14">
        <f>'Notes &amp; Assumptions'!A60</f>
        <v>47</v>
      </c>
      <c r="E204" s="10" t="s">
        <v>45</v>
      </c>
      <c r="F204" t="s">
        <v>7</v>
      </c>
      <c r="G204" s="2"/>
      <c r="H204" s="10"/>
      <c r="I204" s="10"/>
      <c r="J204" s="10"/>
      <c r="K204" s="10"/>
      <c r="L204" s="10"/>
      <c r="M204" s="10"/>
      <c r="N204" s="10"/>
      <c r="O204" s="10"/>
      <c r="P204" s="10"/>
      <c r="Q204" s="10"/>
      <c r="R204" s="10"/>
      <c r="S204" s="10"/>
      <c r="T204" s="10"/>
      <c r="U204" s="10"/>
      <c r="V204" s="10"/>
      <c r="W204" s="10"/>
      <c r="X204" s="10"/>
      <c r="Y204" s="10"/>
      <c r="Z204" s="10"/>
      <c r="AA204" s="10"/>
    </row>
    <row r="205" spans="1:29" x14ac:dyDescent="0.25">
      <c r="A205" s="14">
        <f>'Notes &amp; Assumptions'!A61</f>
        <v>48</v>
      </c>
      <c r="E205" s="10" t="s">
        <v>46</v>
      </c>
      <c r="F205" t="s">
        <v>7</v>
      </c>
      <c r="G205" s="2"/>
      <c r="H205" s="10"/>
      <c r="I205" s="10"/>
      <c r="J205" s="10"/>
      <c r="K205" s="10"/>
      <c r="L205" s="10"/>
      <c r="M205" s="10"/>
      <c r="N205" s="10"/>
      <c r="O205" s="10"/>
      <c r="P205" s="10"/>
      <c r="Q205" s="10"/>
      <c r="R205" s="10"/>
      <c r="S205" s="10"/>
      <c r="T205" s="10"/>
      <c r="U205" s="10"/>
      <c r="V205" s="10"/>
      <c r="W205" s="10"/>
      <c r="X205" s="10"/>
      <c r="Y205" s="10"/>
      <c r="Z205" s="10"/>
      <c r="AA205" s="10"/>
    </row>
    <row r="206" spans="1:29" x14ac:dyDescent="0.25">
      <c r="A206" s="14">
        <f>'Notes &amp; Assumptions'!A62</f>
        <v>49</v>
      </c>
      <c r="E206" s="10" t="s">
        <v>47</v>
      </c>
      <c r="F206" t="s">
        <v>7</v>
      </c>
      <c r="G206" s="2"/>
      <c r="H206" s="10"/>
      <c r="I206" s="10"/>
      <c r="J206" s="10"/>
      <c r="K206" s="10"/>
      <c r="L206" s="10"/>
      <c r="M206" s="10"/>
      <c r="N206" s="10"/>
      <c r="O206" s="10"/>
      <c r="P206" s="10"/>
      <c r="Q206" s="10"/>
      <c r="R206" s="10"/>
      <c r="S206" s="10"/>
      <c r="T206" s="10"/>
      <c r="U206" s="10"/>
      <c r="V206" s="10"/>
      <c r="W206" s="10"/>
      <c r="X206" s="10"/>
      <c r="Y206" s="10"/>
      <c r="Z206" s="10"/>
      <c r="AA206" s="10"/>
    </row>
    <row r="207" spans="1:29" x14ac:dyDescent="0.25">
      <c r="E207" t="s">
        <v>17</v>
      </c>
      <c r="G207" s="2"/>
      <c r="H207" s="2">
        <f>SUM(H203:H206)</f>
        <v>0</v>
      </c>
      <c r="I207" s="2">
        <f t="shared" ref="I207:AA207" si="76">SUM(I203:I206)</f>
        <v>0</v>
      </c>
      <c r="J207" s="2">
        <f t="shared" si="76"/>
        <v>0</v>
      </c>
      <c r="K207" s="2">
        <f t="shared" si="76"/>
        <v>0</v>
      </c>
      <c r="L207" s="2">
        <f t="shared" si="76"/>
        <v>0</v>
      </c>
      <c r="M207" s="2">
        <f t="shared" si="76"/>
        <v>0</v>
      </c>
      <c r="N207" s="2">
        <f t="shared" si="76"/>
        <v>0</v>
      </c>
      <c r="O207" s="2">
        <f t="shared" si="76"/>
        <v>0</v>
      </c>
      <c r="P207" s="2">
        <f t="shared" si="76"/>
        <v>0</v>
      </c>
      <c r="Q207" s="2">
        <f t="shared" si="76"/>
        <v>0</v>
      </c>
      <c r="R207" s="2">
        <f t="shared" si="76"/>
        <v>0</v>
      </c>
      <c r="S207" s="2">
        <f t="shared" si="76"/>
        <v>0</v>
      </c>
      <c r="T207" s="2">
        <f t="shared" si="76"/>
        <v>0</v>
      </c>
      <c r="U207" s="2">
        <f t="shared" si="76"/>
        <v>0</v>
      </c>
      <c r="V207" s="2">
        <f t="shared" si="76"/>
        <v>0</v>
      </c>
      <c r="W207" s="2">
        <f t="shared" si="76"/>
        <v>0</v>
      </c>
      <c r="X207" s="2">
        <f t="shared" si="76"/>
        <v>0</v>
      </c>
      <c r="Y207" s="2">
        <f t="shared" si="76"/>
        <v>0</v>
      </c>
      <c r="Z207" s="2">
        <f t="shared" si="76"/>
        <v>0</v>
      </c>
      <c r="AA207" s="2">
        <f t="shared" si="76"/>
        <v>0</v>
      </c>
    </row>
    <row r="208" spans="1:29" x14ac:dyDescent="0.25">
      <c r="G208" s="2"/>
      <c r="H208" s="2"/>
      <c r="I208" s="2"/>
      <c r="J208" s="2"/>
      <c r="K208" s="2"/>
      <c r="L208" s="2"/>
      <c r="M208" s="2"/>
      <c r="N208" s="2"/>
      <c r="O208" s="2"/>
      <c r="P208" s="2"/>
      <c r="Q208" s="2"/>
      <c r="R208" s="2"/>
      <c r="S208" s="2"/>
      <c r="T208" s="2"/>
      <c r="U208" s="2"/>
      <c r="V208" s="2"/>
      <c r="W208" s="2"/>
      <c r="X208" s="2"/>
      <c r="Y208" s="2"/>
      <c r="Z208" s="2"/>
      <c r="AA208" s="2"/>
    </row>
    <row r="209" spans="1:28" x14ac:dyDescent="0.25">
      <c r="C209" s="1" t="s">
        <v>49</v>
      </c>
      <c r="G209" s="2"/>
      <c r="H209" s="2"/>
      <c r="I209" s="2"/>
      <c r="J209" s="2"/>
      <c r="K209" s="2"/>
      <c r="L209" s="2"/>
      <c r="M209" s="2"/>
      <c r="N209" s="2"/>
      <c r="O209" s="2"/>
      <c r="P209" s="2"/>
      <c r="Q209" s="2"/>
      <c r="R209" s="2"/>
      <c r="S209" s="2"/>
      <c r="T209" s="2"/>
      <c r="U209" s="2"/>
      <c r="V209" s="2"/>
      <c r="W209" s="2"/>
      <c r="X209" s="2"/>
      <c r="Y209" s="2"/>
      <c r="Z209" s="2"/>
      <c r="AA209" s="2"/>
    </row>
    <row r="210" spans="1:28" x14ac:dyDescent="0.25">
      <c r="A210" s="14">
        <f>'Notes &amp; Assumptions'!A63</f>
        <v>50</v>
      </c>
      <c r="E210" s="10"/>
      <c r="F210" t="s">
        <v>7</v>
      </c>
      <c r="G210" s="24">
        <v>0</v>
      </c>
      <c r="H210" s="10">
        <f>H107*($G$210*(1+$G$14)^(H2))</f>
        <v>0</v>
      </c>
      <c r="I210" s="10">
        <f>I107*($G$210*(1+$G$14)^(I2))</f>
        <v>0</v>
      </c>
      <c r="J210" s="10">
        <f t="shared" ref="J210:AA210" si="77">J107*($G$210*(1+$G$14)^(J2))</f>
        <v>0</v>
      </c>
      <c r="K210" s="10">
        <f t="shared" si="77"/>
        <v>0</v>
      </c>
      <c r="L210" s="10">
        <f t="shared" si="77"/>
        <v>0</v>
      </c>
      <c r="M210" s="10">
        <f t="shared" si="77"/>
        <v>0</v>
      </c>
      <c r="N210" s="10">
        <f t="shared" si="77"/>
        <v>0</v>
      </c>
      <c r="O210" s="10">
        <f t="shared" si="77"/>
        <v>0</v>
      </c>
      <c r="P210" s="10">
        <f t="shared" si="77"/>
        <v>0</v>
      </c>
      <c r="Q210" s="10">
        <f t="shared" si="77"/>
        <v>0</v>
      </c>
      <c r="R210" s="10">
        <f t="shared" si="77"/>
        <v>0</v>
      </c>
      <c r="S210" s="10">
        <f t="shared" si="77"/>
        <v>0</v>
      </c>
      <c r="T210" s="10">
        <f t="shared" si="77"/>
        <v>0</v>
      </c>
      <c r="U210" s="10">
        <f t="shared" si="77"/>
        <v>0</v>
      </c>
      <c r="V210" s="10">
        <f t="shared" si="77"/>
        <v>0</v>
      </c>
      <c r="W210" s="10">
        <f t="shared" si="77"/>
        <v>0</v>
      </c>
      <c r="X210" s="10">
        <f t="shared" si="77"/>
        <v>0</v>
      </c>
      <c r="Y210" s="10">
        <f t="shared" si="77"/>
        <v>0</v>
      </c>
      <c r="Z210" s="10">
        <f t="shared" si="77"/>
        <v>0</v>
      </c>
      <c r="AA210" s="10">
        <f t="shared" si="77"/>
        <v>0</v>
      </c>
    </row>
    <row r="211" spans="1:28" x14ac:dyDescent="0.25">
      <c r="A211" s="14">
        <f>'Notes &amp; Assumptions'!A64</f>
        <v>51</v>
      </c>
      <c r="E211" s="10" t="s">
        <v>50</v>
      </c>
      <c r="F211" t="s">
        <v>7</v>
      </c>
      <c r="G211" s="2"/>
      <c r="H211" s="10"/>
      <c r="I211" s="10"/>
      <c r="J211" s="10"/>
      <c r="K211" s="10"/>
      <c r="L211" s="10"/>
      <c r="M211" s="10"/>
      <c r="N211" s="10"/>
      <c r="O211" s="10"/>
      <c r="P211" s="10"/>
      <c r="Q211" s="10"/>
      <c r="R211" s="10"/>
      <c r="S211" s="10"/>
      <c r="T211" s="10"/>
      <c r="U211" s="10"/>
      <c r="V211" s="10"/>
      <c r="W211" s="10"/>
      <c r="X211" s="10"/>
      <c r="Y211" s="10"/>
      <c r="Z211" s="10"/>
      <c r="AA211" s="10"/>
    </row>
    <row r="212" spans="1:28" x14ac:dyDescent="0.25">
      <c r="A212" s="14">
        <f>'Notes &amp; Assumptions'!A65</f>
        <v>52</v>
      </c>
      <c r="E212" s="10" t="s">
        <v>51</v>
      </c>
      <c r="F212" t="s">
        <v>7</v>
      </c>
      <c r="G212" s="2"/>
      <c r="H212" s="10"/>
      <c r="I212" s="10"/>
      <c r="J212" s="10"/>
      <c r="K212" s="10"/>
      <c r="L212" s="10"/>
      <c r="M212" s="10"/>
      <c r="N212" s="10"/>
      <c r="O212" s="10"/>
      <c r="P212" s="10"/>
      <c r="Q212" s="10"/>
      <c r="R212" s="10"/>
      <c r="S212" s="10"/>
      <c r="T212" s="10"/>
      <c r="U212" s="10"/>
      <c r="V212" s="10"/>
      <c r="W212" s="10"/>
      <c r="X212" s="10"/>
      <c r="Y212" s="10"/>
      <c r="Z212" s="10"/>
      <c r="AA212" s="10"/>
    </row>
    <row r="213" spans="1:28" x14ac:dyDescent="0.25">
      <c r="A213" s="14">
        <f>'Notes &amp; Assumptions'!A66</f>
        <v>53</v>
      </c>
      <c r="E213" s="10" t="s">
        <v>52</v>
      </c>
      <c r="F213" t="s">
        <v>7</v>
      </c>
      <c r="G213" s="2"/>
      <c r="H213" s="10"/>
      <c r="I213" s="10"/>
      <c r="J213" s="10"/>
      <c r="K213" s="10"/>
      <c r="L213" s="10"/>
      <c r="M213" s="10"/>
      <c r="N213" s="10"/>
      <c r="O213" s="10"/>
      <c r="P213" s="10"/>
      <c r="Q213" s="10"/>
      <c r="R213" s="10"/>
      <c r="S213" s="10"/>
      <c r="T213" s="10"/>
      <c r="U213" s="10"/>
      <c r="V213" s="10"/>
      <c r="W213" s="10"/>
      <c r="X213" s="10"/>
      <c r="Y213" s="10"/>
      <c r="Z213" s="10"/>
      <c r="AA213" s="10"/>
    </row>
    <row r="214" spans="1:28" x14ac:dyDescent="0.25">
      <c r="E214" t="s">
        <v>17</v>
      </c>
      <c r="G214" s="2"/>
      <c r="H214" s="2">
        <f>SUM(H210:H213)</f>
        <v>0</v>
      </c>
      <c r="I214" s="2">
        <f t="shared" ref="I214:AA214" si="78">SUM(I210:I213)</f>
        <v>0</v>
      </c>
      <c r="J214" s="2">
        <f t="shared" si="78"/>
        <v>0</v>
      </c>
      <c r="K214" s="2">
        <f t="shared" si="78"/>
        <v>0</v>
      </c>
      <c r="L214" s="2">
        <f t="shared" si="78"/>
        <v>0</v>
      </c>
      <c r="M214" s="2">
        <f t="shared" si="78"/>
        <v>0</v>
      </c>
      <c r="N214" s="2">
        <f t="shared" si="78"/>
        <v>0</v>
      </c>
      <c r="O214" s="2">
        <f t="shared" si="78"/>
        <v>0</v>
      </c>
      <c r="P214" s="2">
        <f t="shared" si="78"/>
        <v>0</v>
      </c>
      <c r="Q214" s="2">
        <f t="shared" si="78"/>
        <v>0</v>
      </c>
      <c r="R214" s="2">
        <f t="shared" si="78"/>
        <v>0</v>
      </c>
      <c r="S214" s="2">
        <f t="shared" si="78"/>
        <v>0</v>
      </c>
      <c r="T214" s="2">
        <f t="shared" si="78"/>
        <v>0</v>
      </c>
      <c r="U214" s="2">
        <f t="shared" si="78"/>
        <v>0</v>
      </c>
      <c r="V214" s="2">
        <f t="shared" si="78"/>
        <v>0</v>
      </c>
      <c r="W214" s="2">
        <f t="shared" si="78"/>
        <v>0</v>
      </c>
      <c r="X214" s="2">
        <f t="shared" si="78"/>
        <v>0</v>
      </c>
      <c r="Y214" s="2">
        <f t="shared" si="78"/>
        <v>0</v>
      </c>
      <c r="Z214" s="2">
        <f t="shared" si="78"/>
        <v>0</v>
      </c>
      <c r="AA214" s="2">
        <f t="shared" si="78"/>
        <v>0</v>
      </c>
    </row>
    <row r="215" spans="1:28" x14ac:dyDescent="0.25">
      <c r="G215" s="2"/>
      <c r="H215" s="2"/>
      <c r="I215" s="2"/>
      <c r="J215" s="2"/>
      <c r="K215" s="2"/>
      <c r="L215" s="2"/>
      <c r="M215" s="2"/>
      <c r="N215" s="2"/>
      <c r="O215" s="2"/>
      <c r="P215" s="2"/>
      <c r="Q215" s="2"/>
      <c r="R215" s="2"/>
      <c r="S215" s="2"/>
      <c r="T215" s="2"/>
      <c r="U215" s="2"/>
      <c r="V215" s="2"/>
      <c r="W215" s="2"/>
      <c r="X215" s="2"/>
      <c r="Y215" s="2"/>
      <c r="Z215" s="2"/>
      <c r="AA215" s="2"/>
    </row>
    <row r="216" spans="1:28" x14ac:dyDescent="0.25">
      <c r="C216" s="1" t="s">
        <v>33</v>
      </c>
      <c r="G216" s="2"/>
      <c r="H216" s="2"/>
      <c r="I216" s="2"/>
      <c r="J216" s="2"/>
      <c r="K216" s="2"/>
      <c r="L216" s="2"/>
      <c r="M216" s="2"/>
      <c r="N216" s="2"/>
      <c r="O216" s="2"/>
      <c r="P216" s="2"/>
      <c r="Q216" s="2"/>
      <c r="R216" s="2"/>
      <c r="S216" s="2"/>
      <c r="T216" s="2"/>
      <c r="U216" s="2"/>
      <c r="V216" s="2"/>
      <c r="W216" s="2"/>
      <c r="X216" s="2"/>
      <c r="Y216" s="2"/>
      <c r="Z216" s="2"/>
      <c r="AA216" s="2"/>
    </row>
    <row r="217" spans="1:28" x14ac:dyDescent="0.25">
      <c r="C217" s="1"/>
      <c r="D217" s="1"/>
      <c r="E217" t="s">
        <v>29</v>
      </c>
      <c r="F217" t="s">
        <v>3</v>
      </c>
      <c r="G217" s="44"/>
      <c r="H217" s="2">
        <f t="shared" ref="H217:AA217" si="79">H174</f>
        <v>2050</v>
      </c>
      <c r="I217" s="2">
        <f t="shared" si="79"/>
        <v>2540</v>
      </c>
      <c r="J217" s="2">
        <f t="shared" si="79"/>
        <v>3083.7000000000003</v>
      </c>
      <c r="K217" s="2">
        <f t="shared" si="79"/>
        <v>3457.8</v>
      </c>
      <c r="L217" s="2">
        <f t="shared" si="79"/>
        <v>3791.7</v>
      </c>
      <c r="M217" s="2">
        <f t="shared" si="79"/>
        <v>4092.9999999999995</v>
      </c>
      <c r="N217" s="2">
        <f t="shared" si="79"/>
        <v>4360.2999999999993</v>
      </c>
      <c r="O217" s="2">
        <f t="shared" si="79"/>
        <v>4595.8999999999996</v>
      </c>
      <c r="P217" s="2">
        <f t="shared" si="79"/>
        <v>5299.0999999999995</v>
      </c>
      <c r="Q217" s="2">
        <f t="shared" si="79"/>
        <v>6072.6999999999989</v>
      </c>
      <c r="R217" s="2">
        <f t="shared" si="79"/>
        <v>6429.4999999999991</v>
      </c>
      <c r="S217" s="2">
        <f t="shared" si="79"/>
        <v>6813.7999999999984</v>
      </c>
      <c r="T217" s="2">
        <f t="shared" si="79"/>
        <v>7216.4999999999982</v>
      </c>
      <c r="U217" s="2">
        <f t="shared" si="79"/>
        <v>7168.5999999999985</v>
      </c>
      <c r="V217" s="2">
        <f t="shared" si="79"/>
        <v>7117.5999999999985</v>
      </c>
      <c r="W217" s="2">
        <f t="shared" si="79"/>
        <v>0</v>
      </c>
      <c r="X217" s="2">
        <f t="shared" si="79"/>
        <v>0</v>
      </c>
      <c r="Y217" s="2">
        <f t="shared" si="79"/>
        <v>0</v>
      </c>
      <c r="Z217" s="2">
        <f t="shared" si="79"/>
        <v>0</v>
      </c>
      <c r="AA217" s="2">
        <f t="shared" si="79"/>
        <v>0</v>
      </c>
    </row>
    <row r="218" spans="1:28" x14ac:dyDescent="0.25">
      <c r="E218" t="s">
        <v>18</v>
      </c>
      <c r="F218" t="s">
        <v>22</v>
      </c>
      <c r="G218" s="8">
        <f ca="1">MAX(0,-G245/(NPV($G$16,H217:AA217)))</f>
        <v>11815.466967771375</v>
      </c>
      <c r="H218" s="2">
        <f ca="1">G218*(1+$G$14)</f>
        <v>12063.591774094573</v>
      </c>
      <c r="I218" s="2">
        <f t="shared" ref="I218:AA218" ca="1" si="80">H218*(1+$G$14)</f>
        <v>12316.927201350558</v>
      </c>
      <c r="J218" s="2">
        <f t="shared" ca="1" si="80"/>
        <v>12575.582672578919</v>
      </c>
      <c r="K218" s="2">
        <f t="shared" ca="1" si="80"/>
        <v>12839.669908703076</v>
      </c>
      <c r="L218" s="2">
        <f t="shared" ca="1" si="80"/>
        <v>13109.302976785839</v>
      </c>
      <c r="M218" s="2">
        <f t="shared" ca="1" si="80"/>
        <v>13384.59833929834</v>
      </c>
      <c r="N218" s="2">
        <f t="shared" ca="1" si="80"/>
        <v>13665.674904423604</v>
      </c>
      <c r="O218" s="2">
        <f t="shared" ca="1" si="80"/>
        <v>13952.654077416499</v>
      </c>
      <c r="P218" s="2">
        <f t="shared" ca="1" si="80"/>
        <v>14245.659813042244</v>
      </c>
      <c r="Q218" s="2">
        <f t="shared" ca="1" si="80"/>
        <v>14544.81866911613</v>
      </c>
      <c r="R218" s="2">
        <f t="shared" ca="1" si="80"/>
        <v>14850.259861167568</v>
      </c>
      <c r="S218" s="2">
        <f t="shared" ca="1" si="80"/>
        <v>15162.115318252085</v>
      </c>
      <c r="T218" s="2">
        <f t="shared" ca="1" si="80"/>
        <v>15480.519739935376</v>
      </c>
      <c r="U218" s="2">
        <f t="shared" ca="1" si="80"/>
        <v>15805.610654474018</v>
      </c>
      <c r="V218" s="2">
        <f t="shared" ca="1" si="80"/>
        <v>16137.528478217971</v>
      </c>
      <c r="W218" s="2">
        <f t="shared" ca="1" si="80"/>
        <v>16476.416576260548</v>
      </c>
      <c r="X218" s="2">
        <f t="shared" ca="1" si="80"/>
        <v>16822.421324362018</v>
      </c>
      <c r="Y218" s="2">
        <f t="shared" ca="1" si="80"/>
        <v>17175.692172173618</v>
      </c>
      <c r="Z218" s="2">
        <f t="shared" ca="1" si="80"/>
        <v>17536.381707789264</v>
      </c>
      <c r="AA218" s="2">
        <f t="shared" ca="1" si="80"/>
        <v>17904.645723652837</v>
      </c>
    </row>
    <row r="219" spans="1:28" x14ac:dyDescent="0.25">
      <c r="E219" t="s">
        <v>21</v>
      </c>
      <c r="F219" t="s">
        <v>7</v>
      </c>
      <c r="H219" s="2">
        <f ca="1">H218*H217</f>
        <v>24730363.136893876</v>
      </c>
      <c r="I219" s="2">
        <f t="shared" ref="I219:AA219" ca="1" si="81">I218*I217</f>
        <v>31284995.091430418</v>
      </c>
      <c r="J219" s="2">
        <f t="shared" ca="1" si="81"/>
        <v>38779324.28743162</v>
      </c>
      <c r="K219" s="2">
        <f t="shared" ca="1" si="81"/>
        <v>44397010.610313497</v>
      </c>
      <c r="L219" s="2">
        <f t="shared" ca="1" si="81"/>
        <v>49706544.09707886</v>
      </c>
      <c r="M219" s="2">
        <f t="shared" ca="1" si="81"/>
        <v>54783161.002748102</v>
      </c>
      <c r="N219" s="2">
        <f t="shared" ca="1" si="81"/>
        <v>59586442.285758227</v>
      </c>
      <c r="O219" s="2">
        <f t="shared" ca="1" si="81"/>
        <v>64125002.874398485</v>
      </c>
      <c r="P219" s="2">
        <f t="shared" ca="1" si="81"/>
        <v>75489175.915292144</v>
      </c>
      <c r="Q219" s="2">
        <f t="shared" ca="1" si="81"/>
        <v>88326320.3319415</v>
      </c>
      <c r="R219" s="2">
        <f t="shared" ca="1" si="81"/>
        <v>95479745.77737686</v>
      </c>
      <c r="S219" s="2">
        <f t="shared" ca="1" si="81"/>
        <v>103311621.35550603</v>
      </c>
      <c r="T219" s="2">
        <f t="shared" ca="1" si="81"/>
        <v>111715170.70324361</v>
      </c>
      <c r="U219" s="2">
        <f t="shared" ca="1" si="81"/>
        <v>113304100.53766242</v>
      </c>
      <c r="V219" s="2">
        <f t="shared" ca="1" si="81"/>
        <v>114860472.69656421</v>
      </c>
      <c r="W219" s="2">
        <f t="shared" ca="1" si="81"/>
        <v>0</v>
      </c>
      <c r="X219" s="2">
        <f t="shared" ca="1" si="81"/>
        <v>0</v>
      </c>
      <c r="Y219" s="2">
        <f t="shared" ca="1" si="81"/>
        <v>0</v>
      </c>
      <c r="Z219" s="2">
        <f t="shared" ca="1" si="81"/>
        <v>0</v>
      </c>
      <c r="AA219" s="2">
        <f t="shared" ca="1" si="81"/>
        <v>0</v>
      </c>
    </row>
    <row r="220" spans="1:28" x14ac:dyDescent="0.25">
      <c r="G220" s="8">
        <f ca="1">-G245/(NPV($G$16,H217:AA217))</f>
        <v>11815.466967771375</v>
      </c>
    </row>
    <row r="221" spans="1:28" x14ac:dyDescent="0.25">
      <c r="D221" t="s">
        <v>9</v>
      </c>
    </row>
    <row r="222" spans="1:28" x14ac:dyDescent="0.25">
      <c r="E222" t="s">
        <v>107</v>
      </c>
      <c r="F222" t="s">
        <v>7</v>
      </c>
      <c r="G222" s="2">
        <f t="shared" ref="G222:AA222" si="82">G42</f>
        <v>0</v>
      </c>
      <c r="H222" s="2">
        <f t="shared" si="82"/>
        <v>7325674.9999999991</v>
      </c>
      <c r="I222" s="2">
        <f t="shared" si="82"/>
        <v>9267300.4899999965</v>
      </c>
      <c r="J222" s="2">
        <f t="shared" si="82"/>
        <v>11487284.876359947</v>
      </c>
      <c r="K222" s="2">
        <f t="shared" si="82"/>
        <v>13151366.557068599</v>
      </c>
      <c r="L222" s="2">
        <f t="shared" si="82"/>
        <v>14724166.621117525</v>
      </c>
      <c r="M222" s="2">
        <f t="shared" si="82"/>
        <v>16227971.694442844</v>
      </c>
      <c r="N222" s="2">
        <f t="shared" si="82"/>
        <v>17650808.772011723</v>
      </c>
      <c r="O222" s="2">
        <f t="shared" si="82"/>
        <v>18995229.784195982</v>
      </c>
      <c r="P222" s="2">
        <f t="shared" si="82"/>
        <v>22361546.642566416</v>
      </c>
      <c r="Q222" s="2">
        <f t="shared" si="82"/>
        <v>26164189.871211268</v>
      </c>
      <c r="R222" s="2">
        <f t="shared" si="82"/>
        <v>28283191.103013303</v>
      </c>
      <c r="S222" s="2">
        <f t="shared" si="82"/>
        <v>30603164.11789469</v>
      </c>
      <c r="T222" s="2">
        <f t="shared" si="82"/>
        <v>33092479.419381183</v>
      </c>
      <c r="U222" s="2">
        <f t="shared" si="82"/>
        <v>33563155.22386992</v>
      </c>
      <c r="V222" s="2">
        <f t="shared" si="82"/>
        <v>34024186.732062921</v>
      </c>
      <c r="W222" s="2">
        <f t="shared" si="82"/>
        <v>0</v>
      </c>
      <c r="X222" s="2">
        <f t="shared" si="82"/>
        <v>0</v>
      </c>
      <c r="Y222" s="2">
        <f t="shared" si="82"/>
        <v>0</v>
      </c>
      <c r="Z222" s="2">
        <f t="shared" si="82"/>
        <v>0</v>
      </c>
      <c r="AA222" s="2">
        <f t="shared" si="82"/>
        <v>0</v>
      </c>
    </row>
    <row r="223" spans="1:28" x14ac:dyDescent="0.25">
      <c r="E223" t="s">
        <v>11</v>
      </c>
      <c r="F223" t="s">
        <v>7</v>
      </c>
      <c r="G223" s="2">
        <f t="shared" ref="G223:AA223" si="83">G177</f>
        <v>0</v>
      </c>
      <c r="H223" s="2">
        <f t="shared" si="83"/>
        <v>1145668.7758802876</v>
      </c>
      <c r="I223" s="2">
        <f t="shared" si="83"/>
        <v>2489341.2673551999</v>
      </c>
      <c r="J223" s="2">
        <f t="shared" si="83"/>
        <v>4169471.2914060657</v>
      </c>
      <c r="K223" s="2">
        <f t="shared" si="83"/>
        <v>6078387.3304922953</v>
      </c>
      <c r="L223" s="2">
        <f t="shared" si="83"/>
        <v>8212422.7001230363</v>
      </c>
      <c r="M223" s="2">
        <f t="shared" si="83"/>
        <v>10564938.798287198</v>
      </c>
      <c r="N223" s="2">
        <f t="shared" si="83"/>
        <v>13133382.524298349</v>
      </c>
      <c r="O223" s="2">
        <f t="shared" si="83"/>
        <v>15912638.88719474</v>
      </c>
      <c r="P223" s="2">
        <f t="shared" si="83"/>
        <v>19170204.060653832</v>
      </c>
      <c r="Q223" s="2">
        <f t="shared" si="83"/>
        <v>22972073.119194571</v>
      </c>
      <c r="R223" s="2">
        <f t="shared" si="83"/>
        <v>27128917.474331915</v>
      </c>
      <c r="S223" s="2">
        <f t="shared" si="83"/>
        <v>31676275.62449681</v>
      </c>
      <c r="T223" s="2">
        <f t="shared" si="83"/>
        <v>36640250.598459661</v>
      </c>
      <c r="U223" s="2">
        <f t="shared" si="83"/>
        <v>41768518.591405548</v>
      </c>
      <c r="V223" s="2">
        <f t="shared" si="83"/>
        <v>47066834.800142556</v>
      </c>
      <c r="W223" s="2">
        <f t="shared" si="83"/>
        <v>48055238.330945551</v>
      </c>
      <c r="X223" s="2">
        <f t="shared" si="83"/>
        <v>49064398.335895404</v>
      </c>
      <c r="Y223" s="2">
        <f t="shared" si="83"/>
        <v>50094750.700949207</v>
      </c>
      <c r="Z223" s="2">
        <f t="shared" si="83"/>
        <v>51146740.465669133</v>
      </c>
      <c r="AA223" s="2">
        <f t="shared" si="83"/>
        <v>52220822.015448183</v>
      </c>
      <c r="AB223" s="2">
        <f>SUM(H223:AA223)</f>
        <v>538711275.69262958</v>
      </c>
    </row>
    <row r="224" spans="1:28" x14ac:dyDescent="0.25">
      <c r="E224" t="s">
        <v>57</v>
      </c>
      <c r="F224" t="s">
        <v>7</v>
      </c>
      <c r="G224" s="2">
        <f t="shared" ref="G224:AA224" si="84">-G187</f>
        <v>0</v>
      </c>
      <c r="H224" s="2">
        <f t="shared" si="84"/>
        <v>-823584.24806948914</v>
      </c>
      <c r="I224" s="2">
        <f t="shared" si="84"/>
        <v>-1878977.6409096962</v>
      </c>
      <c r="J224" s="2">
        <f t="shared" si="84"/>
        <v>-3203416.2846636195</v>
      </c>
      <c r="K224" s="2">
        <f t="shared" si="84"/>
        <v>-4735867.7122820318</v>
      </c>
      <c r="L224" s="2">
        <f t="shared" si="84"/>
        <v>-6472812.1084424779</v>
      </c>
      <c r="M224" s="2">
        <f t="shared" si="84"/>
        <v>-8410696.3118881825</v>
      </c>
      <c r="N224" s="2">
        <f t="shared" si="84"/>
        <v>-10545081.22729216</v>
      </c>
      <c r="O224" s="2">
        <f t="shared" si="84"/>
        <v>-12871464.647283694</v>
      </c>
      <c r="P224" s="2">
        <f t="shared" si="84"/>
        <v>-15617630.426415991</v>
      </c>
      <c r="Q224" s="2">
        <f t="shared" si="84"/>
        <v>-18840606.960301302</v>
      </c>
      <c r="R224" s="2">
        <f t="shared" si="84"/>
        <v>-22365713.59044046</v>
      </c>
      <c r="S224" s="2">
        <f t="shared" si="84"/>
        <v>-26221707.401680533</v>
      </c>
      <c r="T224" s="2">
        <f t="shared" si="84"/>
        <v>-30433910.24674651</v>
      </c>
      <c r="U224" s="2">
        <f t="shared" si="84"/>
        <v>-34786550.688150644</v>
      </c>
      <c r="V224" s="2">
        <f t="shared" si="84"/>
        <v>-39281826.85086789</v>
      </c>
      <c r="W224" s="2">
        <f t="shared" si="84"/>
        <v>-40106745.214736119</v>
      </c>
      <c r="X224" s="2">
        <f t="shared" si="84"/>
        <v>-40948986.864245564</v>
      </c>
      <c r="Y224" s="2">
        <f t="shared" si="84"/>
        <v>-41808915.588394716</v>
      </c>
      <c r="Z224" s="2">
        <f t="shared" si="84"/>
        <v>-42686902.815751001</v>
      </c>
      <c r="AA224" s="2">
        <f t="shared" si="84"/>
        <v>-43583327.774881765</v>
      </c>
      <c r="AB224" s="2">
        <f>SUM(H224:AA224)</f>
        <v>-445624724.6034438</v>
      </c>
    </row>
    <row r="225" spans="4:28" customFormat="1" x14ac:dyDescent="0.25">
      <c r="E225" t="s">
        <v>10</v>
      </c>
      <c r="F225" t="s">
        <v>7</v>
      </c>
      <c r="G225" s="2">
        <f t="shared" ref="G225:AA225" si="85">-G200</f>
        <v>0</v>
      </c>
      <c r="H225" s="2">
        <f t="shared" si="85"/>
        <v>-238607.69999999998</v>
      </c>
      <c r="I225" s="2">
        <f t="shared" si="85"/>
        <v>-545467.67765999993</v>
      </c>
      <c r="J225" s="2">
        <f t="shared" si="85"/>
        <v>-931079.77772086964</v>
      </c>
      <c r="K225" s="2">
        <f t="shared" si="85"/>
        <v>-1378991.2494832422</v>
      </c>
      <c r="L225" s="2">
        <f t="shared" si="85"/>
        <v>-1887537.2070959327</v>
      </c>
      <c r="M225" s="2">
        <f t="shared" si="85"/>
        <v>-2455743.7093496569</v>
      </c>
      <c r="N225" s="2">
        <f t="shared" si="85"/>
        <v>-3082226.3843915244</v>
      </c>
      <c r="O225" s="2">
        <f t="shared" si="85"/>
        <v>-3765654.9085775586</v>
      </c>
      <c r="P225" s="2">
        <f t="shared" si="85"/>
        <v>-4573081.1808727076</v>
      </c>
      <c r="Q225" s="2">
        <f t="shared" si="85"/>
        <v>-5521320.9271904863</v>
      </c>
      <c r="R225" s="2">
        <f t="shared" si="85"/>
        <v>-6558492.6054453477</v>
      </c>
      <c r="S225" s="2">
        <f t="shared" si="85"/>
        <v>-7693009.7242854116</v>
      </c>
      <c r="T225" s="2">
        <f t="shared" si="85"/>
        <v>-8932432.2581552491</v>
      </c>
      <c r="U225" s="2">
        <f t="shared" si="85"/>
        <v>-10213213.248582557</v>
      </c>
      <c r="V225" s="2">
        <f t="shared" si="85"/>
        <v>-11535907.094647124</v>
      </c>
      <c r="W225" s="2">
        <f t="shared" si="85"/>
        <v>-11778161.143634714</v>
      </c>
      <c r="X225" s="2">
        <f t="shared" si="85"/>
        <v>-12025502.527651042</v>
      </c>
      <c r="Y225" s="2">
        <f t="shared" si="85"/>
        <v>-12278038.080731712</v>
      </c>
      <c r="Z225" s="2">
        <f t="shared" si="85"/>
        <v>-12535876.880427077</v>
      </c>
      <c r="AA225" s="2">
        <f t="shared" si="85"/>
        <v>-12799130.294916045</v>
      </c>
      <c r="AB225" s="2">
        <f>SUM(H225:AA225)</f>
        <v>-130729474.58081827</v>
      </c>
    </row>
    <row r="226" spans="4:28" customFormat="1" x14ac:dyDescent="0.25">
      <c r="E226" t="s">
        <v>12</v>
      </c>
      <c r="F226" t="s">
        <v>7</v>
      </c>
      <c r="G226" s="2">
        <f t="shared" ref="G226:AA226" si="86">-G34-G50-G85</f>
        <v>-1494835.9837197482</v>
      </c>
      <c r="H226" s="2">
        <f t="shared" si="86"/>
        <v>-1692256.5277278237</v>
      </c>
      <c r="I226" s="2">
        <f t="shared" si="86"/>
        <v>-2067211.0975229465</v>
      </c>
      <c r="J226" s="2">
        <f t="shared" si="86"/>
        <v>-2537093.288464779</v>
      </c>
      <c r="K226" s="2">
        <f t="shared" si="86"/>
        <v>-3069760.4734892636</v>
      </c>
      <c r="L226" s="2">
        <f t="shared" si="86"/>
        <v>-3631067.896283689</v>
      </c>
      <c r="M226" s="2">
        <f t="shared" si="86"/>
        <v>-4270397.2178385397</v>
      </c>
      <c r="N226" s="2">
        <f t="shared" si="86"/>
        <v>-5000376.7996087931</v>
      </c>
      <c r="O226" s="2">
        <f t="shared" si="86"/>
        <v>-5604959.1666496899</v>
      </c>
      <c r="P226" s="2">
        <f t="shared" si="86"/>
        <v>-6128999.3261498604</v>
      </c>
      <c r="Q226" s="2">
        <f t="shared" si="86"/>
        <v>-6818490.9459370989</v>
      </c>
      <c r="R226" s="2">
        <f t="shared" si="86"/>
        <v>-7582916.5696959291</v>
      </c>
      <c r="S226" s="2">
        <f t="shared" si="86"/>
        <v>-8382573.1982394513</v>
      </c>
      <c r="T226" s="2">
        <f t="shared" si="86"/>
        <v>-9219540.9365936164</v>
      </c>
      <c r="U226" s="2">
        <f t="shared" si="86"/>
        <v>-10071593.150083017</v>
      </c>
      <c r="V226" s="2">
        <f t="shared" si="86"/>
        <v>-10938829.629483379</v>
      </c>
      <c r="W226" s="2">
        <f t="shared" si="86"/>
        <v>-10938829.629483379</v>
      </c>
      <c r="X226" s="2">
        <f t="shared" si="86"/>
        <v>-10938829.629483379</v>
      </c>
      <c r="Y226" s="2">
        <f t="shared" si="86"/>
        <v>-10938829.629483379</v>
      </c>
      <c r="Z226" s="2">
        <f t="shared" si="86"/>
        <v>-10938829.629483379</v>
      </c>
      <c r="AA226" s="2">
        <f t="shared" si="86"/>
        <v>-10938829.629483379</v>
      </c>
    </row>
    <row r="227" spans="4:28" customFormat="1" x14ac:dyDescent="0.25">
      <c r="E227" t="s">
        <v>48</v>
      </c>
      <c r="F227" t="s">
        <v>7</v>
      </c>
      <c r="G227" s="2">
        <f t="shared" ref="G227:AA227" si="87">G207</f>
        <v>0</v>
      </c>
      <c r="H227" s="2">
        <f t="shared" si="87"/>
        <v>0</v>
      </c>
      <c r="I227" s="2">
        <f t="shared" si="87"/>
        <v>0</v>
      </c>
      <c r="J227" s="2">
        <f t="shared" si="87"/>
        <v>0</v>
      </c>
      <c r="K227" s="2">
        <f t="shared" si="87"/>
        <v>0</v>
      </c>
      <c r="L227" s="2">
        <f t="shared" si="87"/>
        <v>0</v>
      </c>
      <c r="M227" s="2">
        <f t="shared" si="87"/>
        <v>0</v>
      </c>
      <c r="N227" s="2">
        <f t="shared" si="87"/>
        <v>0</v>
      </c>
      <c r="O227" s="2">
        <f t="shared" si="87"/>
        <v>0</v>
      </c>
      <c r="P227" s="2">
        <f t="shared" si="87"/>
        <v>0</v>
      </c>
      <c r="Q227" s="2">
        <f t="shared" si="87"/>
        <v>0</v>
      </c>
      <c r="R227" s="2">
        <f t="shared" si="87"/>
        <v>0</v>
      </c>
      <c r="S227" s="2">
        <f t="shared" si="87"/>
        <v>0</v>
      </c>
      <c r="T227" s="2">
        <f t="shared" si="87"/>
        <v>0</v>
      </c>
      <c r="U227" s="2">
        <f t="shared" si="87"/>
        <v>0</v>
      </c>
      <c r="V227" s="2">
        <f t="shared" si="87"/>
        <v>0</v>
      </c>
      <c r="W227" s="2">
        <f t="shared" si="87"/>
        <v>0</v>
      </c>
      <c r="X227" s="2">
        <f t="shared" si="87"/>
        <v>0</v>
      </c>
      <c r="Y227" s="2">
        <f t="shared" si="87"/>
        <v>0</v>
      </c>
      <c r="Z227" s="2">
        <f t="shared" si="87"/>
        <v>0</v>
      </c>
      <c r="AA227" s="2">
        <f t="shared" si="87"/>
        <v>0</v>
      </c>
    </row>
    <row r="228" spans="4:28" customFormat="1" x14ac:dyDescent="0.25">
      <c r="E228" t="s">
        <v>13</v>
      </c>
      <c r="F228" t="s">
        <v>7</v>
      </c>
      <c r="H228" s="2">
        <f ca="1">H219</f>
        <v>24730363.136893876</v>
      </c>
      <c r="I228" s="2">
        <f t="shared" ref="I228:AA228" ca="1" si="88">I219</f>
        <v>31284995.091430418</v>
      </c>
      <c r="J228" s="2">
        <f t="shared" ca="1" si="88"/>
        <v>38779324.28743162</v>
      </c>
      <c r="K228" s="2">
        <f t="shared" ca="1" si="88"/>
        <v>44397010.610313497</v>
      </c>
      <c r="L228" s="2">
        <f t="shared" ca="1" si="88"/>
        <v>49706544.09707886</v>
      </c>
      <c r="M228" s="2">
        <f t="shared" ca="1" si="88"/>
        <v>54783161.002748102</v>
      </c>
      <c r="N228" s="2">
        <f t="shared" ca="1" si="88"/>
        <v>59586442.285758227</v>
      </c>
      <c r="O228" s="2">
        <f t="shared" ca="1" si="88"/>
        <v>64125002.874398485</v>
      </c>
      <c r="P228" s="2">
        <f t="shared" ca="1" si="88"/>
        <v>75489175.915292144</v>
      </c>
      <c r="Q228" s="2">
        <f t="shared" ca="1" si="88"/>
        <v>88326320.3319415</v>
      </c>
      <c r="R228" s="2">
        <f t="shared" ca="1" si="88"/>
        <v>95479745.77737686</v>
      </c>
      <c r="S228" s="2">
        <f t="shared" ca="1" si="88"/>
        <v>103311621.35550603</v>
      </c>
      <c r="T228" s="2">
        <f t="shared" ca="1" si="88"/>
        <v>111715170.70324361</v>
      </c>
      <c r="U228" s="2">
        <f t="shared" ca="1" si="88"/>
        <v>113304100.53766242</v>
      </c>
      <c r="V228" s="2">
        <f t="shared" ca="1" si="88"/>
        <v>114860472.69656421</v>
      </c>
      <c r="W228" s="2">
        <f t="shared" ca="1" si="88"/>
        <v>0</v>
      </c>
      <c r="X228" s="2">
        <f t="shared" ca="1" si="88"/>
        <v>0</v>
      </c>
      <c r="Y228" s="2">
        <f t="shared" ca="1" si="88"/>
        <v>0</v>
      </c>
      <c r="Z228" s="2">
        <f t="shared" ca="1" si="88"/>
        <v>0</v>
      </c>
      <c r="AA228" s="2">
        <f t="shared" ca="1" si="88"/>
        <v>0</v>
      </c>
    </row>
    <row r="229" spans="4:28" customFormat="1" x14ac:dyDescent="0.25"/>
    <row r="230" spans="4:28" customFormat="1" x14ac:dyDescent="0.25">
      <c r="E230" t="s">
        <v>14</v>
      </c>
      <c r="F230" t="s">
        <v>7</v>
      </c>
      <c r="G230" s="2">
        <f t="shared" ref="G230:AA230" si="89">SUM(G222:G228)</f>
        <v>-1494835.9837197482</v>
      </c>
      <c r="H230" s="2">
        <f t="shared" ca="1" si="89"/>
        <v>30447258.43697685</v>
      </c>
      <c r="I230" s="2">
        <f t="shared" ca="1" si="89"/>
        <v>38549980.432692975</v>
      </c>
      <c r="J230" s="2">
        <f t="shared" ca="1" si="89"/>
        <v>47764491.104348361</v>
      </c>
      <c r="K230" s="2">
        <f t="shared" ca="1" si="89"/>
        <v>54442145.062619857</v>
      </c>
      <c r="L230" s="2">
        <f t="shared" ca="1" si="89"/>
        <v>60651716.206497319</v>
      </c>
      <c r="M230" s="2">
        <f t="shared" ca="1" si="89"/>
        <v>66439234.25640177</v>
      </c>
      <c r="N230" s="2">
        <f t="shared" ca="1" si="89"/>
        <v>71742949.170775831</v>
      </c>
      <c r="O230" s="2">
        <f t="shared" ca="1" si="89"/>
        <v>76790792.823278263</v>
      </c>
      <c r="P230" s="2">
        <f t="shared" ca="1" si="89"/>
        <v>90701215.685073838</v>
      </c>
      <c r="Q230" s="2">
        <f t="shared" ca="1" si="89"/>
        <v>106282164.48891845</v>
      </c>
      <c r="R230" s="2">
        <f t="shared" ca="1" si="89"/>
        <v>114384731.58914036</v>
      </c>
      <c r="S230" s="2">
        <f t="shared" ca="1" si="89"/>
        <v>123293770.77369213</v>
      </c>
      <c r="T230" s="2">
        <f t="shared" ca="1" si="89"/>
        <v>132862017.27958909</v>
      </c>
      <c r="U230" s="2">
        <f t="shared" ca="1" si="89"/>
        <v>133564417.26612166</v>
      </c>
      <c r="V230" s="2">
        <f t="shared" ca="1" si="89"/>
        <v>134194930.6537713</v>
      </c>
      <c r="W230" s="2">
        <f t="shared" ca="1" si="89"/>
        <v>-14768497.656908661</v>
      </c>
      <c r="X230" s="2">
        <f t="shared" ca="1" si="89"/>
        <v>-14848920.685484581</v>
      </c>
      <c r="Y230" s="2">
        <f t="shared" ca="1" si="89"/>
        <v>-14931032.597660601</v>
      </c>
      <c r="Z230" s="2">
        <f t="shared" ca="1" si="89"/>
        <v>-15014868.859992325</v>
      </c>
      <c r="AA230" s="2">
        <f t="shared" ca="1" si="89"/>
        <v>-15100465.683833007</v>
      </c>
    </row>
    <row r="231" spans="4:28" customFormat="1" x14ac:dyDescent="0.25">
      <c r="E231" t="s">
        <v>15</v>
      </c>
      <c r="F231" t="s">
        <v>7</v>
      </c>
      <c r="G231" s="2">
        <f>-G230*G$18</f>
        <v>448450.79511592444</v>
      </c>
      <c r="H231" s="2">
        <f t="shared" ref="H231:AA231" ca="1" si="90">-H230*H$18</f>
        <v>-9134177.5310930554</v>
      </c>
      <c r="I231" s="2">
        <f t="shared" ca="1" si="90"/>
        <v>-11564994.129807891</v>
      </c>
      <c r="J231" s="2">
        <f t="shared" ca="1" si="90"/>
        <v>-14329347.331304507</v>
      </c>
      <c r="K231" s="2">
        <f t="shared" ca="1" si="90"/>
        <v>-16332643.518785957</v>
      </c>
      <c r="L231" s="2">
        <f t="shared" ca="1" si="90"/>
        <v>-18195514.861949194</v>
      </c>
      <c r="M231" s="2">
        <f t="shared" ca="1" si="90"/>
        <v>-19931770.276920531</v>
      </c>
      <c r="N231" s="2">
        <f t="shared" ca="1" si="90"/>
        <v>-21522884.751232747</v>
      </c>
      <c r="O231" s="2">
        <f t="shared" ca="1" si="90"/>
        <v>-23037237.846983477</v>
      </c>
      <c r="P231" s="2">
        <f t="shared" ca="1" si="90"/>
        <v>-27210364.70552215</v>
      </c>
      <c r="Q231" s="2">
        <f t="shared" ca="1" si="90"/>
        <v>-31884649.346675534</v>
      </c>
      <c r="R231" s="2">
        <f t="shared" ca="1" si="90"/>
        <v>-34315419.476742104</v>
      </c>
      <c r="S231" s="2">
        <f t="shared" ca="1" si="90"/>
        <v>-36988131.232107639</v>
      </c>
      <c r="T231" s="2">
        <f t="shared" ca="1" si="90"/>
        <v>-39858605.183876723</v>
      </c>
      <c r="U231" s="2">
        <f t="shared" ca="1" si="90"/>
        <v>-40069325.179836497</v>
      </c>
      <c r="V231" s="2">
        <f t="shared" ca="1" si="90"/>
        <v>-40258479.196131386</v>
      </c>
      <c r="W231" s="2">
        <f t="shared" ca="1" si="90"/>
        <v>4430549.2970725978</v>
      </c>
      <c r="X231" s="2">
        <f t="shared" ca="1" si="90"/>
        <v>4454676.205645374</v>
      </c>
      <c r="Y231" s="2">
        <f t="shared" ca="1" si="90"/>
        <v>4479309.7792981798</v>
      </c>
      <c r="Z231" s="2">
        <f t="shared" ca="1" si="90"/>
        <v>4504460.6579976976</v>
      </c>
      <c r="AA231" s="2">
        <f t="shared" ca="1" si="90"/>
        <v>4530139.705149902</v>
      </c>
    </row>
    <row r="232" spans="4:28" customFormat="1" x14ac:dyDescent="0.25"/>
    <row r="233" spans="4:28" customFormat="1" x14ac:dyDescent="0.25">
      <c r="D233" t="s">
        <v>28</v>
      </c>
    </row>
    <row r="234" spans="4:28" customFormat="1" x14ac:dyDescent="0.25">
      <c r="E234" t="s">
        <v>1</v>
      </c>
      <c r="F234" t="s">
        <v>7</v>
      </c>
      <c r="G234" s="2">
        <f t="shared" ref="G234:AA234" si="91">-G26</f>
        <v>-134535238.53477734</v>
      </c>
      <c r="H234" s="2">
        <f t="shared" si="91"/>
        <v>-10442173.960726788</v>
      </c>
      <c r="I234" s="2">
        <f t="shared" si="91"/>
        <v>-24478610.791561075</v>
      </c>
      <c r="J234" s="2">
        <f t="shared" si="91"/>
        <v>-30802112.308405004</v>
      </c>
      <c r="K234" s="2">
        <f t="shared" si="91"/>
        <v>-34788680.095134988</v>
      </c>
      <c r="L234" s="2">
        <f t="shared" si="91"/>
        <v>-35793501.430380769</v>
      </c>
      <c r="M234" s="2">
        <f t="shared" si="91"/>
        <v>-41311667.245493665</v>
      </c>
      <c r="N234" s="2">
        <f t="shared" si="91"/>
        <v>-48047353.587311171</v>
      </c>
      <c r="O234" s="2">
        <f t="shared" si="91"/>
        <v>-35417183.249484621</v>
      </c>
      <c r="P234" s="2">
        <f t="shared" si="91"/>
        <v>-24802067.712448962</v>
      </c>
      <c r="Q234" s="2">
        <f t="shared" si="91"/>
        <v>-35890055.909640156</v>
      </c>
      <c r="R234" s="2">
        <f t="shared" si="91"/>
        <v>-40515115.035281375</v>
      </c>
      <c r="S234" s="2">
        <f t="shared" si="91"/>
        <v>-41365932.451022267</v>
      </c>
      <c r="T234" s="2">
        <f t="shared" si="91"/>
        <v>-42234617.032493733</v>
      </c>
      <c r="U234" s="2">
        <f t="shared" si="91"/>
        <v>-43121543.990176097</v>
      </c>
      <c r="V234" s="2">
        <f t="shared" si="91"/>
        <v>-44027096.413969785</v>
      </c>
      <c r="W234" s="2">
        <f t="shared" si="91"/>
        <v>0</v>
      </c>
      <c r="X234" s="2">
        <f t="shared" si="91"/>
        <v>0</v>
      </c>
      <c r="Y234" s="2">
        <f t="shared" si="91"/>
        <v>0</v>
      </c>
      <c r="Z234" s="2">
        <f t="shared" si="91"/>
        <v>0</v>
      </c>
      <c r="AA234" s="2">
        <f t="shared" si="91"/>
        <v>0</v>
      </c>
    </row>
    <row r="235" spans="4:28" customFormat="1" x14ac:dyDescent="0.25">
      <c r="E235" t="s">
        <v>19</v>
      </c>
      <c r="F235" t="s">
        <v>7</v>
      </c>
      <c r="G235" s="2">
        <f t="shared" ref="G235:AA235" si="92">G84</f>
        <v>0</v>
      </c>
      <c r="H235" s="2">
        <f t="shared" si="92"/>
        <v>0</v>
      </c>
      <c r="I235" s="2">
        <f t="shared" si="92"/>
        <v>0</v>
      </c>
      <c r="J235" s="2">
        <f t="shared" si="92"/>
        <v>0</v>
      </c>
      <c r="K235" s="2">
        <f t="shared" si="92"/>
        <v>0</v>
      </c>
      <c r="L235" s="2">
        <f t="shared" si="92"/>
        <v>0</v>
      </c>
      <c r="M235" s="2">
        <f t="shared" si="92"/>
        <v>0</v>
      </c>
      <c r="N235" s="2">
        <f t="shared" si="92"/>
        <v>0</v>
      </c>
      <c r="O235" s="2">
        <f t="shared" si="92"/>
        <v>0</v>
      </c>
      <c r="P235" s="2">
        <f t="shared" si="92"/>
        <v>0</v>
      </c>
      <c r="Q235" s="2">
        <f t="shared" si="92"/>
        <v>0</v>
      </c>
      <c r="R235" s="2">
        <f t="shared" si="92"/>
        <v>0</v>
      </c>
      <c r="S235" s="2">
        <f t="shared" si="92"/>
        <v>0</v>
      </c>
      <c r="T235" s="2">
        <f t="shared" si="92"/>
        <v>0</v>
      </c>
      <c r="U235" s="2">
        <f t="shared" si="92"/>
        <v>0</v>
      </c>
      <c r="V235" s="2">
        <f t="shared" si="92"/>
        <v>0</v>
      </c>
      <c r="W235" s="2">
        <f t="shared" si="92"/>
        <v>0</v>
      </c>
      <c r="X235" s="2">
        <f t="shared" si="92"/>
        <v>0</v>
      </c>
      <c r="Y235" s="2">
        <f t="shared" si="92"/>
        <v>0</v>
      </c>
      <c r="Z235" s="2">
        <f t="shared" si="92"/>
        <v>0</v>
      </c>
      <c r="AA235" s="2">
        <f t="shared" si="92"/>
        <v>0</v>
      </c>
    </row>
    <row r="236" spans="4:28" customFormat="1" x14ac:dyDescent="0.25">
      <c r="E236" t="s">
        <v>109</v>
      </c>
      <c r="F236" t="s">
        <v>7</v>
      </c>
      <c r="G236" s="2">
        <f t="shared" ref="G236:AA236" si="93">G53</f>
        <v>0</v>
      </c>
      <c r="H236" s="2">
        <f t="shared" si="93"/>
        <v>0</v>
      </c>
      <c r="I236" s="2">
        <f t="shared" si="93"/>
        <v>0</v>
      </c>
      <c r="J236" s="2">
        <f t="shared" si="93"/>
        <v>0</v>
      </c>
      <c r="K236" s="2">
        <f t="shared" si="93"/>
        <v>0</v>
      </c>
      <c r="L236" s="2">
        <f t="shared" si="93"/>
        <v>0</v>
      </c>
      <c r="M236" s="2">
        <f t="shared" si="93"/>
        <v>0</v>
      </c>
      <c r="N236" s="2">
        <f t="shared" si="93"/>
        <v>0</v>
      </c>
      <c r="O236" s="2">
        <f t="shared" si="93"/>
        <v>0</v>
      </c>
      <c r="P236" s="2">
        <f t="shared" si="93"/>
        <v>0</v>
      </c>
      <c r="Q236" s="2">
        <f t="shared" si="93"/>
        <v>0</v>
      </c>
      <c r="R236" s="2">
        <f t="shared" si="93"/>
        <v>0</v>
      </c>
      <c r="S236" s="2">
        <f t="shared" si="93"/>
        <v>0</v>
      </c>
      <c r="T236" s="2">
        <f t="shared" si="93"/>
        <v>0</v>
      </c>
      <c r="U236" s="2">
        <f t="shared" si="93"/>
        <v>0</v>
      </c>
      <c r="V236" s="2">
        <f t="shared" si="93"/>
        <v>0</v>
      </c>
      <c r="W236" s="2">
        <f t="shared" si="93"/>
        <v>0</v>
      </c>
      <c r="X236" s="2">
        <f t="shared" si="93"/>
        <v>0</v>
      </c>
      <c r="Y236" s="2">
        <f t="shared" si="93"/>
        <v>0</v>
      </c>
      <c r="Z236" s="2">
        <f t="shared" si="93"/>
        <v>0</v>
      </c>
      <c r="AA236" s="2">
        <f t="shared" si="93"/>
        <v>0</v>
      </c>
    </row>
    <row r="237" spans="4:28" customFormat="1" x14ac:dyDescent="0.25">
      <c r="E237" t="s">
        <v>11</v>
      </c>
      <c r="F237" t="s">
        <v>7</v>
      </c>
      <c r="G237" s="2">
        <f t="shared" ref="G237:AA237" si="94">G177</f>
        <v>0</v>
      </c>
      <c r="H237" s="2">
        <f t="shared" si="94"/>
        <v>1145668.7758802876</v>
      </c>
      <c r="I237" s="2">
        <f t="shared" si="94"/>
        <v>2489341.2673551999</v>
      </c>
      <c r="J237" s="2">
        <f t="shared" si="94"/>
        <v>4169471.2914060657</v>
      </c>
      <c r="K237" s="2">
        <f t="shared" si="94"/>
        <v>6078387.3304922953</v>
      </c>
      <c r="L237" s="2">
        <f t="shared" si="94"/>
        <v>8212422.7001230363</v>
      </c>
      <c r="M237" s="2">
        <f t="shared" si="94"/>
        <v>10564938.798287198</v>
      </c>
      <c r="N237" s="2">
        <f t="shared" si="94"/>
        <v>13133382.524298349</v>
      </c>
      <c r="O237" s="2">
        <f t="shared" si="94"/>
        <v>15912638.88719474</v>
      </c>
      <c r="P237" s="2">
        <f t="shared" si="94"/>
        <v>19170204.060653832</v>
      </c>
      <c r="Q237" s="2">
        <f t="shared" si="94"/>
        <v>22972073.119194571</v>
      </c>
      <c r="R237" s="2">
        <f t="shared" si="94"/>
        <v>27128917.474331915</v>
      </c>
      <c r="S237" s="2">
        <f t="shared" si="94"/>
        <v>31676275.62449681</v>
      </c>
      <c r="T237" s="2">
        <f t="shared" si="94"/>
        <v>36640250.598459661</v>
      </c>
      <c r="U237" s="2">
        <f t="shared" si="94"/>
        <v>41768518.591405548</v>
      </c>
      <c r="V237" s="2">
        <f t="shared" si="94"/>
        <v>47066834.800142556</v>
      </c>
      <c r="W237" s="2">
        <f t="shared" si="94"/>
        <v>48055238.330945551</v>
      </c>
      <c r="X237" s="2">
        <f t="shared" si="94"/>
        <v>49064398.335895404</v>
      </c>
      <c r="Y237" s="2">
        <f t="shared" si="94"/>
        <v>50094750.700949207</v>
      </c>
      <c r="Z237" s="2">
        <f t="shared" si="94"/>
        <v>51146740.465669133</v>
      </c>
      <c r="AA237" s="2">
        <f t="shared" si="94"/>
        <v>52220822.015448183</v>
      </c>
      <c r="AB237" s="2">
        <f>IF(V237=0,0,IF($G$15&gt;(AA237/V237)^(1/5)-1+2%,AA237*(AA237/V237)^(1/5)/($G$15-((AA237/V237)^(1/5)-1)),AA237*(1+$G$14)/$G$16))</f>
        <v>1740694067.1816096</v>
      </c>
    </row>
    <row r="238" spans="4:28" customFormat="1" x14ac:dyDescent="0.25">
      <c r="E238" t="s">
        <v>57</v>
      </c>
      <c r="F238" t="s">
        <v>7</v>
      </c>
      <c r="G238" s="2">
        <f t="shared" ref="G238:AA238" si="95">G224</f>
        <v>0</v>
      </c>
      <c r="H238" s="2">
        <f t="shared" si="95"/>
        <v>-823584.24806948914</v>
      </c>
      <c r="I238" s="2">
        <f t="shared" si="95"/>
        <v>-1878977.6409096962</v>
      </c>
      <c r="J238" s="2">
        <f t="shared" si="95"/>
        <v>-3203416.2846636195</v>
      </c>
      <c r="K238" s="2">
        <f t="shared" si="95"/>
        <v>-4735867.7122820318</v>
      </c>
      <c r="L238" s="2">
        <f t="shared" si="95"/>
        <v>-6472812.1084424779</v>
      </c>
      <c r="M238" s="2">
        <f t="shared" si="95"/>
        <v>-8410696.3118881825</v>
      </c>
      <c r="N238" s="2">
        <f t="shared" si="95"/>
        <v>-10545081.22729216</v>
      </c>
      <c r="O238" s="2">
        <f t="shared" si="95"/>
        <v>-12871464.647283694</v>
      </c>
      <c r="P238" s="2">
        <f t="shared" si="95"/>
        <v>-15617630.426415991</v>
      </c>
      <c r="Q238" s="2">
        <f t="shared" si="95"/>
        <v>-18840606.960301302</v>
      </c>
      <c r="R238" s="2">
        <f t="shared" si="95"/>
        <v>-22365713.59044046</v>
      </c>
      <c r="S238" s="2">
        <f t="shared" si="95"/>
        <v>-26221707.401680533</v>
      </c>
      <c r="T238" s="2">
        <f t="shared" si="95"/>
        <v>-30433910.24674651</v>
      </c>
      <c r="U238" s="2">
        <f t="shared" si="95"/>
        <v>-34786550.688150644</v>
      </c>
      <c r="V238" s="2">
        <f t="shared" si="95"/>
        <v>-39281826.85086789</v>
      </c>
      <c r="W238" s="2">
        <f t="shared" si="95"/>
        <v>-40106745.214736119</v>
      </c>
      <c r="X238" s="2">
        <f t="shared" si="95"/>
        <v>-40948986.864245564</v>
      </c>
      <c r="Y238" s="2">
        <f t="shared" si="95"/>
        <v>-41808915.588394716</v>
      </c>
      <c r="Z238" s="2">
        <f t="shared" si="95"/>
        <v>-42686902.815751001</v>
      </c>
      <c r="AA238" s="2">
        <f t="shared" si="95"/>
        <v>-43583327.774881765</v>
      </c>
      <c r="AB238" s="2">
        <f t="shared" ref="AB238:AB241" si="96">IF(V238=0,0,IF($G$15&gt;(AA238/V238)^(1/5)-1+2%,AA238*(AA238/V238)^(1/5)/($G$15-((AA238/V238)^(1/5)-1)),AA238*(1+$G$14)/$G$16))</f>
        <v>-1452777592.4960618</v>
      </c>
    </row>
    <row r="239" spans="4:28" customFormat="1" x14ac:dyDescent="0.25">
      <c r="E239" t="s">
        <v>10</v>
      </c>
      <c r="F239" t="s">
        <v>7</v>
      </c>
      <c r="G239" s="2">
        <f t="shared" ref="G239:AA239" si="97">-G200</f>
        <v>0</v>
      </c>
      <c r="H239" s="2">
        <f t="shared" si="97"/>
        <v>-238607.69999999998</v>
      </c>
      <c r="I239" s="2">
        <f t="shared" si="97"/>
        <v>-545467.67765999993</v>
      </c>
      <c r="J239" s="2">
        <f t="shared" si="97"/>
        <v>-931079.77772086964</v>
      </c>
      <c r="K239" s="2">
        <f t="shared" si="97"/>
        <v>-1378991.2494832422</v>
      </c>
      <c r="L239" s="2">
        <f t="shared" si="97"/>
        <v>-1887537.2070959327</v>
      </c>
      <c r="M239" s="2">
        <f t="shared" si="97"/>
        <v>-2455743.7093496569</v>
      </c>
      <c r="N239" s="2">
        <f t="shared" si="97"/>
        <v>-3082226.3843915244</v>
      </c>
      <c r="O239" s="2">
        <f t="shared" si="97"/>
        <v>-3765654.9085775586</v>
      </c>
      <c r="P239" s="2">
        <f t="shared" si="97"/>
        <v>-4573081.1808727076</v>
      </c>
      <c r="Q239" s="2">
        <f t="shared" si="97"/>
        <v>-5521320.9271904863</v>
      </c>
      <c r="R239" s="2">
        <f t="shared" si="97"/>
        <v>-6558492.6054453477</v>
      </c>
      <c r="S239" s="2">
        <f t="shared" si="97"/>
        <v>-7693009.7242854116</v>
      </c>
      <c r="T239" s="2">
        <f t="shared" si="97"/>
        <v>-8932432.2581552491</v>
      </c>
      <c r="U239" s="2">
        <f t="shared" si="97"/>
        <v>-10213213.248582557</v>
      </c>
      <c r="V239" s="2">
        <f t="shared" si="97"/>
        <v>-11535907.094647124</v>
      </c>
      <c r="W239" s="2">
        <f t="shared" si="97"/>
        <v>-11778161.143634714</v>
      </c>
      <c r="X239" s="2">
        <f t="shared" si="97"/>
        <v>-12025502.527651042</v>
      </c>
      <c r="Y239" s="2">
        <f t="shared" si="97"/>
        <v>-12278038.080731712</v>
      </c>
      <c r="Z239" s="2">
        <f t="shared" si="97"/>
        <v>-12535876.880427077</v>
      </c>
      <c r="AA239" s="2">
        <f t="shared" si="97"/>
        <v>-12799130.294916045</v>
      </c>
      <c r="AB239" s="2">
        <f t="shared" si="96"/>
        <v>-426637676.4972024</v>
      </c>
    </row>
    <row r="240" spans="4:28" customFormat="1" x14ac:dyDescent="0.25">
      <c r="E240" t="s">
        <v>48</v>
      </c>
      <c r="F240" t="s">
        <v>7</v>
      </c>
      <c r="G240" s="2">
        <f t="shared" ref="G240:AA240" si="98">G207</f>
        <v>0</v>
      </c>
      <c r="H240" s="2">
        <f t="shared" si="98"/>
        <v>0</v>
      </c>
      <c r="I240" s="2">
        <f t="shared" si="98"/>
        <v>0</v>
      </c>
      <c r="J240" s="2">
        <f t="shared" si="98"/>
        <v>0</v>
      </c>
      <c r="K240" s="2">
        <f t="shared" si="98"/>
        <v>0</v>
      </c>
      <c r="L240" s="2">
        <f t="shared" si="98"/>
        <v>0</v>
      </c>
      <c r="M240" s="2">
        <f t="shared" si="98"/>
        <v>0</v>
      </c>
      <c r="N240" s="2">
        <f t="shared" si="98"/>
        <v>0</v>
      </c>
      <c r="O240" s="2">
        <f t="shared" si="98"/>
        <v>0</v>
      </c>
      <c r="P240" s="2">
        <f t="shared" si="98"/>
        <v>0</v>
      </c>
      <c r="Q240" s="2">
        <f t="shared" si="98"/>
        <v>0</v>
      </c>
      <c r="R240" s="2">
        <f t="shared" si="98"/>
        <v>0</v>
      </c>
      <c r="S240" s="2">
        <f t="shared" si="98"/>
        <v>0</v>
      </c>
      <c r="T240" s="2">
        <f t="shared" si="98"/>
        <v>0</v>
      </c>
      <c r="U240" s="2">
        <f t="shared" si="98"/>
        <v>0</v>
      </c>
      <c r="V240" s="2">
        <f t="shared" si="98"/>
        <v>0</v>
      </c>
      <c r="W240" s="2">
        <f t="shared" si="98"/>
        <v>0</v>
      </c>
      <c r="X240" s="2">
        <f t="shared" si="98"/>
        <v>0</v>
      </c>
      <c r="Y240" s="2">
        <f t="shared" si="98"/>
        <v>0</v>
      </c>
      <c r="Z240" s="2">
        <f t="shared" si="98"/>
        <v>0</v>
      </c>
      <c r="AA240" s="2">
        <f t="shared" si="98"/>
        <v>0</v>
      </c>
      <c r="AB240" s="2">
        <f t="shared" si="96"/>
        <v>0</v>
      </c>
    </row>
    <row r="241" spans="3:28" customFormat="1" x14ac:dyDescent="0.25">
      <c r="E241" t="s">
        <v>49</v>
      </c>
      <c r="F241" t="s">
        <v>7</v>
      </c>
      <c r="G241" s="2">
        <f t="shared" ref="G241:AA241" si="99">G214</f>
        <v>0</v>
      </c>
      <c r="H241" s="2">
        <f t="shared" si="99"/>
        <v>0</v>
      </c>
      <c r="I241" s="2">
        <f t="shared" si="99"/>
        <v>0</v>
      </c>
      <c r="J241" s="2">
        <f t="shared" si="99"/>
        <v>0</v>
      </c>
      <c r="K241" s="2">
        <f t="shared" si="99"/>
        <v>0</v>
      </c>
      <c r="L241" s="2">
        <f t="shared" si="99"/>
        <v>0</v>
      </c>
      <c r="M241" s="2">
        <f t="shared" si="99"/>
        <v>0</v>
      </c>
      <c r="N241" s="2">
        <f t="shared" si="99"/>
        <v>0</v>
      </c>
      <c r="O241" s="2">
        <f t="shared" si="99"/>
        <v>0</v>
      </c>
      <c r="P241" s="2">
        <f t="shared" si="99"/>
        <v>0</v>
      </c>
      <c r="Q241" s="2">
        <f t="shared" si="99"/>
        <v>0</v>
      </c>
      <c r="R241" s="2">
        <f t="shared" si="99"/>
        <v>0</v>
      </c>
      <c r="S241" s="2">
        <f t="shared" si="99"/>
        <v>0</v>
      </c>
      <c r="T241" s="2">
        <f t="shared" si="99"/>
        <v>0</v>
      </c>
      <c r="U241" s="2">
        <f t="shared" si="99"/>
        <v>0</v>
      </c>
      <c r="V241" s="2">
        <f t="shared" si="99"/>
        <v>0</v>
      </c>
      <c r="W241" s="2">
        <f t="shared" si="99"/>
        <v>0</v>
      </c>
      <c r="X241" s="2">
        <f t="shared" si="99"/>
        <v>0</v>
      </c>
      <c r="Y241" s="2">
        <f t="shared" si="99"/>
        <v>0</v>
      </c>
      <c r="Z241" s="2">
        <f t="shared" si="99"/>
        <v>0</v>
      </c>
      <c r="AA241" s="2">
        <f t="shared" si="99"/>
        <v>0</v>
      </c>
      <c r="AB241" s="2">
        <f t="shared" si="96"/>
        <v>0</v>
      </c>
    </row>
    <row r="242" spans="3:28" customFormat="1" x14ac:dyDescent="0.25">
      <c r="E242" t="s">
        <v>20</v>
      </c>
      <c r="F242" t="s">
        <v>7</v>
      </c>
      <c r="G242" s="2">
        <f t="shared" ref="G242:AA242" si="100">G231</f>
        <v>448450.79511592444</v>
      </c>
      <c r="H242" s="2">
        <f ca="1">H231</f>
        <v>-9134177.5310930554</v>
      </c>
      <c r="I242" s="2">
        <f t="shared" ca="1" si="100"/>
        <v>-11564994.129807891</v>
      </c>
      <c r="J242" s="2">
        <f t="shared" ca="1" si="100"/>
        <v>-14329347.331304507</v>
      </c>
      <c r="K242" s="2">
        <f t="shared" ca="1" si="100"/>
        <v>-16332643.518785957</v>
      </c>
      <c r="L242" s="2">
        <f t="shared" ca="1" si="100"/>
        <v>-18195514.861949194</v>
      </c>
      <c r="M242" s="2">
        <f t="shared" ca="1" si="100"/>
        <v>-19931770.276920531</v>
      </c>
      <c r="N242" s="2">
        <f t="shared" ca="1" si="100"/>
        <v>-21522884.751232747</v>
      </c>
      <c r="O242" s="2">
        <f t="shared" ca="1" si="100"/>
        <v>-23037237.846983477</v>
      </c>
      <c r="P242" s="2">
        <f t="shared" ca="1" si="100"/>
        <v>-27210364.70552215</v>
      </c>
      <c r="Q242" s="2">
        <f t="shared" ca="1" si="100"/>
        <v>-31884649.346675534</v>
      </c>
      <c r="R242" s="2">
        <f t="shared" ca="1" si="100"/>
        <v>-34315419.476742104</v>
      </c>
      <c r="S242" s="2">
        <f t="shared" ca="1" si="100"/>
        <v>-36988131.232107639</v>
      </c>
      <c r="T242" s="2">
        <f t="shared" ca="1" si="100"/>
        <v>-39858605.183876723</v>
      </c>
      <c r="U242" s="2">
        <f t="shared" ca="1" si="100"/>
        <v>-40069325.179836497</v>
      </c>
      <c r="V242" s="2">
        <f t="shared" ca="1" si="100"/>
        <v>-40258479.196131386</v>
      </c>
      <c r="W242" s="2">
        <f t="shared" ca="1" si="100"/>
        <v>4430549.2970725978</v>
      </c>
      <c r="X242" s="2">
        <f t="shared" ca="1" si="100"/>
        <v>4454676.205645374</v>
      </c>
      <c r="Y242" s="2">
        <f t="shared" ca="1" si="100"/>
        <v>4479309.7792981798</v>
      </c>
      <c r="Z242" s="2">
        <f t="shared" ca="1" si="100"/>
        <v>4504460.6579976976</v>
      </c>
      <c r="AA242" s="2">
        <f t="shared" ca="1" si="100"/>
        <v>4530139.705149902</v>
      </c>
      <c r="AB242" s="2">
        <f ca="1">IF(V242=0,0,IF($G$15&gt;(AA242/V242)^(1/5)-1+2%,AA242*(AA242/V242)^(1/5)/($G$15-((AA242/V242)^(1/5)-1)),AA242*(1+$G$14)/$G$16))</f>
        <v>-1723901.4132735189</v>
      </c>
    </row>
    <row r="243" spans="3:28" customFormat="1" x14ac:dyDescent="0.25">
      <c r="E243" t="s">
        <v>173</v>
      </c>
      <c r="F243" t="s">
        <v>7</v>
      </c>
      <c r="G243" s="2">
        <f>-$G$17*G242</f>
        <v>-224225.39755796222</v>
      </c>
      <c r="H243" s="2">
        <f t="shared" ref="H243:AA243" ca="1" si="101">-$G$17*H242</f>
        <v>4567088.7655465277</v>
      </c>
      <c r="I243" s="2">
        <f t="shared" ca="1" si="101"/>
        <v>5782497.0649039457</v>
      </c>
      <c r="J243" s="2">
        <f t="shared" ca="1" si="101"/>
        <v>7164673.6656522537</v>
      </c>
      <c r="K243" s="2">
        <f t="shared" ca="1" si="101"/>
        <v>8166321.7593929786</v>
      </c>
      <c r="L243" s="2">
        <f t="shared" ca="1" si="101"/>
        <v>9097757.4309745971</v>
      </c>
      <c r="M243" s="2">
        <f t="shared" ca="1" si="101"/>
        <v>9965885.1384602655</v>
      </c>
      <c r="N243" s="2">
        <f t="shared" ca="1" si="101"/>
        <v>10761442.375616373</v>
      </c>
      <c r="O243" s="2">
        <f t="shared" ca="1" si="101"/>
        <v>11518618.923491739</v>
      </c>
      <c r="P243" s="2">
        <f t="shared" ca="1" si="101"/>
        <v>13605182.352761075</v>
      </c>
      <c r="Q243" s="2">
        <f t="shared" ca="1" si="101"/>
        <v>15942324.673337767</v>
      </c>
      <c r="R243" s="2">
        <f t="shared" ca="1" si="101"/>
        <v>17157709.738371052</v>
      </c>
      <c r="S243" s="2">
        <f t="shared" ca="1" si="101"/>
        <v>18494065.61605382</v>
      </c>
      <c r="T243" s="2">
        <f t="shared" ca="1" si="101"/>
        <v>19929302.591938362</v>
      </c>
      <c r="U243" s="2">
        <f t="shared" ca="1" si="101"/>
        <v>20034662.589918248</v>
      </c>
      <c r="V243" s="2">
        <f t="shared" ca="1" si="101"/>
        <v>20129239.598065693</v>
      </c>
      <c r="W243" s="2">
        <f t="shared" ca="1" si="101"/>
        <v>-2215274.6485362989</v>
      </c>
      <c r="X243" s="2">
        <f t="shared" ca="1" si="101"/>
        <v>-2227338.102822687</v>
      </c>
      <c r="Y243" s="2">
        <f t="shared" ca="1" si="101"/>
        <v>-2239654.8896490899</v>
      </c>
      <c r="Z243" s="2">
        <f t="shared" ca="1" si="101"/>
        <v>-2252230.3289988488</v>
      </c>
      <c r="AA243" s="2">
        <f t="shared" ca="1" si="101"/>
        <v>-2265069.852574951</v>
      </c>
      <c r="AB243" s="2">
        <f t="shared" ref="AB243" ca="1" si="102">IF(V243=0,0,IF($G$15&gt;(AA243/V243)^(1/5)-1+2%,AA243*(AA243/V243)^(1/5)/($G$15-((AA243/V243)^(1/5)-1)),AA243*(1+$G$14)/$G$16))</f>
        <v>861950.70663675945</v>
      </c>
    </row>
    <row r="244" spans="3:28" customFormat="1" x14ac:dyDescent="0.25">
      <c r="E244" t="s">
        <v>23</v>
      </c>
      <c r="F244" t="s">
        <v>7</v>
      </c>
      <c r="G244" s="2">
        <f>SUM(G234:G243)</f>
        <v>-134311013.1372194</v>
      </c>
      <c r="H244" s="2">
        <f t="shared" ref="H244:AB244" ca="1" si="103">SUM(H234:H243)</f>
        <v>-14925785.898462515</v>
      </c>
      <c r="I244" s="2">
        <f t="shared" ca="1" si="103"/>
        <v>-30196211.907679521</v>
      </c>
      <c r="J244" s="2">
        <f t="shared" ca="1" si="103"/>
        <v>-37931810.745035678</v>
      </c>
      <c r="K244" s="2">
        <f t="shared" ca="1" si="103"/>
        <v>-42991473.485800952</v>
      </c>
      <c r="L244" s="2">
        <f t="shared" ca="1" si="103"/>
        <v>-45039185.476770751</v>
      </c>
      <c r="M244" s="2">
        <f t="shared" ca="1" si="103"/>
        <v>-51579053.606904566</v>
      </c>
      <c r="N244" s="2">
        <f t="shared" ca="1" si="103"/>
        <v>-59302721.050312877</v>
      </c>
      <c r="O244" s="2">
        <f t="shared" ca="1" si="103"/>
        <v>-47660282.841642879</v>
      </c>
      <c r="P244" s="2">
        <f t="shared" ca="1" si="103"/>
        <v>-39427757.611844905</v>
      </c>
      <c r="Q244" s="2">
        <f t="shared" ca="1" si="103"/>
        <v>-53222235.351275139</v>
      </c>
      <c r="R244" s="2">
        <f t="shared" ca="1" si="103"/>
        <v>-59468113.495206319</v>
      </c>
      <c r="S244" s="2">
        <f t="shared" ca="1" si="103"/>
        <v>-62098439.568545222</v>
      </c>
      <c r="T244" s="2">
        <f t="shared" ca="1" si="103"/>
        <v>-64890011.530874193</v>
      </c>
      <c r="U244" s="2">
        <f t="shared" ca="1" si="103"/>
        <v>-66387451.92542199</v>
      </c>
      <c r="V244" s="2">
        <f t="shared" ca="1" si="103"/>
        <v>-67907235.157407939</v>
      </c>
      <c r="W244" s="2">
        <f t="shared" ca="1" si="103"/>
        <v>-1614393.3788889828</v>
      </c>
      <c r="X244" s="2">
        <f t="shared" ca="1" si="103"/>
        <v>-1682752.9531785143</v>
      </c>
      <c r="Y244" s="2">
        <f t="shared" ca="1" si="103"/>
        <v>-1752548.0785281318</v>
      </c>
      <c r="Z244" s="2">
        <f t="shared" ca="1" si="103"/>
        <v>-1823808.9015100971</v>
      </c>
      <c r="AA244" s="2">
        <f t="shared" ca="1" si="103"/>
        <v>-1896566.2017746763</v>
      </c>
      <c r="AB244" s="2">
        <f t="shared" ca="1" si="103"/>
        <v>-139583152.51829132</v>
      </c>
    </row>
    <row r="245" spans="3:28" customFormat="1" x14ac:dyDescent="0.25">
      <c r="E245" t="s">
        <v>31</v>
      </c>
      <c r="F245" t="s">
        <v>7</v>
      </c>
      <c r="G245" s="2">
        <f ca="1">NPV($G$15,H244:AB244)+G244</f>
        <v>-666113518.20832384</v>
      </c>
    </row>
    <row r="247" spans="3:28" customFormat="1" x14ac:dyDescent="0.25">
      <c r="E247" t="s">
        <v>13</v>
      </c>
      <c r="F247" t="s">
        <v>7</v>
      </c>
      <c r="H247" s="2">
        <f t="shared" ref="H247:AA247" ca="1" si="104">H219</f>
        <v>24730363.136893876</v>
      </c>
      <c r="I247" s="2">
        <f t="shared" ca="1" si="104"/>
        <v>31284995.091430418</v>
      </c>
      <c r="J247" s="2">
        <f t="shared" ca="1" si="104"/>
        <v>38779324.28743162</v>
      </c>
      <c r="K247" s="2">
        <f t="shared" ca="1" si="104"/>
        <v>44397010.610313497</v>
      </c>
      <c r="L247" s="2">
        <f t="shared" ca="1" si="104"/>
        <v>49706544.09707886</v>
      </c>
      <c r="M247" s="2">
        <f t="shared" ca="1" si="104"/>
        <v>54783161.002748102</v>
      </c>
      <c r="N247" s="2">
        <f t="shared" ca="1" si="104"/>
        <v>59586442.285758227</v>
      </c>
      <c r="O247" s="2">
        <f t="shared" ca="1" si="104"/>
        <v>64125002.874398485</v>
      </c>
      <c r="P247" s="2">
        <f t="shared" ca="1" si="104"/>
        <v>75489175.915292144</v>
      </c>
      <c r="Q247" s="2">
        <f t="shared" ca="1" si="104"/>
        <v>88326320.3319415</v>
      </c>
      <c r="R247" s="2">
        <f t="shared" ca="1" si="104"/>
        <v>95479745.77737686</v>
      </c>
      <c r="S247" s="2">
        <f t="shared" ca="1" si="104"/>
        <v>103311621.35550603</v>
      </c>
      <c r="T247" s="2">
        <f t="shared" ca="1" si="104"/>
        <v>111715170.70324361</v>
      </c>
      <c r="U247" s="2">
        <f t="shared" ca="1" si="104"/>
        <v>113304100.53766242</v>
      </c>
      <c r="V247" s="2">
        <f t="shared" ca="1" si="104"/>
        <v>114860472.69656421</v>
      </c>
      <c r="W247" s="2">
        <f t="shared" ca="1" si="104"/>
        <v>0</v>
      </c>
      <c r="X247" s="2">
        <f t="shared" ca="1" si="104"/>
        <v>0</v>
      </c>
      <c r="Y247" s="2">
        <f t="shared" ca="1" si="104"/>
        <v>0</v>
      </c>
      <c r="Z247" s="2">
        <f t="shared" ca="1" si="104"/>
        <v>0</v>
      </c>
      <c r="AA247" s="2">
        <f t="shared" ca="1" si="104"/>
        <v>0</v>
      </c>
    </row>
    <row r="248" spans="3:28" customFormat="1" x14ac:dyDescent="0.25">
      <c r="E248" t="s">
        <v>24</v>
      </c>
      <c r="F248" t="s">
        <v>7</v>
      </c>
      <c r="G248" s="2">
        <f ca="1">NPV($G$15,H247:AA247)+G247</f>
        <v>666113518.20832419</v>
      </c>
    </row>
    <row r="249" spans="3:28" customFormat="1" x14ac:dyDescent="0.25">
      <c r="E249" s="3" t="s">
        <v>34</v>
      </c>
      <c r="F249" s="3"/>
      <c r="G249" s="4" t="str">
        <f ca="1">IF(G245&gt;0,"N/A",IF(ABS(G245+G248)&gt;1,"Error","OK"))</f>
        <v>OK</v>
      </c>
    </row>
    <row r="251" spans="3:28" customFormat="1" x14ac:dyDescent="0.25">
      <c r="C251" s="1" t="s">
        <v>35</v>
      </c>
      <c r="D251" s="1"/>
    </row>
    <row r="252" spans="3:28" customFormat="1" x14ac:dyDescent="0.25">
      <c r="C252" s="1"/>
      <c r="D252" s="1"/>
      <c r="G252" s="44"/>
    </row>
    <row r="253" spans="3:28" customFormat="1" x14ac:dyDescent="0.25">
      <c r="C253" s="1"/>
      <c r="D253" t="s">
        <v>35</v>
      </c>
      <c r="F253" t="s">
        <v>7</v>
      </c>
      <c r="G253" s="8">
        <f ca="1">MAX(0,-G279)</f>
        <v>666201044.97696412</v>
      </c>
    </row>
    <row r="255" spans="3:28" customFormat="1" x14ac:dyDescent="0.25">
      <c r="D255" t="s">
        <v>9</v>
      </c>
    </row>
    <row r="256" spans="3:28" customFormat="1" x14ac:dyDescent="0.25">
      <c r="E256" t="s">
        <v>107</v>
      </c>
      <c r="F256" t="s">
        <v>7</v>
      </c>
      <c r="G256" s="2">
        <f t="shared" ref="G256:AA261" si="105">G222</f>
        <v>0</v>
      </c>
      <c r="H256" s="2">
        <f t="shared" si="105"/>
        <v>7325674.9999999991</v>
      </c>
      <c r="I256" s="2">
        <f t="shared" si="105"/>
        <v>9267300.4899999965</v>
      </c>
      <c r="J256" s="2">
        <f t="shared" si="105"/>
        <v>11487284.876359947</v>
      </c>
      <c r="K256" s="2">
        <f t="shared" si="105"/>
        <v>13151366.557068599</v>
      </c>
      <c r="L256" s="2">
        <f t="shared" si="105"/>
        <v>14724166.621117525</v>
      </c>
      <c r="M256" s="2">
        <f t="shared" si="105"/>
        <v>16227971.694442844</v>
      </c>
      <c r="N256" s="2">
        <f t="shared" si="105"/>
        <v>17650808.772011723</v>
      </c>
      <c r="O256" s="2">
        <f t="shared" si="105"/>
        <v>18995229.784195982</v>
      </c>
      <c r="P256" s="2">
        <f t="shared" si="105"/>
        <v>22361546.642566416</v>
      </c>
      <c r="Q256" s="2">
        <f t="shared" si="105"/>
        <v>26164189.871211268</v>
      </c>
      <c r="R256" s="2">
        <f t="shared" si="105"/>
        <v>28283191.103013303</v>
      </c>
      <c r="S256" s="2">
        <f t="shared" si="105"/>
        <v>30603164.11789469</v>
      </c>
      <c r="T256" s="2">
        <f t="shared" si="105"/>
        <v>33092479.419381183</v>
      </c>
      <c r="U256" s="2">
        <f t="shared" si="105"/>
        <v>33563155.22386992</v>
      </c>
      <c r="V256" s="2">
        <f t="shared" si="105"/>
        <v>34024186.732062921</v>
      </c>
      <c r="W256" s="2">
        <f t="shared" si="105"/>
        <v>0</v>
      </c>
      <c r="X256" s="2">
        <f t="shared" si="105"/>
        <v>0</v>
      </c>
      <c r="Y256" s="2">
        <f t="shared" si="105"/>
        <v>0</v>
      </c>
      <c r="Z256" s="2">
        <f t="shared" si="105"/>
        <v>0</v>
      </c>
      <c r="AA256" s="2">
        <f t="shared" si="105"/>
        <v>0</v>
      </c>
    </row>
    <row r="257" spans="4:28" customFormat="1" x14ac:dyDescent="0.25">
      <c r="E257" t="s">
        <v>11</v>
      </c>
      <c r="F257" t="s">
        <v>7</v>
      </c>
      <c r="G257" s="2">
        <f t="shared" si="105"/>
        <v>0</v>
      </c>
      <c r="H257" s="2">
        <f t="shared" si="105"/>
        <v>1145668.7758802876</v>
      </c>
      <c r="I257" s="2">
        <f t="shared" si="105"/>
        <v>2489341.2673551999</v>
      </c>
      <c r="J257" s="2">
        <f t="shared" si="105"/>
        <v>4169471.2914060657</v>
      </c>
      <c r="K257" s="2">
        <f t="shared" si="105"/>
        <v>6078387.3304922953</v>
      </c>
      <c r="L257" s="2">
        <f t="shared" si="105"/>
        <v>8212422.7001230363</v>
      </c>
      <c r="M257" s="2">
        <f t="shared" si="105"/>
        <v>10564938.798287198</v>
      </c>
      <c r="N257" s="2">
        <f t="shared" si="105"/>
        <v>13133382.524298349</v>
      </c>
      <c r="O257" s="2">
        <f t="shared" si="105"/>
        <v>15912638.88719474</v>
      </c>
      <c r="P257" s="2">
        <f t="shared" si="105"/>
        <v>19170204.060653832</v>
      </c>
      <c r="Q257" s="2">
        <f t="shared" si="105"/>
        <v>22972073.119194571</v>
      </c>
      <c r="R257" s="2">
        <f t="shared" si="105"/>
        <v>27128917.474331915</v>
      </c>
      <c r="S257" s="2">
        <f t="shared" si="105"/>
        <v>31676275.62449681</v>
      </c>
      <c r="T257" s="2">
        <f t="shared" si="105"/>
        <v>36640250.598459661</v>
      </c>
      <c r="U257" s="2">
        <f t="shared" si="105"/>
        <v>41768518.591405548</v>
      </c>
      <c r="V257" s="2">
        <f t="shared" si="105"/>
        <v>47066834.800142556</v>
      </c>
      <c r="W257" s="2">
        <f t="shared" si="105"/>
        <v>48055238.330945551</v>
      </c>
      <c r="X257" s="2">
        <f t="shared" si="105"/>
        <v>49064398.335895404</v>
      </c>
      <c r="Y257" s="2">
        <f t="shared" si="105"/>
        <v>50094750.700949207</v>
      </c>
      <c r="Z257" s="2">
        <f t="shared" si="105"/>
        <v>51146740.465669133</v>
      </c>
      <c r="AA257" s="2">
        <f t="shared" si="105"/>
        <v>52220822.015448183</v>
      </c>
    </row>
    <row r="258" spans="4:28" customFormat="1" x14ac:dyDescent="0.25">
      <c r="E258" t="s">
        <v>57</v>
      </c>
      <c r="F258" t="s">
        <v>7</v>
      </c>
      <c r="G258" s="2">
        <f t="shared" si="105"/>
        <v>0</v>
      </c>
      <c r="H258" s="2">
        <f t="shared" si="105"/>
        <v>-823584.24806948914</v>
      </c>
      <c r="I258" s="2">
        <f t="shared" si="105"/>
        <v>-1878977.6409096962</v>
      </c>
      <c r="J258" s="2">
        <f t="shared" si="105"/>
        <v>-3203416.2846636195</v>
      </c>
      <c r="K258" s="2">
        <f t="shared" si="105"/>
        <v>-4735867.7122820318</v>
      </c>
      <c r="L258" s="2">
        <f t="shared" si="105"/>
        <v>-6472812.1084424779</v>
      </c>
      <c r="M258" s="2">
        <f t="shared" si="105"/>
        <v>-8410696.3118881825</v>
      </c>
      <c r="N258" s="2">
        <f t="shared" si="105"/>
        <v>-10545081.22729216</v>
      </c>
      <c r="O258" s="2">
        <f t="shared" si="105"/>
        <v>-12871464.647283694</v>
      </c>
      <c r="P258" s="2">
        <f t="shared" si="105"/>
        <v>-15617630.426415991</v>
      </c>
      <c r="Q258" s="2">
        <f t="shared" si="105"/>
        <v>-18840606.960301302</v>
      </c>
      <c r="R258" s="2">
        <f t="shared" si="105"/>
        <v>-22365713.59044046</v>
      </c>
      <c r="S258" s="2">
        <f t="shared" si="105"/>
        <v>-26221707.401680533</v>
      </c>
      <c r="T258" s="2">
        <f t="shared" si="105"/>
        <v>-30433910.24674651</v>
      </c>
      <c r="U258" s="2">
        <f t="shared" si="105"/>
        <v>-34786550.688150644</v>
      </c>
      <c r="V258" s="2">
        <f t="shared" si="105"/>
        <v>-39281826.85086789</v>
      </c>
      <c r="W258" s="2">
        <f t="shared" si="105"/>
        <v>-40106745.214736119</v>
      </c>
      <c r="X258" s="2">
        <f t="shared" si="105"/>
        <v>-40948986.864245564</v>
      </c>
      <c r="Y258" s="2">
        <f t="shared" si="105"/>
        <v>-41808915.588394716</v>
      </c>
      <c r="Z258" s="2">
        <f t="shared" si="105"/>
        <v>-42686902.815751001</v>
      </c>
      <c r="AA258" s="2">
        <f t="shared" si="105"/>
        <v>-43583327.774881765</v>
      </c>
    </row>
    <row r="259" spans="4:28" customFormat="1" x14ac:dyDescent="0.25">
      <c r="E259" t="s">
        <v>10</v>
      </c>
      <c r="F259" t="s">
        <v>7</v>
      </c>
      <c r="G259" s="2">
        <f t="shared" si="105"/>
        <v>0</v>
      </c>
      <c r="H259" s="2">
        <f t="shared" si="105"/>
        <v>-238607.69999999998</v>
      </c>
      <c r="I259" s="2">
        <f t="shared" si="105"/>
        <v>-545467.67765999993</v>
      </c>
      <c r="J259" s="2">
        <f t="shared" si="105"/>
        <v>-931079.77772086964</v>
      </c>
      <c r="K259" s="2">
        <f t="shared" si="105"/>
        <v>-1378991.2494832422</v>
      </c>
      <c r="L259" s="2">
        <f t="shared" si="105"/>
        <v>-1887537.2070959327</v>
      </c>
      <c r="M259" s="2">
        <f t="shared" si="105"/>
        <v>-2455743.7093496569</v>
      </c>
      <c r="N259" s="2">
        <f t="shared" si="105"/>
        <v>-3082226.3843915244</v>
      </c>
      <c r="O259" s="2">
        <f t="shared" si="105"/>
        <v>-3765654.9085775586</v>
      </c>
      <c r="P259" s="2">
        <f t="shared" si="105"/>
        <v>-4573081.1808727076</v>
      </c>
      <c r="Q259" s="2">
        <f t="shared" si="105"/>
        <v>-5521320.9271904863</v>
      </c>
      <c r="R259" s="2">
        <f t="shared" si="105"/>
        <v>-6558492.6054453477</v>
      </c>
      <c r="S259" s="2">
        <f t="shared" si="105"/>
        <v>-7693009.7242854116</v>
      </c>
      <c r="T259" s="2">
        <f t="shared" si="105"/>
        <v>-8932432.2581552491</v>
      </c>
      <c r="U259" s="2">
        <f t="shared" si="105"/>
        <v>-10213213.248582557</v>
      </c>
      <c r="V259" s="2">
        <f t="shared" si="105"/>
        <v>-11535907.094647124</v>
      </c>
      <c r="W259" s="2">
        <f t="shared" si="105"/>
        <v>-11778161.143634714</v>
      </c>
      <c r="X259" s="2">
        <f t="shared" si="105"/>
        <v>-12025502.527651042</v>
      </c>
      <c r="Y259" s="2">
        <f t="shared" si="105"/>
        <v>-12278038.080731712</v>
      </c>
      <c r="Z259" s="2">
        <f t="shared" si="105"/>
        <v>-12535876.880427077</v>
      </c>
      <c r="AA259" s="2">
        <f t="shared" si="105"/>
        <v>-12799130.294916045</v>
      </c>
    </row>
    <row r="260" spans="4:28" customFormat="1" x14ac:dyDescent="0.25">
      <c r="E260" t="s">
        <v>12</v>
      </c>
      <c r="F260" t="s">
        <v>7</v>
      </c>
      <c r="G260" s="2">
        <f t="shared" si="105"/>
        <v>-1494835.9837197482</v>
      </c>
      <c r="H260" s="2">
        <f t="shared" si="105"/>
        <v>-1692256.5277278237</v>
      </c>
      <c r="I260" s="2">
        <f t="shared" si="105"/>
        <v>-2067211.0975229465</v>
      </c>
      <c r="J260" s="2">
        <f t="shared" si="105"/>
        <v>-2537093.288464779</v>
      </c>
      <c r="K260" s="2">
        <f t="shared" si="105"/>
        <v>-3069760.4734892636</v>
      </c>
      <c r="L260" s="2">
        <f t="shared" si="105"/>
        <v>-3631067.896283689</v>
      </c>
      <c r="M260" s="2">
        <f t="shared" si="105"/>
        <v>-4270397.2178385397</v>
      </c>
      <c r="N260" s="2">
        <f t="shared" si="105"/>
        <v>-5000376.7996087931</v>
      </c>
      <c r="O260" s="2">
        <f t="shared" si="105"/>
        <v>-5604959.1666496899</v>
      </c>
      <c r="P260" s="2">
        <f t="shared" si="105"/>
        <v>-6128999.3261498604</v>
      </c>
      <c r="Q260" s="2">
        <f t="shared" si="105"/>
        <v>-6818490.9459370989</v>
      </c>
      <c r="R260" s="2">
        <f t="shared" si="105"/>
        <v>-7582916.5696959291</v>
      </c>
      <c r="S260" s="2">
        <f t="shared" si="105"/>
        <v>-8382573.1982394513</v>
      </c>
      <c r="T260" s="2">
        <f t="shared" si="105"/>
        <v>-9219540.9365936164</v>
      </c>
      <c r="U260" s="2">
        <f t="shared" si="105"/>
        <v>-10071593.150083017</v>
      </c>
      <c r="V260" s="2">
        <f t="shared" si="105"/>
        <v>-10938829.629483379</v>
      </c>
      <c r="W260" s="2">
        <f t="shared" si="105"/>
        <v>-10938829.629483379</v>
      </c>
      <c r="X260" s="2">
        <f t="shared" si="105"/>
        <v>-10938829.629483379</v>
      </c>
      <c r="Y260" s="2">
        <f t="shared" si="105"/>
        <v>-10938829.629483379</v>
      </c>
      <c r="Z260" s="2">
        <f t="shared" si="105"/>
        <v>-10938829.629483379</v>
      </c>
      <c r="AA260" s="2">
        <f t="shared" si="105"/>
        <v>-10938829.629483379</v>
      </c>
    </row>
    <row r="261" spans="4:28" customFormat="1" x14ac:dyDescent="0.25">
      <c r="E261" t="s">
        <v>48</v>
      </c>
      <c r="F261" t="s">
        <v>7</v>
      </c>
      <c r="G261" s="2">
        <f t="shared" si="105"/>
        <v>0</v>
      </c>
      <c r="H261" s="2">
        <f t="shared" si="105"/>
        <v>0</v>
      </c>
      <c r="I261" s="2">
        <f t="shared" si="105"/>
        <v>0</v>
      </c>
      <c r="J261" s="2">
        <f t="shared" si="105"/>
        <v>0</v>
      </c>
      <c r="K261" s="2">
        <f t="shared" si="105"/>
        <v>0</v>
      </c>
      <c r="L261" s="2">
        <f t="shared" si="105"/>
        <v>0</v>
      </c>
      <c r="M261" s="2">
        <f t="shared" si="105"/>
        <v>0</v>
      </c>
      <c r="N261" s="2">
        <f t="shared" si="105"/>
        <v>0</v>
      </c>
      <c r="O261" s="2">
        <f t="shared" si="105"/>
        <v>0</v>
      </c>
      <c r="P261" s="2">
        <f t="shared" si="105"/>
        <v>0</v>
      </c>
      <c r="Q261" s="2">
        <f t="shared" si="105"/>
        <v>0</v>
      </c>
      <c r="R261" s="2">
        <f t="shared" si="105"/>
        <v>0</v>
      </c>
      <c r="S261" s="2">
        <f t="shared" si="105"/>
        <v>0</v>
      </c>
      <c r="T261" s="2">
        <f t="shared" si="105"/>
        <v>0</v>
      </c>
      <c r="U261" s="2">
        <f t="shared" si="105"/>
        <v>0</v>
      </c>
      <c r="V261" s="2">
        <f t="shared" si="105"/>
        <v>0</v>
      </c>
      <c r="W261" s="2">
        <f t="shared" si="105"/>
        <v>0</v>
      </c>
      <c r="X261" s="2">
        <f t="shared" si="105"/>
        <v>0</v>
      </c>
      <c r="Y261" s="2">
        <f t="shared" si="105"/>
        <v>0</v>
      </c>
      <c r="Z261" s="2">
        <f t="shared" si="105"/>
        <v>0</v>
      </c>
      <c r="AA261" s="2">
        <f t="shared" si="105"/>
        <v>0</v>
      </c>
    </row>
    <row r="262" spans="4:28" customFormat="1" x14ac:dyDescent="0.25">
      <c r="E262" t="s">
        <v>13</v>
      </c>
      <c r="F262" t="s">
        <v>7</v>
      </c>
      <c r="G262" s="2">
        <f ca="1">G253</f>
        <v>666201044.97696412</v>
      </c>
      <c r="H262" s="2"/>
      <c r="I262" s="2"/>
      <c r="J262" s="2"/>
      <c r="K262" s="2"/>
      <c r="L262" s="2"/>
      <c r="M262" s="2"/>
      <c r="N262" s="2"/>
      <c r="O262" s="2"/>
      <c r="P262" s="2"/>
      <c r="Q262" s="2"/>
      <c r="R262" s="2"/>
      <c r="S262" s="2"/>
      <c r="T262" s="2"/>
      <c r="U262" s="2"/>
      <c r="V262" s="2"/>
      <c r="W262" s="2"/>
      <c r="X262" s="2"/>
      <c r="Y262" s="2"/>
      <c r="Z262" s="2"/>
      <c r="AA262" s="2"/>
    </row>
    <row r="263" spans="4:28" customFormat="1" x14ac:dyDescent="0.25"/>
    <row r="264" spans="4:28" customFormat="1" x14ac:dyDescent="0.25">
      <c r="E264" t="s">
        <v>14</v>
      </c>
      <c r="F264" t="s">
        <v>7</v>
      </c>
      <c r="G264" s="2">
        <f t="shared" ref="G264:AA264" ca="1" si="106">SUM(G256:G262)</f>
        <v>664706208.99324441</v>
      </c>
      <c r="H264" s="2">
        <f t="shared" si="106"/>
        <v>5716895.3000829732</v>
      </c>
      <c r="I264" s="2">
        <f t="shared" si="106"/>
        <v>7264985.3412625547</v>
      </c>
      <c r="J264" s="2">
        <f t="shared" si="106"/>
        <v>8985166.8169167433</v>
      </c>
      <c r="K264" s="2">
        <f t="shared" si="106"/>
        <v>10045134.452306358</v>
      </c>
      <c r="L264" s="2">
        <f t="shared" si="106"/>
        <v>10945172.109418459</v>
      </c>
      <c r="M264" s="2">
        <f t="shared" si="106"/>
        <v>11656073.253653668</v>
      </c>
      <c r="N264" s="2">
        <f t="shared" si="106"/>
        <v>12156506.8850176</v>
      </c>
      <c r="O264" s="2">
        <f t="shared" si="106"/>
        <v>12665789.948879777</v>
      </c>
      <c r="P264" s="2">
        <f t="shared" si="106"/>
        <v>15212039.769781688</v>
      </c>
      <c r="Q264" s="2">
        <f t="shared" si="106"/>
        <v>17955844.156976953</v>
      </c>
      <c r="R264" s="2">
        <f t="shared" si="106"/>
        <v>18904985.811763488</v>
      </c>
      <c r="S264" s="2">
        <f t="shared" si="106"/>
        <v>19982149.418186106</v>
      </c>
      <c r="T264" s="2">
        <f t="shared" si="106"/>
        <v>21146846.576345474</v>
      </c>
      <c r="U264" s="2">
        <f t="shared" si="106"/>
        <v>20260316.728459243</v>
      </c>
      <c r="V264" s="2">
        <f t="shared" si="106"/>
        <v>19334457.957207084</v>
      </c>
      <c r="W264" s="2">
        <f t="shared" si="106"/>
        <v>-14768497.656908661</v>
      </c>
      <c r="X264" s="2">
        <f t="shared" si="106"/>
        <v>-14848920.685484581</v>
      </c>
      <c r="Y264" s="2">
        <f t="shared" si="106"/>
        <v>-14931032.597660601</v>
      </c>
      <c r="Z264" s="2">
        <f t="shared" si="106"/>
        <v>-15014868.859992325</v>
      </c>
      <c r="AA264" s="2">
        <f t="shared" si="106"/>
        <v>-15100465.683833007</v>
      </c>
    </row>
    <row r="265" spans="4:28" customFormat="1" x14ac:dyDescent="0.25">
      <c r="E265" t="s">
        <v>15</v>
      </c>
      <c r="F265" t="s">
        <v>7</v>
      </c>
      <c r="G265" s="2">
        <f ca="1">-G264*G$18</f>
        <v>-199411862.69797331</v>
      </c>
      <c r="H265" s="2">
        <f t="shared" ref="H265:AA265" si="107">-H264*H$18</f>
        <v>-1715068.590024892</v>
      </c>
      <c r="I265" s="2">
        <f t="shared" si="107"/>
        <v>-2179495.6023787665</v>
      </c>
      <c r="J265" s="2">
        <f t="shared" si="107"/>
        <v>-2695550.0450750231</v>
      </c>
      <c r="K265" s="2">
        <f t="shared" si="107"/>
        <v>-3013540.3356919074</v>
      </c>
      <c r="L265" s="2">
        <f t="shared" si="107"/>
        <v>-3283551.6328255376</v>
      </c>
      <c r="M265" s="2">
        <f t="shared" si="107"/>
        <v>-3496821.9760961002</v>
      </c>
      <c r="N265" s="2">
        <f t="shared" si="107"/>
        <v>-3646952.0655052797</v>
      </c>
      <c r="O265" s="2">
        <f t="shared" si="107"/>
        <v>-3799736.9846639326</v>
      </c>
      <c r="P265" s="2">
        <f t="shared" si="107"/>
        <v>-4563611.9309345065</v>
      </c>
      <c r="Q265" s="2">
        <f t="shared" si="107"/>
        <v>-5386753.2470930861</v>
      </c>
      <c r="R265" s="2">
        <f t="shared" si="107"/>
        <v>-5671495.743529046</v>
      </c>
      <c r="S265" s="2">
        <f t="shared" si="107"/>
        <v>-5994644.8254558314</v>
      </c>
      <c r="T265" s="2">
        <f t="shared" si="107"/>
        <v>-6344053.9729036419</v>
      </c>
      <c r="U265" s="2">
        <f t="shared" si="107"/>
        <v>-6078095.0185377728</v>
      </c>
      <c r="V265" s="2">
        <f t="shared" si="107"/>
        <v>-5800337.3871621247</v>
      </c>
      <c r="W265" s="2">
        <f t="shared" si="107"/>
        <v>4430549.2970725978</v>
      </c>
      <c r="X265" s="2">
        <f t="shared" si="107"/>
        <v>4454676.205645374</v>
      </c>
      <c r="Y265" s="2">
        <f t="shared" si="107"/>
        <v>4479309.7792981798</v>
      </c>
      <c r="Z265" s="2">
        <f t="shared" si="107"/>
        <v>4504460.6579976976</v>
      </c>
      <c r="AA265" s="2">
        <f t="shared" si="107"/>
        <v>4530139.705149902</v>
      </c>
    </row>
    <row r="266" spans="4:28" customFormat="1" x14ac:dyDescent="0.25"/>
    <row r="267" spans="4:28" customFormat="1" x14ac:dyDescent="0.25">
      <c r="D267" t="s">
        <v>28</v>
      </c>
    </row>
    <row r="268" spans="4:28" customFormat="1" x14ac:dyDescent="0.25">
      <c r="E268" t="s">
        <v>1</v>
      </c>
      <c r="F268" t="s">
        <v>7</v>
      </c>
      <c r="G268" s="2">
        <f t="shared" ref="G268:AA275" si="108">G234</f>
        <v>-134535238.53477734</v>
      </c>
      <c r="H268" s="2">
        <f t="shared" si="108"/>
        <v>-10442173.960726788</v>
      </c>
      <c r="I268" s="2">
        <f t="shared" si="108"/>
        <v>-24478610.791561075</v>
      </c>
      <c r="J268" s="2">
        <f t="shared" si="108"/>
        <v>-30802112.308405004</v>
      </c>
      <c r="K268" s="2">
        <f t="shared" si="108"/>
        <v>-34788680.095134988</v>
      </c>
      <c r="L268" s="2">
        <f t="shared" si="108"/>
        <v>-35793501.430380769</v>
      </c>
      <c r="M268" s="2">
        <f t="shared" si="108"/>
        <v>-41311667.245493665</v>
      </c>
      <c r="N268" s="2">
        <f t="shared" si="108"/>
        <v>-48047353.587311171</v>
      </c>
      <c r="O268" s="2">
        <f t="shared" si="108"/>
        <v>-35417183.249484621</v>
      </c>
      <c r="P268" s="2">
        <f t="shared" si="108"/>
        <v>-24802067.712448962</v>
      </c>
      <c r="Q268" s="2">
        <f t="shared" si="108"/>
        <v>-35890055.909640156</v>
      </c>
      <c r="R268" s="2">
        <f t="shared" si="108"/>
        <v>-40515115.035281375</v>
      </c>
      <c r="S268" s="2">
        <f t="shared" si="108"/>
        <v>-41365932.451022267</v>
      </c>
      <c r="T268" s="2">
        <f t="shared" si="108"/>
        <v>-42234617.032493733</v>
      </c>
      <c r="U268" s="2">
        <f t="shared" si="108"/>
        <v>-43121543.990176097</v>
      </c>
      <c r="V268" s="2">
        <f t="shared" si="108"/>
        <v>-44027096.413969785</v>
      </c>
      <c r="W268" s="2">
        <f t="shared" si="108"/>
        <v>0</v>
      </c>
      <c r="X268" s="2">
        <f t="shared" si="108"/>
        <v>0</v>
      </c>
      <c r="Y268" s="2">
        <f t="shared" si="108"/>
        <v>0</v>
      </c>
      <c r="Z268" s="2">
        <f t="shared" si="108"/>
        <v>0</v>
      </c>
      <c r="AA268" s="2">
        <f t="shared" si="108"/>
        <v>0</v>
      </c>
    </row>
    <row r="269" spans="4:28" customFormat="1" x14ac:dyDescent="0.25">
      <c r="E269" t="s">
        <v>19</v>
      </c>
      <c r="F269" t="s">
        <v>7</v>
      </c>
      <c r="G269" s="2">
        <f t="shared" si="108"/>
        <v>0</v>
      </c>
      <c r="H269" s="2">
        <f t="shared" si="108"/>
        <v>0</v>
      </c>
      <c r="I269" s="2">
        <f t="shared" si="108"/>
        <v>0</v>
      </c>
      <c r="J269" s="2">
        <f t="shared" si="108"/>
        <v>0</v>
      </c>
      <c r="K269" s="2">
        <f t="shared" si="108"/>
        <v>0</v>
      </c>
      <c r="L269" s="2">
        <f t="shared" si="108"/>
        <v>0</v>
      </c>
      <c r="M269" s="2">
        <f t="shared" si="108"/>
        <v>0</v>
      </c>
      <c r="N269" s="2">
        <f t="shared" si="108"/>
        <v>0</v>
      </c>
      <c r="O269" s="2">
        <f t="shared" si="108"/>
        <v>0</v>
      </c>
      <c r="P269" s="2">
        <f t="shared" si="108"/>
        <v>0</v>
      </c>
      <c r="Q269" s="2">
        <f t="shared" si="108"/>
        <v>0</v>
      </c>
      <c r="R269" s="2">
        <f t="shared" si="108"/>
        <v>0</v>
      </c>
      <c r="S269" s="2">
        <f t="shared" si="108"/>
        <v>0</v>
      </c>
      <c r="T269" s="2">
        <f t="shared" si="108"/>
        <v>0</v>
      </c>
      <c r="U269" s="2">
        <f t="shared" si="108"/>
        <v>0</v>
      </c>
      <c r="V269" s="2">
        <f t="shared" si="108"/>
        <v>0</v>
      </c>
      <c r="W269" s="2">
        <f t="shared" si="108"/>
        <v>0</v>
      </c>
      <c r="X269" s="2">
        <f t="shared" si="108"/>
        <v>0</v>
      </c>
      <c r="Y269" s="2">
        <f t="shared" si="108"/>
        <v>0</v>
      </c>
      <c r="Z269" s="2">
        <f t="shared" si="108"/>
        <v>0</v>
      </c>
      <c r="AA269" s="2">
        <f t="shared" si="108"/>
        <v>0</v>
      </c>
    </row>
    <row r="270" spans="4:28" customFormat="1" x14ac:dyDescent="0.25">
      <c r="E270" t="s">
        <v>109</v>
      </c>
      <c r="F270" t="s">
        <v>7</v>
      </c>
      <c r="G270" s="2">
        <f t="shared" si="108"/>
        <v>0</v>
      </c>
      <c r="H270" s="2">
        <f t="shared" si="108"/>
        <v>0</v>
      </c>
      <c r="I270" s="2">
        <f t="shared" si="108"/>
        <v>0</v>
      </c>
      <c r="J270" s="2">
        <f t="shared" si="108"/>
        <v>0</v>
      </c>
      <c r="K270" s="2">
        <f t="shared" si="108"/>
        <v>0</v>
      </c>
      <c r="L270" s="2">
        <f t="shared" si="108"/>
        <v>0</v>
      </c>
      <c r="M270" s="2">
        <f t="shared" si="108"/>
        <v>0</v>
      </c>
      <c r="N270" s="2">
        <f t="shared" si="108"/>
        <v>0</v>
      </c>
      <c r="O270" s="2">
        <f t="shared" si="108"/>
        <v>0</v>
      </c>
      <c r="P270" s="2">
        <f t="shared" si="108"/>
        <v>0</v>
      </c>
      <c r="Q270" s="2">
        <f t="shared" si="108"/>
        <v>0</v>
      </c>
      <c r="R270" s="2">
        <f t="shared" si="108"/>
        <v>0</v>
      </c>
      <c r="S270" s="2">
        <f t="shared" si="108"/>
        <v>0</v>
      </c>
      <c r="T270" s="2">
        <f t="shared" si="108"/>
        <v>0</v>
      </c>
      <c r="U270" s="2">
        <f t="shared" si="108"/>
        <v>0</v>
      </c>
      <c r="V270" s="2">
        <f t="shared" si="108"/>
        <v>0</v>
      </c>
      <c r="W270" s="2">
        <f t="shared" si="108"/>
        <v>0</v>
      </c>
      <c r="X270" s="2">
        <f t="shared" si="108"/>
        <v>0</v>
      </c>
      <c r="Y270" s="2">
        <f t="shared" si="108"/>
        <v>0</v>
      </c>
      <c r="Z270" s="2">
        <f t="shared" si="108"/>
        <v>0</v>
      </c>
      <c r="AA270" s="2">
        <f t="shared" si="108"/>
        <v>0</v>
      </c>
    </row>
    <row r="271" spans="4:28" customFormat="1" x14ac:dyDescent="0.25">
      <c r="E271" t="s">
        <v>11</v>
      </c>
      <c r="F271" t="s">
        <v>7</v>
      </c>
      <c r="G271" s="2">
        <f t="shared" si="108"/>
        <v>0</v>
      </c>
      <c r="H271" s="2">
        <f t="shared" si="108"/>
        <v>1145668.7758802876</v>
      </c>
      <c r="I271" s="2">
        <f t="shared" si="108"/>
        <v>2489341.2673551999</v>
      </c>
      <c r="J271" s="2">
        <f t="shared" si="108"/>
        <v>4169471.2914060657</v>
      </c>
      <c r="K271" s="2">
        <f t="shared" si="108"/>
        <v>6078387.3304922953</v>
      </c>
      <c r="L271" s="2">
        <f t="shared" si="108"/>
        <v>8212422.7001230363</v>
      </c>
      <c r="M271" s="2">
        <f t="shared" si="108"/>
        <v>10564938.798287198</v>
      </c>
      <c r="N271" s="2">
        <f t="shared" si="108"/>
        <v>13133382.524298349</v>
      </c>
      <c r="O271" s="2">
        <f t="shared" si="108"/>
        <v>15912638.88719474</v>
      </c>
      <c r="P271" s="2">
        <f t="shared" si="108"/>
        <v>19170204.060653832</v>
      </c>
      <c r="Q271" s="2">
        <f t="shared" si="108"/>
        <v>22972073.119194571</v>
      </c>
      <c r="R271" s="2">
        <f t="shared" si="108"/>
        <v>27128917.474331915</v>
      </c>
      <c r="S271" s="2">
        <f t="shared" si="108"/>
        <v>31676275.62449681</v>
      </c>
      <c r="T271" s="2">
        <f t="shared" si="108"/>
        <v>36640250.598459661</v>
      </c>
      <c r="U271" s="2">
        <f t="shared" si="108"/>
        <v>41768518.591405548</v>
      </c>
      <c r="V271" s="2">
        <f t="shared" si="108"/>
        <v>47066834.800142556</v>
      </c>
      <c r="W271" s="2">
        <f t="shared" si="108"/>
        <v>48055238.330945551</v>
      </c>
      <c r="X271" s="2">
        <f t="shared" si="108"/>
        <v>49064398.335895404</v>
      </c>
      <c r="Y271" s="2">
        <f t="shared" si="108"/>
        <v>50094750.700949207</v>
      </c>
      <c r="Z271" s="2">
        <f t="shared" si="108"/>
        <v>51146740.465669133</v>
      </c>
      <c r="AA271" s="2">
        <f t="shared" si="108"/>
        <v>52220822.015448183</v>
      </c>
      <c r="AB271" s="2">
        <f>IF(V271=0,0,IF($G$15&gt;(AA271/V271)^(1/5)-1+2%,AA271*(AA271/V271)^(1/5)/($G$15-((AA271/V271)^(1/5)-1)),AA271*(1+$G$14)/$G$16))</f>
        <v>1740694067.1816096</v>
      </c>
    </row>
    <row r="272" spans="4:28" customFormat="1" x14ac:dyDescent="0.25">
      <c r="E272" t="s">
        <v>57</v>
      </c>
      <c r="F272" t="s">
        <v>7</v>
      </c>
      <c r="G272" s="2">
        <f t="shared" si="108"/>
        <v>0</v>
      </c>
      <c r="H272" s="2">
        <f t="shared" si="108"/>
        <v>-823584.24806948914</v>
      </c>
      <c r="I272" s="2">
        <f t="shared" si="108"/>
        <v>-1878977.6409096962</v>
      </c>
      <c r="J272" s="2">
        <f t="shared" si="108"/>
        <v>-3203416.2846636195</v>
      </c>
      <c r="K272" s="2">
        <f t="shared" si="108"/>
        <v>-4735867.7122820318</v>
      </c>
      <c r="L272" s="2">
        <f t="shared" si="108"/>
        <v>-6472812.1084424779</v>
      </c>
      <c r="M272" s="2">
        <f t="shared" si="108"/>
        <v>-8410696.3118881825</v>
      </c>
      <c r="N272" s="2">
        <f t="shared" si="108"/>
        <v>-10545081.22729216</v>
      </c>
      <c r="O272" s="2">
        <f t="shared" si="108"/>
        <v>-12871464.647283694</v>
      </c>
      <c r="P272" s="2">
        <f t="shared" si="108"/>
        <v>-15617630.426415991</v>
      </c>
      <c r="Q272" s="2">
        <f t="shared" si="108"/>
        <v>-18840606.960301302</v>
      </c>
      <c r="R272" s="2">
        <f t="shared" si="108"/>
        <v>-22365713.59044046</v>
      </c>
      <c r="S272" s="2">
        <f t="shared" si="108"/>
        <v>-26221707.401680533</v>
      </c>
      <c r="T272" s="2">
        <f t="shared" si="108"/>
        <v>-30433910.24674651</v>
      </c>
      <c r="U272" s="2">
        <f t="shared" si="108"/>
        <v>-34786550.688150644</v>
      </c>
      <c r="V272" s="2">
        <f t="shared" si="108"/>
        <v>-39281826.85086789</v>
      </c>
      <c r="W272" s="2">
        <f t="shared" si="108"/>
        <v>-40106745.214736119</v>
      </c>
      <c r="X272" s="2">
        <f t="shared" si="108"/>
        <v>-40948986.864245564</v>
      </c>
      <c r="Y272" s="2">
        <f t="shared" si="108"/>
        <v>-41808915.588394716</v>
      </c>
      <c r="Z272" s="2">
        <f t="shared" si="108"/>
        <v>-42686902.815751001</v>
      </c>
      <c r="AA272" s="2">
        <f t="shared" si="108"/>
        <v>-43583327.774881765</v>
      </c>
      <c r="AB272" s="2">
        <f t="shared" ref="AB272:AB275" si="109">IF(V272=0,0,IF($G$15&gt;(AA272/V272)^(1/5)-1+2%,AA272*(AA272/V272)^(1/5)/($G$15-((AA272/V272)^(1/5)-1)),AA272*(1+$G$14)/$G$16))</f>
        <v>-1452777592.4960618</v>
      </c>
    </row>
    <row r="273" spans="1:28" x14ac:dyDescent="0.25">
      <c r="E273" t="s">
        <v>10</v>
      </c>
      <c r="F273" t="s">
        <v>7</v>
      </c>
      <c r="G273" s="2">
        <f t="shared" si="108"/>
        <v>0</v>
      </c>
      <c r="H273" s="2">
        <f t="shared" si="108"/>
        <v>-238607.69999999998</v>
      </c>
      <c r="I273" s="2">
        <f t="shared" si="108"/>
        <v>-545467.67765999993</v>
      </c>
      <c r="J273" s="2">
        <f t="shared" si="108"/>
        <v>-931079.77772086964</v>
      </c>
      <c r="K273" s="2">
        <f t="shared" si="108"/>
        <v>-1378991.2494832422</v>
      </c>
      <c r="L273" s="2">
        <f t="shared" si="108"/>
        <v>-1887537.2070959327</v>
      </c>
      <c r="M273" s="2">
        <f t="shared" si="108"/>
        <v>-2455743.7093496569</v>
      </c>
      <c r="N273" s="2">
        <f t="shared" si="108"/>
        <v>-3082226.3843915244</v>
      </c>
      <c r="O273" s="2">
        <f t="shared" si="108"/>
        <v>-3765654.9085775586</v>
      </c>
      <c r="P273" s="2">
        <f t="shared" si="108"/>
        <v>-4573081.1808727076</v>
      </c>
      <c r="Q273" s="2">
        <f t="shared" si="108"/>
        <v>-5521320.9271904863</v>
      </c>
      <c r="R273" s="2">
        <f t="shared" si="108"/>
        <v>-6558492.6054453477</v>
      </c>
      <c r="S273" s="2">
        <f t="shared" si="108"/>
        <v>-7693009.7242854116</v>
      </c>
      <c r="T273" s="2">
        <f t="shared" si="108"/>
        <v>-8932432.2581552491</v>
      </c>
      <c r="U273" s="2">
        <f t="shared" si="108"/>
        <v>-10213213.248582557</v>
      </c>
      <c r="V273" s="2">
        <f t="shared" si="108"/>
        <v>-11535907.094647124</v>
      </c>
      <c r="W273" s="2">
        <f t="shared" si="108"/>
        <v>-11778161.143634714</v>
      </c>
      <c r="X273" s="2">
        <f t="shared" si="108"/>
        <v>-12025502.527651042</v>
      </c>
      <c r="Y273" s="2">
        <f t="shared" si="108"/>
        <v>-12278038.080731712</v>
      </c>
      <c r="Z273" s="2">
        <f t="shared" si="108"/>
        <v>-12535876.880427077</v>
      </c>
      <c r="AA273" s="2">
        <f t="shared" si="108"/>
        <v>-12799130.294916045</v>
      </c>
      <c r="AB273" s="2">
        <f t="shared" si="109"/>
        <v>-426637676.4972024</v>
      </c>
    </row>
    <row r="274" spans="1:28" x14ac:dyDescent="0.25">
      <c r="E274" t="s">
        <v>48</v>
      </c>
      <c r="F274" t="s">
        <v>7</v>
      </c>
      <c r="G274" s="2">
        <f t="shared" si="108"/>
        <v>0</v>
      </c>
      <c r="H274" s="2">
        <f t="shared" si="108"/>
        <v>0</v>
      </c>
      <c r="I274" s="2">
        <f t="shared" si="108"/>
        <v>0</v>
      </c>
      <c r="J274" s="2">
        <f t="shared" si="108"/>
        <v>0</v>
      </c>
      <c r="K274" s="2">
        <f t="shared" si="108"/>
        <v>0</v>
      </c>
      <c r="L274" s="2">
        <f t="shared" si="108"/>
        <v>0</v>
      </c>
      <c r="M274" s="2">
        <f t="shared" si="108"/>
        <v>0</v>
      </c>
      <c r="N274" s="2">
        <f t="shared" si="108"/>
        <v>0</v>
      </c>
      <c r="O274" s="2">
        <f t="shared" si="108"/>
        <v>0</v>
      </c>
      <c r="P274" s="2">
        <f t="shared" si="108"/>
        <v>0</v>
      </c>
      <c r="Q274" s="2">
        <f t="shared" si="108"/>
        <v>0</v>
      </c>
      <c r="R274" s="2">
        <f t="shared" si="108"/>
        <v>0</v>
      </c>
      <c r="S274" s="2">
        <f t="shared" si="108"/>
        <v>0</v>
      </c>
      <c r="T274" s="2">
        <f t="shared" si="108"/>
        <v>0</v>
      </c>
      <c r="U274" s="2">
        <f t="shared" si="108"/>
        <v>0</v>
      </c>
      <c r="V274" s="2">
        <f t="shared" si="108"/>
        <v>0</v>
      </c>
      <c r="W274" s="2">
        <f t="shared" si="108"/>
        <v>0</v>
      </c>
      <c r="X274" s="2">
        <f t="shared" si="108"/>
        <v>0</v>
      </c>
      <c r="Y274" s="2">
        <f t="shared" si="108"/>
        <v>0</v>
      </c>
      <c r="Z274" s="2">
        <f t="shared" si="108"/>
        <v>0</v>
      </c>
      <c r="AA274" s="2">
        <f t="shared" si="108"/>
        <v>0</v>
      </c>
      <c r="AB274" s="2">
        <f t="shared" si="109"/>
        <v>0</v>
      </c>
    </row>
    <row r="275" spans="1:28" x14ac:dyDescent="0.25">
      <c r="E275" t="s">
        <v>49</v>
      </c>
      <c r="F275" t="s">
        <v>7</v>
      </c>
      <c r="G275" s="2">
        <f t="shared" si="108"/>
        <v>0</v>
      </c>
      <c r="H275" s="2">
        <f t="shared" si="108"/>
        <v>0</v>
      </c>
      <c r="I275" s="2">
        <f t="shared" si="108"/>
        <v>0</v>
      </c>
      <c r="J275" s="2">
        <f t="shared" si="108"/>
        <v>0</v>
      </c>
      <c r="K275" s="2">
        <f t="shared" si="108"/>
        <v>0</v>
      </c>
      <c r="L275" s="2">
        <f t="shared" si="108"/>
        <v>0</v>
      </c>
      <c r="M275" s="2">
        <f t="shared" si="108"/>
        <v>0</v>
      </c>
      <c r="N275" s="2">
        <f t="shared" si="108"/>
        <v>0</v>
      </c>
      <c r="O275" s="2">
        <f t="shared" si="108"/>
        <v>0</v>
      </c>
      <c r="P275" s="2">
        <f t="shared" si="108"/>
        <v>0</v>
      </c>
      <c r="Q275" s="2">
        <f t="shared" si="108"/>
        <v>0</v>
      </c>
      <c r="R275" s="2">
        <f t="shared" si="108"/>
        <v>0</v>
      </c>
      <c r="S275" s="2">
        <f t="shared" si="108"/>
        <v>0</v>
      </c>
      <c r="T275" s="2">
        <f t="shared" si="108"/>
        <v>0</v>
      </c>
      <c r="U275" s="2">
        <f t="shared" si="108"/>
        <v>0</v>
      </c>
      <c r="V275" s="2">
        <f t="shared" si="108"/>
        <v>0</v>
      </c>
      <c r="W275" s="2">
        <f t="shared" si="108"/>
        <v>0</v>
      </c>
      <c r="X275" s="2">
        <f t="shared" si="108"/>
        <v>0</v>
      </c>
      <c r="Y275" s="2">
        <f t="shared" si="108"/>
        <v>0</v>
      </c>
      <c r="Z275" s="2">
        <f t="shared" si="108"/>
        <v>0</v>
      </c>
      <c r="AA275" s="2">
        <f t="shared" si="108"/>
        <v>0</v>
      </c>
      <c r="AB275" s="2">
        <f t="shared" si="109"/>
        <v>0</v>
      </c>
    </row>
    <row r="276" spans="1:28" x14ac:dyDescent="0.25">
      <c r="E276" t="s">
        <v>20</v>
      </c>
      <c r="F276" t="s">
        <v>7</v>
      </c>
      <c r="G276" s="2">
        <f t="shared" ref="G276:AA276" ca="1" si="110">G265</f>
        <v>-199411862.69797331</v>
      </c>
      <c r="H276" s="2">
        <f t="shared" si="110"/>
        <v>-1715068.590024892</v>
      </c>
      <c r="I276" s="2">
        <f t="shared" si="110"/>
        <v>-2179495.6023787665</v>
      </c>
      <c r="J276" s="2">
        <f t="shared" si="110"/>
        <v>-2695550.0450750231</v>
      </c>
      <c r="K276" s="2">
        <f t="shared" si="110"/>
        <v>-3013540.3356919074</v>
      </c>
      <c r="L276" s="2">
        <f t="shared" si="110"/>
        <v>-3283551.6328255376</v>
      </c>
      <c r="M276" s="2">
        <f t="shared" si="110"/>
        <v>-3496821.9760961002</v>
      </c>
      <c r="N276" s="2">
        <f t="shared" si="110"/>
        <v>-3646952.0655052797</v>
      </c>
      <c r="O276" s="2">
        <f t="shared" si="110"/>
        <v>-3799736.9846639326</v>
      </c>
      <c r="P276" s="2">
        <f t="shared" si="110"/>
        <v>-4563611.9309345065</v>
      </c>
      <c r="Q276" s="2">
        <f t="shared" si="110"/>
        <v>-5386753.2470930861</v>
      </c>
      <c r="R276" s="2">
        <f t="shared" si="110"/>
        <v>-5671495.743529046</v>
      </c>
      <c r="S276" s="2">
        <f t="shared" si="110"/>
        <v>-5994644.8254558314</v>
      </c>
      <c r="T276" s="2">
        <f t="shared" si="110"/>
        <v>-6344053.9729036419</v>
      </c>
      <c r="U276" s="2">
        <f t="shared" si="110"/>
        <v>-6078095.0185377728</v>
      </c>
      <c r="V276" s="2">
        <f t="shared" si="110"/>
        <v>-5800337.3871621247</v>
      </c>
      <c r="W276" s="2">
        <f t="shared" si="110"/>
        <v>4430549.2970725978</v>
      </c>
      <c r="X276" s="2">
        <f t="shared" si="110"/>
        <v>4454676.205645374</v>
      </c>
      <c r="Y276" s="2">
        <f t="shared" si="110"/>
        <v>4479309.7792981798</v>
      </c>
      <c r="Z276" s="2">
        <f t="shared" si="110"/>
        <v>4504460.6579976976</v>
      </c>
      <c r="AA276" s="2">
        <f t="shared" si="110"/>
        <v>4530139.705149902</v>
      </c>
      <c r="AB276" s="2">
        <f>IF(V276=0,0,IF($G$15&gt;(AA276/V276)^(1/5)-1+2%,AA276*(AA276/V276)^(1/5)/($G$15-((AA276/V276)^(1/5)-1)),AA276*(1+$G$14)/$G$16))</f>
        <v>-2152165.9558882415</v>
      </c>
    </row>
    <row r="277" spans="1:28" x14ac:dyDescent="0.25">
      <c r="E277" t="s">
        <v>173</v>
      </c>
      <c r="F277" t="s">
        <v>7</v>
      </c>
      <c r="G277" s="2">
        <f ca="1">-$G$17*G276</f>
        <v>99705931.348986655</v>
      </c>
      <c r="H277" s="2">
        <f t="shared" ref="H277:AA277" si="111">-$G$17*H276</f>
        <v>857534.295012446</v>
      </c>
      <c r="I277" s="2">
        <f t="shared" si="111"/>
        <v>1089747.8011893833</v>
      </c>
      <c r="J277" s="2">
        <f t="shared" si="111"/>
        <v>1347775.0225375115</v>
      </c>
      <c r="K277" s="2">
        <f t="shared" si="111"/>
        <v>1506770.1678459537</v>
      </c>
      <c r="L277" s="2">
        <f t="shared" si="111"/>
        <v>1641775.8164127688</v>
      </c>
      <c r="M277" s="2">
        <f t="shared" si="111"/>
        <v>1748410.9880480501</v>
      </c>
      <c r="N277" s="2">
        <f t="shared" si="111"/>
        <v>1823476.0327526398</v>
      </c>
      <c r="O277" s="2">
        <f t="shared" si="111"/>
        <v>1899868.4923319663</v>
      </c>
      <c r="P277" s="2">
        <f t="shared" si="111"/>
        <v>2281805.9654672532</v>
      </c>
      <c r="Q277" s="2">
        <f t="shared" si="111"/>
        <v>2693376.6235465431</v>
      </c>
      <c r="R277" s="2">
        <f t="shared" si="111"/>
        <v>2835747.871764523</v>
      </c>
      <c r="S277" s="2">
        <f t="shared" si="111"/>
        <v>2997322.4127279157</v>
      </c>
      <c r="T277" s="2">
        <f t="shared" si="111"/>
        <v>3172026.9864518209</v>
      </c>
      <c r="U277" s="2">
        <f t="shared" si="111"/>
        <v>3039047.5092688864</v>
      </c>
      <c r="V277" s="2">
        <f t="shared" si="111"/>
        <v>2900168.6935810624</v>
      </c>
      <c r="W277" s="2">
        <f t="shared" si="111"/>
        <v>-2215274.6485362989</v>
      </c>
      <c r="X277" s="2">
        <f t="shared" si="111"/>
        <v>-2227338.102822687</v>
      </c>
      <c r="Y277" s="2">
        <f t="shared" si="111"/>
        <v>-2239654.8896490899</v>
      </c>
      <c r="Z277" s="2">
        <f t="shared" si="111"/>
        <v>-2252230.3289988488</v>
      </c>
      <c r="AA277" s="2">
        <f t="shared" si="111"/>
        <v>-2265069.852574951</v>
      </c>
      <c r="AB277" s="2">
        <f t="shared" ref="AB277" si="112">IF(V277=0,0,IF($G$15&gt;(AA277/V277)^(1/5)-1+2%,AA277*(AA277/V277)^(1/5)/($G$15-((AA277/V277)^(1/5)-1)),AA277*(1+$G$14)/$G$16))</f>
        <v>1076082.9779441208</v>
      </c>
    </row>
    <row r="278" spans="1:28" x14ac:dyDescent="0.25">
      <c r="E278" t="s">
        <v>23</v>
      </c>
      <c r="F278" t="s">
        <v>7</v>
      </c>
      <c r="G278" s="2">
        <f t="shared" ref="G278:AB278" ca="1" si="113">SUM(G268:G277)</f>
        <v>-234241169.883764</v>
      </c>
      <c r="H278" s="2">
        <f t="shared" si="113"/>
        <v>-11216231.427928435</v>
      </c>
      <c r="I278" s="2">
        <f t="shared" si="113"/>
        <v>-25503462.643964957</v>
      </c>
      <c r="J278" s="2">
        <f t="shared" si="113"/>
        <v>-32114912.101920936</v>
      </c>
      <c r="K278" s="2">
        <f t="shared" si="113"/>
        <v>-36331921.894253917</v>
      </c>
      <c r="L278" s="2">
        <f t="shared" si="113"/>
        <v>-37583203.862208918</v>
      </c>
      <c r="M278" s="2">
        <f t="shared" si="113"/>
        <v>-43361579.456492357</v>
      </c>
      <c r="N278" s="2">
        <f t="shared" si="113"/>
        <v>-50364754.707449146</v>
      </c>
      <c r="O278" s="2">
        <f t="shared" si="113"/>
        <v>-38041532.410483107</v>
      </c>
      <c r="P278" s="2">
        <f t="shared" si="113"/>
        <v>-28104381.224551085</v>
      </c>
      <c r="Q278" s="2">
        <f t="shared" si="113"/>
        <v>-39973287.301483922</v>
      </c>
      <c r="R278" s="2">
        <f t="shared" si="113"/>
        <v>-45146151.628599785</v>
      </c>
      <c r="S278" s="2">
        <f t="shared" si="113"/>
        <v>-46601696.365219317</v>
      </c>
      <c r="T278" s="2">
        <f t="shared" si="113"/>
        <v>-48132735.925387651</v>
      </c>
      <c r="U278" s="2">
        <f t="shared" si="113"/>
        <v>-49391836.844772637</v>
      </c>
      <c r="V278" s="2">
        <f t="shared" si="113"/>
        <v>-50678164.25292331</v>
      </c>
      <c r="W278" s="2">
        <f t="shared" si="113"/>
        <v>-1614393.3788889828</v>
      </c>
      <c r="X278" s="2">
        <f t="shared" si="113"/>
        <v>-1682752.9531785143</v>
      </c>
      <c r="Y278" s="2">
        <f t="shared" si="113"/>
        <v>-1752548.0785281318</v>
      </c>
      <c r="Z278" s="2">
        <f t="shared" si="113"/>
        <v>-1823808.9015100971</v>
      </c>
      <c r="AA278" s="2">
        <f t="shared" si="113"/>
        <v>-1896566.2017746763</v>
      </c>
      <c r="AB278" s="2">
        <f t="shared" si="113"/>
        <v>-139797284.7895987</v>
      </c>
    </row>
    <row r="279" spans="1:28" x14ac:dyDescent="0.25">
      <c r="E279" t="s">
        <v>31</v>
      </c>
      <c r="F279" t="s">
        <v>7</v>
      </c>
      <c r="G279" s="2">
        <f ca="1">NPV($G$15,H278:AB278)+G278</f>
        <v>-666201044.97696412</v>
      </c>
    </row>
    <row r="280" spans="1:28" x14ac:dyDescent="0.25">
      <c r="E280" s="3" t="s">
        <v>34</v>
      </c>
      <c r="F280" s="3"/>
      <c r="G280" s="4" t="str">
        <f ca="1">IF(G279&gt;0,"N/A",IF(ABS(G279+G253)&gt;1,"Error","OK"))</f>
        <v>OK</v>
      </c>
    </row>
    <row r="282" spans="1:28" x14ac:dyDescent="0.25">
      <c r="C282" s="1" t="s">
        <v>36</v>
      </c>
      <c r="D282" s="1"/>
      <c r="G282" s="44"/>
    </row>
    <row r="283" spans="1:28" x14ac:dyDescent="0.25">
      <c r="A283" s="14">
        <f>'Notes &amp; Assumptions'!A67</f>
        <v>54</v>
      </c>
      <c r="C283" s="1"/>
      <c r="D283" s="1"/>
      <c r="E283" t="s">
        <v>42</v>
      </c>
      <c r="F283" t="s">
        <v>3</v>
      </c>
      <c r="G283" s="10"/>
      <c r="H283" s="10">
        <v>1</v>
      </c>
      <c r="I283" s="10">
        <v>1</v>
      </c>
      <c r="J283" s="10">
        <v>1</v>
      </c>
      <c r="K283" s="10">
        <v>1</v>
      </c>
      <c r="L283" s="10">
        <v>1</v>
      </c>
      <c r="M283" s="10">
        <v>1</v>
      </c>
      <c r="N283" s="10">
        <v>1</v>
      </c>
      <c r="O283" s="10">
        <v>1</v>
      </c>
      <c r="P283" s="10">
        <v>1</v>
      </c>
      <c r="Q283" s="10">
        <v>1</v>
      </c>
      <c r="R283" s="10">
        <v>1</v>
      </c>
      <c r="S283" s="10">
        <v>1</v>
      </c>
      <c r="T283" s="10">
        <v>1</v>
      </c>
      <c r="U283" s="10">
        <v>1</v>
      </c>
      <c r="V283" s="10">
        <v>1</v>
      </c>
      <c r="W283" s="10">
        <v>0</v>
      </c>
      <c r="X283" s="10">
        <v>0</v>
      </c>
      <c r="Y283" s="10">
        <v>0</v>
      </c>
      <c r="Z283" s="10">
        <v>0</v>
      </c>
      <c r="AA283" s="10">
        <v>0</v>
      </c>
    </row>
    <row r="284" spans="1:28" x14ac:dyDescent="0.25">
      <c r="E284" t="s">
        <v>37</v>
      </c>
      <c r="F284" t="s">
        <v>38</v>
      </c>
      <c r="G284" s="8">
        <f ca="1">MAX(0,-G311/(NPV($G$16,H283:AA283)+G283))</f>
        <v>55799303.367085159</v>
      </c>
      <c r="H284" s="2">
        <f t="shared" ref="H284:AA284" ca="1" si="114">G284*(1+$G$14)</f>
        <v>56971088.737793945</v>
      </c>
      <c r="I284" s="2">
        <f t="shared" ca="1" si="114"/>
        <v>58167481.601287611</v>
      </c>
      <c r="J284" s="2">
        <f t="shared" ca="1" si="114"/>
        <v>59388998.714914642</v>
      </c>
      <c r="K284" s="2">
        <f t="shared" ca="1" si="114"/>
        <v>60636167.687927842</v>
      </c>
      <c r="L284" s="2">
        <f t="shared" ca="1" si="114"/>
        <v>61909527.209374323</v>
      </c>
      <c r="M284" s="2">
        <f t="shared" ca="1" si="114"/>
        <v>63209627.280771181</v>
      </c>
      <c r="N284" s="2">
        <f t="shared" ca="1" si="114"/>
        <v>64537029.453667372</v>
      </c>
      <c r="O284" s="2">
        <f t="shared" ca="1" si="114"/>
        <v>65892307.072194383</v>
      </c>
      <c r="P284" s="2">
        <f t="shared" ca="1" si="114"/>
        <v>67276045.520710453</v>
      </c>
      <c r="Q284" s="2">
        <f t="shared" ca="1" si="114"/>
        <v>68688842.476645365</v>
      </c>
      <c r="R284" s="2">
        <f t="shared" ca="1" si="114"/>
        <v>70131308.168654919</v>
      </c>
      <c r="S284" s="2">
        <f t="shared" ca="1" si="114"/>
        <v>71604065.640196666</v>
      </c>
      <c r="T284" s="2">
        <f t="shared" ca="1" si="114"/>
        <v>73107751.018640786</v>
      </c>
      <c r="U284" s="2">
        <f t="shared" ca="1" si="114"/>
        <v>74643013.790032238</v>
      </c>
      <c r="V284" s="2">
        <f t="shared" ca="1" si="114"/>
        <v>76210517.079622909</v>
      </c>
      <c r="W284" s="2">
        <f t="shared" ca="1" si="114"/>
        <v>77810937.938294977</v>
      </c>
      <c r="X284" s="2">
        <f t="shared" ca="1" si="114"/>
        <v>79444967.634999171</v>
      </c>
      <c r="Y284" s="2">
        <f t="shared" ca="1" si="114"/>
        <v>81113311.955334142</v>
      </c>
      <c r="Z284" s="2">
        <f t="shared" ca="1" si="114"/>
        <v>82816691.506396145</v>
      </c>
      <c r="AA284" s="2">
        <f t="shared" ca="1" si="114"/>
        <v>84555842.028030455</v>
      </c>
    </row>
    <row r="285" spans="1:28" x14ac:dyDescent="0.25">
      <c r="E285" t="s">
        <v>21</v>
      </c>
      <c r="F285" t="s">
        <v>7</v>
      </c>
      <c r="G285" s="2">
        <f ca="1">G283*G284</f>
        <v>0</v>
      </c>
      <c r="H285" s="2">
        <f t="shared" ref="H285:AA285" ca="1" si="115">H283*H284</f>
        <v>56971088.737793945</v>
      </c>
      <c r="I285" s="2">
        <f t="shared" ca="1" si="115"/>
        <v>58167481.601287611</v>
      </c>
      <c r="J285" s="2">
        <f t="shared" ca="1" si="115"/>
        <v>59388998.714914642</v>
      </c>
      <c r="K285" s="2">
        <f t="shared" ca="1" si="115"/>
        <v>60636167.687927842</v>
      </c>
      <c r="L285" s="2">
        <f t="shared" ca="1" si="115"/>
        <v>61909527.209374323</v>
      </c>
      <c r="M285" s="2">
        <f t="shared" ca="1" si="115"/>
        <v>63209627.280771181</v>
      </c>
      <c r="N285" s="2">
        <f t="shared" ca="1" si="115"/>
        <v>64537029.453667372</v>
      </c>
      <c r="O285" s="2">
        <f t="shared" ca="1" si="115"/>
        <v>65892307.072194383</v>
      </c>
      <c r="P285" s="2">
        <f t="shared" ca="1" si="115"/>
        <v>67276045.520710453</v>
      </c>
      <c r="Q285" s="2">
        <f t="shared" ca="1" si="115"/>
        <v>68688842.476645365</v>
      </c>
      <c r="R285" s="2">
        <f t="shared" ca="1" si="115"/>
        <v>70131308.168654919</v>
      </c>
      <c r="S285" s="2">
        <f t="shared" ca="1" si="115"/>
        <v>71604065.640196666</v>
      </c>
      <c r="T285" s="2">
        <f t="shared" ca="1" si="115"/>
        <v>73107751.018640786</v>
      </c>
      <c r="U285" s="2">
        <f t="shared" ca="1" si="115"/>
        <v>74643013.790032238</v>
      </c>
      <c r="V285" s="2">
        <f t="shared" ca="1" si="115"/>
        <v>76210517.079622909</v>
      </c>
      <c r="W285" s="2">
        <f t="shared" ca="1" si="115"/>
        <v>0</v>
      </c>
      <c r="X285" s="2">
        <f t="shared" ca="1" si="115"/>
        <v>0</v>
      </c>
      <c r="Y285" s="2">
        <f t="shared" ca="1" si="115"/>
        <v>0</v>
      </c>
      <c r="Z285" s="2">
        <f t="shared" ca="1" si="115"/>
        <v>0</v>
      </c>
      <c r="AA285" s="2">
        <f t="shared" ca="1" si="115"/>
        <v>0</v>
      </c>
    </row>
    <row r="286" spans="1:28" x14ac:dyDescent="0.25">
      <c r="G286" s="8">
        <f ca="1">-G311/(NPV($G$16,H283:AA283)+G283)</f>
        <v>55799303.367085159</v>
      </c>
    </row>
    <row r="287" spans="1:28" x14ac:dyDescent="0.25">
      <c r="D287" t="s">
        <v>9</v>
      </c>
    </row>
    <row r="288" spans="1:28" x14ac:dyDescent="0.25">
      <c r="E288" t="s">
        <v>107</v>
      </c>
      <c r="F288" t="s">
        <v>7</v>
      </c>
      <c r="G288" s="2">
        <f t="shared" ref="G288:AA293" si="116">G222</f>
        <v>0</v>
      </c>
      <c r="H288" s="2">
        <f t="shared" si="116"/>
        <v>7325674.9999999991</v>
      </c>
      <c r="I288" s="2">
        <f t="shared" si="116"/>
        <v>9267300.4899999965</v>
      </c>
      <c r="J288" s="2">
        <f t="shared" si="116"/>
        <v>11487284.876359947</v>
      </c>
      <c r="K288" s="2">
        <f t="shared" si="116"/>
        <v>13151366.557068599</v>
      </c>
      <c r="L288" s="2">
        <f t="shared" si="116"/>
        <v>14724166.621117525</v>
      </c>
      <c r="M288" s="2">
        <f t="shared" si="116"/>
        <v>16227971.694442844</v>
      </c>
      <c r="N288" s="2">
        <f t="shared" si="116"/>
        <v>17650808.772011723</v>
      </c>
      <c r="O288" s="2">
        <f t="shared" si="116"/>
        <v>18995229.784195982</v>
      </c>
      <c r="P288" s="2">
        <f t="shared" si="116"/>
        <v>22361546.642566416</v>
      </c>
      <c r="Q288" s="2">
        <f t="shared" si="116"/>
        <v>26164189.871211268</v>
      </c>
      <c r="R288" s="2">
        <f t="shared" si="116"/>
        <v>28283191.103013303</v>
      </c>
      <c r="S288" s="2">
        <f t="shared" si="116"/>
        <v>30603164.11789469</v>
      </c>
      <c r="T288" s="2">
        <f t="shared" si="116"/>
        <v>33092479.419381183</v>
      </c>
      <c r="U288" s="2">
        <f t="shared" si="116"/>
        <v>33563155.22386992</v>
      </c>
      <c r="V288" s="2">
        <f t="shared" si="116"/>
        <v>34024186.732062921</v>
      </c>
      <c r="W288" s="2">
        <f t="shared" si="116"/>
        <v>0</v>
      </c>
      <c r="X288" s="2">
        <f t="shared" si="116"/>
        <v>0</v>
      </c>
      <c r="Y288" s="2">
        <f t="shared" si="116"/>
        <v>0</v>
      </c>
      <c r="Z288" s="2">
        <f t="shared" si="116"/>
        <v>0</v>
      </c>
      <c r="AA288" s="2">
        <f t="shared" si="116"/>
        <v>0</v>
      </c>
    </row>
    <row r="289" spans="4:28" customFormat="1" x14ac:dyDescent="0.25">
      <c r="E289" t="s">
        <v>11</v>
      </c>
      <c r="F289" t="s">
        <v>7</v>
      </c>
      <c r="G289" s="2">
        <f t="shared" si="116"/>
        <v>0</v>
      </c>
      <c r="H289" s="2">
        <f t="shared" si="116"/>
        <v>1145668.7758802876</v>
      </c>
      <c r="I289" s="2">
        <f t="shared" si="116"/>
        <v>2489341.2673551999</v>
      </c>
      <c r="J289" s="2">
        <f t="shared" si="116"/>
        <v>4169471.2914060657</v>
      </c>
      <c r="K289" s="2">
        <f t="shared" si="116"/>
        <v>6078387.3304922953</v>
      </c>
      <c r="L289" s="2">
        <f t="shared" si="116"/>
        <v>8212422.7001230363</v>
      </c>
      <c r="M289" s="2">
        <f t="shared" si="116"/>
        <v>10564938.798287198</v>
      </c>
      <c r="N289" s="2">
        <f t="shared" si="116"/>
        <v>13133382.524298349</v>
      </c>
      <c r="O289" s="2">
        <f t="shared" si="116"/>
        <v>15912638.88719474</v>
      </c>
      <c r="P289" s="2">
        <f t="shared" si="116"/>
        <v>19170204.060653832</v>
      </c>
      <c r="Q289" s="2">
        <f t="shared" si="116"/>
        <v>22972073.119194571</v>
      </c>
      <c r="R289" s="2">
        <f t="shared" si="116"/>
        <v>27128917.474331915</v>
      </c>
      <c r="S289" s="2">
        <f t="shared" si="116"/>
        <v>31676275.62449681</v>
      </c>
      <c r="T289" s="2">
        <f t="shared" si="116"/>
        <v>36640250.598459661</v>
      </c>
      <c r="U289" s="2">
        <f t="shared" si="116"/>
        <v>41768518.591405548</v>
      </c>
      <c r="V289" s="2">
        <f t="shared" si="116"/>
        <v>47066834.800142556</v>
      </c>
      <c r="W289" s="2">
        <f t="shared" si="116"/>
        <v>48055238.330945551</v>
      </c>
      <c r="X289" s="2">
        <f t="shared" si="116"/>
        <v>49064398.335895404</v>
      </c>
      <c r="Y289" s="2">
        <f t="shared" si="116"/>
        <v>50094750.700949207</v>
      </c>
      <c r="Z289" s="2">
        <f t="shared" si="116"/>
        <v>51146740.465669133</v>
      </c>
      <c r="AA289" s="2">
        <f t="shared" si="116"/>
        <v>52220822.015448183</v>
      </c>
    </row>
    <row r="290" spans="4:28" customFormat="1" x14ac:dyDescent="0.25">
      <c r="E290" t="s">
        <v>57</v>
      </c>
      <c r="F290" t="s">
        <v>7</v>
      </c>
      <c r="G290" s="2">
        <f t="shared" si="116"/>
        <v>0</v>
      </c>
      <c r="H290" s="2">
        <f t="shared" si="116"/>
        <v>-823584.24806948914</v>
      </c>
      <c r="I290" s="2">
        <f t="shared" si="116"/>
        <v>-1878977.6409096962</v>
      </c>
      <c r="J290" s="2">
        <f t="shared" si="116"/>
        <v>-3203416.2846636195</v>
      </c>
      <c r="K290" s="2">
        <f t="shared" si="116"/>
        <v>-4735867.7122820318</v>
      </c>
      <c r="L290" s="2">
        <f t="shared" si="116"/>
        <v>-6472812.1084424779</v>
      </c>
      <c r="M290" s="2">
        <f t="shared" si="116"/>
        <v>-8410696.3118881825</v>
      </c>
      <c r="N290" s="2">
        <f t="shared" si="116"/>
        <v>-10545081.22729216</v>
      </c>
      <c r="O290" s="2">
        <f t="shared" si="116"/>
        <v>-12871464.647283694</v>
      </c>
      <c r="P290" s="2">
        <f t="shared" si="116"/>
        <v>-15617630.426415991</v>
      </c>
      <c r="Q290" s="2">
        <f t="shared" si="116"/>
        <v>-18840606.960301302</v>
      </c>
      <c r="R290" s="2">
        <f t="shared" si="116"/>
        <v>-22365713.59044046</v>
      </c>
      <c r="S290" s="2">
        <f t="shared" si="116"/>
        <v>-26221707.401680533</v>
      </c>
      <c r="T290" s="2">
        <f t="shared" si="116"/>
        <v>-30433910.24674651</v>
      </c>
      <c r="U290" s="2">
        <f t="shared" si="116"/>
        <v>-34786550.688150644</v>
      </c>
      <c r="V290" s="2">
        <f t="shared" si="116"/>
        <v>-39281826.85086789</v>
      </c>
      <c r="W290" s="2">
        <f t="shared" si="116"/>
        <v>-40106745.214736119</v>
      </c>
      <c r="X290" s="2">
        <f t="shared" si="116"/>
        <v>-40948986.864245564</v>
      </c>
      <c r="Y290" s="2">
        <f t="shared" si="116"/>
        <v>-41808915.588394716</v>
      </c>
      <c r="Z290" s="2">
        <f t="shared" si="116"/>
        <v>-42686902.815751001</v>
      </c>
      <c r="AA290" s="2">
        <f t="shared" si="116"/>
        <v>-43583327.774881765</v>
      </c>
    </row>
    <row r="291" spans="4:28" customFormat="1" x14ac:dyDescent="0.25">
      <c r="E291" t="s">
        <v>10</v>
      </c>
      <c r="F291" t="s">
        <v>7</v>
      </c>
      <c r="G291" s="2">
        <f t="shared" si="116"/>
        <v>0</v>
      </c>
      <c r="H291" s="2">
        <f t="shared" si="116"/>
        <v>-238607.69999999998</v>
      </c>
      <c r="I291" s="2">
        <f t="shared" si="116"/>
        <v>-545467.67765999993</v>
      </c>
      <c r="J291" s="2">
        <f t="shared" si="116"/>
        <v>-931079.77772086964</v>
      </c>
      <c r="K291" s="2">
        <f t="shared" si="116"/>
        <v>-1378991.2494832422</v>
      </c>
      <c r="L291" s="2">
        <f t="shared" si="116"/>
        <v>-1887537.2070959327</v>
      </c>
      <c r="M291" s="2">
        <f t="shared" si="116"/>
        <v>-2455743.7093496569</v>
      </c>
      <c r="N291" s="2">
        <f t="shared" si="116"/>
        <v>-3082226.3843915244</v>
      </c>
      <c r="O291" s="2">
        <f t="shared" si="116"/>
        <v>-3765654.9085775586</v>
      </c>
      <c r="P291" s="2">
        <f t="shared" si="116"/>
        <v>-4573081.1808727076</v>
      </c>
      <c r="Q291" s="2">
        <f t="shared" si="116"/>
        <v>-5521320.9271904863</v>
      </c>
      <c r="R291" s="2">
        <f t="shared" si="116"/>
        <v>-6558492.6054453477</v>
      </c>
      <c r="S291" s="2">
        <f t="shared" si="116"/>
        <v>-7693009.7242854116</v>
      </c>
      <c r="T291" s="2">
        <f t="shared" si="116"/>
        <v>-8932432.2581552491</v>
      </c>
      <c r="U291" s="2">
        <f t="shared" si="116"/>
        <v>-10213213.248582557</v>
      </c>
      <c r="V291" s="2">
        <f t="shared" si="116"/>
        <v>-11535907.094647124</v>
      </c>
      <c r="W291" s="2">
        <f t="shared" si="116"/>
        <v>-11778161.143634714</v>
      </c>
      <c r="X291" s="2">
        <f t="shared" si="116"/>
        <v>-12025502.527651042</v>
      </c>
      <c r="Y291" s="2">
        <f t="shared" si="116"/>
        <v>-12278038.080731712</v>
      </c>
      <c r="Z291" s="2">
        <f t="shared" si="116"/>
        <v>-12535876.880427077</v>
      </c>
      <c r="AA291" s="2">
        <f t="shared" si="116"/>
        <v>-12799130.294916045</v>
      </c>
    </row>
    <row r="292" spans="4:28" customFormat="1" x14ac:dyDescent="0.25">
      <c r="E292" t="s">
        <v>12</v>
      </c>
      <c r="F292" t="s">
        <v>7</v>
      </c>
      <c r="G292" s="2">
        <f t="shared" si="116"/>
        <v>-1494835.9837197482</v>
      </c>
      <c r="H292" s="2">
        <f t="shared" si="116"/>
        <v>-1692256.5277278237</v>
      </c>
      <c r="I292" s="2">
        <f t="shared" si="116"/>
        <v>-2067211.0975229465</v>
      </c>
      <c r="J292" s="2">
        <f t="shared" si="116"/>
        <v>-2537093.288464779</v>
      </c>
      <c r="K292" s="2">
        <f t="shared" si="116"/>
        <v>-3069760.4734892636</v>
      </c>
      <c r="L292" s="2">
        <f t="shared" si="116"/>
        <v>-3631067.896283689</v>
      </c>
      <c r="M292" s="2">
        <f t="shared" si="116"/>
        <v>-4270397.2178385397</v>
      </c>
      <c r="N292" s="2">
        <f t="shared" si="116"/>
        <v>-5000376.7996087931</v>
      </c>
      <c r="O292" s="2">
        <f t="shared" si="116"/>
        <v>-5604959.1666496899</v>
      </c>
      <c r="P292" s="2">
        <f t="shared" si="116"/>
        <v>-6128999.3261498604</v>
      </c>
      <c r="Q292" s="2">
        <f t="shared" si="116"/>
        <v>-6818490.9459370989</v>
      </c>
      <c r="R292" s="2">
        <f t="shared" si="116"/>
        <v>-7582916.5696959291</v>
      </c>
      <c r="S292" s="2">
        <f t="shared" si="116"/>
        <v>-8382573.1982394513</v>
      </c>
      <c r="T292" s="2">
        <f t="shared" si="116"/>
        <v>-9219540.9365936164</v>
      </c>
      <c r="U292" s="2">
        <f t="shared" si="116"/>
        <v>-10071593.150083017</v>
      </c>
      <c r="V292" s="2">
        <f t="shared" si="116"/>
        <v>-10938829.629483379</v>
      </c>
      <c r="W292" s="2">
        <f t="shared" si="116"/>
        <v>-10938829.629483379</v>
      </c>
      <c r="X292" s="2">
        <f t="shared" si="116"/>
        <v>-10938829.629483379</v>
      </c>
      <c r="Y292" s="2">
        <f t="shared" si="116"/>
        <v>-10938829.629483379</v>
      </c>
      <c r="Z292" s="2">
        <f t="shared" si="116"/>
        <v>-10938829.629483379</v>
      </c>
      <c r="AA292" s="2">
        <f t="shared" si="116"/>
        <v>-10938829.629483379</v>
      </c>
    </row>
    <row r="293" spans="4:28" customFormat="1" x14ac:dyDescent="0.25">
      <c r="E293" t="s">
        <v>48</v>
      </c>
      <c r="F293" t="s">
        <v>7</v>
      </c>
      <c r="G293" s="2">
        <f t="shared" si="116"/>
        <v>0</v>
      </c>
      <c r="H293" s="2">
        <f t="shared" si="116"/>
        <v>0</v>
      </c>
      <c r="I293" s="2">
        <f t="shared" si="116"/>
        <v>0</v>
      </c>
      <c r="J293" s="2">
        <f t="shared" si="116"/>
        <v>0</v>
      </c>
      <c r="K293" s="2">
        <f t="shared" si="116"/>
        <v>0</v>
      </c>
      <c r="L293" s="2">
        <f t="shared" si="116"/>
        <v>0</v>
      </c>
      <c r="M293" s="2">
        <f t="shared" si="116"/>
        <v>0</v>
      </c>
      <c r="N293" s="2">
        <f t="shared" si="116"/>
        <v>0</v>
      </c>
      <c r="O293" s="2">
        <f t="shared" si="116"/>
        <v>0</v>
      </c>
      <c r="P293" s="2">
        <f t="shared" si="116"/>
        <v>0</v>
      </c>
      <c r="Q293" s="2">
        <f t="shared" si="116"/>
        <v>0</v>
      </c>
      <c r="R293" s="2">
        <f t="shared" si="116"/>
        <v>0</v>
      </c>
      <c r="S293" s="2">
        <f t="shared" si="116"/>
        <v>0</v>
      </c>
      <c r="T293" s="2">
        <f t="shared" si="116"/>
        <v>0</v>
      </c>
      <c r="U293" s="2">
        <f t="shared" si="116"/>
        <v>0</v>
      </c>
      <c r="V293" s="2">
        <f t="shared" si="116"/>
        <v>0</v>
      </c>
      <c r="W293" s="2">
        <f t="shared" si="116"/>
        <v>0</v>
      </c>
      <c r="X293" s="2">
        <f t="shared" si="116"/>
        <v>0</v>
      </c>
      <c r="Y293" s="2">
        <f t="shared" si="116"/>
        <v>0</v>
      </c>
      <c r="Z293" s="2">
        <f t="shared" si="116"/>
        <v>0</v>
      </c>
      <c r="AA293" s="2">
        <f t="shared" si="116"/>
        <v>0</v>
      </c>
    </row>
    <row r="294" spans="4:28" customFormat="1" x14ac:dyDescent="0.25">
      <c r="E294" t="s">
        <v>13</v>
      </c>
      <c r="F294" t="s">
        <v>7</v>
      </c>
      <c r="G294" s="2">
        <f t="shared" ref="G294:AA294" ca="1" si="117">G285</f>
        <v>0</v>
      </c>
      <c r="H294" s="2">
        <f t="shared" ca="1" si="117"/>
        <v>56971088.737793945</v>
      </c>
      <c r="I294" s="2">
        <f t="shared" ca="1" si="117"/>
        <v>58167481.601287611</v>
      </c>
      <c r="J294" s="2">
        <f t="shared" ca="1" si="117"/>
        <v>59388998.714914642</v>
      </c>
      <c r="K294" s="2">
        <f t="shared" ca="1" si="117"/>
        <v>60636167.687927842</v>
      </c>
      <c r="L294" s="2">
        <f t="shared" ca="1" si="117"/>
        <v>61909527.209374323</v>
      </c>
      <c r="M294" s="2">
        <f t="shared" ca="1" si="117"/>
        <v>63209627.280771181</v>
      </c>
      <c r="N294" s="2">
        <f t="shared" ca="1" si="117"/>
        <v>64537029.453667372</v>
      </c>
      <c r="O294" s="2">
        <f t="shared" ca="1" si="117"/>
        <v>65892307.072194383</v>
      </c>
      <c r="P294" s="2">
        <f t="shared" ca="1" si="117"/>
        <v>67276045.520710453</v>
      </c>
      <c r="Q294" s="2">
        <f t="shared" ca="1" si="117"/>
        <v>68688842.476645365</v>
      </c>
      <c r="R294" s="2">
        <f t="shared" ca="1" si="117"/>
        <v>70131308.168654919</v>
      </c>
      <c r="S294" s="2">
        <f t="shared" ca="1" si="117"/>
        <v>71604065.640196666</v>
      </c>
      <c r="T294" s="2">
        <f t="shared" ca="1" si="117"/>
        <v>73107751.018640786</v>
      </c>
      <c r="U294" s="2">
        <f t="shared" ca="1" si="117"/>
        <v>74643013.790032238</v>
      </c>
      <c r="V294" s="2">
        <f t="shared" ca="1" si="117"/>
        <v>76210517.079622909</v>
      </c>
      <c r="W294" s="2">
        <f t="shared" ca="1" si="117"/>
        <v>0</v>
      </c>
      <c r="X294" s="2">
        <f t="shared" ca="1" si="117"/>
        <v>0</v>
      </c>
      <c r="Y294" s="2">
        <f t="shared" ca="1" si="117"/>
        <v>0</v>
      </c>
      <c r="Z294" s="2">
        <f t="shared" ca="1" si="117"/>
        <v>0</v>
      </c>
      <c r="AA294" s="2">
        <f t="shared" ca="1" si="117"/>
        <v>0</v>
      </c>
    </row>
    <row r="295" spans="4:28" customFormat="1" x14ac:dyDescent="0.25"/>
    <row r="296" spans="4:28" customFormat="1" x14ac:dyDescent="0.25">
      <c r="E296" t="s">
        <v>14</v>
      </c>
      <c r="F296" t="s">
        <v>7</v>
      </c>
      <c r="G296" s="2">
        <f t="shared" ref="G296:AA296" ca="1" si="118">SUM(G288:G294)</f>
        <v>-1494835.9837197482</v>
      </c>
      <c r="H296" s="2">
        <f t="shared" ca="1" si="118"/>
        <v>62687984.037876919</v>
      </c>
      <c r="I296" s="2">
        <f t="shared" ca="1" si="118"/>
        <v>65432466.942550167</v>
      </c>
      <c r="J296" s="2">
        <f t="shared" ca="1" si="118"/>
        <v>68374165.531831384</v>
      </c>
      <c r="K296" s="2">
        <f t="shared" ca="1" si="118"/>
        <v>70681302.140234202</v>
      </c>
      <c r="L296" s="2">
        <f t="shared" ca="1" si="118"/>
        <v>72854699.31879279</v>
      </c>
      <c r="M296" s="2">
        <f t="shared" ca="1" si="118"/>
        <v>74865700.534424841</v>
      </c>
      <c r="N296" s="2">
        <f t="shared" ca="1" si="118"/>
        <v>76693536.338684976</v>
      </c>
      <c r="O296" s="2">
        <f t="shared" ca="1" si="118"/>
        <v>78558097.021074161</v>
      </c>
      <c r="P296" s="2">
        <f t="shared" ca="1" si="118"/>
        <v>82488085.290492147</v>
      </c>
      <c r="Q296" s="2">
        <f t="shared" ca="1" si="118"/>
        <v>86644686.633622319</v>
      </c>
      <c r="R296" s="2">
        <f t="shared" ca="1" si="118"/>
        <v>89036293.980418414</v>
      </c>
      <c r="S296" s="2">
        <f t="shared" ca="1" si="118"/>
        <v>91586215.058382779</v>
      </c>
      <c r="T296" s="2">
        <f t="shared" ca="1" si="118"/>
        <v>94254597.59498626</v>
      </c>
      <c r="U296" s="2">
        <f t="shared" ca="1" si="118"/>
        <v>94903330.518491477</v>
      </c>
      <c r="V296" s="2">
        <f t="shared" ca="1" si="118"/>
        <v>95544975.036829993</v>
      </c>
      <c r="W296" s="2">
        <f t="shared" ca="1" si="118"/>
        <v>-14768497.656908661</v>
      </c>
      <c r="X296" s="2">
        <f t="shared" ca="1" si="118"/>
        <v>-14848920.685484581</v>
      </c>
      <c r="Y296" s="2">
        <f t="shared" ca="1" si="118"/>
        <v>-14931032.597660601</v>
      </c>
      <c r="Z296" s="2">
        <f t="shared" ca="1" si="118"/>
        <v>-15014868.859992325</v>
      </c>
      <c r="AA296" s="2">
        <f t="shared" ca="1" si="118"/>
        <v>-15100465.683833007</v>
      </c>
    </row>
    <row r="297" spans="4:28" customFormat="1" x14ac:dyDescent="0.25">
      <c r="E297" t="s">
        <v>15</v>
      </c>
      <c r="F297" t="s">
        <v>7</v>
      </c>
      <c r="G297" s="2">
        <f t="shared" ref="G297:AA297" ca="1" si="119">-G296*G$18</f>
        <v>448450.79511592444</v>
      </c>
      <c r="H297" s="2">
        <f t="shared" ca="1" si="119"/>
        <v>-18806395.211363073</v>
      </c>
      <c r="I297" s="2">
        <f t="shared" ca="1" si="119"/>
        <v>-19629740.08276505</v>
      </c>
      <c r="J297" s="2">
        <f t="shared" ca="1" si="119"/>
        <v>-20512249.659549415</v>
      </c>
      <c r="K297" s="2">
        <f t="shared" ca="1" si="119"/>
        <v>-21204390.64207026</v>
      </c>
      <c r="L297" s="2">
        <f t="shared" ca="1" si="119"/>
        <v>-21856409.795637835</v>
      </c>
      <c r="M297" s="2">
        <f t="shared" ca="1" si="119"/>
        <v>-22459710.160327453</v>
      </c>
      <c r="N297" s="2">
        <f t="shared" ca="1" si="119"/>
        <v>-23008060.901605491</v>
      </c>
      <c r="O297" s="2">
        <f t="shared" ca="1" si="119"/>
        <v>-23567429.106322248</v>
      </c>
      <c r="P297" s="2">
        <f t="shared" ca="1" si="119"/>
        <v>-24746425.587147642</v>
      </c>
      <c r="Q297" s="2">
        <f t="shared" ca="1" si="119"/>
        <v>-25993405.990086693</v>
      </c>
      <c r="R297" s="2">
        <f t="shared" ca="1" si="119"/>
        <v>-26710888.194125522</v>
      </c>
      <c r="S297" s="2">
        <f t="shared" ca="1" si="119"/>
        <v>-27475864.517514832</v>
      </c>
      <c r="T297" s="2">
        <f t="shared" ca="1" si="119"/>
        <v>-28276379.278495878</v>
      </c>
      <c r="U297" s="2">
        <f t="shared" ca="1" si="119"/>
        <v>-28470999.155547444</v>
      </c>
      <c r="V297" s="2">
        <f t="shared" ca="1" si="119"/>
        <v>-28663492.511048999</v>
      </c>
      <c r="W297" s="2">
        <f t="shared" ca="1" si="119"/>
        <v>4430549.2970725978</v>
      </c>
      <c r="X297" s="2">
        <f t="shared" ca="1" si="119"/>
        <v>4454676.205645374</v>
      </c>
      <c r="Y297" s="2">
        <f t="shared" ca="1" si="119"/>
        <v>4479309.7792981798</v>
      </c>
      <c r="Z297" s="2">
        <f t="shared" ca="1" si="119"/>
        <v>4504460.6579976976</v>
      </c>
      <c r="AA297" s="2">
        <f t="shared" ca="1" si="119"/>
        <v>4530139.705149902</v>
      </c>
    </row>
    <row r="298" spans="4:28" customFormat="1" x14ac:dyDescent="0.25"/>
    <row r="299" spans="4:28" customFormat="1" x14ac:dyDescent="0.25">
      <c r="D299" t="s">
        <v>28</v>
      </c>
    </row>
    <row r="300" spans="4:28" customFormat="1" x14ac:dyDescent="0.25">
      <c r="E300" t="s">
        <v>1</v>
      </c>
      <c r="F300" t="s">
        <v>7</v>
      </c>
      <c r="G300" s="2">
        <f t="shared" ref="G300:AA307" si="120">G234</f>
        <v>-134535238.53477734</v>
      </c>
      <c r="H300" s="2">
        <f t="shared" si="120"/>
        <v>-10442173.960726788</v>
      </c>
      <c r="I300" s="2">
        <f t="shared" si="120"/>
        <v>-24478610.791561075</v>
      </c>
      <c r="J300" s="2">
        <f t="shared" si="120"/>
        <v>-30802112.308405004</v>
      </c>
      <c r="K300" s="2">
        <f t="shared" si="120"/>
        <v>-34788680.095134988</v>
      </c>
      <c r="L300" s="2">
        <f t="shared" si="120"/>
        <v>-35793501.430380769</v>
      </c>
      <c r="M300" s="2">
        <f t="shared" si="120"/>
        <v>-41311667.245493665</v>
      </c>
      <c r="N300" s="2">
        <f t="shared" si="120"/>
        <v>-48047353.587311171</v>
      </c>
      <c r="O300" s="2">
        <f t="shared" si="120"/>
        <v>-35417183.249484621</v>
      </c>
      <c r="P300" s="2">
        <f t="shared" si="120"/>
        <v>-24802067.712448962</v>
      </c>
      <c r="Q300" s="2">
        <f t="shared" si="120"/>
        <v>-35890055.909640156</v>
      </c>
      <c r="R300" s="2">
        <f t="shared" si="120"/>
        <v>-40515115.035281375</v>
      </c>
      <c r="S300" s="2">
        <f t="shared" si="120"/>
        <v>-41365932.451022267</v>
      </c>
      <c r="T300" s="2">
        <f t="shared" si="120"/>
        <v>-42234617.032493733</v>
      </c>
      <c r="U300" s="2">
        <f t="shared" si="120"/>
        <v>-43121543.990176097</v>
      </c>
      <c r="V300" s="2">
        <f t="shared" si="120"/>
        <v>-44027096.413969785</v>
      </c>
      <c r="W300" s="2">
        <f t="shared" si="120"/>
        <v>0</v>
      </c>
      <c r="X300" s="2">
        <f t="shared" si="120"/>
        <v>0</v>
      </c>
      <c r="Y300" s="2">
        <f t="shared" si="120"/>
        <v>0</v>
      </c>
      <c r="Z300" s="2">
        <f t="shared" si="120"/>
        <v>0</v>
      </c>
      <c r="AA300" s="2">
        <f t="shared" si="120"/>
        <v>0</v>
      </c>
    </row>
    <row r="301" spans="4:28" customFormat="1" x14ac:dyDescent="0.25">
      <c r="E301" t="s">
        <v>19</v>
      </c>
      <c r="F301" t="s">
        <v>7</v>
      </c>
      <c r="G301" s="2">
        <f t="shared" si="120"/>
        <v>0</v>
      </c>
      <c r="H301" s="2">
        <f t="shared" si="120"/>
        <v>0</v>
      </c>
      <c r="I301" s="2">
        <f t="shared" si="120"/>
        <v>0</v>
      </c>
      <c r="J301" s="2">
        <f t="shared" si="120"/>
        <v>0</v>
      </c>
      <c r="K301" s="2">
        <f t="shared" si="120"/>
        <v>0</v>
      </c>
      <c r="L301" s="2">
        <f t="shared" si="120"/>
        <v>0</v>
      </c>
      <c r="M301" s="2">
        <f t="shared" si="120"/>
        <v>0</v>
      </c>
      <c r="N301" s="2">
        <f t="shared" si="120"/>
        <v>0</v>
      </c>
      <c r="O301" s="2">
        <f t="shared" si="120"/>
        <v>0</v>
      </c>
      <c r="P301" s="2">
        <f t="shared" si="120"/>
        <v>0</v>
      </c>
      <c r="Q301" s="2">
        <f t="shared" si="120"/>
        <v>0</v>
      </c>
      <c r="R301" s="2">
        <f t="shared" si="120"/>
        <v>0</v>
      </c>
      <c r="S301" s="2">
        <f t="shared" si="120"/>
        <v>0</v>
      </c>
      <c r="T301" s="2">
        <f t="shared" si="120"/>
        <v>0</v>
      </c>
      <c r="U301" s="2">
        <f t="shared" si="120"/>
        <v>0</v>
      </c>
      <c r="V301" s="2">
        <f t="shared" si="120"/>
        <v>0</v>
      </c>
      <c r="W301" s="2">
        <f t="shared" si="120"/>
        <v>0</v>
      </c>
      <c r="X301" s="2">
        <f t="shared" si="120"/>
        <v>0</v>
      </c>
      <c r="Y301" s="2">
        <f t="shared" si="120"/>
        <v>0</v>
      </c>
      <c r="Z301" s="2">
        <f t="shared" si="120"/>
        <v>0</v>
      </c>
      <c r="AA301" s="2">
        <f t="shared" si="120"/>
        <v>0</v>
      </c>
    </row>
    <row r="302" spans="4:28" customFormat="1" x14ac:dyDescent="0.25">
      <c r="E302" t="s">
        <v>109</v>
      </c>
      <c r="F302" t="s">
        <v>7</v>
      </c>
      <c r="G302" s="2">
        <f t="shared" si="120"/>
        <v>0</v>
      </c>
      <c r="H302" s="2">
        <f t="shared" si="120"/>
        <v>0</v>
      </c>
      <c r="I302" s="2">
        <f t="shared" si="120"/>
        <v>0</v>
      </c>
      <c r="J302" s="2">
        <f t="shared" si="120"/>
        <v>0</v>
      </c>
      <c r="K302" s="2">
        <f t="shared" si="120"/>
        <v>0</v>
      </c>
      <c r="L302" s="2">
        <f t="shared" si="120"/>
        <v>0</v>
      </c>
      <c r="M302" s="2">
        <f t="shared" si="120"/>
        <v>0</v>
      </c>
      <c r="N302" s="2">
        <f t="shared" si="120"/>
        <v>0</v>
      </c>
      <c r="O302" s="2">
        <f t="shared" si="120"/>
        <v>0</v>
      </c>
      <c r="P302" s="2">
        <f t="shared" si="120"/>
        <v>0</v>
      </c>
      <c r="Q302" s="2">
        <f t="shared" si="120"/>
        <v>0</v>
      </c>
      <c r="R302" s="2">
        <f t="shared" si="120"/>
        <v>0</v>
      </c>
      <c r="S302" s="2">
        <f t="shared" si="120"/>
        <v>0</v>
      </c>
      <c r="T302" s="2">
        <f t="shared" si="120"/>
        <v>0</v>
      </c>
      <c r="U302" s="2">
        <f t="shared" si="120"/>
        <v>0</v>
      </c>
      <c r="V302" s="2">
        <f t="shared" si="120"/>
        <v>0</v>
      </c>
      <c r="W302" s="2">
        <f t="shared" si="120"/>
        <v>0</v>
      </c>
      <c r="X302" s="2">
        <f t="shared" si="120"/>
        <v>0</v>
      </c>
      <c r="Y302" s="2">
        <f t="shared" si="120"/>
        <v>0</v>
      </c>
      <c r="Z302" s="2">
        <f t="shared" si="120"/>
        <v>0</v>
      </c>
      <c r="AA302" s="2">
        <f t="shared" si="120"/>
        <v>0</v>
      </c>
    </row>
    <row r="303" spans="4:28" customFormat="1" x14ac:dyDescent="0.25">
      <c r="E303" t="s">
        <v>11</v>
      </c>
      <c r="F303" t="s">
        <v>7</v>
      </c>
      <c r="G303" s="2">
        <f t="shared" si="120"/>
        <v>0</v>
      </c>
      <c r="H303" s="2">
        <f t="shared" si="120"/>
        <v>1145668.7758802876</v>
      </c>
      <c r="I303" s="2">
        <f t="shared" si="120"/>
        <v>2489341.2673551999</v>
      </c>
      <c r="J303" s="2">
        <f t="shared" si="120"/>
        <v>4169471.2914060657</v>
      </c>
      <c r="K303" s="2">
        <f t="shared" si="120"/>
        <v>6078387.3304922953</v>
      </c>
      <c r="L303" s="2">
        <f t="shared" si="120"/>
        <v>8212422.7001230363</v>
      </c>
      <c r="M303" s="2">
        <f t="shared" si="120"/>
        <v>10564938.798287198</v>
      </c>
      <c r="N303" s="2">
        <f t="shared" si="120"/>
        <v>13133382.524298349</v>
      </c>
      <c r="O303" s="2">
        <f t="shared" si="120"/>
        <v>15912638.88719474</v>
      </c>
      <c r="P303" s="2">
        <f t="shared" si="120"/>
        <v>19170204.060653832</v>
      </c>
      <c r="Q303" s="2">
        <f t="shared" si="120"/>
        <v>22972073.119194571</v>
      </c>
      <c r="R303" s="2">
        <f t="shared" si="120"/>
        <v>27128917.474331915</v>
      </c>
      <c r="S303" s="2">
        <f t="shared" si="120"/>
        <v>31676275.62449681</v>
      </c>
      <c r="T303" s="2">
        <f t="shared" si="120"/>
        <v>36640250.598459661</v>
      </c>
      <c r="U303" s="2">
        <f t="shared" si="120"/>
        <v>41768518.591405548</v>
      </c>
      <c r="V303" s="2">
        <f t="shared" si="120"/>
        <v>47066834.800142556</v>
      </c>
      <c r="W303" s="2">
        <f t="shared" si="120"/>
        <v>48055238.330945551</v>
      </c>
      <c r="X303" s="2">
        <f t="shared" si="120"/>
        <v>49064398.335895404</v>
      </c>
      <c r="Y303" s="2">
        <f t="shared" si="120"/>
        <v>50094750.700949207</v>
      </c>
      <c r="Z303" s="2">
        <f t="shared" si="120"/>
        <v>51146740.465669133</v>
      </c>
      <c r="AA303" s="2">
        <f t="shared" si="120"/>
        <v>52220822.015448183</v>
      </c>
      <c r="AB303" s="2">
        <f t="shared" ref="AB303:AB307" si="121">IF(V303=0,0,IF($G$15&gt;(AA303/V303)^(1/5)-1+2%,AA303*(AA303/V303)^(1/5)/($G$15-((AA303/V303)^(1/5)-1)),AA303*(1+$G$14)/$G$16))</f>
        <v>1740694067.1816096</v>
      </c>
    </row>
    <row r="304" spans="4:28" customFormat="1" x14ac:dyDescent="0.25">
      <c r="E304" t="s">
        <v>57</v>
      </c>
      <c r="F304" t="s">
        <v>7</v>
      </c>
      <c r="G304" s="2">
        <f t="shared" si="120"/>
        <v>0</v>
      </c>
      <c r="H304" s="2">
        <f t="shared" si="120"/>
        <v>-823584.24806948914</v>
      </c>
      <c r="I304" s="2">
        <f t="shared" si="120"/>
        <v>-1878977.6409096962</v>
      </c>
      <c r="J304" s="2">
        <f t="shared" si="120"/>
        <v>-3203416.2846636195</v>
      </c>
      <c r="K304" s="2">
        <f t="shared" si="120"/>
        <v>-4735867.7122820318</v>
      </c>
      <c r="L304" s="2">
        <f t="shared" si="120"/>
        <v>-6472812.1084424779</v>
      </c>
      <c r="M304" s="2">
        <f t="shared" si="120"/>
        <v>-8410696.3118881825</v>
      </c>
      <c r="N304" s="2">
        <f t="shared" si="120"/>
        <v>-10545081.22729216</v>
      </c>
      <c r="O304" s="2">
        <f t="shared" si="120"/>
        <v>-12871464.647283694</v>
      </c>
      <c r="P304" s="2">
        <f t="shared" si="120"/>
        <v>-15617630.426415991</v>
      </c>
      <c r="Q304" s="2">
        <f t="shared" si="120"/>
        <v>-18840606.960301302</v>
      </c>
      <c r="R304" s="2">
        <f t="shared" si="120"/>
        <v>-22365713.59044046</v>
      </c>
      <c r="S304" s="2">
        <f t="shared" si="120"/>
        <v>-26221707.401680533</v>
      </c>
      <c r="T304" s="2">
        <f t="shared" si="120"/>
        <v>-30433910.24674651</v>
      </c>
      <c r="U304" s="2">
        <f t="shared" si="120"/>
        <v>-34786550.688150644</v>
      </c>
      <c r="V304" s="2">
        <f t="shared" si="120"/>
        <v>-39281826.85086789</v>
      </c>
      <c r="W304" s="2">
        <f t="shared" si="120"/>
        <v>-40106745.214736119</v>
      </c>
      <c r="X304" s="2">
        <f t="shared" si="120"/>
        <v>-40948986.864245564</v>
      </c>
      <c r="Y304" s="2">
        <f t="shared" si="120"/>
        <v>-41808915.588394716</v>
      </c>
      <c r="Z304" s="2">
        <f t="shared" si="120"/>
        <v>-42686902.815751001</v>
      </c>
      <c r="AA304" s="2">
        <f t="shared" si="120"/>
        <v>-43583327.774881765</v>
      </c>
      <c r="AB304" s="2">
        <f t="shared" si="121"/>
        <v>-1452777592.4960618</v>
      </c>
    </row>
    <row r="305" spans="1:28" x14ac:dyDescent="0.25">
      <c r="E305" t="s">
        <v>10</v>
      </c>
      <c r="F305" t="s">
        <v>7</v>
      </c>
      <c r="G305" s="2">
        <f t="shared" si="120"/>
        <v>0</v>
      </c>
      <c r="H305" s="2">
        <f t="shared" si="120"/>
        <v>-238607.69999999998</v>
      </c>
      <c r="I305" s="2">
        <f t="shared" si="120"/>
        <v>-545467.67765999993</v>
      </c>
      <c r="J305" s="2">
        <f t="shared" si="120"/>
        <v>-931079.77772086964</v>
      </c>
      <c r="K305" s="2">
        <f t="shared" si="120"/>
        <v>-1378991.2494832422</v>
      </c>
      <c r="L305" s="2">
        <f t="shared" si="120"/>
        <v>-1887537.2070959327</v>
      </c>
      <c r="M305" s="2">
        <f t="shared" si="120"/>
        <v>-2455743.7093496569</v>
      </c>
      <c r="N305" s="2">
        <f t="shared" si="120"/>
        <v>-3082226.3843915244</v>
      </c>
      <c r="O305" s="2">
        <f t="shared" si="120"/>
        <v>-3765654.9085775586</v>
      </c>
      <c r="P305" s="2">
        <f t="shared" si="120"/>
        <v>-4573081.1808727076</v>
      </c>
      <c r="Q305" s="2">
        <f t="shared" si="120"/>
        <v>-5521320.9271904863</v>
      </c>
      <c r="R305" s="2">
        <f t="shared" si="120"/>
        <v>-6558492.6054453477</v>
      </c>
      <c r="S305" s="2">
        <f t="shared" si="120"/>
        <v>-7693009.7242854116</v>
      </c>
      <c r="T305" s="2">
        <f t="shared" si="120"/>
        <v>-8932432.2581552491</v>
      </c>
      <c r="U305" s="2">
        <f t="shared" si="120"/>
        <v>-10213213.248582557</v>
      </c>
      <c r="V305" s="2">
        <f t="shared" si="120"/>
        <v>-11535907.094647124</v>
      </c>
      <c r="W305" s="2">
        <f t="shared" si="120"/>
        <v>-11778161.143634714</v>
      </c>
      <c r="X305" s="2">
        <f t="shared" si="120"/>
        <v>-12025502.527651042</v>
      </c>
      <c r="Y305" s="2">
        <f t="shared" si="120"/>
        <v>-12278038.080731712</v>
      </c>
      <c r="Z305" s="2">
        <f t="shared" si="120"/>
        <v>-12535876.880427077</v>
      </c>
      <c r="AA305" s="2">
        <f t="shared" si="120"/>
        <v>-12799130.294916045</v>
      </c>
      <c r="AB305" s="2">
        <f t="shared" si="121"/>
        <v>-426637676.4972024</v>
      </c>
    </row>
    <row r="306" spans="1:28" x14ac:dyDescent="0.25">
      <c r="E306" t="s">
        <v>48</v>
      </c>
      <c r="F306" t="s">
        <v>7</v>
      </c>
      <c r="G306" s="2">
        <f t="shared" si="120"/>
        <v>0</v>
      </c>
      <c r="H306" s="2">
        <f t="shared" si="120"/>
        <v>0</v>
      </c>
      <c r="I306" s="2">
        <f t="shared" si="120"/>
        <v>0</v>
      </c>
      <c r="J306" s="2">
        <f t="shared" si="120"/>
        <v>0</v>
      </c>
      <c r="K306" s="2">
        <f t="shared" si="120"/>
        <v>0</v>
      </c>
      <c r="L306" s="2">
        <f t="shared" si="120"/>
        <v>0</v>
      </c>
      <c r="M306" s="2">
        <f t="shared" si="120"/>
        <v>0</v>
      </c>
      <c r="N306" s="2">
        <f t="shared" si="120"/>
        <v>0</v>
      </c>
      <c r="O306" s="2">
        <f t="shared" si="120"/>
        <v>0</v>
      </c>
      <c r="P306" s="2">
        <f t="shared" si="120"/>
        <v>0</v>
      </c>
      <c r="Q306" s="2">
        <f t="shared" si="120"/>
        <v>0</v>
      </c>
      <c r="R306" s="2">
        <f t="shared" si="120"/>
        <v>0</v>
      </c>
      <c r="S306" s="2">
        <f t="shared" si="120"/>
        <v>0</v>
      </c>
      <c r="T306" s="2">
        <f t="shared" si="120"/>
        <v>0</v>
      </c>
      <c r="U306" s="2">
        <f t="shared" si="120"/>
        <v>0</v>
      </c>
      <c r="V306" s="2">
        <f t="shared" si="120"/>
        <v>0</v>
      </c>
      <c r="W306" s="2">
        <f t="shared" si="120"/>
        <v>0</v>
      </c>
      <c r="X306" s="2">
        <f t="shared" si="120"/>
        <v>0</v>
      </c>
      <c r="Y306" s="2">
        <f t="shared" si="120"/>
        <v>0</v>
      </c>
      <c r="Z306" s="2">
        <f t="shared" si="120"/>
        <v>0</v>
      </c>
      <c r="AA306" s="2">
        <f t="shared" si="120"/>
        <v>0</v>
      </c>
      <c r="AB306" s="2">
        <f t="shared" si="121"/>
        <v>0</v>
      </c>
    </row>
    <row r="307" spans="1:28" x14ac:dyDescent="0.25">
      <c r="E307" t="s">
        <v>49</v>
      </c>
      <c r="F307" t="s">
        <v>7</v>
      </c>
      <c r="G307" s="2">
        <f t="shared" si="120"/>
        <v>0</v>
      </c>
      <c r="H307" s="2">
        <f t="shared" si="120"/>
        <v>0</v>
      </c>
      <c r="I307" s="2">
        <f t="shared" si="120"/>
        <v>0</v>
      </c>
      <c r="J307" s="2">
        <f t="shared" si="120"/>
        <v>0</v>
      </c>
      <c r="K307" s="2">
        <f t="shared" si="120"/>
        <v>0</v>
      </c>
      <c r="L307" s="2">
        <f t="shared" si="120"/>
        <v>0</v>
      </c>
      <c r="M307" s="2">
        <f t="shared" si="120"/>
        <v>0</v>
      </c>
      <c r="N307" s="2">
        <f t="shared" si="120"/>
        <v>0</v>
      </c>
      <c r="O307" s="2">
        <f t="shared" si="120"/>
        <v>0</v>
      </c>
      <c r="P307" s="2">
        <f t="shared" si="120"/>
        <v>0</v>
      </c>
      <c r="Q307" s="2">
        <f t="shared" si="120"/>
        <v>0</v>
      </c>
      <c r="R307" s="2">
        <f t="shared" si="120"/>
        <v>0</v>
      </c>
      <c r="S307" s="2">
        <f t="shared" si="120"/>
        <v>0</v>
      </c>
      <c r="T307" s="2">
        <f t="shared" si="120"/>
        <v>0</v>
      </c>
      <c r="U307" s="2">
        <f t="shared" si="120"/>
        <v>0</v>
      </c>
      <c r="V307" s="2">
        <f t="shared" si="120"/>
        <v>0</v>
      </c>
      <c r="W307" s="2">
        <f t="shared" si="120"/>
        <v>0</v>
      </c>
      <c r="X307" s="2">
        <f t="shared" si="120"/>
        <v>0</v>
      </c>
      <c r="Y307" s="2">
        <f t="shared" si="120"/>
        <v>0</v>
      </c>
      <c r="Z307" s="2">
        <f t="shared" si="120"/>
        <v>0</v>
      </c>
      <c r="AA307" s="2">
        <f t="shared" si="120"/>
        <v>0</v>
      </c>
      <c r="AB307" s="2">
        <f t="shared" si="121"/>
        <v>0</v>
      </c>
    </row>
    <row r="308" spans="1:28" x14ac:dyDescent="0.25">
      <c r="E308" t="s">
        <v>20</v>
      </c>
      <c r="F308" t="s">
        <v>7</v>
      </c>
      <c r="G308" s="2">
        <f t="shared" ref="G308:AA308" ca="1" si="122">G297</f>
        <v>448450.79511592444</v>
      </c>
      <c r="H308" s="2">
        <f t="shared" ca="1" si="122"/>
        <v>-18806395.211363073</v>
      </c>
      <c r="I308" s="2">
        <f t="shared" ca="1" si="122"/>
        <v>-19629740.08276505</v>
      </c>
      <c r="J308" s="2">
        <f t="shared" ca="1" si="122"/>
        <v>-20512249.659549415</v>
      </c>
      <c r="K308" s="2">
        <f t="shared" ca="1" si="122"/>
        <v>-21204390.64207026</v>
      </c>
      <c r="L308" s="2">
        <f t="shared" ca="1" si="122"/>
        <v>-21856409.795637835</v>
      </c>
      <c r="M308" s="2">
        <f t="shared" ca="1" si="122"/>
        <v>-22459710.160327453</v>
      </c>
      <c r="N308" s="2">
        <f t="shared" ca="1" si="122"/>
        <v>-23008060.901605491</v>
      </c>
      <c r="O308" s="2">
        <f t="shared" ca="1" si="122"/>
        <v>-23567429.106322248</v>
      </c>
      <c r="P308" s="2">
        <f t="shared" ca="1" si="122"/>
        <v>-24746425.587147642</v>
      </c>
      <c r="Q308" s="2">
        <f t="shared" ca="1" si="122"/>
        <v>-25993405.990086693</v>
      </c>
      <c r="R308" s="2">
        <f t="shared" ca="1" si="122"/>
        <v>-26710888.194125522</v>
      </c>
      <c r="S308" s="2">
        <f t="shared" ca="1" si="122"/>
        <v>-27475864.517514832</v>
      </c>
      <c r="T308" s="2">
        <f t="shared" ca="1" si="122"/>
        <v>-28276379.278495878</v>
      </c>
      <c r="U308" s="2">
        <f t="shared" ca="1" si="122"/>
        <v>-28470999.155547444</v>
      </c>
      <c r="V308" s="2">
        <f t="shared" ca="1" si="122"/>
        <v>-28663492.511048999</v>
      </c>
      <c r="W308" s="2">
        <f t="shared" ca="1" si="122"/>
        <v>4430549.2970725978</v>
      </c>
      <c r="X308" s="2">
        <f t="shared" ca="1" si="122"/>
        <v>4454676.205645374</v>
      </c>
      <c r="Y308" s="2">
        <f t="shared" ca="1" si="122"/>
        <v>4479309.7792981798</v>
      </c>
      <c r="Z308" s="2">
        <f t="shared" ca="1" si="122"/>
        <v>4504460.6579976976</v>
      </c>
      <c r="AA308" s="2">
        <f t="shared" ca="1" si="122"/>
        <v>4530139.705149902</v>
      </c>
      <c r="AB308" s="2">
        <f ca="1">IF(V308=0,0,IF($G$15&gt;(AA308/V308)^(1/5)-1+2%,AA308*(AA308/V308)^(1/5)/($G$15-((AA308/V308)^(1/5)-1)),AA308*(1+$G$14)/$G$16))</f>
        <v>-1797018.1870985581</v>
      </c>
    </row>
    <row r="309" spans="1:28" x14ac:dyDescent="0.25">
      <c r="E309" t="s">
        <v>173</v>
      </c>
      <c r="F309" t="s">
        <v>7</v>
      </c>
      <c r="G309" s="2">
        <f ca="1">-$G$17*G308</f>
        <v>-224225.39755796222</v>
      </c>
      <c r="H309" s="2">
        <f t="shared" ref="H309:AA309" ca="1" si="123">-$G$17*H308</f>
        <v>9403197.6056815367</v>
      </c>
      <c r="I309" s="2">
        <f t="shared" ca="1" si="123"/>
        <v>9814870.0413825251</v>
      </c>
      <c r="J309" s="2">
        <f t="shared" ca="1" si="123"/>
        <v>10256124.829774708</v>
      </c>
      <c r="K309" s="2">
        <f t="shared" ca="1" si="123"/>
        <v>10602195.32103513</v>
      </c>
      <c r="L309" s="2">
        <f t="shared" ca="1" si="123"/>
        <v>10928204.897818917</v>
      </c>
      <c r="M309" s="2">
        <f t="shared" ca="1" si="123"/>
        <v>11229855.080163727</v>
      </c>
      <c r="N309" s="2">
        <f t="shared" ca="1" si="123"/>
        <v>11504030.450802745</v>
      </c>
      <c r="O309" s="2">
        <f t="shared" ca="1" si="123"/>
        <v>11783714.553161124</v>
      </c>
      <c r="P309" s="2">
        <f t="shared" ca="1" si="123"/>
        <v>12373212.793573821</v>
      </c>
      <c r="Q309" s="2">
        <f t="shared" ca="1" si="123"/>
        <v>12996702.995043347</v>
      </c>
      <c r="R309" s="2">
        <f t="shared" ca="1" si="123"/>
        <v>13355444.097062761</v>
      </c>
      <c r="S309" s="2">
        <f t="shared" ca="1" si="123"/>
        <v>13737932.258757416</v>
      </c>
      <c r="T309" s="2">
        <f t="shared" ca="1" si="123"/>
        <v>14138189.639247939</v>
      </c>
      <c r="U309" s="2">
        <f t="shared" ca="1" si="123"/>
        <v>14235499.577773722</v>
      </c>
      <c r="V309" s="2">
        <f t="shared" ca="1" si="123"/>
        <v>14331746.255524499</v>
      </c>
      <c r="W309" s="2">
        <f t="shared" ca="1" si="123"/>
        <v>-2215274.6485362989</v>
      </c>
      <c r="X309" s="2">
        <f t="shared" ca="1" si="123"/>
        <v>-2227338.102822687</v>
      </c>
      <c r="Y309" s="2">
        <f t="shared" ca="1" si="123"/>
        <v>-2239654.8896490899</v>
      </c>
      <c r="Z309" s="2">
        <f t="shared" ca="1" si="123"/>
        <v>-2252230.3289988488</v>
      </c>
      <c r="AA309" s="2">
        <f t="shared" ca="1" si="123"/>
        <v>-2265069.852574951</v>
      </c>
      <c r="AB309" s="2">
        <f t="shared" ref="AB309" ca="1" si="124">IF(V309=0,0,IF($G$15&gt;(AA309/V309)^(1/5)-1+2%,AA309*(AA309/V309)^(1/5)/($G$15-((AA309/V309)^(1/5)-1)),AA309*(1+$G$14)/$G$16))</f>
        <v>898509.09354927903</v>
      </c>
    </row>
    <row r="310" spans="1:28" x14ac:dyDescent="0.25">
      <c r="E310" t="s">
        <v>23</v>
      </c>
      <c r="F310" t="s">
        <v>7</v>
      </c>
      <c r="G310" s="2">
        <f t="shared" ref="G310:AB310" ca="1" si="125">SUM(G300:G309)</f>
        <v>-134311013.1372194</v>
      </c>
      <c r="H310" s="2">
        <f t="shared" ca="1" si="125"/>
        <v>-19761894.738597527</v>
      </c>
      <c r="I310" s="2">
        <f t="shared" ca="1" si="125"/>
        <v>-34228584.884158105</v>
      </c>
      <c r="J310" s="2">
        <f t="shared" ca="1" si="125"/>
        <v>-41023261.909158133</v>
      </c>
      <c r="K310" s="2">
        <f t="shared" ca="1" si="125"/>
        <v>-45427347.047443092</v>
      </c>
      <c r="L310" s="2">
        <f t="shared" ca="1" si="125"/>
        <v>-46869632.943615071</v>
      </c>
      <c r="M310" s="2">
        <f t="shared" ca="1" si="125"/>
        <v>-52843023.548608027</v>
      </c>
      <c r="N310" s="2">
        <f t="shared" ca="1" si="125"/>
        <v>-60045309.125499249</v>
      </c>
      <c r="O310" s="2">
        <f t="shared" ca="1" si="125"/>
        <v>-47925378.471312262</v>
      </c>
      <c r="P310" s="2">
        <f t="shared" ca="1" si="125"/>
        <v>-38195788.052657656</v>
      </c>
      <c r="Q310" s="2">
        <f t="shared" ca="1" si="125"/>
        <v>-50276613.672980718</v>
      </c>
      <c r="R310" s="2">
        <f t="shared" ca="1" si="125"/>
        <v>-55665847.853898026</v>
      </c>
      <c r="S310" s="2">
        <f t="shared" ca="1" si="125"/>
        <v>-57342306.211248815</v>
      </c>
      <c r="T310" s="2">
        <f t="shared" ca="1" si="125"/>
        <v>-59098898.57818377</v>
      </c>
      <c r="U310" s="2">
        <f t="shared" ca="1" si="125"/>
        <v>-60588288.913277477</v>
      </c>
      <c r="V310" s="2">
        <f t="shared" ca="1" si="125"/>
        <v>-62109741.814866737</v>
      </c>
      <c r="W310" s="2">
        <f t="shared" ca="1" si="125"/>
        <v>-1614393.3788889828</v>
      </c>
      <c r="X310" s="2">
        <f t="shared" ca="1" si="125"/>
        <v>-1682752.9531785143</v>
      </c>
      <c r="Y310" s="2">
        <f t="shared" ca="1" si="125"/>
        <v>-1752548.0785281318</v>
      </c>
      <c r="Z310" s="2">
        <f t="shared" ca="1" si="125"/>
        <v>-1823808.9015100971</v>
      </c>
      <c r="AA310" s="2">
        <f t="shared" ca="1" si="125"/>
        <v>-1896566.2017746763</v>
      </c>
      <c r="AB310" s="2">
        <f t="shared" ca="1" si="125"/>
        <v>-139619710.90520385</v>
      </c>
    </row>
    <row r="311" spans="1:28" x14ac:dyDescent="0.25">
      <c r="E311" t="s">
        <v>31</v>
      </c>
      <c r="F311" t="s">
        <v>7</v>
      </c>
      <c r="G311" s="2">
        <f ca="1">NPV($G$15,H310:AB310)+G310</f>
        <v>-666128461.48358846</v>
      </c>
    </row>
    <row r="313" spans="1:28" x14ac:dyDescent="0.25">
      <c r="E313" t="s">
        <v>13</v>
      </c>
      <c r="F313" t="s">
        <v>7</v>
      </c>
      <c r="G313" s="2">
        <f t="shared" ref="G313:AA313" ca="1" si="126">G285</f>
        <v>0</v>
      </c>
      <c r="H313" s="2">
        <f t="shared" ca="1" si="126"/>
        <v>56971088.737793945</v>
      </c>
      <c r="I313" s="2">
        <f t="shared" ca="1" si="126"/>
        <v>58167481.601287611</v>
      </c>
      <c r="J313" s="2">
        <f t="shared" ca="1" si="126"/>
        <v>59388998.714914642</v>
      </c>
      <c r="K313" s="2">
        <f t="shared" ca="1" si="126"/>
        <v>60636167.687927842</v>
      </c>
      <c r="L313" s="2">
        <f t="shared" ca="1" si="126"/>
        <v>61909527.209374323</v>
      </c>
      <c r="M313" s="2">
        <f t="shared" ca="1" si="126"/>
        <v>63209627.280771181</v>
      </c>
      <c r="N313" s="2">
        <f t="shared" ca="1" si="126"/>
        <v>64537029.453667372</v>
      </c>
      <c r="O313" s="2">
        <f t="shared" ca="1" si="126"/>
        <v>65892307.072194383</v>
      </c>
      <c r="P313" s="2">
        <f t="shared" ca="1" si="126"/>
        <v>67276045.520710453</v>
      </c>
      <c r="Q313" s="2">
        <f t="shared" ca="1" si="126"/>
        <v>68688842.476645365</v>
      </c>
      <c r="R313" s="2">
        <f t="shared" ca="1" si="126"/>
        <v>70131308.168654919</v>
      </c>
      <c r="S313" s="2">
        <f t="shared" ca="1" si="126"/>
        <v>71604065.640196666</v>
      </c>
      <c r="T313" s="2">
        <f t="shared" ca="1" si="126"/>
        <v>73107751.018640786</v>
      </c>
      <c r="U313" s="2">
        <f t="shared" ca="1" si="126"/>
        <v>74643013.790032238</v>
      </c>
      <c r="V313" s="2">
        <f t="shared" ca="1" si="126"/>
        <v>76210517.079622909</v>
      </c>
      <c r="W313" s="2">
        <f t="shared" ca="1" si="126"/>
        <v>0</v>
      </c>
      <c r="X313" s="2">
        <f t="shared" ca="1" si="126"/>
        <v>0</v>
      </c>
      <c r="Y313" s="2">
        <f t="shared" ca="1" si="126"/>
        <v>0</v>
      </c>
      <c r="Z313" s="2">
        <f t="shared" ca="1" si="126"/>
        <v>0</v>
      </c>
      <c r="AA313" s="2">
        <f t="shared" ca="1" si="126"/>
        <v>0</v>
      </c>
    </row>
    <row r="314" spans="1:28" x14ac:dyDescent="0.25">
      <c r="E314" t="s">
        <v>24</v>
      </c>
      <c r="F314" t="s">
        <v>7</v>
      </c>
      <c r="G314">
        <f ca="1">NPV($G$15,H313:AA313)+G313</f>
        <v>666128461.48358881</v>
      </c>
    </row>
    <row r="315" spans="1:28" x14ac:dyDescent="0.25">
      <c r="E315" s="3" t="s">
        <v>34</v>
      </c>
      <c r="F315" s="3"/>
      <c r="G315" s="4" t="str">
        <f ca="1">IF(G311&gt;0,"N/A",IF(ABS(G311+G314)&gt;1,"Error","OK"))</f>
        <v>OK</v>
      </c>
    </row>
    <row r="318" spans="1:28" x14ac:dyDescent="0.25">
      <c r="C318" s="1" t="s">
        <v>110</v>
      </c>
    </row>
    <row r="319" spans="1:28" x14ac:dyDescent="0.25">
      <c r="E319" t="s">
        <v>116</v>
      </c>
      <c r="F319" t="s">
        <v>117</v>
      </c>
    </row>
    <row r="320" spans="1:28" x14ac:dyDescent="0.25">
      <c r="A320" s="14">
        <f>'Notes &amp; Assumptions'!A68</f>
        <v>55</v>
      </c>
      <c r="E320" s="19" t="s">
        <v>111</v>
      </c>
      <c r="F320" s="19" t="s">
        <v>119</v>
      </c>
    </row>
    <row r="321" spans="5:6" customFormat="1" x14ac:dyDescent="0.25">
      <c r="E321" s="19" t="s">
        <v>112</v>
      </c>
      <c r="F321" s="19" t="s">
        <v>120</v>
      </c>
    </row>
    <row r="322" spans="5:6" customFormat="1" x14ac:dyDescent="0.25">
      <c r="E322" s="19" t="s">
        <v>113</v>
      </c>
      <c r="F322" s="19" t="s">
        <v>121</v>
      </c>
    </row>
  </sheetData>
  <mergeCells count="1">
    <mergeCell ref="G4:H4"/>
  </mergeCells>
  <dataValidations count="1">
    <dataValidation type="list" showInputMessage="1" showErrorMessage="1" sqref="G4" xr:uid="{00000000-0002-0000-1000-000000000000}">
      <formula1>$E$320:$E$322</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2:AC322"/>
  <sheetViews>
    <sheetView topLeftCell="H1" zoomScale="90" zoomScaleNormal="90" workbookViewId="0">
      <selection activeCell="G21" sqref="G21"/>
    </sheetView>
  </sheetViews>
  <sheetFormatPr defaultColWidth="11" defaultRowHeight="15.75" x14ac:dyDescent="0.25"/>
  <cols>
    <col min="1" max="1" width="7.625" style="14" customWidth="1"/>
    <col min="2" max="2" width="3.125" customWidth="1"/>
    <col min="3" max="3" width="3.375" customWidth="1"/>
    <col min="4" max="4" width="2.875" customWidth="1"/>
    <col min="5" max="5" width="36.5" bestFit="1" customWidth="1"/>
    <col min="6" max="6" width="17.5" customWidth="1"/>
    <col min="7" max="27" width="15.625" customWidth="1"/>
    <col min="28" max="28" width="11.125" customWidth="1"/>
  </cols>
  <sheetData>
    <row r="2" spans="1:27" x14ac:dyDescent="0.25">
      <c r="C2" s="1" t="s">
        <v>0</v>
      </c>
      <c r="D2" s="1"/>
      <c r="G2">
        <v>0</v>
      </c>
      <c r="H2">
        <v>1</v>
      </c>
      <c r="I2">
        <v>2</v>
      </c>
      <c r="J2">
        <v>3</v>
      </c>
      <c r="K2">
        <v>4</v>
      </c>
      <c r="L2">
        <v>5</v>
      </c>
      <c r="M2">
        <v>6</v>
      </c>
      <c r="N2">
        <v>7</v>
      </c>
      <c r="O2">
        <v>8</v>
      </c>
      <c r="P2">
        <v>9</v>
      </c>
      <c r="Q2">
        <v>10</v>
      </c>
      <c r="R2">
        <v>11</v>
      </c>
      <c r="S2">
        <v>12</v>
      </c>
      <c r="T2">
        <v>13</v>
      </c>
      <c r="U2">
        <v>14</v>
      </c>
      <c r="V2">
        <v>15</v>
      </c>
      <c r="W2">
        <v>16</v>
      </c>
      <c r="X2">
        <v>17</v>
      </c>
      <c r="Y2">
        <v>18</v>
      </c>
      <c r="Z2">
        <v>19</v>
      </c>
      <c r="AA2">
        <v>20</v>
      </c>
    </row>
    <row r="4" spans="1:27" x14ac:dyDescent="0.25">
      <c r="A4" s="14">
        <f>'Notes &amp; Assumptions'!A14</f>
        <v>1</v>
      </c>
      <c r="C4" s="1" t="s">
        <v>114</v>
      </c>
      <c r="F4" t="s">
        <v>115</v>
      </c>
      <c r="G4" s="368" t="s">
        <v>111</v>
      </c>
      <c r="H4" s="368"/>
    </row>
    <row r="6" spans="1:27" x14ac:dyDescent="0.25">
      <c r="C6" s="1" t="s">
        <v>126</v>
      </c>
    </row>
    <row r="7" spans="1:27" x14ac:dyDescent="0.25">
      <c r="A7" s="14">
        <f>'Notes &amp; Assumptions'!A15</f>
        <v>2</v>
      </c>
      <c r="E7" s="10" t="s">
        <v>128</v>
      </c>
      <c r="F7" t="s">
        <v>145</v>
      </c>
      <c r="G7" s="10">
        <v>80</v>
      </c>
    </row>
    <row r="8" spans="1:27" x14ac:dyDescent="0.25">
      <c r="A8" s="14">
        <f>'Notes &amp; Assumptions'!A16</f>
        <v>3</v>
      </c>
      <c r="E8" s="10" t="s">
        <v>129</v>
      </c>
      <c r="F8" t="s">
        <v>145</v>
      </c>
      <c r="G8" s="10">
        <v>25</v>
      </c>
    </row>
    <row r="9" spans="1:27" x14ac:dyDescent="0.25">
      <c r="A9" s="14">
        <f>'Notes &amp; Assumptions'!A17</f>
        <v>4</v>
      </c>
      <c r="E9" s="10" t="s">
        <v>130</v>
      </c>
      <c r="F9" t="s">
        <v>145</v>
      </c>
      <c r="G9" s="10">
        <v>30</v>
      </c>
    </row>
    <row r="10" spans="1:27" x14ac:dyDescent="0.25">
      <c r="A10" s="14">
        <f>'Notes &amp; Assumptions'!A18</f>
        <v>5</v>
      </c>
      <c r="E10" t="s">
        <v>127</v>
      </c>
      <c r="F10" t="s">
        <v>145</v>
      </c>
      <c r="G10" s="10">
        <v>5</v>
      </c>
    </row>
    <row r="13" spans="1:27" x14ac:dyDescent="0.25">
      <c r="C13" s="1" t="s">
        <v>92</v>
      </c>
    </row>
    <row r="14" spans="1:27" x14ac:dyDescent="0.25">
      <c r="A14" s="14">
        <f>'Notes &amp; Assumptions'!A19</f>
        <v>6</v>
      </c>
      <c r="E14" t="s">
        <v>5</v>
      </c>
      <c r="F14" t="s">
        <v>8</v>
      </c>
      <c r="G14" s="17">
        <f>'20 New UGB Water'!G14</f>
        <v>2.1000000000000001E-2</v>
      </c>
    </row>
    <row r="15" spans="1:27" x14ac:dyDescent="0.25">
      <c r="A15" s="14">
        <f>'Notes &amp; Assumptions'!A20</f>
        <v>7</v>
      </c>
      <c r="E15" t="s">
        <v>32</v>
      </c>
      <c r="F15" t="s">
        <v>8</v>
      </c>
      <c r="G15" s="17">
        <f>'20 New UGB Water'!G15</f>
        <v>5.1629999999999843E-2</v>
      </c>
    </row>
    <row r="16" spans="1:27" x14ac:dyDescent="0.25">
      <c r="E16" t="s">
        <v>30</v>
      </c>
      <c r="F16" t="s">
        <v>8</v>
      </c>
      <c r="G16" s="18">
        <f>(1+G15)/(1+G14)-1</f>
        <v>3.0000000000000027E-2</v>
      </c>
    </row>
    <row r="17" spans="1:27" x14ac:dyDescent="0.25">
      <c r="E17" t="s">
        <v>171</v>
      </c>
      <c r="F17" t="s">
        <v>8</v>
      </c>
      <c r="G17" s="11">
        <v>0.5</v>
      </c>
    </row>
    <row r="18" spans="1:27" x14ac:dyDescent="0.25">
      <c r="A18" s="14">
        <f>'Notes &amp; Assumptions'!A22</f>
        <v>9</v>
      </c>
      <c r="E18" t="s">
        <v>16</v>
      </c>
      <c r="F18" t="s">
        <v>8</v>
      </c>
      <c r="G18" s="11">
        <v>0.3</v>
      </c>
      <c r="H18" s="11">
        <v>0.3</v>
      </c>
      <c r="I18" s="11">
        <v>0.3</v>
      </c>
      <c r="J18" s="11">
        <v>0.3</v>
      </c>
      <c r="K18" s="11">
        <v>0.3</v>
      </c>
      <c r="L18" s="11">
        <v>0.3</v>
      </c>
      <c r="M18" s="11">
        <v>0.3</v>
      </c>
      <c r="N18" s="11">
        <v>0.3</v>
      </c>
      <c r="O18" s="11">
        <v>0.3</v>
      </c>
      <c r="P18" s="11">
        <v>0.3</v>
      </c>
      <c r="Q18" s="11">
        <v>0.3</v>
      </c>
      <c r="R18" s="11">
        <v>0.3</v>
      </c>
      <c r="S18" s="11">
        <v>0.3</v>
      </c>
      <c r="T18" s="11">
        <v>0.3</v>
      </c>
      <c r="U18" s="11">
        <v>0.3</v>
      </c>
      <c r="V18" s="11">
        <v>0.3</v>
      </c>
      <c r="W18" s="11">
        <v>0.3</v>
      </c>
      <c r="X18" s="11">
        <v>0.3</v>
      </c>
      <c r="Y18" s="11">
        <v>0.3</v>
      </c>
      <c r="Z18" s="11">
        <v>0.3</v>
      </c>
      <c r="AA18" s="11">
        <v>0.3</v>
      </c>
    </row>
    <row r="20" spans="1:27" x14ac:dyDescent="0.25">
      <c r="A20" s="14">
        <f>'Notes &amp; Assumptions'!A23</f>
        <v>10</v>
      </c>
      <c r="C20" s="1" t="s">
        <v>1</v>
      </c>
      <c r="D20" s="1"/>
    </row>
    <row r="21" spans="1:27" x14ac:dyDescent="0.25">
      <c r="E21" s="2" t="str">
        <f>E7</f>
        <v>Pipes</v>
      </c>
      <c r="F21" t="s">
        <v>7</v>
      </c>
      <c r="G21" s="43">
        <f>IF('Key assumptions'!B3="yes",SUM('Historical growth capex'!M81:V81),0)</f>
        <v>7907191.4052572027</v>
      </c>
      <c r="H21" s="10">
        <f>'Forecast capex'!J75*1000*(1+$G$14)^H2</f>
        <v>90182.007345977254</v>
      </c>
      <c r="I21" s="10">
        <f>'Forecast capex'!K75*1000*(1+$G$14)^I2</f>
        <v>202796.86165822332</v>
      </c>
      <c r="J21" s="10">
        <f>'Forecast capex'!L75*1000*(1+$G$14)^J2</f>
        <v>0</v>
      </c>
      <c r="K21" s="10">
        <f>'Forecast capex'!M75*1000*(1+$G$14)^K2</f>
        <v>0</v>
      </c>
      <c r="L21" s="10">
        <f>'Forecast capex'!N75*1000*(1+$G$14)^L2</f>
        <v>0</v>
      </c>
      <c r="M21" s="10">
        <f>'Forecast capex'!O75*1000*(1+$G$14)^M2</f>
        <v>0</v>
      </c>
      <c r="N21" s="10">
        <f>'Forecast capex'!P75*1000*(1+$G$14)^N2</f>
        <v>0</v>
      </c>
      <c r="O21" s="10">
        <f>'Forecast capex'!Q75*1000*(1+$G$14)^O2</f>
        <v>0</v>
      </c>
      <c r="P21" s="10">
        <f>'Forecast capex'!R75*1000*(1+$G$14)^P2</f>
        <v>0</v>
      </c>
      <c r="Q21" s="10">
        <f>'Forecast capex'!S75*1000*(1+$G$14)^Q2</f>
        <v>0</v>
      </c>
      <c r="R21" s="10">
        <f>'[10]potable water'!$X$191/5*(1+$G$14)^R2</f>
        <v>0</v>
      </c>
      <c r="S21" s="10">
        <f>'[10]potable water'!$X$191/5*(1+$G$14)^S2</f>
        <v>0</v>
      </c>
      <c r="T21" s="10">
        <f>'[10]potable water'!$X$191/5*(1+$G$14)^T2</f>
        <v>0</v>
      </c>
      <c r="U21" s="10">
        <f>'[10]potable water'!$X$191/5*(1+$G$14)^U2</f>
        <v>0</v>
      </c>
      <c r="V21" s="10">
        <f>'[10]potable water'!$X$191/5*(1+$G$14)^V2</f>
        <v>0</v>
      </c>
      <c r="W21" s="10"/>
      <c r="X21" s="10"/>
      <c r="Y21" s="10"/>
      <c r="Z21" s="10"/>
      <c r="AA21" s="10"/>
    </row>
    <row r="22" spans="1:27" x14ac:dyDescent="0.25">
      <c r="E22" s="2" t="str">
        <f>E8</f>
        <v>Pumps</v>
      </c>
      <c r="F22" t="s">
        <v>7</v>
      </c>
      <c r="G22" s="10"/>
      <c r="H22" s="10"/>
      <c r="I22" s="10"/>
      <c r="J22" s="10"/>
      <c r="K22" s="10"/>
      <c r="L22" s="10"/>
      <c r="M22" s="10"/>
      <c r="N22" s="10"/>
      <c r="O22" s="10"/>
      <c r="P22" s="10"/>
      <c r="Q22" s="10"/>
      <c r="R22" s="10"/>
      <c r="S22" s="10"/>
      <c r="T22" s="10"/>
      <c r="U22" s="10"/>
      <c r="V22" s="10"/>
      <c r="W22" s="10"/>
      <c r="X22" s="10"/>
      <c r="Y22" s="10"/>
      <c r="Z22" s="10"/>
      <c r="AA22" s="10"/>
    </row>
    <row r="23" spans="1:27" x14ac:dyDescent="0.25">
      <c r="E23" s="2" t="str">
        <f>E9</f>
        <v>Valves and Meters</v>
      </c>
      <c r="F23" t="s">
        <v>7</v>
      </c>
      <c r="G23" s="10"/>
      <c r="H23" s="10"/>
      <c r="I23" s="10"/>
      <c r="J23" s="10"/>
      <c r="K23" s="10"/>
      <c r="L23" s="10"/>
      <c r="M23" s="10"/>
      <c r="N23" s="10"/>
      <c r="O23" s="10"/>
      <c r="P23" s="10"/>
      <c r="Q23" s="10"/>
      <c r="R23" s="10"/>
      <c r="S23" s="10"/>
      <c r="T23" s="10"/>
      <c r="U23" s="10"/>
      <c r="V23" s="10"/>
      <c r="W23" s="10"/>
      <c r="X23" s="10"/>
      <c r="Y23" s="10"/>
      <c r="Z23" s="10"/>
      <c r="AA23" s="10"/>
    </row>
    <row r="24" spans="1:27" x14ac:dyDescent="0.25">
      <c r="E24" t="s">
        <v>127</v>
      </c>
      <c r="F24" t="s">
        <v>7</v>
      </c>
      <c r="G24" s="10"/>
      <c r="H24" s="10"/>
      <c r="I24" s="10"/>
      <c r="J24" s="10"/>
      <c r="K24" s="10"/>
      <c r="L24" s="10"/>
      <c r="M24" s="10"/>
      <c r="N24" s="10"/>
      <c r="O24" s="10"/>
      <c r="P24" s="10"/>
      <c r="Q24" s="10"/>
      <c r="R24" s="10"/>
      <c r="S24" s="10"/>
      <c r="T24" s="10"/>
      <c r="U24" s="10"/>
      <c r="V24" s="10"/>
      <c r="W24" s="10"/>
      <c r="X24" s="10"/>
      <c r="Y24" s="10"/>
      <c r="Z24" s="10"/>
      <c r="AA24" s="10"/>
    </row>
    <row r="25" spans="1:27" x14ac:dyDescent="0.25">
      <c r="E25" t="s">
        <v>131</v>
      </c>
      <c r="F25" t="s">
        <v>7</v>
      </c>
      <c r="G25" s="10"/>
      <c r="H25" s="10"/>
      <c r="I25" s="10"/>
      <c r="J25" s="10"/>
      <c r="K25" s="10"/>
      <c r="L25" s="10"/>
      <c r="M25" s="10"/>
      <c r="N25" s="10"/>
      <c r="O25" s="10"/>
      <c r="P25" s="10"/>
      <c r="Q25" s="10"/>
      <c r="R25" s="10"/>
      <c r="S25" s="10"/>
      <c r="T25" s="10"/>
      <c r="U25" s="10"/>
      <c r="V25" s="10"/>
      <c r="W25" s="10"/>
      <c r="X25" s="10"/>
      <c r="Y25" s="10"/>
      <c r="Z25" s="10"/>
      <c r="AA25" s="10"/>
    </row>
    <row r="26" spans="1:27" x14ac:dyDescent="0.25">
      <c r="G26" s="2">
        <f>SUM(G21:G25)</f>
        <v>7907191.4052572027</v>
      </c>
      <c r="H26" s="2">
        <f t="shared" ref="H26:AA26" si="0">SUM(H21:H25)</f>
        <v>90182.007345977254</v>
      </c>
      <c r="I26" s="2">
        <f t="shared" si="0"/>
        <v>202796.86165822332</v>
      </c>
      <c r="J26" s="2">
        <f t="shared" si="0"/>
        <v>0</v>
      </c>
      <c r="K26" s="2">
        <f t="shared" si="0"/>
        <v>0</v>
      </c>
      <c r="L26" s="2">
        <f t="shared" si="0"/>
        <v>0</v>
      </c>
      <c r="M26" s="2">
        <f t="shared" si="0"/>
        <v>0</v>
      </c>
      <c r="N26" s="2">
        <f t="shared" si="0"/>
        <v>0</v>
      </c>
      <c r="O26" s="2">
        <f t="shared" si="0"/>
        <v>0</v>
      </c>
      <c r="P26" s="2">
        <f t="shared" si="0"/>
        <v>0</v>
      </c>
      <c r="Q26" s="2">
        <f t="shared" si="0"/>
        <v>0</v>
      </c>
      <c r="R26" s="2">
        <f t="shared" si="0"/>
        <v>0</v>
      </c>
      <c r="S26" s="2">
        <f t="shared" si="0"/>
        <v>0</v>
      </c>
      <c r="T26" s="2">
        <f t="shared" si="0"/>
        <v>0</v>
      </c>
      <c r="U26" s="2">
        <f t="shared" si="0"/>
        <v>0</v>
      </c>
      <c r="V26" s="2">
        <f t="shared" si="0"/>
        <v>0</v>
      </c>
      <c r="W26" s="2">
        <f t="shared" si="0"/>
        <v>0</v>
      </c>
      <c r="X26" s="2">
        <f t="shared" si="0"/>
        <v>0</v>
      </c>
      <c r="Y26" s="2">
        <f t="shared" si="0"/>
        <v>0</v>
      </c>
      <c r="Z26" s="2">
        <f t="shared" si="0"/>
        <v>0</v>
      </c>
      <c r="AA26" s="2">
        <f t="shared" si="0"/>
        <v>0</v>
      </c>
    </row>
    <row r="27" spans="1:27" x14ac:dyDescent="0.25">
      <c r="G27" s="2"/>
      <c r="H27" s="2"/>
      <c r="I27" s="2"/>
      <c r="J27" s="2"/>
      <c r="K27" s="2"/>
      <c r="L27" s="2"/>
      <c r="M27" s="2"/>
      <c r="N27" s="2"/>
      <c r="O27" s="2"/>
      <c r="P27" s="2"/>
      <c r="Q27" s="2"/>
    </row>
    <row r="28" spans="1:27" x14ac:dyDescent="0.25">
      <c r="D28" t="s">
        <v>132</v>
      </c>
      <c r="G28" s="2"/>
      <c r="H28" s="2"/>
      <c r="I28" s="2"/>
      <c r="J28" s="2"/>
      <c r="K28" s="2"/>
      <c r="L28" s="2"/>
      <c r="M28" s="2"/>
      <c r="N28" s="2"/>
      <c r="O28" s="2"/>
      <c r="P28" s="2"/>
      <c r="Q28" s="2"/>
    </row>
    <row r="29" spans="1:27" x14ac:dyDescent="0.25">
      <c r="E29" s="2" t="str">
        <f>E21</f>
        <v>Pipes</v>
      </c>
      <c r="F29" t="s">
        <v>7</v>
      </c>
      <c r="G29" s="2">
        <f t="shared" ref="G29:AA32" si="1">G21/$G7+IF((G$2-$G7+1)&gt;0,-INDEX($G21:$AA21,1,(G$2-$G7+1))/$G7,0)</f>
        <v>98839.892565715039</v>
      </c>
      <c r="H29" s="2">
        <f t="shared" si="1"/>
        <v>1127.2750918247157</v>
      </c>
      <c r="I29" s="2">
        <f t="shared" si="1"/>
        <v>2534.9607707277914</v>
      </c>
      <c r="J29" s="2">
        <f t="shared" si="1"/>
        <v>0</v>
      </c>
      <c r="K29" s="2">
        <f t="shared" si="1"/>
        <v>0</v>
      </c>
      <c r="L29" s="2">
        <f t="shared" si="1"/>
        <v>0</v>
      </c>
      <c r="M29" s="2">
        <f t="shared" si="1"/>
        <v>0</v>
      </c>
      <c r="N29" s="2">
        <f t="shared" si="1"/>
        <v>0</v>
      </c>
      <c r="O29" s="2">
        <f t="shared" si="1"/>
        <v>0</v>
      </c>
      <c r="P29" s="2">
        <f t="shared" si="1"/>
        <v>0</v>
      </c>
      <c r="Q29" s="2">
        <f t="shared" si="1"/>
        <v>0</v>
      </c>
      <c r="R29" s="2">
        <f t="shared" si="1"/>
        <v>0</v>
      </c>
      <c r="S29" s="2">
        <f t="shared" si="1"/>
        <v>0</v>
      </c>
      <c r="T29" s="2">
        <f t="shared" si="1"/>
        <v>0</v>
      </c>
      <c r="U29" s="2">
        <f t="shared" si="1"/>
        <v>0</v>
      </c>
      <c r="V29" s="2">
        <f t="shared" si="1"/>
        <v>0</v>
      </c>
      <c r="W29" s="2">
        <f t="shared" si="1"/>
        <v>0</v>
      </c>
      <c r="X29" s="2">
        <f t="shared" si="1"/>
        <v>0</v>
      </c>
      <c r="Y29" s="2">
        <f t="shared" si="1"/>
        <v>0</v>
      </c>
      <c r="Z29" s="2">
        <f t="shared" si="1"/>
        <v>0</v>
      </c>
      <c r="AA29" s="2">
        <f t="shared" si="1"/>
        <v>0</v>
      </c>
    </row>
    <row r="30" spans="1:27" x14ac:dyDescent="0.25">
      <c r="E30" s="2" t="str">
        <f t="shared" ref="E30:E32" si="2">E22</f>
        <v>Pumps</v>
      </c>
      <c r="F30" t="s">
        <v>7</v>
      </c>
      <c r="G30" s="2">
        <f t="shared" si="1"/>
        <v>0</v>
      </c>
      <c r="H30" s="2">
        <f t="shared" si="1"/>
        <v>0</v>
      </c>
      <c r="I30" s="2">
        <f t="shared" si="1"/>
        <v>0</v>
      </c>
      <c r="J30" s="2">
        <f t="shared" si="1"/>
        <v>0</v>
      </c>
      <c r="K30" s="2">
        <f t="shared" si="1"/>
        <v>0</v>
      </c>
      <c r="L30" s="2">
        <f t="shared" si="1"/>
        <v>0</v>
      </c>
      <c r="M30" s="2">
        <f t="shared" si="1"/>
        <v>0</v>
      </c>
      <c r="N30" s="2">
        <f t="shared" si="1"/>
        <v>0</v>
      </c>
      <c r="O30" s="2">
        <f t="shared" si="1"/>
        <v>0</v>
      </c>
      <c r="P30" s="2">
        <f t="shared" si="1"/>
        <v>0</v>
      </c>
      <c r="Q30" s="2">
        <f t="shared" si="1"/>
        <v>0</v>
      </c>
      <c r="R30" s="2">
        <f t="shared" si="1"/>
        <v>0</v>
      </c>
      <c r="S30" s="2">
        <f t="shared" si="1"/>
        <v>0</v>
      </c>
      <c r="T30" s="2">
        <f t="shared" si="1"/>
        <v>0</v>
      </c>
      <c r="U30" s="2">
        <f t="shared" si="1"/>
        <v>0</v>
      </c>
      <c r="V30" s="2">
        <f t="shared" si="1"/>
        <v>0</v>
      </c>
      <c r="W30" s="2">
        <f t="shared" si="1"/>
        <v>0</v>
      </c>
      <c r="X30" s="2">
        <f t="shared" si="1"/>
        <v>0</v>
      </c>
      <c r="Y30" s="2">
        <f t="shared" si="1"/>
        <v>0</v>
      </c>
      <c r="Z30" s="2">
        <f t="shared" si="1"/>
        <v>0</v>
      </c>
      <c r="AA30" s="2">
        <f t="shared" si="1"/>
        <v>0</v>
      </c>
    </row>
    <row r="31" spans="1:27" x14ac:dyDescent="0.25">
      <c r="E31" s="2" t="str">
        <f t="shared" si="2"/>
        <v>Valves and Meters</v>
      </c>
      <c r="F31" t="s">
        <v>7</v>
      </c>
      <c r="G31" s="2">
        <f t="shared" si="1"/>
        <v>0</v>
      </c>
      <c r="H31" s="2">
        <f t="shared" si="1"/>
        <v>0</v>
      </c>
      <c r="I31" s="2">
        <f t="shared" si="1"/>
        <v>0</v>
      </c>
      <c r="J31" s="2">
        <f t="shared" si="1"/>
        <v>0</v>
      </c>
      <c r="K31" s="2">
        <f t="shared" si="1"/>
        <v>0</v>
      </c>
      <c r="L31" s="2">
        <f t="shared" si="1"/>
        <v>0</v>
      </c>
      <c r="M31" s="2">
        <f t="shared" si="1"/>
        <v>0</v>
      </c>
      <c r="N31" s="2">
        <f t="shared" si="1"/>
        <v>0</v>
      </c>
      <c r="O31" s="2">
        <f t="shared" si="1"/>
        <v>0</v>
      </c>
      <c r="P31" s="2">
        <f t="shared" si="1"/>
        <v>0</v>
      </c>
      <c r="Q31" s="2">
        <f t="shared" si="1"/>
        <v>0</v>
      </c>
      <c r="R31" s="2">
        <f t="shared" si="1"/>
        <v>0</v>
      </c>
      <c r="S31" s="2">
        <f t="shared" si="1"/>
        <v>0</v>
      </c>
      <c r="T31" s="2">
        <f t="shared" si="1"/>
        <v>0</v>
      </c>
      <c r="U31" s="2">
        <f t="shared" si="1"/>
        <v>0</v>
      </c>
      <c r="V31" s="2">
        <f t="shared" si="1"/>
        <v>0</v>
      </c>
      <c r="W31" s="2">
        <f t="shared" si="1"/>
        <v>0</v>
      </c>
      <c r="X31" s="2">
        <f t="shared" si="1"/>
        <v>0</v>
      </c>
      <c r="Y31" s="2">
        <f t="shared" si="1"/>
        <v>0</v>
      </c>
      <c r="Z31" s="2">
        <f t="shared" si="1"/>
        <v>0</v>
      </c>
      <c r="AA31" s="2">
        <f t="shared" si="1"/>
        <v>0</v>
      </c>
    </row>
    <row r="32" spans="1:27" x14ac:dyDescent="0.25">
      <c r="E32" s="2" t="str">
        <f t="shared" si="2"/>
        <v>Temporary Assets</v>
      </c>
      <c r="F32" t="s">
        <v>7</v>
      </c>
      <c r="G32" s="2">
        <f t="shared" si="1"/>
        <v>0</v>
      </c>
      <c r="H32" s="2">
        <f t="shared" si="1"/>
        <v>0</v>
      </c>
      <c r="I32" s="2">
        <f t="shared" si="1"/>
        <v>0</v>
      </c>
      <c r="J32" s="2">
        <f t="shared" si="1"/>
        <v>0</v>
      </c>
      <c r="K32" s="2">
        <f t="shared" si="1"/>
        <v>0</v>
      </c>
      <c r="L32" s="2">
        <f t="shared" si="1"/>
        <v>0</v>
      </c>
      <c r="M32" s="2">
        <f t="shared" si="1"/>
        <v>0</v>
      </c>
      <c r="N32" s="2">
        <f t="shared" si="1"/>
        <v>0</v>
      </c>
      <c r="O32" s="2">
        <f t="shared" si="1"/>
        <v>0</v>
      </c>
      <c r="P32" s="2">
        <f t="shared" si="1"/>
        <v>0</v>
      </c>
      <c r="Q32" s="2">
        <f t="shared" si="1"/>
        <v>0</v>
      </c>
      <c r="R32" s="2">
        <f t="shared" si="1"/>
        <v>0</v>
      </c>
      <c r="S32" s="2">
        <f t="shared" si="1"/>
        <v>0</v>
      </c>
      <c r="T32" s="2">
        <f t="shared" si="1"/>
        <v>0</v>
      </c>
      <c r="U32" s="2">
        <f t="shared" si="1"/>
        <v>0</v>
      </c>
      <c r="V32" s="2">
        <f t="shared" si="1"/>
        <v>0</v>
      </c>
      <c r="W32" s="2">
        <f t="shared" si="1"/>
        <v>0</v>
      </c>
      <c r="X32" s="2">
        <f t="shared" si="1"/>
        <v>0</v>
      </c>
      <c r="Y32" s="2">
        <f t="shared" si="1"/>
        <v>0</v>
      </c>
      <c r="Z32" s="2">
        <f t="shared" si="1"/>
        <v>0</v>
      </c>
      <c r="AA32" s="2">
        <f t="shared" si="1"/>
        <v>0</v>
      </c>
    </row>
    <row r="33" spans="1:27" x14ac:dyDescent="0.25">
      <c r="G33" s="2"/>
      <c r="H33" s="2"/>
      <c r="I33" s="2"/>
      <c r="J33" s="2"/>
      <c r="K33" s="2"/>
      <c r="L33" s="2"/>
      <c r="M33" s="2"/>
      <c r="N33" s="2"/>
      <c r="O33" s="2"/>
      <c r="P33" s="2"/>
      <c r="Q33" s="2"/>
    </row>
    <row r="34" spans="1:27" x14ac:dyDescent="0.25">
      <c r="D34" t="s">
        <v>133</v>
      </c>
      <c r="F34" t="s">
        <v>7</v>
      </c>
      <c r="G34" s="2">
        <f>SUM($G$29:G32)</f>
        <v>98839.892565715039</v>
      </c>
      <c r="H34" s="2">
        <f>SUM($G$29:H32)</f>
        <v>99967.167657539758</v>
      </c>
      <c r="I34" s="2">
        <f>SUM($G$29:I32)</f>
        <v>102502.12842826755</v>
      </c>
      <c r="J34" s="2">
        <f>SUM($G$29:J32)</f>
        <v>102502.12842826755</v>
      </c>
      <c r="K34" s="2">
        <f>SUM($G$29:K32)</f>
        <v>102502.12842826755</v>
      </c>
      <c r="L34" s="2">
        <f>SUM($G$29:L32)</f>
        <v>102502.12842826755</v>
      </c>
      <c r="M34" s="2">
        <f>SUM($G$29:M32)</f>
        <v>102502.12842826755</v>
      </c>
      <c r="N34" s="2">
        <f>SUM($G$29:N32)</f>
        <v>102502.12842826755</v>
      </c>
      <c r="O34" s="2">
        <f>SUM($G$29:O32)</f>
        <v>102502.12842826755</v>
      </c>
      <c r="P34" s="2">
        <f>SUM($G$29:P32)</f>
        <v>102502.12842826755</v>
      </c>
      <c r="Q34" s="2">
        <f>SUM($G$29:Q32)</f>
        <v>102502.12842826755</v>
      </c>
      <c r="R34" s="2">
        <f>SUM($G$29:R32)</f>
        <v>102502.12842826755</v>
      </c>
      <c r="S34" s="2">
        <f>SUM($G$29:S32)</f>
        <v>102502.12842826755</v>
      </c>
      <c r="T34" s="2">
        <f>SUM($G$29:T32)</f>
        <v>102502.12842826755</v>
      </c>
      <c r="U34" s="2">
        <f>SUM($G$29:U32)</f>
        <v>102502.12842826755</v>
      </c>
      <c r="V34" s="2">
        <f>SUM($G$29:V32)</f>
        <v>102502.12842826755</v>
      </c>
      <c r="W34" s="2">
        <f>SUM($G$29:W32)</f>
        <v>102502.12842826755</v>
      </c>
      <c r="X34" s="2">
        <f>SUM($G$29:X32)</f>
        <v>102502.12842826755</v>
      </c>
      <c r="Y34" s="2">
        <f>SUM($G$29:Y32)</f>
        <v>102502.12842826755</v>
      </c>
      <c r="Z34" s="2">
        <f>SUM($G$29:Z32)</f>
        <v>102502.12842826755</v>
      </c>
      <c r="AA34" s="2">
        <f>SUM($G$29:AA32)</f>
        <v>102502.12842826755</v>
      </c>
    </row>
    <row r="35" spans="1:27" x14ac:dyDescent="0.25">
      <c r="G35" s="2"/>
      <c r="H35" s="2"/>
      <c r="I35" s="2"/>
      <c r="J35" s="2"/>
      <c r="K35" s="2"/>
      <c r="L35" s="2"/>
      <c r="M35" s="2"/>
      <c r="N35" s="2"/>
      <c r="O35" s="2"/>
      <c r="P35" s="2"/>
      <c r="Q35" s="2"/>
      <c r="R35" s="2"/>
      <c r="S35" s="2"/>
      <c r="T35" s="2"/>
      <c r="U35" s="2"/>
      <c r="V35" s="2"/>
      <c r="W35" s="2"/>
      <c r="X35" s="2"/>
      <c r="Y35" s="2"/>
      <c r="Z35" s="2"/>
      <c r="AA35" s="2"/>
    </row>
    <row r="36" spans="1:27" x14ac:dyDescent="0.25">
      <c r="A36" s="14">
        <f>'Notes &amp; Assumptions'!A24</f>
        <v>11</v>
      </c>
      <c r="C36" s="1" t="s">
        <v>107</v>
      </c>
      <c r="D36" s="1"/>
    </row>
    <row r="37" spans="1:27" x14ac:dyDescent="0.25">
      <c r="E37" s="2" t="str">
        <f>E7</f>
        <v>Pipes</v>
      </c>
      <c r="F37" t="s">
        <v>7</v>
      </c>
      <c r="G37" s="10"/>
      <c r="H37" s="10">
        <f>'Key assumptions'!$B31*(1+$G$14)^H2*(H90+H111+H132+H153)</f>
        <v>2222716.9999999995</v>
      </c>
      <c r="I37" s="10">
        <f>'Key assumptions'!$B31*(1+$G$14)^I2*(I90+I111+I132+I153)</f>
        <v>2262096.9699999993</v>
      </c>
      <c r="J37" s="10">
        <f>'Key assumptions'!$B31*(1+$G$14)^J2*(J90+J111+J132+J153)</f>
        <v>2344990.0540482495</v>
      </c>
      <c r="K37" s="10">
        <f>'Key assumptions'!$B31*(1+$G$14)^K2*(K90+K111+K132+K153)</f>
        <v>2308658.5401528832</v>
      </c>
      <c r="L37" s="10">
        <f>'Key assumptions'!$B31*(1+$G$14)^L2*(L90+L111+L132+L153)</f>
        <v>2265883.699507365</v>
      </c>
      <c r="M37" s="10">
        <f>'Key assumptions'!$B31*(1+$G$14)^M2*(M90+M111+M132+M153)</f>
        <v>2224259.0082048466</v>
      </c>
      <c r="N37" s="10">
        <f>'Key assumptions'!$B31*(1+$G$14)^N2*(N90+N111+N132+N153)</f>
        <v>2179886.8251561397</v>
      </c>
      <c r="O37" s="10">
        <f>'Key assumptions'!$B31*(1+$G$14)^O2*(O90+O111+O132+O153)</f>
        <v>2134736.6530031604</v>
      </c>
      <c r="P37" s="10">
        <f>'Key assumptions'!$B31*(1+$G$14)^P2*(P90+P111+P132+P153)</f>
        <v>2306162.4125158135</v>
      </c>
      <c r="Q37" s="10">
        <f>'Key assumptions'!$B31*(1+$G$14)^Q2*(Q90+Q111+Q132+Q153)</f>
        <v>2492463.6225230494</v>
      </c>
      <c r="R37" s="10">
        <f>'Key assumptions'!$B31*(1+$G$14)^R2*(R90+R111+R132+R153)</f>
        <v>2694370.4099223348</v>
      </c>
      <c r="S37" s="10">
        <f>'Key assumptions'!$B31*(1+$G$14)^S2*(S90+S111+S132+S153)</f>
        <v>2914886.4822145733</v>
      </c>
      <c r="T37" s="10">
        <f>'Key assumptions'!$B31*(1+$G$14)^T2*(T90+T111+T132+T153)</f>
        <v>3152647.3499375833</v>
      </c>
      <c r="U37" s="10">
        <f>'Key assumptions'!$B31*(1+$G$14)^U2*(U90+U111+U132+U153)</f>
        <v>3197784.0886509442</v>
      </c>
      <c r="V37" s="10">
        <f>'Key assumptions'!$B31*(1+$G$14)^V2*(V90+V111+V132+V153)</f>
        <v>3241036.1082863132</v>
      </c>
      <c r="W37" s="10">
        <f>'Key assumptions'!$B31*(1+$G$14)^W2*(W90+W111+W132+W153)</f>
        <v>0</v>
      </c>
      <c r="X37" s="10">
        <f>'Key assumptions'!$B31*(1+$G$14)^X2*(X90+X111+X132+X153)</f>
        <v>0</v>
      </c>
      <c r="Y37" s="10">
        <f t="shared" ref="Y37:AA37" si="3">1000*(1+$G$14)^Y2*(Y90+Y111+Y132+Y153)</f>
        <v>0</v>
      </c>
      <c r="Z37" s="10">
        <f t="shared" si="3"/>
        <v>0</v>
      </c>
      <c r="AA37" s="10">
        <f t="shared" si="3"/>
        <v>0</v>
      </c>
    </row>
    <row r="38" spans="1:27" x14ac:dyDescent="0.25">
      <c r="E38" s="2" t="str">
        <f>E8</f>
        <v>Pumps</v>
      </c>
      <c r="F38" t="s">
        <v>7</v>
      </c>
      <c r="G38" s="10"/>
      <c r="H38" s="10"/>
      <c r="I38" s="10"/>
      <c r="J38" s="10"/>
      <c r="K38" s="10"/>
      <c r="L38" s="10"/>
      <c r="M38" s="10"/>
      <c r="N38" s="10"/>
      <c r="O38" s="10"/>
      <c r="P38" s="10"/>
      <c r="Q38" s="10"/>
      <c r="R38" s="10"/>
      <c r="S38" s="10"/>
      <c r="T38" s="10"/>
      <c r="U38" s="10"/>
      <c r="V38" s="10"/>
      <c r="W38" s="10"/>
      <c r="X38" s="10"/>
      <c r="Y38" s="10"/>
      <c r="Z38" s="10"/>
      <c r="AA38" s="10"/>
    </row>
    <row r="39" spans="1:27" x14ac:dyDescent="0.25">
      <c r="E39" s="2" t="str">
        <f>E9</f>
        <v>Valves and Meters</v>
      </c>
      <c r="F39" t="s">
        <v>7</v>
      </c>
      <c r="G39" s="10"/>
      <c r="H39" s="10"/>
      <c r="I39" s="10"/>
      <c r="J39" s="10"/>
      <c r="K39" s="10"/>
      <c r="L39" s="10"/>
      <c r="M39" s="10"/>
      <c r="N39" s="10"/>
      <c r="O39" s="10"/>
      <c r="P39" s="10"/>
      <c r="Q39" s="10"/>
      <c r="R39" s="10"/>
      <c r="S39" s="10"/>
      <c r="T39" s="10"/>
      <c r="U39" s="10"/>
      <c r="V39" s="10"/>
      <c r="W39" s="10"/>
      <c r="X39" s="10"/>
      <c r="Y39" s="10"/>
      <c r="Z39" s="10"/>
      <c r="AA39" s="10"/>
    </row>
    <row r="40" spans="1:27" x14ac:dyDescent="0.25">
      <c r="E40" s="2" t="str">
        <f>E10</f>
        <v>Temporary Assets</v>
      </c>
      <c r="F40" t="s">
        <v>7</v>
      </c>
      <c r="G40" s="10"/>
      <c r="H40" s="10"/>
      <c r="I40" s="10"/>
      <c r="J40" s="10"/>
      <c r="K40" s="10"/>
      <c r="L40" s="10"/>
      <c r="M40" s="10"/>
      <c r="N40" s="10"/>
      <c r="O40" s="10"/>
      <c r="P40" s="10"/>
      <c r="Q40" s="10"/>
      <c r="R40" s="10"/>
      <c r="S40" s="10"/>
      <c r="T40" s="10"/>
      <c r="U40" s="10"/>
      <c r="V40" s="10"/>
      <c r="W40" s="10"/>
      <c r="X40" s="10"/>
      <c r="Y40" s="10"/>
      <c r="Z40" s="10"/>
      <c r="AA40" s="10"/>
    </row>
    <row r="41" spans="1:27" x14ac:dyDescent="0.25">
      <c r="E41" t="s">
        <v>131</v>
      </c>
      <c r="F41" t="s">
        <v>7</v>
      </c>
      <c r="G41" s="10"/>
      <c r="H41" s="10"/>
      <c r="I41" s="10"/>
      <c r="J41" s="10"/>
      <c r="K41" s="10"/>
      <c r="L41" s="10"/>
      <c r="M41" s="10"/>
      <c r="N41" s="10"/>
      <c r="O41" s="10"/>
      <c r="P41" s="10"/>
      <c r="Q41" s="10"/>
      <c r="R41" s="10"/>
      <c r="S41" s="10"/>
      <c r="T41" s="10"/>
      <c r="U41" s="10"/>
      <c r="V41" s="10"/>
      <c r="W41" s="10"/>
      <c r="X41" s="10"/>
      <c r="Y41" s="10"/>
      <c r="Z41" s="10"/>
      <c r="AA41" s="10"/>
    </row>
    <row r="42" spans="1:27" x14ac:dyDescent="0.25">
      <c r="G42" s="2">
        <f>SUM(G37:G41)</f>
        <v>0</v>
      </c>
      <c r="H42" s="2">
        <f t="shared" ref="H42:AA42" si="4">SUM(H37:H41)</f>
        <v>2222716.9999999995</v>
      </c>
      <c r="I42" s="2">
        <f t="shared" si="4"/>
        <v>2262096.9699999993</v>
      </c>
      <c r="J42" s="2">
        <f t="shared" si="4"/>
        <v>2344990.0540482495</v>
      </c>
      <c r="K42" s="2">
        <f t="shared" si="4"/>
        <v>2308658.5401528832</v>
      </c>
      <c r="L42" s="2">
        <f t="shared" si="4"/>
        <v>2265883.699507365</v>
      </c>
      <c r="M42" s="2">
        <f t="shared" si="4"/>
        <v>2224259.0082048466</v>
      </c>
      <c r="N42" s="2">
        <f t="shared" si="4"/>
        <v>2179886.8251561397</v>
      </c>
      <c r="O42" s="2">
        <f t="shared" si="4"/>
        <v>2134736.6530031604</v>
      </c>
      <c r="P42" s="2">
        <f t="shared" si="4"/>
        <v>2306162.4125158135</v>
      </c>
      <c r="Q42" s="2">
        <f t="shared" si="4"/>
        <v>2492463.6225230494</v>
      </c>
      <c r="R42" s="2">
        <f t="shared" si="4"/>
        <v>2694370.4099223348</v>
      </c>
      <c r="S42" s="2">
        <f t="shared" si="4"/>
        <v>2914886.4822145733</v>
      </c>
      <c r="T42" s="2">
        <f t="shared" si="4"/>
        <v>3152647.3499375833</v>
      </c>
      <c r="U42" s="2">
        <f t="shared" si="4"/>
        <v>3197784.0886509442</v>
      </c>
      <c r="V42" s="2">
        <f t="shared" si="4"/>
        <v>3241036.1082863132</v>
      </c>
      <c r="W42" s="2">
        <f t="shared" si="4"/>
        <v>0</v>
      </c>
      <c r="X42" s="2">
        <f t="shared" si="4"/>
        <v>0</v>
      </c>
      <c r="Y42" s="2">
        <f t="shared" si="4"/>
        <v>0</v>
      </c>
      <c r="Z42" s="2">
        <f t="shared" si="4"/>
        <v>0</v>
      </c>
      <c r="AA42" s="2">
        <f t="shared" si="4"/>
        <v>0</v>
      </c>
    </row>
    <row r="43" spans="1:27" x14ac:dyDescent="0.25">
      <c r="G43" s="2"/>
      <c r="H43" s="2"/>
      <c r="I43" s="2"/>
      <c r="J43" s="2"/>
      <c r="K43" s="2"/>
      <c r="L43" s="2"/>
      <c r="M43" s="2"/>
      <c r="N43" s="2"/>
      <c r="O43" s="2"/>
      <c r="P43" s="2"/>
      <c r="Q43" s="2"/>
    </row>
    <row r="44" spans="1:27" x14ac:dyDescent="0.25">
      <c r="D44" t="s">
        <v>134</v>
      </c>
      <c r="G44" s="2"/>
      <c r="H44" s="2"/>
      <c r="I44" s="2"/>
      <c r="J44" s="2"/>
      <c r="K44" s="2"/>
      <c r="L44" s="2"/>
      <c r="M44" s="2"/>
      <c r="N44" s="2"/>
      <c r="O44" s="2"/>
      <c r="P44" s="2"/>
      <c r="Q44" s="2"/>
    </row>
    <row r="45" spans="1:27" x14ac:dyDescent="0.25">
      <c r="E45" s="2" t="str">
        <f>E37</f>
        <v>Pipes</v>
      </c>
      <c r="F45" t="s">
        <v>7</v>
      </c>
      <c r="G45" s="2">
        <f t="shared" ref="G45:AA48" si="5">G37/$G7+IF((G$2-$G7+1)&gt;0,-INDEX($G37:$AA37,1,(G$2-$G7+1))/$G7,0)</f>
        <v>0</v>
      </c>
      <c r="H45" s="2">
        <f t="shared" si="5"/>
        <v>27783.962499999994</v>
      </c>
      <c r="I45" s="2">
        <f t="shared" si="5"/>
        <v>28276.212124999991</v>
      </c>
      <c r="J45" s="2">
        <f t="shared" si="5"/>
        <v>29312.375675603118</v>
      </c>
      <c r="K45" s="2">
        <f t="shared" si="5"/>
        <v>28858.23175191104</v>
      </c>
      <c r="L45" s="2">
        <f t="shared" si="5"/>
        <v>28323.546243842062</v>
      </c>
      <c r="M45" s="2">
        <f t="shared" si="5"/>
        <v>27803.237602560584</v>
      </c>
      <c r="N45" s="2">
        <f t="shared" si="5"/>
        <v>27248.585314451746</v>
      </c>
      <c r="O45" s="2">
        <f t="shared" si="5"/>
        <v>26684.208162539504</v>
      </c>
      <c r="P45" s="2">
        <f t="shared" si="5"/>
        <v>28827.030156447669</v>
      </c>
      <c r="Q45" s="2">
        <f t="shared" si="5"/>
        <v>31155.795281538118</v>
      </c>
      <c r="R45" s="2">
        <f t="shared" si="5"/>
        <v>33679.630124029187</v>
      </c>
      <c r="S45" s="2">
        <f t="shared" si="5"/>
        <v>36436.081027682165</v>
      </c>
      <c r="T45" s="2">
        <f t="shared" si="5"/>
        <v>39408.09187421979</v>
      </c>
      <c r="U45" s="2">
        <f t="shared" si="5"/>
        <v>39972.301108136802</v>
      </c>
      <c r="V45" s="2">
        <f t="shared" si="5"/>
        <v>40512.951353578916</v>
      </c>
      <c r="W45" s="2">
        <f t="shared" si="5"/>
        <v>0</v>
      </c>
      <c r="X45" s="2">
        <f t="shared" si="5"/>
        <v>0</v>
      </c>
      <c r="Y45" s="2">
        <f t="shared" si="5"/>
        <v>0</v>
      </c>
      <c r="Z45" s="2">
        <f t="shared" si="5"/>
        <v>0</v>
      </c>
      <c r="AA45" s="2">
        <f t="shared" si="5"/>
        <v>0</v>
      </c>
    </row>
    <row r="46" spans="1:27" x14ac:dyDescent="0.25">
      <c r="E46" s="2" t="str">
        <f t="shared" ref="E46:E48" si="6">E38</f>
        <v>Pumps</v>
      </c>
      <c r="F46" t="s">
        <v>7</v>
      </c>
      <c r="G46" s="2">
        <f t="shared" si="5"/>
        <v>0</v>
      </c>
      <c r="H46" s="2">
        <f t="shared" si="5"/>
        <v>0</v>
      </c>
      <c r="I46" s="2">
        <f t="shared" si="5"/>
        <v>0</v>
      </c>
      <c r="J46" s="2">
        <f t="shared" si="5"/>
        <v>0</v>
      </c>
      <c r="K46" s="2">
        <f t="shared" si="5"/>
        <v>0</v>
      </c>
      <c r="L46" s="2">
        <f t="shared" si="5"/>
        <v>0</v>
      </c>
      <c r="M46" s="2">
        <f t="shared" si="5"/>
        <v>0</v>
      </c>
      <c r="N46" s="2">
        <f t="shared" si="5"/>
        <v>0</v>
      </c>
      <c r="O46" s="2">
        <f t="shared" si="5"/>
        <v>0</v>
      </c>
      <c r="P46" s="2">
        <f t="shared" si="5"/>
        <v>0</v>
      </c>
      <c r="Q46" s="2">
        <f t="shared" si="5"/>
        <v>0</v>
      </c>
      <c r="R46" s="2">
        <f t="shared" si="5"/>
        <v>0</v>
      </c>
      <c r="S46" s="2">
        <f t="shared" si="5"/>
        <v>0</v>
      </c>
      <c r="T46" s="2">
        <f t="shared" si="5"/>
        <v>0</v>
      </c>
      <c r="U46" s="2">
        <f t="shared" si="5"/>
        <v>0</v>
      </c>
      <c r="V46" s="2">
        <f t="shared" si="5"/>
        <v>0</v>
      </c>
      <c r="W46" s="2">
        <f t="shared" si="5"/>
        <v>0</v>
      </c>
      <c r="X46" s="2">
        <f t="shared" si="5"/>
        <v>0</v>
      </c>
      <c r="Y46" s="2">
        <f t="shared" si="5"/>
        <v>0</v>
      </c>
      <c r="Z46" s="2">
        <f t="shared" si="5"/>
        <v>0</v>
      </c>
      <c r="AA46" s="2">
        <f t="shared" si="5"/>
        <v>0</v>
      </c>
    </row>
    <row r="47" spans="1:27" x14ac:dyDescent="0.25">
      <c r="E47" s="2" t="str">
        <f t="shared" si="6"/>
        <v>Valves and Meters</v>
      </c>
      <c r="F47" t="s">
        <v>7</v>
      </c>
      <c r="G47" s="2">
        <f t="shared" si="5"/>
        <v>0</v>
      </c>
      <c r="H47" s="2">
        <f t="shared" si="5"/>
        <v>0</v>
      </c>
      <c r="I47" s="2">
        <f t="shared" si="5"/>
        <v>0</v>
      </c>
      <c r="J47" s="2">
        <f t="shared" si="5"/>
        <v>0</v>
      </c>
      <c r="K47" s="2">
        <f t="shared" si="5"/>
        <v>0</v>
      </c>
      <c r="L47" s="2">
        <f t="shared" si="5"/>
        <v>0</v>
      </c>
      <c r="M47" s="2">
        <f t="shared" si="5"/>
        <v>0</v>
      </c>
      <c r="N47" s="2">
        <f t="shared" si="5"/>
        <v>0</v>
      </c>
      <c r="O47" s="2">
        <f t="shared" si="5"/>
        <v>0</v>
      </c>
      <c r="P47" s="2">
        <f t="shared" si="5"/>
        <v>0</v>
      </c>
      <c r="Q47" s="2">
        <f t="shared" si="5"/>
        <v>0</v>
      </c>
      <c r="R47" s="2">
        <f t="shared" si="5"/>
        <v>0</v>
      </c>
      <c r="S47" s="2">
        <f t="shared" si="5"/>
        <v>0</v>
      </c>
      <c r="T47" s="2">
        <f t="shared" si="5"/>
        <v>0</v>
      </c>
      <c r="U47" s="2">
        <f t="shared" si="5"/>
        <v>0</v>
      </c>
      <c r="V47" s="2">
        <f t="shared" si="5"/>
        <v>0</v>
      </c>
      <c r="W47" s="2">
        <f t="shared" si="5"/>
        <v>0</v>
      </c>
      <c r="X47" s="2">
        <f t="shared" si="5"/>
        <v>0</v>
      </c>
      <c r="Y47" s="2">
        <f t="shared" si="5"/>
        <v>0</v>
      </c>
      <c r="Z47" s="2">
        <f t="shared" si="5"/>
        <v>0</v>
      </c>
      <c r="AA47" s="2">
        <f t="shared" si="5"/>
        <v>0</v>
      </c>
    </row>
    <row r="48" spans="1:27" x14ac:dyDescent="0.25">
      <c r="E48" s="2" t="str">
        <f t="shared" si="6"/>
        <v>Temporary Assets</v>
      </c>
      <c r="F48" t="s">
        <v>7</v>
      </c>
      <c r="G48" s="2">
        <f t="shared" si="5"/>
        <v>0</v>
      </c>
      <c r="H48" s="2">
        <f t="shared" si="5"/>
        <v>0</v>
      </c>
      <c r="I48" s="2">
        <f t="shared" si="5"/>
        <v>0</v>
      </c>
      <c r="J48" s="2">
        <f t="shared" si="5"/>
        <v>0</v>
      </c>
      <c r="K48" s="2">
        <f t="shared" si="5"/>
        <v>0</v>
      </c>
      <c r="L48" s="2">
        <f t="shared" si="5"/>
        <v>0</v>
      </c>
      <c r="M48" s="2">
        <f t="shared" si="5"/>
        <v>0</v>
      </c>
      <c r="N48" s="2">
        <f t="shared" si="5"/>
        <v>0</v>
      </c>
      <c r="O48" s="2">
        <f t="shared" si="5"/>
        <v>0</v>
      </c>
      <c r="P48" s="2">
        <f t="shared" si="5"/>
        <v>0</v>
      </c>
      <c r="Q48" s="2">
        <f t="shared" si="5"/>
        <v>0</v>
      </c>
      <c r="R48" s="2">
        <f t="shared" si="5"/>
        <v>0</v>
      </c>
      <c r="S48" s="2">
        <f t="shared" si="5"/>
        <v>0</v>
      </c>
      <c r="T48" s="2">
        <f t="shared" si="5"/>
        <v>0</v>
      </c>
      <c r="U48" s="2">
        <f t="shared" si="5"/>
        <v>0</v>
      </c>
      <c r="V48" s="2">
        <f t="shared" si="5"/>
        <v>0</v>
      </c>
      <c r="W48" s="2">
        <f t="shared" si="5"/>
        <v>0</v>
      </c>
      <c r="X48" s="2">
        <f t="shared" si="5"/>
        <v>0</v>
      </c>
      <c r="Y48" s="2">
        <f t="shared" si="5"/>
        <v>0</v>
      </c>
      <c r="Z48" s="2">
        <f t="shared" si="5"/>
        <v>0</v>
      </c>
      <c r="AA48" s="2">
        <f t="shared" si="5"/>
        <v>0</v>
      </c>
    </row>
    <row r="49" spans="1:27" x14ac:dyDescent="0.25">
      <c r="G49" s="2"/>
      <c r="H49" s="2"/>
      <c r="I49" s="2"/>
      <c r="J49" s="2"/>
      <c r="K49" s="2"/>
      <c r="L49" s="2"/>
      <c r="M49" s="2"/>
      <c r="N49" s="2"/>
      <c r="O49" s="2"/>
      <c r="P49" s="2"/>
      <c r="Q49" s="2"/>
    </row>
    <row r="50" spans="1:27" x14ac:dyDescent="0.25">
      <c r="D50" t="s">
        <v>135</v>
      </c>
      <c r="F50" t="s">
        <v>7</v>
      </c>
      <c r="G50" s="2">
        <f>SUM($G$45:G48)</f>
        <v>0</v>
      </c>
      <c r="H50" s="2">
        <f>SUM($G$45:H48)</f>
        <v>27783.962499999994</v>
      </c>
      <c r="I50" s="2">
        <f>SUM($G$45:I48)</f>
        <v>56060.174624999985</v>
      </c>
      <c r="J50" s="2">
        <f>SUM($G$45:J48)</f>
        <v>85372.550300603107</v>
      </c>
      <c r="K50" s="2">
        <f>SUM($G$45:K48)</f>
        <v>114230.78205251414</v>
      </c>
      <c r="L50" s="2">
        <f>SUM($G$45:L48)</f>
        <v>142554.32829635619</v>
      </c>
      <c r="M50" s="2">
        <f>SUM($G$45:M48)</f>
        <v>170357.56589891677</v>
      </c>
      <c r="N50" s="2">
        <f>SUM($G$45:N48)</f>
        <v>197606.15121336852</v>
      </c>
      <c r="O50" s="2">
        <f>SUM($G$45:O48)</f>
        <v>224290.35937590801</v>
      </c>
      <c r="P50" s="2">
        <f>SUM($G$45:P48)</f>
        <v>253117.38953235568</v>
      </c>
      <c r="Q50" s="2">
        <f>SUM($G$45:Q48)</f>
        <v>284273.18481389381</v>
      </c>
      <c r="R50" s="2">
        <f>SUM($G$45:R48)</f>
        <v>317952.81493792299</v>
      </c>
      <c r="S50" s="2">
        <f>SUM($G$45:S48)</f>
        <v>354388.89596560516</v>
      </c>
      <c r="T50" s="2">
        <f>SUM($G$45:T48)</f>
        <v>393796.98783982493</v>
      </c>
      <c r="U50" s="2">
        <f>SUM($G$45:U48)</f>
        <v>433769.28894796176</v>
      </c>
      <c r="V50" s="2">
        <f>SUM($G$45:V48)</f>
        <v>474282.2403015407</v>
      </c>
      <c r="W50" s="2">
        <f>SUM($G$45:W48)</f>
        <v>474282.2403015407</v>
      </c>
      <c r="X50" s="2">
        <f>SUM($G$45:X48)</f>
        <v>474282.2403015407</v>
      </c>
      <c r="Y50" s="2">
        <f>SUM($G$45:Y48)</f>
        <v>474282.2403015407</v>
      </c>
      <c r="Z50" s="2">
        <f>SUM($G$45:Z48)</f>
        <v>474282.2403015407</v>
      </c>
      <c r="AA50" s="2">
        <f>SUM($G$45:AA48)</f>
        <v>474282.2403015407</v>
      </c>
    </row>
    <row r="51" spans="1:27" x14ac:dyDescent="0.25">
      <c r="G51" s="2"/>
      <c r="H51" s="2"/>
      <c r="I51" s="2"/>
      <c r="J51" s="2"/>
      <c r="K51" s="2"/>
      <c r="L51" s="2"/>
      <c r="M51" s="2"/>
      <c r="N51" s="2"/>
      <c r="O51" s="2"/>
      <c r="P51" s="2"/>
      <c r="Q51" s="2"/>
      <c r="R51" s="2"/>
      <c r="S51" s="2"/>
      <c r="T51" s="2"/>
      <c r="U51" s="2"/>
      <c r="V51" s="2"/>
      <c r="W51" s="2"/>
      <c r="X51" s="2"/>
      <c r="Y51" s="2"/>
      <c r="Z51" s="2"/>
      <c r="AA51" s="2"/>
    </row>
    <row r="52" spans="1:27" x14ac:dyDescent="0.25">
      <c r="A52" s="14">
        <f>'Notes &amp; Assumptions'!A25</f>
        <v>12</v>
      </c>
      <c r="C52" s="1" t="s">
        <v>109</v>
      </c>
      <c r="G52" s="2"/>
      <c r="H52" s="2"/>
      <c r="I52" s="2"/>
      <c r="J52" s="2"/>
      <c r="K52" s="2"/>
      <c r="L52" s="2"/>
      <c r="M52" s="2"/>
      <c r="N52" s="2"/>
      <c r="O52" s="2"/>
      <c r="P52" s="2"/>
      <c r="Q52" s="2"/>
      <c r="R52" s="2"/>
      <c r="S52" s="2"/>
      <c r="T52" s="2"/>
      <c r="U52" s="2"/>
      <c r="V52" s="2"/>
      <c r="W52" s="2"/>
      <c r="X52" s="2"/>
      <c r="Y52" s="2"/>
      <c r="Z52" s="2"/>
      <c r="AA52" s="2"/>
    </row>
    <row r="53" spans="1:27" x14ac:dyDescent="0.25">
      <c r="E53" t="s">
        <v>109</v>
      </c>
      <c r="F53" t="s">
        <v>7</v>
      </c>
      <c r="G53" s="10"/>
      <c r="H53" s="10"/>
      <c r="I53" s="10"/>
      <c r="J53" s="10"/>
      <c r="K53" s="10"/>
      <c r="L53" s="10"/>
      <c r="M53" s="10"/>
      <c r="N53" s="10"/>
      <c r="O53" s="10"/>
      <c r="P53" s="10"/>
      <c r="Q53" s="10"/>
      <c r="R53" s="10"/>
      <c r="S53" s="10"/>
      <c r="T53" s="10"/>
      <c r="U53" s="10"/>
      <c r="V53" s="10"/>
      <c r="W53" s="10"/>
      <c r="X53" s="10"/>
      <c r="Y53" s="10"/>
      <c r="Z53" s="10"/>
      <c r="AA53" s="10"/>
    </row>
    <row r="55" spans="1:27" x14ac:dyDescent="0.25">
      <c r="C55" s="1" t="s">
        <v>25</v>
      </c>
      <c r="D55" s="1"/>
    </row>
    <row r="56" spans="1:27" x14ac:dyDescent="0.25">
      <c r="A56" s="14">
        <f>'Notes &amp; Assumptions'!A26</f>
        <v>13</v>
      </c>
      <c r="D56" t="s">
        <v>2</v>
      </c>
    </row>
    <row r="57" spans="1:27" x14ac:dyDescent="0.25">
      <c r="E57" s="2" t="str">
        <f>E7</f>
        <v>Pipes</v>
      </c>
      <c r="F57" t="s">
        <v>7</v>
      </c>
      <c r="G57" s="10"/>
      <c r="H57" s="10"/>
      <c r="I57" s="10"/>
      <c r="J57" s="10"/>
      <c r="K57" s="10"/>
      <c r="L57" s="10"/>
      <c r="M57" s="10"/>
      <c r="N57" s="10"/>
      <c r="O57" s="10"/>
      <c r="P57" s="10"/>
      <c r="Q57" s="10"/>
      <c r="R57" s="10"/>
      <c r="S57" s="10"/>
      <c r="T57" s="10"/>
      <c r="U57" s="10"/>
      <c r="V57" s="10"/>
      <c r="W57" s="10"/>
      <c r="X57" s="10"/>
      <c r="Y57" s="10"/>
      <c r="Z57" s="10"/>
      <c r="AA57" s="10"/>
    </row>
    <row r="58" spans="1:27" x14ac:dyDescent="0.25">
      <c r="E58" s="2" t="str">
        <f>E8</f>
        <v>Pumps</v>
      </c>
      <c r="F58" t="s">
        <v>7</v>
      </c>
      <c r="G58" s="10"/>
      <c r="H58" s="10"/>
      <c r="I58" s="10"/>
      <c r="J58" s="10"/>
      <c r="K58" s="10"/>
      <c r="L58" s="10"/>
      <c r="M58" s="10"/>
      <c r="N58" s="10"/>
      <c r="O58" s="10"/>
      <c r="P58" s="10"/>
      <c r="Q58" s="10"/>
      <c r="R58" s="10"/>
      <c r="S58" s="10"/>
      <c r="T58" s="10"/>
      <c r="U58" s="10"/>
      <c r="V58" s="10"/>
      <c r="W58" s="10"/>
      <c r="X58" s="10"/>
      <c r="Y58" s="10"/>
      <c r="Z58" s="10"/>
      <c r="AA58" s="10"/>
    </row>
    <row r="59" spans="1:27" x14ac:dyDescent="0.25">
      <c r="E59" s="2" t="str">
        <f>E9</f>
        <v>Valves and Meters</v>
      </c>
      <c r="F59" t="s">
        <v>7</v>
      </c>
      <c r="G59" s="10"/>
      <c r="H59" s="10"/>
      <c r="I59" s="10"/>
      <c r="J59" s="10"/>
      <c r="K59" s="10"/>
      <c r="L59" s="10"/>
      <c r="M59" s="10"/>
      <c r="N59" s="10"/>
      <c r="O59" s="10"/>
      <c r="P59" s="10"/>
      <c r="Q59" s="10"/>
      <c r="R59" s="10"/>
      <c r="S59" s="10"/>
      <c r="T59" s="10"/>
      <c r="U59" s="10"/>
      <c r="V59" s="10"/>
      <c r="W59" s="10"/>
      <c r="X59" s="10"/>
      <c r="Y59" s="10"/>
      <c r="Z59" s="10"/>
      <c r="AA59" s="10"/>
    </row>
    <row r="60" spans="1:27" x14ac:dyDescent="0.25">
      <c r="E60" t="s">
        <v>131</v>
      </c>
      <c r="F60" t="s">
        <v>7</v>
      </c>
      <c r="G60" s="10"/>
      <c r="H60" s="10"/>
      <c r="I60" s="10"/>
      <c r="J60" s="10"/>
      <c r="K60" s="10"/>
      <c r="L60" s="10"/>
      <c r="M60" s="10"/>
      <c r="N60" s="10"/>
      <c r="O60" s="10"/>
      <c r="P60" s="10"/>
      <c r="Q60" s="10"/>
      <c r="R60" s="10"/>
      <c r="S60" s="10"/>
      <c r="T60" s="10"/>
      <c r="U60" s="10"/>
      <c r="V60" s="10"/>
      <c r="W60" s="10"/>
      <c r="X60" s="10"/>
      <c r="Y60" s="10"/>
      <c r="Z60" s="10"/>
      <c r="AA60" s="10"/>
    </row>
    <row r="61" spans="1:27" x14ac:dyDescent="0.25">
      <c r="G61" s="2">
        <f>SUM(G57:G60)</f>
        <v>0</v>
      </c>
      <c r="H61" s="2">
        <f t="shared" ref="H61:AA61" si="7">SUM(H57:H60)</f>
        <v>0</v>
      </c>
      <c r="I61" s="2">
        <f t="shared" si="7"/>
        <v>0</v>
      </c>
      <c r="J61" s="2">
        <f t="shared" si="7"/>
        <v>0</v>
      </c>
      <c r="K61" s="2">
        <f t="shared" si="7"/>
        <v>0</v>
      </c>
      <c r="L61" s="2">
        <f t="shared" si="7"/>
        <v>0</v>
      </c>
      <c r="M61" s="2">
        <f t="shared" si="7"/>
        <v>0</v>
      </c>
      <c r="N61" s="2">
        <f t="shared" si="7"/>
        <v>0</v>
      </c>
      <c r="O61" s="2">
        <f t="shared" si="7"/>
        <v>0</v>
      </c>
      <c r="P61" s="2">
        <f t="shared" si="7"/>
        <v>0</v>
      </c>
      <c r="Q61" s="2">
        <f t="shared" si="7"/>
        <v>0</v>
      </c>
      <c r="R61" s="2">
        <f t="shared" si="7"/>
        <v>0</v>
      </c>
      <c r="S61" s="2">
        <f t="shared" si="7"/>
        <v>0</v>
      </c>
      <c r="T61" s="2">
        <f t="shared" si="7"/>
        <v>0</v>
      </c>
      <c r="U61" s="2">
        <f t="shared" si="7"/>
        <v>0</v>
      </c>
      <c r="V61" s="2">
        <f t="shared" si="7"/>
        <v>0</v>
      </c>
      <c r="W61" s="2">
        <f t="shared" si="7"/>
        <v>0</v>
      </c>
      <c r="X61" s="2">
        <f t="shared" si="7"/>
        <v>0</v>
      </c>
      <c r="Y61" s="2">
        <f t="shared" si="7"/>
        <v>0</v>
      </c>
      <c r="Z61" s="2">
        <f t="shared" si="7"/>
        <v>0</v>
      </c>
      <c r="AA61" s="2">
        <f t="shared" si="7"/>
        <v>0</v>
      </c>
    </row>
    <row r="63" spans="1:27" x14ac:dyDescent="0.25">
      <c r="D63" t="s">
        <v>136</v>
      </c>
      <c r="G63" s="2"/>
      <c r="H63" s="2"/>
      <c r="I63" s="2"/>
      <c r="J63" s="2"/>
      <c r="K63" s="2"/>
      <c r="L63" s="2"/>
      <c r="M63" s="2"/>
      <c r="N63" s="2"/>
      <c r="O63" s="2"/>
      <c r="P63" s="2"/>
      <c r="Q63" s="2"/>
    </row>
    <row r="64" spans="1:27" x14ac:dyDescent="0.25">
      <c r="E64" s="2" t="str">
        <f>E57</f>
        <v>Pipes</v>
      </c>
      <c r="F64" t="s">
        <v>7</v>
      </c>
      <c r="G64" s="2">
        <f t="shared" ref="G64:AA66" si="8">G57/$G7+IF((G$2-$G7+1)&gt;0,-INDEX($G57:$AA57,1,(G$2-$G7+1))/$G7,0)</f>
        <v>0</v>
      </c>
      <c r="H64" s="2">
        <f t="shared" si="8"/>
        <v>0</v>
      </c>
      <c r="I64" s="2">
        <f t="shared" si="8"/>
        <v>0</v>
      </c>
      <c r="J64" s="2">
        <f t="shared" si="8"/>
        <v>0</v>
      </c>
      <c r="K64" s="2">
        <f t="shared" si="8"/>
        <v>0</v>
      </c>
      <c r="L64" s="2">
        <f t="shared" si="8"/>
        <v>0</v>
      </c>
      <c r="M64" s="2">
        <f t="shared" si="8"/>
        <v>0</v>
      </c>
      <c r="N64" s="2">
        <f t="shared" si="8"/>
        <v>0</v>
      </c>
      <c r="O64" s="2">
        <f t="shared" si="8"/>
        <v>0</v>
      </c>
      <c r="P64" s="2">
        <f t="shared" si="8"/>
        <v>0</v>
      </c>
      <c r="Q64" s="2">
        <f t="shared" si="8"/>
        <v>0</v>
      </c>
      <c r="R64" s="2">
        <f t="shared" si="8"/>
        <v>0</v>
      </c>
      <c r="S64" s="2">
        <f t="shared" si="8"/>
        <v>0</v>
      </c>
      <c r="T64" s="2">
        <f t="shared" si="8"/>
        <v>0</v>
      </c>
      <c r="U64" s="2">
        <f t="shared" si="8"/>
        <v>0</v>
      </c>
      <c r="V64" s="2">
        <f t="shared" si="8"/>
        <v>0</v>
      </c>
      <c r="W64" s="2">
        <f t="shared" si="8"/>
        <v>0</v>
      </c>
      <c r="X64" s="2">
        <f t="shared" si="8"/>
        <v>0</v>
      </c>
      <c r="Y64" s="2">
        <f t="shared" si="8"/>
        <v>0</v>
      </c>
      <c r="Z64" s="2">
        <f t="shared" si="8"/>
        <v>0</v>
      </c>
      <c r="AA64" s="2">
        <f t="shared" si="8"/>
        <v>0</v>
      </c>
    </row>
    <row r="65" spans="1:27" x14ac:dyDescent="0.25">
      <c r="E65" s="2" t="str">
        <f t="shared" ref="E65:E66" si="9">E58</f>
        <v>Pumps</v>
      </c>
      <c r="F65" t="s">
        <v>7</v>
      </c>
      <c r="G65" s="2">
        <f t="shared" si="8"/>
        <v>0</v>
      </c>
      <c r="H65" s="2">
        <f t="shared" si="8"/>
        <v>0</v>
      </c>
      <c r="I65" s="2">
        <f t="shared" si="8"/>
        <v>0</v>
      </c>
      <c r="J65" s="2">
        <f t="shared" si="8"/>
        <v>0</v>
      </c>
      <c r="K65" s="2">
        <f t="shared" si="8"/>
        <v>0</v>
      </c>
      <c r="L65" s="2">
        <f t="shared" si="8"/>
        <v>0</v>
      </c>
      <c r="M65" s="2">
        <f t="shared" si="8"/>
        <v>0</v>
      </c>
      <c r="N65" s="2">
        <f t="shared" si="8"/>
        <v>0</v>
      </c>
      <c r="O65" s="2">
        <f t="shared" si="8"/>
        <v>0</v>
      </c>
      <c r="P65" s="2">
        <f t="shared" si="8"/>
        <v>0</v>
      </c>
      <c r="Q65" s="2">
        <f t="shared" si="8"/>
        <v>0</v>
      </c>
      <c r="R65" s="2">
        <f t="shared" si="8"/>
        <v>0</v>
      </c>
      <c r="S65" s="2">
        <f t="shared" si="8"/>
        <v>0</v>
      </c>
      <c r="T65" s="2">
        <f t="shared" si="8"/>
        <v>0</v>
      </c>
      <c r="U65" s="2">
        <f t="shared" si="8"/>
        <v>0</v>
      </c>
      <c r="V65" s="2">
        <f t="shared" si="8"/>
        <v>0</v>
      </c>
      <c r="W65" s="2">
        <f t="shared" si="8"/>
        <v>0</v>
      </c>
      <c r="X65" s="2">
        <f t="shared" si="8"/>
        <v>0</v>
      </c>
      <c r="Y65" s="2">
        <f t="shared" si="8"/>
        <v>0</v>
      </c>
      <c r="Z65" s="2">
        <f t="shared" si="8"/>
        <v>0</v>
      </c>
      <c r="AA65" s="2">
        <f t="shared" si="8"/>
        <v>0</v>
      </c>
    </row>
    <row r="66" spans="1:27" x14ac:dyDescent="0.25">
      <c r="E66" s="2" t="str">
        <f t="shared" si="9"/>
        <v>Valves and Meters</v>
      </c>
      <c r="F66" t="s">
        <v>7</v>
      </c>
      <c r="G66" s="2">
        <f t="shared" si="8"/>
        <v>0</v>
      </c>
      <c r="H66" s="2">
        <f t="shared" si="8"/>
        <v>0</v>
      </c>
      <c r="I66" s="2">
        <f t="shared" si="8"/>
        <v>0</v>
      </c>
      <c r="J66" s="2">
        <f t="shared" si="8"/>
        <v>0</v>
      </c>
      <c r="K66" s="2">
        <f t="shared" si="8"/>
        <v>0</v>
      </c>
      <c r="L66" s="2">
        <f t="shared" si="8"/>
        <v>0</v>
      </c>
      <c r="M66" s="2">
        <f t="shared" si="8"/>
        <v>0</v>
      </c>
      <c r="N66" s="2">
        <f t="shared" si="8"/>
        <v>0</v>
      </c>
      <c r="O66" s="2">
        <f t="shared" si="8"/>
        <v>0</v>
      </c>
      <c r="P66" s="2">
        <f t="shared" si="8"/>
        <v>0</v>
      </c>
      <c r="Q66" s="2">
        <f t="shared" si="8"/>
        <v>0</v>
      </c>
      <c r="R66" s="2">
        <f t="shared" si="8"/>
        <v>0</v>
      </c>
      <c r="S66" s="2">
        <f t="shared" si="8"/>
        <v>0</v>
      </c>
      <c r="T66" s="2">
        <f t="shared" si="8"/>
        <v>0</v>
      </c>
      <c r="U66" s="2">
        <f t="shared" si="8"/>
        <v>0</v>
      </c>
      <c r="V66" s="2">
        <f t="shared" si="8"/>
        <v>0</v>
      </c>
      <c r="W66" s="2">
        <f t="shared" si="8"/>
        <v>0</v>
      </c>
      <c r="X66" s="2">
        <f t="shared" si="8"/>
        <v>0</v>
      </c>
      <c r="Y66" s="2">
        <f t="shared" si="8"/>
        <v>0</v>
      </c>
      <c r="Z66" s="2">
        <f t="shared" si="8"/>
        <v>0</v>
      </c>
      <c r="AA66" s="2">
        <f t="shared" si="8"/>
        <v>0</v>
      </c>
    </row>
    <row r="68" spans="1:27" x14ac:dyDescent="0.25">
      <c r="D68" t="s">
        <v>137</v>
      </c>
      <c r="F68" t="s">
        <v>7</v>
      </c>
      <c r="G68" s="2">
        <f>SUM($G$64:G66)</f>
        <v>0</v>
      </c>
      <c r="H68" s="2">
        <f>SUM($G$64:H66)</f>
        <v>0</v>
      </c>
      <c r="I68" s="2">
        <f>SUM($G$64:I66)</f>
        <v>0</v>
      </c>
      <c r="J68" s="2">
        <f>SUM($G$64:J66)</f>
        <v>0</v>
      </c>
      <c r="K68" s="2">
        <f>SUM($G$64:K66)</f>
        <v>0</v>
      </c>
      <c r="L68" s="2">
        <f>SUM($G$64:L66)</f>
        <v>0</v>
      </c>
      <c r="M68" s="2">
        <f>SUM($G$64:M66)</f>
        <v>0</v>
      </c>
      <c r="N68" s="2">
        <f>SUM($G$64:N66)</f>
        <v>0</v>
      </c>
      <c r="O68" s="2">
        <f>SUM($G$64:O66)</f>
        <v>0</v>
      </c>
      <c r="P68" s="2">
        <f>SUM($G$64:P66)</f>
        <v>0</v>
      </c>
      <c r="Q68" s="2">
        <f>SUM($G$64:Q66)</f>
        <v>0</v>
      </c>
      <c r="R68" s="2">
        <f>SUM($G$64:R66)</f>
        <v>0</v>
      </c>
      <c r="S68" s="2">
        <f>SUM($G$64:S66)</f>
        <v>0</v>
      </c>
      <c r="T68" s="2">
        <f>SUM($G$64:T66)</f>
        <v>0</v>
      </c>
      <c r="U68" s="2">
        <f>SUM($G$64:U66)</f>
        <v>0</v>
      </c>
      <c r="V68" s="2">
        <f>SUM($G$64:V66)</f>
        <v>0</v>
      </c>
      <c r="W68" s="2">
        <f>SUM($G$64:W66)</f>
        <v>0</v>
      </c>
      <c r="X68" s="2">
        <f>SUM($G$64:X66)</f>
        <v>0</v>
      </c>
      <c r="Y68" s="2">
        <f>SUM($G$64:Y66)</f>
        <v>0</v>
      </c>
      <c r="Z68" s="2">
        <f>SUM($G$64:Z66)</f>
        <v>0</v>
      </c>
      <c r="AA68" s="2">
        <f>SUM($G$64:AA66)</f>
        <v>0</v>
      </c>
    </row>
    <row r="70" spans="1:27" x14ac:dyDescent="0.25">
      <c r="A70" s="14">
        <f>'Notes &amp; Assumptions'!A27</f>
        <v>14</v>
      </c>
      <c r="D70" t="s">
        <v>6</v>
      </c>
    </row>
    <row r="71" spans="1:27" x14ac:dyDescent="0.25">
      <c r="E71" s="2" t="str">
        <f>E7</f>
        <v>Pipes</v>
      </c>
      <c r="F71" t="s">
        <v>7</v>
      </c>
      <c r="G71" s="10"/>
      <c r="H71" s="10"/>
      <c r="I71" s="10"/>
      <c r="J71" s="10"/>
      <c r="K71" s="10"/>
      <c r="L71" s="10"/>
      <c r="M71" s="10"/>
      <c r="N71" s="10"/>
      <c r="O71" s="10"/>
      <c r="P71" s="10"/>
      <c r="Q71" s="10"/>
      <c r="R71" s="10"/>
      <c r="S71" s="10"/>
      <c r="T71" s="10"/>
      <c r="U71" s="10"/>
      <c r="V71" s="10"/>
      <c r="W71" s="10"/>
      <c r="X71" s="10"/>
      <c r="Y71" s="10"/>
      <c r="Z71" s="10"/>
      <c r="AA71" s="10"/>
    </row>
    <row r="72" spans="1:27" x14ac:dyDescent="0.25">
      <c r="E72" s="2" t="str">
        <f>E8</f>
        <v>Pumps</v>
      </c>
      <c r="F72" t="s">
        <v>7</v>
      </c>
      <c r="G72" s="10"/>
      <c r="H72" s="10"/>
      <c r="I72" s="10"/>
      <c r="J72" s="10"/>
      <c r="K72" s="10"/>
      <c r="L72" s="10"/>
      <c r="M72" s="10"/>
      <c r="N72" s="10"/>
      <c r="O72" s="10"/>
      <c r="P72" s="10"/>
      <c r="Q72" s="10"/>
      <c r="R72" s="10"/>
      <c r="S72" s="10"/>
      <c r="T72" s="10"/>
      <c r="U72" s="10"/>
      <c r="V72" s="10"/>
      <c r="W72" s="10"/>
      <c r="X72" s="10"/>
      <c r="Y72" s="10"/>
      <c r="Z72" s="10"/>
      <c r="AA72" s="10"/>
    </row>
    <row r="73" spans="1:27" x14ac:dyDescent="0.25">
      <c r="E73" s="2" t="str">
        <f>E9</f>
        <v>Valves and Meters</v>
      </c>
      <c r="F73" t="s">
        <v>7</v>
      </c>
      <c r="G73" s="10"/>
      <c r="H73" s="10"/>
      <c r="I73" s="10"/>
      <c r="J73" s="10"/>
      <c r="K73" s="10"/>
      <c r="L73" s="10"/>
      <c r="M73" s="10"/>
      <c r="N73" s="10"/>
      <c r="O73" s="10"/>
      <c r="P73" s="10"/>
      <c r="Q73" s="10"/>
      <c r="R73" s="10"/>
      <c r="S73" s="10"/>
      <c r="T73" s="10"/>
      <c r="U73" s="10"/>
      <c r="V73" s="10"/>
      <c r="W73" s="10"/>
      <c r="X73" s="10"/>
      <c r="Y73" s="10"/>
      <c r="Z73" s="10"/>
      <c r="AA73" s="10"/>
    </row>
    <row r="74" spans="1:27" x14ac:dyDescent="0.25">
      <c r="E74" t="s">
        <v>131</v>
      </c>
      <c r="F74" t="s">
        <v>7</v>
      </c>
      <c r="G74" s="10"/>
      <c r="H74" s="10"/>
      <c r="I74" s="10"/>
      <c r="J74" s="10"/>
      <c r="K74" s="10"/>
      <c r="L74" s="10"/>
      <c r="M74" s="10"/>
      <c r="N74" s="10"/>
      <c r="O74" s="10"/>
      <c r="P74" s="10"/>
      <c r="Q74" s="10"/>
      <c r="R74" s="10"/>
      <c r="S74" s="10"/>
      <c r="T74" s="10"/>
      <c r="U74" s="10"/>
      <c r="V74" s="10"/>
      <c r="W74" s="10"/>
      <c r="X74" s="10"/>
      <c r="Y74" s="10"/>
      <c r="Z74" s="10"/>
      <c r="AA74" s="10"/>
    </row>
    <row r="75" spans="1:27" x14ac:dyDescent="0.25">
      <c r="G75" s="2">
        <f>SUM(G71:G74)</f>
        <v>0</v>
      </c>
      <c r="H75" s="2">
        <f t="shared" ref="H75:AA75" si="10">SUM(H71:H74)</f>
        <v>0</v>
      </c>
      <c r="I75" s="2">
        <f t="shared" si="10"/>
        <v>0</v>
      </c>
      <c r="J75" s="2">
        <f t="shared" si="10"/>
        <v>0</v>
      </c>
      <c r="K75" s="2">
        <f t="shared" si="10"/>
        <v>0</v>
      </c>
      <c r="L75" s="2">
        <f t="shared" si="10"/>
        <v>0</v>
      </c>
      <c r="M75" s="2">
        <f t="shared" si="10"/>
        <v>0</v>
      </c>
      <c r="N75" s="2">
        <f t="shared" si="10"/>
        <v>0</v>
      </c>
      <c r="O75" s="2">
        <f t="shared" si="10"/>
        <v>0</v>
      </c>
      <c r="P75" s="2">
        <f t="shared" si="10"/>
        <v>0</v>
      </c>
      <c r="Q75" s="2">
        <f t="shared" si="10"/>
        <v>0</v>
      </c>
      <c r="R75" s="2">
        <f t="shared" si="10"/>
        <v>0</v>
      </c>
      <c r="S75" s="2">
        <f t="shared" si="10"/>
        <v>0</v>
      </c>
      <c r="T75" s="2">
        <f t="shared" si="10"/>
        <v>0</v>
      </c>
      <c r="U75" s="2">
        <f t="shared" si="10"/>
        <v>0</v>
      </c>
      <c r="V75" s="2">
        <f t="shared" si="10"/>
        <v>0</v>
      </c>
      <c r="W75" s="2">
        <f t="shared" si="10"/>
        <v>0</v>
      </c>
      <c r="X75" s="2">
        <f t="shared" si="10"/>
        <v>0</v>
      </c>
      <c r="Y75" s="2">
        <f t="shared" si="10"/>
        <v>0</v>
      </c>
      <c r="Z75" s="2">
        <f t="shared" si="10"/>
        <v>0</v>
      </c>
      <c r="AA75" s="2">
        <f t="shared" si="10"/>
        <v>0</v>
      </c>
    </row>
    <row r="76" spans="1:27" x14ac:dyDescent="0.25">
      <c r="G76" s="2"/>
      <c r="H76" s="2"/>
      <c r="I76" s="2"/>
      <c r="J76" s="2"/>
      <c r="K76" s="2"/>
      <c r="L76" s="2"/>
      <c r="M76" s="2"/>
      <c r="N76" s="2"/>
      <c r="O76" s="2"/>
      <c r="P76" s="2"/>
      <c r="Q76" s="2"/>
      <c r="R76" s="2"/>
      <c r="S76" s="2"/>
      <c r="T76" s="2"/>
      <c r="U76" s="2"/>
      <c r="V76" s="2"/>
      <c r="W76" s="2"/>
      <c r="X76" s="2"/>
      <c r="Y76" s="2"/>
      <c r="Z76" s="2"/>
      <c r="AA76" s="2"/>
    </row>
    <row r="77" spans="1:27" x14ac:dyDescent="0.25">
      <c r="D77" t="s">
        <v>136</v>
      </c>
      <c r="G77" s="2"/>
      <c r="H77" s="2"/>
      <c r="I77" s="2"/>
      <c r="J77" s="2"/>
      <c r="K77" s="2"/>
      <c r="L77" s="2"/>
      <c r="M77" s="2"/>
      <c r="N77" s="2"/>
      <c r="O77" s="2"/>
      <c r="P77" s="2"/>
      <c r="Q77" s="2"/>
    </row>
    <row r="78" spans="1:27" x14ac:dyDescent="0.25">
      <c r="E78" s="2" t="str">
        <f>E71</f>
        <v>Pipes</v>
      </c>
      <c r="F78" t="s">
        <v>7</v>
      </c>
      <c r="G78" s="2">
        <f t="shared" ref="G78:AA80" si="11">G71/$G7+IF((G$2-$G7+1)&gt;0,-INDEX($G71:$AA71,1,(G$2-$G7+1))/$G7,0)</f>
        <v>0</v>
      </c>
      <c r="H78" s="2">
        <f t="shared" si="11"/>
        <v>0</v>
      </c>
      <c r="I78" s="2">
        <f t="shared" si="11"/>
        <v>0</v>
      </c>
      <c r="J78" s="2">
        <f t="shared" si="11"/>
        <v>0</v>
      </c>
      <c r="K78" s="2">
        <f t="shared" si="11"/>
        <v>0</v>
      </c>
      <c r="L78" s="2">
        <f t="shared" si="11"/>
        <v>0</v>
      </c>
      <c r="M78" s="2">
        <f t="shared" si="11"/>
        <v>0</v>
      </c>
      <c r="N78" s="2">
        <f t="shared" si="11"/>
        <v>0</v>
      </c>
      <c r="O78" s="2">
        <f t="shared" si="11"/>
        <v>0</v>
      </c>
      <c r="P78" s="2">
        <f t="shared" si="11"/>
        <v>0</v>
      </c>
      <c r="Q78" s="2">
        <f t="shared" si="11"/>
        <v>0</v>
      </c>
      <c r="R78" s="2">
        <f t="shared" si="11"/>
        <v>0</v>
      </c>
      <c r="S78" s="2">
        <f t="shared" si="11"/>
        <v>0</v>
      </c>
      <c r="T78" s="2">
        <f t="shared" si="11"/>
        <v>0</v>
      </c>
      <c r="U78" s="2">
        <f t="shared" si="11"/>
        <v>0</v>
      </c>
      <c r="V78" s="2">
        <f t="shared" si="11"/>
        <v>0</v>
      </c>
      <c r="W78" s="2">
        <f t="shared" si="11"/>
        <v>0</v>
      </c>
      <c r="X78" s="2">
        <f t="shared" si="11"/>
        <v>0</v>
      </c>
      <c r="Y78" s="2">
        <f t="shared" si="11"/>
        <v>0</v>
      </c>
      <c r="Z78" s="2">
        <f t="shared" si="11"/>
        <v>0</v>
      </c>
      <c r="AA78" s="2">
        <f t="shared" si="11"/>
        <v>0</v>
      </c>
    </row>
    <row r="79" spans="1:27" x14ac:dyDescent="0.25">
      <c r="E79" s="2" t="str">
        <f t="shared" ref="E79:E80" si="12">E72</f>
        <v>Pumps</v>
      </c>
      <c r="F79" t="s">
        <v>7</v>
      </c>
      <c r="G79" s="2">
        <f t="shared" si="11"/>
        <v>0</v>
      </c>
      <c r="H79" s="2">
        <f t="shared" si="11"/>
        <v>0</v>
      </c>
      <c r="I79" s="2">
        <f t="shared" si="11"/>
        <v>0</v>
      </c>
      <c r="J79" s="2">
        <f t="shared" si="11"/>
        <v>0</v>
      </c>
      <c r="K79" s="2">
        <f t="shared" si="11"/>
        <v>0</v>
      </c>
      <c r="L79" s="2">
        <f t="shared" si="11"/>
        <v>0</v>
      </c>
      <c r="M79" s="2">
        <f t="shared" si="11"/>
        <v>0</v>
      </c>
      <c r="N79" s="2">
        <f t="shared" si="11"/>
        <v>0</v>
      </c>
      <c r="O79" s="2">
        <f t="shared" si="11"/>
        <v>0</v>
      </c>
      <c r="P79" s="2">
        <f t="shared" si="11"/>
        <v>0</v>
      </c>
      <c r="Q79" s="2">
        <f t="shared" si="11"/>
        <v>0</v>
      </c>
      <c r="R79" s="2">
        <f t="shared" si="11"/>
        <v>0</v>
      </c>
      <c r="S79" s="2">
        <f t="shared" si="11"/>
        <v>0</v>
      </c>
      <c r="T79" s="2">
        <f t="shared" si="11"/>
        <v>0</v>
      </c>
      <c r="U79" s="2">
        <f t="shared" si="11"/>
        <v>0</v>
      </c>
      <c r="V79" s="2">
        <f t="shared" si="11"/>
        <v>0</v>
      </c>
      <c r="W79" s="2">
        <f t="shared" si="11"/>
        <v>0</v>
      </c>
      <c r="X79" s="2">
        <f t="shared" si="11"/>
        <v>0</v>
      </c>
      <c r="Y79" s="2">
        <f t="shared" si="11"/>
        <v>0</v>
      </c>
      <c r="Z79" s="2">
        <f t="shared" si="11"/>
        <v>0</v>
      </c>
      <c r="AA79" s="2">
        <f t="shared" si="11"/>
        <v>0</v>
      </c>
    </row>
    <row r="80" spans="1:27" x14ac:dyDescent="0.25">
      <c r="E80" s="2" t="str">
        <f t="shared" si="12"/>
        <v>Valves and Meters</v>
      </c>
      <c r="F80" t="s">
        <v>7</v>
      </c>
      <c r="G80" s="2">
        <f t="shared" si="11"/>
        <v>0</v>
      </c>
      <c r="H80" s="2">
        <f t="shared" si="11"/>
        <v>0</v>
      </c>
      <c r="I80" s="2">
        <f t="shared" si="11"/>
        <v>0</v>
      </c>
      <c r="J80" s="2">
        <f t="shared" si="11"/>
        <v>0</v>
      </c>
      <c r="K80" s="2">
        <f t="shared" si="11"/>
        <v>0</v>
      </c>
      <c r="L80" s="2">
        <f t="shared" si="11"/>
        <v>0</v>
      </c>
      <c r="M80" s="2">
        <f t="shared" si="11"/>
        <v>0</v>
      </c>
      <c r="N80" s="2">
        <f t="shared" si="11"/>
        <v>0</v>
      </c>
      <c r="O80" s="2">
        <f t="shared" si="11"/>
        <v>0</v>
      </c>
      <c r="P80" s="2">
        <f t="shared" si="11"/>
        <v>0</v>
      </c>
      <c r="Q80" s="2">
        <f t="shared" si="11"/>
        <v>0</v>
      </c>
      <c r="R80" s="2">
        <f t="shared" si="11"/>
        <v>0</v>
      </c>
      <c r="S80" s="2">
        <f t="shared" si="11"/>
        <v>0</v>
      </c>
      <c r="T80" s="2">
        <f t="shared" si="11"/>
        <v>0</v>
      </c>
      <c r="U80" s="2">
        <f t="shared" si="11"/>
        <v>0</v>
      </c>
      <c r="V80" s="2">
        <f t="shared" si="11"/>
        <v>0</v>
      </c>
      <c r="W80" s="2">
        <f t="shared" si="11"/>
        <v>0</v>
      </c>
      <c r="X80" s="2">
        <f t="shared" si="11"/>
        <v>0</v>
      </c>
      <c r="Y80" s="2">
        <f t="shared" si="11"/>
        <v>0</v>
      </c>
      <c r="Z80" s="2">
        <f t="shared" si="11"/>
        <v>0</v>
      </c>
      <c r="AA80" s="2">
        <f t="shared" si="11"/>
        <v>0</v>
      </c>
    </row>
    <row r="82" spans="1:27" x14ac:dyDescent="0.25">
      <c r="D82" t="s">
        <v>137</v>
      </c>
      <c r="F82" t="s">
        <v>7</v>
      </c>
      <c r="G82" s="2">
        <f>SUM($G$77:G80)</f>
        <v>0</v>
      </c>
      <c r="H82" s="2">
        <f>SUM($G$77:H80)</f>
        <v>0</v>
      </c>
      <c r="I82" s="2">
        <f>SUM($G$77:I80)</f>
        <v>0</v>
      </c>
      <c r="J82" s="2">
        <f>SUM($G$77:J80)</f>
        <v>0</v>
      </c>
      <c r="K82" s="2">
        <f>SUM($G$77:K80)</f>
        <v>0</v>
      </c>
      <c r="L82" s="2">
        <f>SUM($G$77:L80)</f>
        <v>0</v>
      </c>
      <c r="M82" s="2">
        <f>SUM($G$77:M80)</f>
        <v>0</v>
      </c>
      <c r="N82" s="2">
        <f>SUM($G$77:N80)</f>
        <v>0</v>
      </c>
      <c r="O82" s="2">
        <f>SUM($G$77:O80)</f>
        <v>0</v>
      </c>
      <c r="P82" s="2">
        <f>SUM($G$77:P80)</f>
        <v>0</v>
      </c>
      <c r="Q82" s="2">
        <f>SUM($G$77:Q80)</f>
        <v>0</v>
      </c>
      <c r="R82" s="2">
        <f>SUM($G$77:R80)</f>
        <v>0</v>
      </c>
      <c r="S82" s="2">
        <f>SUM($G$77:S80)</f>
        <v>0</v>
      </c>
      <c r="T82" s="2">
        <f>SUM($G$77:T80)</f>
        <v>0</v>
      </c>
      <c r="U82" s="2">
        <f>SUM($G$77:U80)</f>
        <v>0</v>
      </c>
      <c r="V82" s="2">
        <f>SUM($G$77:V80)</f>
        <v>0</v>
      </c>
      <c r="W82" s="2">
        <f>SUM($G$77:W80)</f>
        <v>0</v>
      </c>
      <c r="X82" s="2">
        <f>SUM($G$77:X80)</f>
        <v>0</v>
      </c>
      <c r="Y82" s="2">
        <f>SUM($G$77:Y80)</f>
        <v>0</v>
      </c>
      <c r="Z82" s="2">
        <f>SUM($G$77:Z80)</f>
        <v>0</v>
      </c>
      <c r="AA82" s="2">
        <f>SUM($G$77:AA80)</f>
        <v>0</v>
      </c>
    </row>
    <row r="83" spans="1:27" x14ac:dyDescent="0.25">
      <c r="G83" s="2"/>
      <c r="H83" s="2"/>
      <c r="I83" s="2"/>
      <c r="J83" s="2"/>
      <c r="K83" s="2"/>
      <c r="L83" s="2"/>
      <c r="M83" s="2"/>
      <c r="N83" s="2"/>
      <c r="O83" s="2"/>
      <c r="P83" s="2"/>
      <c r="Q83" s="2"/>
      <c r="R83" s="2"/>
      <c r="S83" s="2"/>
      <c r="T83" s="2"/>
      <c r="U83" s="2"/>
      <c r="V83" s="2"/>
      <c r="W83" s="2"/>
      <c r="X83" s="2"/>
      <c r="Y83" s="2"/>
      <c r="Z83" s="2"/>
      <c r="AA83" s="2"/>
    </row>
    <row r="84" spans="1:27" x14ac:dyDescent="0.25">
      <c r="D84" t="s">
        <v>138</v>
      </c>
      <c r="F84" t="s">
        <v>7</v>
      </c>
      <c r="G84" s="2">
        <f t="shared" ref="G84:AA84" si="13">G61-G75</f>
        <v>0</v>
      </c>
      <c r="H84" s="2">
        <f t="shared" si="13"/>
        <v>0</v>
      </c>
      <c r="I84" s="2">
        <f t="shared" si="13"/>
        <v>0</v>
      </c>
      <c r="J84" s="2">
        <f t="shared" si="13"/>
        <v>0</v>
      </c>
      <c r="K84" s="2">
        <f t="shared" si="13"/>
        <v>0</v>
      </c>
      <c r="L84" s="2">
        <f t="shared" si="13"/>
        <v>0</v>
      </c>
      <c r="M84" s="2">
        <f t="shared" si="13"/>
        <v>0</v>
      </c>
      <c r="N84" s="2">
        <f t="shared" si="13"/>
        <v>0</v>
      </c>
      <c r="O84" s="2">
        <f t="shared" si="13"/>
        <v>0</v>
      </c>
      <c r="P84" s="2">
        <f t="shared" si="13"/>
        <v>0</v>
      </c>
      <c r="Q84" s="2">
        <f t="shared" si="13"/>
        <v>0</v>
      </c>
      <c r="R84" s="2">
        <f t="shared" si="13"/>
        <v>0</v>
      </c>
      <c r="S84" s="2">
        <f t="shared" si="13"/>
        <v>0</v>
      </c>
      <c r="T84" s="2">
        <f t="shared" si="13"/>
        <v>0</v>
      </c>
      <c r="U84" s="2">
        <f t="shared" si="13"/>
        <v>0</v>
      </c>
      <c r="V84" s="2">
        <f t="shared" si="13"/>
        <v>0</v>
      </c>
      <c r="W84" s="2">
        <f t="shared" si="13"/>
        <v>0</v>
      </c>
      <c r="X84" s="2">
        <f t="shared" si="13"/>
        <v>0</v>
      </c>
      <c r="Y84" s="2">
        <f t="shared" si="13"/>
        <v>0</v>
      </c>
      <c r="Z84" s="2">
        <f t="shared" si="13"/>
        <v>0</v>
      </c>
      <c r="AA84" s="2">
        <f t="shared" si="13"/>
        <v>0</v>
      </c>
    </row>
    <row r="85" spans="1:27" x14ac:dyDescent="0.25">
      <c r="D85" t="s">
        <v>139</v>
      </c>
      <c r="F85" t="s">
        <v>7</v>
      </c>
      <c r="G85" s="2">
        <f t="shared" ref="G85:AA85" si="14">-G68+G82</f>
        <v>0</v>
      </c>
      <c r="H85" s="2">
        <f t="shared" si="14"/>
        <v>0</v>
      </c>
      <c r="I85" s="2">
        <f t="shared" si="14"/>
        <v>0</v>
      </c>
      <c r="J85" s="2">
        <f t="shared" si="14"/>
        <v>0</v>
      </c>
      <c r="K85" s="2">
        <f t="shared" si="14"/>
        <v>0</v>
      </c>
      <c r="L85" s="2">
        <f t="shared" si="14"/>
        <v>0</v>
      </c>
      <c r="M85" s="2">
        <f t="shared" si="14"/>
        <v>0</v>
      </c>
      <c r="N85" s="2">
        <f t="shared" si="14"/>
        <v>0</v>
      </c>
      <c r="O85" s="2">
        <f t="shared" si="14"/>
        <v>0</v>
      </c>
      <c r="P85" s="2">
        <f t="shared" si="14"/>
        <v>0</v>
      </c>
      <c r="Q85" s="2">
        <f t="shared" si="14"/>
        <v>0</v>
      </c>
      <c r="R85" s="2">
        <f t="shared" si="14"/>
        <v>0</v>
      </c>
      <c r="S85" s="2">
        <f t="shared" si="14"/>
        <v>0</v>
      </c>
      <c r="T85" s="2">
        <f t="shared" si="14"/>
        <v>0</v>
      </c>
      <c r="U85" s="2">
        <f t="shared" si="14"/>
        <v>0</v>
      </c>
      <c r="V85" s="2">
        <f t="shared" si="14"/>
        <v>0</v>
      </c>
      <c r="W85" s="2">
        <f t="shared" si="14"/>
        <v>0</v>
      </c>
      <c r="X85" s="2">
        <f t="shared" si="14"/>
        <v>0</v>
      </c>
      <c r="Y85" s="2">
        <f t="shared" si="14"/>
        <v>0</v>
      </c>
      <c r="Z85" s="2">
        <f t="shared" si="14"/>
        <v>0</v>
      </c>
      <c r="AA85" s="2">
        <f t="shared" si="14"/>
        <v>0</v>
      </c>
    </row>
    <row r="87" spans="1:27" x14ac:dyDescent="0.25">
      <c r="C87" s="1" t="str">
        <f>"Incremental "&amp;G4&amp;" Service Revenue"</f>
        <v>Incremental Water Supply Service Revenue</v>
      </c>
      <c r="D87" s="1"/>
    </row>
    <row r="88" spans="1:27" x14ac:dyDescent="0.25">
      <c r="C88" s="1"/>
      <c r="D88" s="1"/>
    </row>
    <row r="89" spans="1:27" x14ac:dyDescent="0.25">
      <c r="C89" s="1"/>
      <c r="D89" t="s">
        <v>59</v>
      </c>
      <c r="G89" t="s">
        <v>326</v>
      </c>
    </row>
    <row r="90" spans="1:27" x14ac:dyDescent="0.25">
      <c r="A90" s="14">
        <f>'Notes &amp; Assumptions'!A28</f>
        <v>15</v>
      </c>
      <c r="C90" s="1"/>
      <c r="D90" s="1"/>
      <c r="E90" t="s">
        <v>87</v>
      </c>
      <c r="F90" t="s">
        <v>3</v>
      </c>
      <c r="H90" s="10">
        <f>'Customer numbers'!P9</f>
        <v>622</v>
      </c>
      <c r="I90" s="10">
        <f>'Customer numbers'!Q9</f>
        <v>620</v>
      </c>
      <c r="J90" s="10">
        <f>'Customer numbers'!R9</f>
        <v>629.5</v>
      </c>
      <c r="K90" s="10">
        <f>'Customer numbers'!S9</f>
        <v>607</v>
      </c>
      <c r="L90" s="10">
        <f>'Customer numbers'!T9</f>
        <v>583.5</v>
      </c>
      <c r="M90" s="10">
        <f>'Customer numbers'!U9</f>
        <v>561</v>
      </c>
      <c r="N90" s="10">
        <f>'Customer numbers'!V9</f>
        <v>538.5</v>
      </c>
      <c r="O90" s="10">
        <f>'Customer numbers'!W9</f>
        <v>516.5</v>
      </c>
      <c r="P90" s="10">
        <f>'Customer numbers'!X9</f>
        <v>546.5</v>
      </c>
      <c r="Q90" s="10">
        <f>'Customer numbers'!Y9</f>
        <v>578.5</v>
      </c>
      <c r="R90" s="10">
        <f>'Customer numbers'!Z9</f>
        <v>612.5</v>
      </c>
      <c r="S90" s="10">
        <f>'Customer numbers'!AA9</f>
        <v>649</v>
      </c>
      <c r="T90" s="10">
        <f>'Customer numbers'!AB9</f>
        <v>687.5</v>
      </c>
      <c r="U90" s="10">
        <f>'Customer numbers'!AC9</f>
        <v>683</v>
      </c>
      <c r="V90" s="10">
        <f>'Customer numbers'!AD9</f>
        <v>678</v>
      </c>
    </row>
    <row r="91" spans="1:27" x14ac:dyDescent="0.25">
      <c r="C91" s="1"/>
      <c r="D91" s="1"/>
      <c r="E91" t="s">
        <v>60</v>
      </c>
      <c r="F91" t="s">
        <v>3</v>
      </c>
      <c r="G91" s="2">
        <f>IF('Key assumptions'!B4="yes",SUM('Customer numbers'!F9:O9),0)</f>
        <v>0</v>
      </c>
      <c r="H91" s="2">
        <f>G91+H90</f>
        <v>622</v>
      </c>
      <c r="I91" s="2">
        <f t="shared" ref="I91:AA91" si="15">H91+I90</f>
        <v>1242</v>
      </c>
      <c r="J91" s="2">
        <f t="shared" si="15"/>
        <v>1871.5</v>
      </c>
      <c r="K91" s="2">
        <f t="shared" si="15"/>
        <v>2478.5</v>
      </c>
      <c r="L91" s="2">
        <f t="shared" si="15"/>
        <v>3062</v>
      </c>
      <c r="M91" s="2">
        <f t="shared" si="15"/>
        <v>3623</v>
      </c>
      <c r="N91" s="2">
        <f t="shared" si="15"/>
        <v>4161.5</v>
      </c>
      <c r="O91" s="2">
        <f t="shared" si="15"/>
        <v>4678</v>
      </c>
      <c r="P91" s="2">
        <f t="shared" si="15"/>
        <v>5224.5</v>
      </c>
      <c r="Q91" s="2">
        <f t="shared" si="15"/>
        <v>5803</v>
      </c>
      <c r="R91" s="2">
        <f t="shared" si="15"/>
        <v>6415.5</v>
      </c>
      <c r="S91" s="2">
        <f t="shared" si="15"/>
        <v>7064.5</v>
      </c>
      <c r="T91" s="2">
        <f t="shared" si="15"/>
        <v>7752</v>
      </c>
      <c r="U91" s="2">
        <f t="shared" si="15"/>
        <v>8435</v>
      </c>
      <c r="V91" s="2">
        <f t="shared" si="15"/>
        <v>9113</v>
      </c>
      <c r="W91" s="2">
        <f t="shared" si="15"/>
        <v>9113</v>
      </c>
      <c r="X91" s="2">
        <f t="shared" si="15"/>
        <v>9113</v>
      </c>
      <c r="Y91" s="2">
        <f t="shared" si="15"/>
        <v>9113</v>
      </c>
      <c r="Z91" s="2">
        <f t="shared" si="15"/>
        <v>9113</v>
      </c>
      <c r="AA91" s="2">
        <f t="shared" si="15"/>
        <v>9113</v>
      </c>
    </row>
    <row r="92" spans="1:27" x14ac:dyDescent="0.25">
      <c r="A92" s="14">
        <f>'Notes &amp; Assumptions'!A29</f>
        <v>16</v>
      </c>
      <c r="C92" s="1"/>
      <c r="D92" s="1"/>
      <c r="E92" t="s">
        <v>61</v>
      </c>
      <c r="F92" t="s">
        <v>3</v>
      </c>
      <c r="G92" s="10">
        <v>1</v>
      </c>
    </row>
    <row r="93" spans="1:27" x14ac:dyDescent="0.25">
      <c r="C93" s="1"/>
      <c r="D93" s="1"/>
      <c r="E93" t="s">
        <v>88</v>
      </c>
      <c r="F93" t="s">
        <v>3</v>
      </c>
      <c r="H93">
        <f>H90*$G92</f>
        <v>622</v>
      </c>
      <c r="I93">
        <f t="shared" ref="I93:AA93" si="16">I90*$G92</f>
        <v>620</v>
      </c>
      <c r="J93">
        <f t="shared" si="16"/>
        <v>629.5</v>
      </c>
      <c r="K93">
        <f t="shared" si="16"/>
        <v>607</v>
      </c>
      <c r="L93">
        <f t="shared" si="16"/>
        <v>583.5</v>
      </c>
      <c r="M93">
        <f t="shared" si="16"/>
        <v>561</v>
      </c>
      <c r="N93">
        <f t="shared" si="16"/>
        <v>538.5</v>
      </c>
      <c r="O93">
        <f t="shared" si="16"/>
        <v>516.5</v>
      </c>
      <c r="P93">
        <f t="shared" si="16"/>
        <v>546.5</v>
      </c>
      <c r="Q93">
        <f t="shared" si="16"/>
        <v>578.5</v>
      </c>
      <c r="R93">
        <f t="shared" si="16"/>
        <v>612.5</v>
      </c>
      <c r="S93">
        <f t="shared" si="16"/>
        <v>649</v>
      </c>
      <c r="T93">
        <f t="shared" si="16"/>
        <v>687.5</v>
      </c>
      <c r="U93">
        <f t="shared" si="16"/>
        <v>683</v>
      </c>
      <c r="V93">
        <f t="shared" si="16"/>
        <v>678</v>
      </c>
      <c r="W93">
        <f t="shared" si="16"/>
        <v>0</v>
      </c>
      <c r="X93">
        <f t="shared" si="16"/>
        <v>0</v>
      </c>
      <c r="Y93">
        <f t="shared" si="16"/>
        <v>0</v>
      </c>
      <c r="Z93">
        <f t="shared" si="16"/>
        <v>0</v>
      </c>
      <c r="AA93">
        <f t="shared" si="16"/>
        <v>0</v>
      </c>
    </row>
    <row r="94" spans="1:27" x14ac:dyDescent="0.25">
      <c r="C94" s="1"/>
      <c r="D94" s="1"/>
      <c r="E94" t="s">
        <v>89</v>
      </c>
      <c r="F94" t="s">
        <v>3</v>
      </c>
      <c r="H94">
        <f>H91*$G92</f>
        <v>622</v>
      </c>
      <c r="I94">
        <f t="shared" ref="I94:AA94" si="17">I91*$G92</f>
        <v>1242</v>
      </c>
      <c r="J94">
        <f t="shared" si="17"/>
        <v>1871.5</v>
      </c>
      <c r="K94">
        <f t="shared" si="17"/>
        <v>2478.5</v>
      </c>
      <c r="L94">
        <f t="shared" si="17"/>
        <v>3062</v>
      </c>
      <c r="M94">
        <f t="shared" si="17"/>
        <v>3623</v>
      </c>
      <c r="N94">
        <f t="shared" si="17"/>
        <v>4161.5</v>
      </c>
      <c r="O94">
        <f t="shared" si="17"/>
        <v>4678</v>
      </c>
      <c r="P94">
        <f t="shared" si="17"/>
        <v>5224.5</v>
      </c>
      <c r="Q94">
        <f t="shared" si="17"/>
        <v>5803</v>
      </c>
      <c r="R94">
        <f t="shared" si="17"/>
        <v>6415.5</v>
      </c>
      <c r="S94">
        <f t="shared" si="17"/>
        <v>7064.5</v>
      </c>
      <c r="T94">
        <f t="shared" si="17"/>
        <v>7752</v>
      </c>
      <c r="U94">
        <f t="shared" si="17"/>
        <v>8435</v>
      </c>
      <c r="V94">
        <f t="shared" si="17"/>
        <v>9113</v>
      </c>
      <c r="W94">
        <f t="shared" si="17"/>
        <v>9113</v>
      </c>
      <c r="X94">
        <f t="shared" si="17"/>
        <v>9113</v>
      </c>
      <c r="Y94">
        <f t="shared" si="17"/>
        <v>9113</v>
      </c>
      <c r="Z94">
        <f t="shared" si="17"/>
        <v>9113</v>
      </c>
      <c r="AA94">
        <f t="shared" si="17"/>
        <v>9113</v>
      </c>
    </row>
    <row r="95" spans="1:27" x14ac:dyDescent="0.25">
      <c r="A95" s="14">
        <f>'Notes &amp; Assumptions'!A30</f>
        <v>17</v>
      </c>
      <c r="C95" s="1"/>
      <c r="D95" s="1"/>
      <c r="E95" t="s">
        <v>62</v>
      </c>
      <c r="F95" t="s">
        <v>43</v>
      </c>
      <c r="H95" s="10">
        <f>'Key assumptions'!$B22</f>
        <v>110</v>
      </c>
      <c r="I95" s="10">
        <f>'Key assumptions'!$B22</f>
        <v>110</v>
      </c>
      <c r="J95" s="10">
        <f>'Key assumptions'!$B22</f>
        <v>110</v>
      </c>
      <c r="K95" s="10">
        <f>'Key assumptions'!$B22</f>
        <v>110</v>
      </c>
      <c r="L95" s="10">
        <f>'Key assumptions'!$B22</f>
        <v>110</v>
      </c>
      <c r="M95" s="10">
        <f>'Key assumptions'!$B22</f>
        <v>110</v>
      </c>
      <c r="N95" s="10">
        <f>'Key assumptions'!$B22</f>
        <v>110</v>
      </c>
      <c r="O95" s="10">
        <f>'Key assumptions'!$B22</f>
        <v>110</v>
      </c>
      <c r="P95" s="10">
        <f>'Key assumptions'!$B22</f>
        <v>110</v>
      </c>
      <c r="Q95" s="10">
        <f>'Key assumptions'!$B22</f>
        <v>110</v>
      </c>
      <c r="R95" s="10">
        <f>'Key assumptions'!$B22</f>
        <v>110</v>
      </c>
      <c r="S95" s="10">
        <f>'Key assumptions'!$B22</f>
        <v>110</v>
      </c>
      <c r="T95" s="10">
        <f>'Key assumptions'!$B22</f>
        <v>110</v>
      </c>
      <c r="U95" s="10">
        <f>'Key assumptions'!$B22</f>
        <v>110</v>
      </c>
      <c r="V95" s="10">
        <f>'Key assumptions'!$B22</f>
        <v>110</v>
      </c>
      <c r="W95" s="10">
        <f>'Key assumptions'!$B22</f>
        <v>110</v>
      </c>
      <c r="X95" s="10">
        <f>'Key assumptions'!$B22</f>
        <v>110</v>
      </c>
      <c r="Y95" s="10">
        <f>'Key assumptions'!$B22</f>
        <v>110</v>
      </c>
      <c r="Z95" s="10">
        <f>'Key assumptions'!$B22</f>
        <v>110</v>
      </c>
      <c r="AA95" s="10">
        <f>'Key assumptions'!$B22</f>
        <v>110</v>
      </c>
    </row>
    <row r="96" spans="1:27" x14ac:dyDescent="0.25">
      <c r="C96" s="1"/>
      <c r="D96" s="1"/>
      <c r="E96" t="s">
        <v>63</v>
      </c>
      <c r="F96" t="s">
        <v>43</v>
      </c>
      <c r="H96" s="10"/>
      <c r="I96" s="10"/>
      <c r="J96" s="10"/>
      <c r="K96" s="10"/>
      <c r="L96" s="10"/>
      <c r="M96" s="10"/>
      <c r="N96" s="10"/>
      <c r="O96" s="10"/>
      <c r="P96" s="10"/>
      <c r="Q96" s="10"/>
      <c r="R96" s="10"/>
      <c r="S96" s="10"/>
      <c r="T96" s="10"/>
      <c r="U96" s="10"/>
      <c r="V96" s="10"/>
      <c r="W96" s="10"/>
      <c r="X96" s="10"/>
      <c r="Y96" s="10"/>
      <c r="Z96" s="10"/>
      <c r="AA96" s="10"/>
    </row>
    <row r="97" spans="1:27" x14ac:dyDescent="0.25">
      <c r="C97" s="1"/>
      <c r="D97" s="1"/>
      <c r="E97" t="s">
        <v>140</v>
      </c>
      <c r="F97" t="s">
        <v>43</v>
      </c>
      <c r="H97" s="10"/>
      <c r="I97" s="10"/>
      <c r="J97" s="10"/>
      <c r="K97" s="10"/>
      <c r="L97" s="10"/>
      <c r="M97" s="10"/>
      <c r="N97" s="10"/>
      <c r="O97" s="10"/>
      <c r="P97" s="10"/>
      <c r="Q97" s="10"/>
      <c r="R97" s="10"/>
      <c r="S97" s="10"/>
      <c r="T97" s="10"/>
      <c r="U97" s="10"/>
      <c r="V97" s="10"/>
      <c r="W97" s="10"/>
      <c r="X97" s="10"/>
      <c r="Y97" s="10"/>
      <c r="Z97" s="10"/>
      <c r="AA97" s="10"/>
    </row>
    <row r="98" spans="1:27" x14ac:dyDescent="0.25">
      <c r="C98" s="1"/>
      <c r="D98" s="1"/>
      <c r="E98" t="s">
        <v>64</v>
      </c>
      <c r="F98" t="s">
        <v>144</v>
      </c>
      <c r="H98" s="2">
        <f>H91*H95</f>
        <v>68420</v>
      </c>
      <c r="I98" s="2">
        <f t="shared" ref="I98:AA98" si="18">I91*I95</f>
        <v>136620</v>
      </c>
      <c r="J98" s="2">
        <f t="shared" si="18"/>
        <v>205865</v>
      </c>
      <c r="K98" s="2">
        <f t="shared" si="18"/>
        <v>272635</v>
      </c>
      <c r="L98" s="2">
        <f t="shared" si="18"/>
        <v>336820</v>
      </c>
      <c r="M98" s="2">
        <f t="shared" si="18"/>
        <v>398530</v>
      </c>
      <c r="N98" s="2">
        <f t="shared" si="18"/>
        <v>457765</v>
      </c>
      <c r="O98" s="2">
        <f t="shared" si="18"/>
        <v>514580</v>
      </c>
      <c r="P98" s="2">
        <f t="shared" si="18"/>
        <v>574695</v>
      </c>
      <c r="Q98" s="2">
        <f t="shared" si="18"/>
        <v>638330</v>
      </c>
      <c r="R98" s="2">
        <f t="shared" si="18"/>
        <v>705705</v>
      </c>
      <c r="S98" s="2">
        <f t="shared" si="18"/>
        <v>777095</v>
      </c>
      <c r="T98" s="2">
        <f t="shared" si="18"/>
        <v>852720</v>
      </c>
      <c r="U98" s="2">
        <f t="shared" si="18"/>
        <v>927850</v>
      </c>
      <c r="V98" s="2">
        <f t="shared" si="18"/>
        <v>1002430</v>
      </c>
      <c r="W98" s="2">
        <f t="shared" si="18"/>
        <v>1002430</v>
      </c>
      <c r="X98" s="2">
        <f t="shared" si="18"/>
        <v>1002430</v>
      </c>
      <c r="Y98" s="2">
        <f t="shared" si="18"/>
        <v>1002430</v>
      </c>
      <c r="Z98" s="2">
        <f t="shared" si="18"/>
        <v>1002430</v>
      </c>
      <c r="AA98" s="2">
        <f t="shared" si="18"/>
        <v>1002430</v>
      </c>
    </row>
    <row r="99" spans="1:27" x14ac:dyDescent="0.25">
      <c r="C99" s="1"/>
      <c r="D99" s="1"/>
      <c r="E99" t="s">
        <v>65</v>
      </c>
      <c r="F99" t="s">
        <v>144</v>
      </c>
      <c r="H99" s="2">
        <f>H91*H96</f>
        <v>0</v>
      </c>
      <c r="I99" s="2">
        <f t="shared" ref="I99:AA99" si="19">I91*I96</f>
        <v>0</v>
      </c>
      <c r="J99" s="2">
        <f t="shared" si="19"/>
        <v>0</v>
      </c>
      <c r="K99" s="2">
        <f t="shared" si="19"/>
        <v>0</v>
      </c>
      <c r="L99" s="2">
        <f t="shared" si="19"/>
        <v>0</v>
      </c>
      <c r="M99" s="2">
        <f t="shared" si="19"/>
        <v>0</v>
      </c>
      <c r="N99" s="2">
        <f t="shared" si="19"/>
        <v>0</v>
      </c>
      <c r="O99" s="2">
        <f t="shared" si="19"/>
        <v>0</v>
      </c>
      <c r="P99" s="2">
        <f t="shared" si="19"/>
        <v>0</v>
      </c>
      <c r="Q99" s="2">
        <f t="shared" si="19"/>
        <v>0</v>
      </c>
      <c r="R99" s="2">
        <f t="shared" si="19"/>
        <v>0</v>
      </c>
      <c r="S99" s="2">
        <f t="shared" si="19"/>
        <v>0</v>
      </c>
      <c r="T99" s="2">
        <f t="shared" si="19"/>
        <v>0</v>
      </c>
      <c r="U99" s="2">
        <f t="shared" si="19"/>
        <v>0</v>
      </c>
      <c r="V99" s="2">
        <f t="shared" si="19"/>
        <v>0</v>
      </c>
      <c r="W99" s="2">
        <f t="shared" si="19"/>
        <v>0</v>
      </c>
      <c r="X99" s="2">
        <f t="shared" si="19"/>
        <v>0</v>
      </c>
      <c r="Y99" s="2">
        <f t="shared" si="19"/>
        <v>0</v>
      </c>
      <c r="Z99" s="2">
        <f t="shared" si="19"/>
        <v>0</v>
      </c>
      <c r="AA99" s="2">
        <f t="shared" si="19"/>
        <v>0</v>
      </c>
    </row>
    <row r="100" spans="1:27" x14ac:dyDescent="0.25">
      <c r="C100" s="1"/>
      <c r="D100" s="1"/>
      <c r="E100" t="s">
        <v>141</v>
      </c>
      <c r="F100" t="s">
        <v>144</v>
      </c>
      <c r="H100" s="2">
        <f>H91*H97</f>
        <v>0</v>
      </c>
      <c r="I100" s="2">
        <f t="shared" ref="I100:AA100" si="20">I91*I97</f>
        <v>0</v>
      </c>
      <c r="J100" s="2">
        <f t="shared" si="20"/>
        <v>0</v>
      </c>
      <c r="K100" s="2">
        <f t="shared" si="20"/>
        <v>0</v>
      </c>
      <c r="L100" s="2">
        <f t="shared" si="20"/>
        <v>0</v>
      </c>
      <c r="M100" s="2">
        <f t="shared" si="20"/>
        <v>0</v>
      </c>
      <c r="N100" s="2">
        <f t="shared" si="20"/>
        <v>0</v>
      </c>
      <c r="O100" s="2">
        <f t="shared" si="20"/>
        <v>0</v>
      </c>
      <c r="P100" s="2">
        <f t="shared" si="20"/>
        <v>0</v>
      </c>
      <c r="Q100" s="2">
        <f t="shared" si="20"/>
        <v>0</v>
      </c>
      <c r="R100" s="2">
        <f t="shared" si="20"/>
        <v>0</v>
      </c>
      <c r="S100" s="2">
        <f t="shared" si="20"/>
        <v>0</v>
      </c>
      <c r="T100" s="2">
        <f t="shared" si="20"/>
        <v>0</v>
      </c>
      <c r="U100" s="2">
        <f t="shared" si="20"/>
        <v>0</v>
      </c>
      <c r="V100" s="2">
        <f t="shared" si="20"/>
        <v>0</v>
      </c>
      <c r="W100" s="2">
        <f t="shared" si="20"/>
        <v>0</v>
      </c>
      <c r="X100" s="2">
        <f t="shared" si="20"/>
        <v>0</v>
      </c>
      <c r="Y100" s="2">
        <f t="shared" si="20"/>
        <v>0</v>
      </c>
      <c r="Z100" s="2">
        <f t="shared" si="20"/>
        <v>0</v>
      </c>
      <c r="AA100" s="2">
        <f t="shared" si="20"/>
        <v>0</v>
      </c>
    </row>
    <row r="101" spans="1:27" x14ac:dyDescent="0.25">
      <c r="A101" s="14">
        <f>'Notes &amp; Assumptions'!A31</f>
        <v>18</v>
      </c>
      <c r="C101" s="1"/>
      <c r="D101" s="1"/>
      <c r="E101" t="s">
        <v>66</v>
      </c>
      <c r="F101" t="s">
        <v>8</v>
      </c>
      <c r="H101" s="11">
        <f>'YVW tariffs'!D25</f>
        <v>-4.24E-2</v>
      </c>
      <c r="I101" s="11">
        <f>'YVW tariffs'!E25</f>
        <v>-2.7400000000000001E-2</v>
      </c>
      <c r="J101" s="11">
        <f>'YVW tariffs'!F25</f>
        <v>0</v>
      </c>
      <c r="K101" s="11">
        <f>'YVW tariffs'!G25</f>
        <v>0</v>
      </c>
      <c r="L101" s="11">
        <v>0</v>
      </c>
      <c r="M101" s="11">
        <v>0</v>
      </c>
      <c r="N101" s="11">
        <v>0</v>
      </c>
      <c r="O101" s="11">
        <v>0</v>
      </c>
      <c r="P101" s="11">
        <v>0</v>
      </c>
      <c r="Q101" s="11">
        <v>0</v>
      </c>
      <c r="R101" s="11">
        <v>0</v>
      </c>
      <c r="S101" s="11">
        <v>0</v>
      </c>
      <c r="T101" s="11">
        <v>0</v>
      </c>
      <c r="U101" s="11">
        <v>0</v>
      </c>
      <c r="V101" s="11">
        <v>0</v>
      </c>
      <c r="W101" s="11">
        <v>0</v>
      </c>
      <c r="X101" s="11">
        <v>0</v>
      </c>
      <c r="Y101" s="11">
        <v>0</v>
      </c>
      <c r="Z101" s="11">
        <v>0</v>
      </c>
      <c r="AA101" s="11">
        <v>0</v>
      </c>
    </row>
    <row r="102" spans="1:27" x14ac:dyDescent="0.25">
      <c r="A102" s="14">
        <f>'Notes &amp; Assumptions'!A32</f>
        <v>19</v>
      </c>
      <c r="C102" s="1"/>
      <c r="D102" s="1"/>
      <c r="E102" t="s">
        <v>40</v>
      </c>
      <c r="F102" t="s">
        <v>41</v>
      </c>
      <c r="G102" s="20">
        <f>'YVW tariffs'!E4</f>
        <v>79.83198999999999</v>
      </c>
      <c r="H102" s="2">
        <f>G102*(1+$G$14)*(1+H101)</f>
        <v>78.05250301010399</v>
      </c>
      <c r="I102" s="2">
        <f t="shared" ref="I102:AA102" si="21">H102*(1+$G$14)*(1+I101)</f>
        <v>77.508055580607305</v>
      </c>
      <c r="J102" s="2">
        <f t="shared" si="21"/>
        <v>79.135724747800055</v>
      </c>
      <c r="K102" s="2">
        <f t="shared" si="21"/>
        <v>80.797574967503849</v>
      </c>
      <c r="L102" s="2">
        <f t="shared" si="21"/>
        <v>82.494324041821429</v>
      </c>
      <c r="M102" s="2">
        <f t="shared" si="21"/>
        <v>84.226704846699675</v>
      </c>
      <c r="N102" s="2">
        <f t="shared" si="21"/>
        <v>85.995465648480362</v>
      </c>
      <c r="O102" s="2">
        <f t="shared" si="21"/>
        <v>87.801370427098448</v>
      </c>
      <c r="P102" s="2">
        <f t="shared" si="21"/>
        <v>89.645199206067502</v>
      </c>
      <c r="Q102" s="2">
        <f t="shared" si="21"/>
        <v>91.527748389394915</v>
      </c>
      <c r="R102" s="2">
        <f t="shared" si="21"/>
        <v>93.449831105572201</v>
      </c>
      <c r="S102" s="2">
        <f t="shared" si="21"/>
        <v>95.412277558789214</v>
      </c>
      <c r="T102" s="2">
        <f t="shared" si="21"/>
        <v>97.415935387523774</v>
      </c>
      <c r="U102" s="2">
        <f t="shared" si="21"/>
        <v>99.461670030661764</v>
      </c>
      <c r="V102" s="2">
        <f t="shared" si="21"/>
        <v>101.55036510130566</v>
      </c>
      <c r="W102" s="2">
        <f t="shared" si="21"/>
        <v>103.68292276843307</v>
      </c>
      <c r="X102" s="2">
        <f t="shared" si="21"/>
        <v>105.86026414657016</v>
      </c>
      <c r="Y102" s="2">
        <f t="shared" si="21"/>
        <v>108.08332969364812</v>
      </c>
      <c r="Z102" s="2">
        <f t="shared" si="21"/>
        <v>110.35307961721473</v>
      </c>
      <c r="AA102" s="2">
        <f t="shared" si="21"/>
        <v>112.67049428917623</v>
      </c>
    </row>
    <row r="103" spans="1:27" x14ac:dyDescent="0.25">
      <c r="C103" s="1"/>
      <c r="D103" s="1"/>
      <c r="E103" t="s">
        <v>67</v>
      </c>
      <c r="F103" t="s">
        <v>143</v>
      </c>
      <c r="G103" s="20">
        <f>'YVW tariffs'!E5</f>
        <v>2.5268728999999999</v>
      </c>
      <c r="H103" s="21">
        <f>G103*(1+$G$14)*(1+'YVW tariffs'!D26)</f>
        <v>3.2883879945051393</v>
      </c>
      <c r="I103" s="21">
        <f t="shared" ref="I103:AA103" si="22">H103*(1+$G$14)*(1+I101)</f>
        <v>3.2654501728882677</v>
      </c>
      <c r="J103" s="21">
        <f t="shared" si="22"/>
        <v>3.3340246265189211</v>
      </c>
      <c r="K103" s="21">
        <f t="shared" si="22"/>
        <v>3.4040391436758179</v>
      </c>
      <c r="L103" s="21">
        <f t="shared" si="22"/>
        <v>3.4755239656930099</v>
      </c>
      <c r="M103" s="21">
        <f t="shared" si="22"/>
        <v>3.5485099689725628</v>
      </c>
      <c r="N103" s="21">
        <f t="shared" si="22"/>
        <v>3.6230286783209862</v>
      </c>
      <c r="O103" s="21">
        <f t="shared" si="22"/>
        <v>3.6991122805657266</v>
      </c>
      <c r="P103" s="21">
        <f t="shared" si="22"/>
        <v>3.7767936384576064</v>
      </c>
      <c r="Q103" s="21">
        <f t="shared" si="22"/>
        <v>3.8561063048652158</v>
      </c>
      <c r="R103" s="21">
        <f t="shared" si="22"/>
        <v>3.9370845372673848</v>
      </c>
      <c r="S103" s="21">
        <f t="shared" si="22"/>
        <v>4.0197633125499994</v>
      </c>
      <c r="T103" s="21">
        <f t="shared" si="22"/>
        <v>4.1041783421135491</v>
      </c>
      <c r="U103" s="21">
        <f t="shared" si="22"/>
        <v>4.1903660872979334</v>
      </c>
      <c r="V103" s="21">
        <f t="shared" si="22"/>
        <v>4.2783637751311892</v>
      </c>
      <c r="W103" s="21">
        <f t="shared" si="22"/>
        <v>4.3682094144089438</v>
      </c>
      <c r="X103" s="21">
        <f t="shared" si="22"/>
        <v>4.4599418121115315</v>
      </c>
      <c r="Y103" s="21">
        <f t="shared" si="22"/>
        <v>4.5536005901658729</v>
      </c>
      <c r="Z103" s="21">
        <f t="shared" si="22"/>
        <v>4.6492262025593556</v>
      </c>
      <c r="AA103" s="21">
        <f t="shared" si="22"/>
        <v>4.7468599528131019</v>
      </c>
    </row>
    <row r="104" spans="1:27" x14ac:dyDescent="0.25">
      <c r="C104" s="1"/>
      <c r="D104" s="1"/>
      <c r="E104" t="s">
        <v>68</v>
      </c>
      <c r="F104" t="s">
        <v>143</v>
      </c>
      <c r="G104" s="20">
        <f>'YVW tariffs'!E6</f>
        <v>3.2042042999999998</v>
      </c>
      <c r="H104" s="21">
        <f>G104*(1+$G$14)*(1+'YVW tariffs'!D27)</f>
        <v>4.3039756517986785</v>
      </c>
      <c r="I104" s="21">
        <f t="shared" ref="I104:AA104" si="23">H104*(1+$G$14)*(1+I101)</f>
        <v>4.2739537000371222</v>
      </c>
      <c r="J104" s="21">
        <f t="shared" si="23"/>
        <v>4.3637067277379016</v>
      </c>
      <c r="K104" s="21">
        <f t="shared" si="23"/>
        <v>4.4553445690203972</v>
      </c>
      <c r="L104" s="21">
        <f t="shared" si="23"/>
        <v>4.5489068049698256</v>
      </c>
      <c r="M104" s="21">
        <f t="shared" si="23"/>
        <v>4.6444338478741916</v>
      </c>
      <c r="N104" s="21">
        <f t="shared" si="23"/>
        <v>4.7419669586795488</v>
      </c>
      <c r="O104" s="21">
        <f t="shared" si="23"/>
        <v>4.8415482648118191</v>
      </c>
      <c r="P104" s="21">
        <f t="shared" si="23"/>
        <v>4.9432207783728668</v>
      </c>
      <c r="Q104" s="21">
        <f t="shared" si="23"/>
        <v>5.0470284147186968</v>
      </c>
      <c r="R104" s="21">
        <f t="shared" si="23"/>
        <v>5.1530160114277885</v>
      </c>
      <c r="S104" s="21">
        <f t="shared" si="23"/>
        <v>5.2612293476677721</v>
      </c>
      <c r="T104" s="21">
        <f t="shared" si="23"/>
        <v>5.371715163968795</v>
      </c>
      <c r="U104" s="21">
        <f t="shared" si="23"/>
        <v>5.4845211824121396</v>
      </c>
      <c r="V104" s="21">
        <f t="shared" si="23"/>
        <v>5.5996961272427939</v>
      </c>
      <c r="W104" s="21">
        <f t="shared" si="23"/>
        <v>5.7172897459148917</v>
      </c>
      <c r="X104" s="21">
        <f t="shared" si="23"/>
        <v>5.8373528305791043</v>
      </c>
      <c r="Y104" s="21">
        <f t="shared" si="23"/>
        <v>5.9599372400212651</v>
      </c>
      <c r="Z104" s="21">
        <f t="shared" si="23"/>
        <v>6.0850959220617113</v>
      </c>
      <c r="AA104" s="21">
        <f t="shared" si="23"/>
        <v>6.2128829364250064</v>
      </c>
    </row>
    <row r="105" spans="1:27" x14ac:dyDescent="0.25">
      <c r="C105" s="1"/>
      <c r="D105" s="1"/>
      <c r="E105" t="s">
        <v>142</v>
      </c>
      <c r="F105" t="s">
        <v>143</v>
      </c>
      <c r="G105" s="20">
        <f>'YVW tariffs'!E7</f>
        <v>4.7208997999999998</v>
      </c>
      <c r="H105" s="21">
        <f>G105*(1+$G$14)*(1+'YVW tariffs'!D28)</f>
        <v>4.9771719572830788</v>
      </c>
      <c r="I105" s="21">
        <f t="shared" ref="I105:AA105" si="24">H105*(1+$G$14)*(1+I101)</f>
        <v>4.9424541920122458</v>
      </c>
      <c r="J105" s="21">
        <f t="shared" si="24"/>
        <v>5.0462457300445021</v>
      </c>
      <c r="K105" s="21">
        <f t="shared" si="24"/>
        <v>5.1522168903754357</v>
      </c>
      <c r="L105" s="21">
        <f t="shared" si="24"/>
        <v>5.2604134450733193</v>
      </c>
      <c r="M105" s="21">
        <f t="shared" si="24"/>
        <v>5.3708821274198586</v>
      </c>
      <c r="N105" s="21">
        <f t="shared" si="24"/>
        <v>5.4836706520956753</v>
      </c>
      <c r="O105" s="21">
        <f t="shared" si="24"/>
        <v>5.5988277357896843</v>
      </c>
      <c r="P105" s="21">
        <f t="shared" si="24"/>
        <v>5.7164031182412671</v>
      </c>
      <c r="Q105" s="21">
        <f t="shared" si="24"/>
        <v>5.8364475837243335</v>
      </c>
      <c r="R105" s="21">
        <f t="shared" si="24"/>
        <v>5.9590129829825438</v>
      </c>
      <c r="S105" s="21">
        <f t="shared" si="24"/>
        <v>6.0841522556251766</v>
      </c>
      <c r="T105" s="21">
        <f t="shared" si="24"/>
        <v>6.2119194529933051</v>
      </c>
      <c r="U105" s="21">
        <f t="shared" si="24"/>
        <v>6.3423697615061636</v>
      </c>
      <c r="V105" s="21">
        <f t="shared" si="24"/>
        <v>6.4755595264977925</v>
      </c>
      <c r="W105" s="21">
        <f t="shared" si="24"/>
        <v>6.6115462765542459</v>
      </c>
      <c r="X105" s="21">
        <f t="shared" si="24"/>
        <v>6.7503887483618845</v>
      </c>
      <c r="Y105" s="21">
        <f t="shared" si="24"/>
        <v>6.8921469120774832</v>
      </c>
      <c r="Z105" s="21">
        <f t="shared" si="24"/>
        <v>7.0368819972311094</v>
      </c>
      <c r="AA105" s="21">
        <f t="shared" si="24"/>
        <v>7.1846565191729619</v>
      </c>
    </row>
    <row r="106" spans="1:27" x14ac:dyDescent="0.25">
      <c r="C106" s="1"/>
      <c r="D106" s="1"/>
    </row>
    <row r="107" spans="1:27" x14ac:dyDescent="0.25">
      <c r="C107" s="1"/>
      <c r="D107" s="1"/>
      <c r="E107" t="s">
        <v>69</v>
      </c>
      <c r="F107" t="s">
        <v>58</v>
      </c>
      <c r="H107" s="2">
        <f>SUM(H98:H100)/1000</f>
        <v>68.42</v>
      </c>
      <c r="I107" s="2">
        <f t="shared" ref="I107:AA107" si="25">SUM(I98:I100)/1000</f>
        <v>136.62</v>
      </c>
      <c r="J107" s="2">
        <f t="shared" si="25"/>
        <v>205.86500000000001</v>
      </c>
      <c r="K107" s="2">
        <f t="shared" si="25"/>
        <v>272.63499999999999</v>
      </c>
      <c r="L107" s="2">
        <f t="shared" si="25"/>
        <v>336.82</v>
      </c>
      <c r="M107" s="2">
        <f t="shared" si="25"/>
        <v>398.53</v>
      </c>
      <c r="N107" s="2">
        <f t="shared" si="25"/>
        <v>457.76499999999999</v>
      </c>
      <c r="O107" s="2">
        <f t="shared" si="25"/>
        <v>514.58000000000004</v>
      </c>
      <c r="P107" s="2">
        <f t="shared" si="25"/>
        <v>574.69500000000005</v>
      </c>
      <c r="Q107" s="2">
        <f t="shared" si="25"/>
        <v>638.33000000000004</v>
      </c>
      <c r="R107" s="2">
        <f t="shared" si="25"/>
        <v>705.70500000000004</v>
      </c>
      <c r="S107" s="2">
        <f t="shared" si="25"/>
        <v>777.09500000000003</v>
      </c>
      <c r="T107" s="2">
        <f t="shared" si="25"/>
        <v>852.72</v>
      </c>
      <c r="U107" s="2">
        <f t="shared" si="25"/>
        <v>927.85</v>
      </c>
      <c r="V107" s="2">
        <f t="shared" si="25"/>
        <v>1002.43</v>
      </c>
      <c r="W107" s="2">
        <f t="shared" si="25"/>
        <v>1002.43</v>
      </c>
      <c r="X107" s="2">
        <f t="shared" si="25"/>
        <v>1002.43</v>
      </c>
      <c r="Y107" s="2">
        <f t="shared" si="25"/>
        <v>1002.43</v>
      </c>
      <c r="Z107" s="2">
        <f t="shared" si="25"/>
        <v>1002.43</v>
      </c>
      <c r="AA107" s="2">
        <f t="shared" si="25"/>
        <v>1002.43</v>
      </c>
    </row>
    <row r="108" spans="1:27" x14ac:dyDescent="0.25">
      <c r="C108" s="1"/>
      <c r="D108" s="1"/>
      <c r="E108" t="s">
        <v>70</v>
      </c>
      <c r="F108" t="s">
        <v>7</v>
      </c>
      <c r="H108" s="2">
        <f>H91*H102+H98*H103+H99*H104+H100*H105</f>
        <v>273540.16345632629</v>
      </c>
      <c r="I108" s="2">
        <f t="shared" ref="I108:AA108" si="26">I91*I102+I98*I103+I99*I104+I100*I105</f>
        <v>542390.80765110941</v>
      </c>
      <c r="J108" s="2">
        <f t="shared" si="26"/>
        <v>834461.48860382545</v>
      </c>
      <c r="K108" s="2">
        <f t="shared" si="26"/>
        <v>1128317.0014930149</v>
      </c>
      <c r="L108" s="2">
        <f t="shared" si="26"/>
        <v>1423223.6023407767</v>
      </c>
      <c r="M108" s="2">
        <f t="shared" si="26"/>
        <v>1719341.0295942284</v>
      </c>
      <c r="N108" s="2">
        <f t="shared" si="26"/>
        <v>2016365.8532277574</v>
      </c>
      <c r="O108" s="2">
        <f t="shared" si="26"/>
        <v>2314224.0081914784</v>
      </c>
      <c r="P108" s="2">
        <f t="shared" si="26"/>
        <v>2638855.7633054936</v>
      </c>
      <c r="Q108" s="2">
        <f t="shared" si="26"/>
        <v>2992603.861488272</v>
      </c>
      <c r="R108" s="2">
        <f t="shared" si="26"/>
        <v>3377947.6348300781</v>
      </c>
      <c r="S108" s="2">
        <f t="shared" si="26"/>
        <v>3797778.0061801081</v>
      </c>
      <c r="T108" s="2">
        <f t="shared" si="26"/>
        <v>4254883.2870111503</v>
      </c>
      <c r="U108" s="2">
        <f t="shared" si="26"/>
        <v>4726990.3608080195</v>
      </c>
      <c r="V108" s="2">
        <f t="shared" si="26"/>
        <v>5214188.6762729567</v>
      </c>
      <c r="W108" s="2">
        <f t="shared" si="26"/>
        <v>5323686.6384746879</v>
      </c>
      <c r="X108" s="2">
        <f t="shared" si="26"/>
        <v>5435484.0578826563</v>
      </c>
      <c r="Y108" s="2">
        <f t="shared" si="26"/>
        <v>5549629.2230981914</v>
      </c>
      <c r="Z108" s="2">
        <f t="shared" si="26"/>
        <v>5666171.4367832523</v>
      </c>
      <c r="AA108" s="2">
        <f t="shared" si="26"/>
        <v>5785161.0369557012</v>
      </c>
    </row>
    <row r="109" spans="1:27" x14ac:dyDescent="0.25">
      <c r="C109" s="1"/>
      <c r="D109" s="1"/>
    </row>
    <row r="110" spans="1:27" x14ac:dyDescent="0.25">
      <c r="C110" s="1"/>
      <c r="D110" t="s">
        <v>71</v>
      </c>
    </row>
    <row r="111" spans="1:27" x14ac:dyDescent="0.25">
      <c r="A111" s="14">
        <f>'Notes &amp; Assumptions'!A33</f>
        <v>20</v>
      </c>
      <c r="C111" s="1"/>
      <c r="D111" s="1"/>
      <c r="E111" t="s">
        <v>87</v>
      </c>
      <c r="F111" t="s">
        <v>3</v>
      </c>
      <c r="H111" s="10">
        <f>'[17]Lot Split'!F67</f>
        <v>0</v>
      </c>
      <c r="I111" s="10">
        <f>'[17]Lot Split'!G67</f>
        <v>0</v>
      </c>
      <c r="J111" s="10">
        <f>'[17]Lot Split'!H67</f>
        <v>0</v>
      </c>
      <c r="K111" s="10">
        <f>'[17]Lot Split'!I67</f>
        <v>0</v>
      </c>
      <c r="L111" s="10">
        <f>'[17]Lot Split'!J67</f>
        <v>0</v>
      </c>
      <c r="M111" s="10">
        <f>'[17]Lot Split'!K67</f>
        <v>0</v>
      </c>
      <c r="N111" s="10">
        <f>'[17]Lot Split'!L67</f>
        <v>0</v>
      </c>
      <c r="O111" s="10">
        <f>'[17]Lot Split'!M67</f>
        <v>0</v>
      </c>
      <c r="P111" s="10">
        <f>'[17]Lot Split'!N67</f>
        <v>0</v>
      </c>
      <c r="Q111" s="10">
        <f>'[17]Lot Split'!O67</f>
        <v>0</v>
      </c>
      <c r="R111" s="10">
        <f>'[17]Lot Split'!P67</f>
        <v>0</v>
      </c>
      <c r="S111" s="10">
        <f>'[17]Lot Split'!Q67</f>
        <v>0</v>
      </c>
      <c r="T111" s="10">
        <f>'[17]Lot Split'!R67</f>
        <v>0</v>
      </c>
      <c r="U111" s="10">
        <f>'[17]Lot Split'!S67</f>
        <v>0</v>
      </c>
      <c r="V111" s="10">
        <f>'[17]Lot Split'!T67</f>
        <v>0</v>
      </c>
    </row>
    <row r="112" spans="1:27" x14ac:dyDescent="0.25">
      <c r="C112" s="1"/>
      <c r="D112" s="1"/>
      <c r="E112" t="s">
        <v>60</v>
      </c>
      <c r="F112" t="s">
        <v>3</v>
      </c>
      <c r="H112" s="2">
        <f>G112+H111</f>
        <v>0</v>
      </c>
      <c r="I112" s="2">
        <f t="shared" ref="I112:AA112" si="27">H112+I111</f>
        <v>0</v>
      </c>
      <c r="J112" s="2">
        <f t="shared" si="27"/>
        <v>0</v>
      </c>
      <c r="K112" s="2">
        <f t="shared" si="27"/>
        <v>0</v>
      </c>
      <c r="L112" s="2">
        <f t="shared" si="27"/>
        <v>0</v>
      </c>
      <c r="M112" s="2">
        <f t="shared" si="27"/>
        <v>0</v>
      </c>
      <c r="N112" s="2">
        <f t="shared" si="27"/>
        <v>0</v>
      </c>
      <c r="O112" s="2">
        <f t="shared" si="27"/>
        <v>0</v>
      </c>
      <c r="P112" s="2">
        <f t="shared" si="27"/>
        <v>0</v>
      </c>
      <c r="Q112" s="2">
        <f t="shared" si="27"/>
        <v>0</v>
      </c>
      <c r="R112" s="2">
        <f t="shared" si="27"/>
        <v>0</v>
      </c>
      <c r="S112" s="2">
        <f t="shared" si="27"/>
        <v>0</v>
      </c>
      <c r="T112" s="2">
        <f t="shared" si="27"/>
        <v>0</v>
      </c>
      <c r="U112" s="2">
        <f t="shared" si="27"/>
        <v>0</v>
      </c>
      <c r="V112" s="2">
        <f t="shared" si="27"/>
        <v>0</v>
      </c>
      <c r="W112" s="2">
        <f t="shared" si="27"/>
        <v>0</v>
      </c>
      <c r="X112" s="2">
        <f t="shared" si="27"/>
        <v>0</v>
      </c>
      <c r="Y112" s="2">
        <f t="shared" si="27"/>
        <v>0</v>
      </c>
      <c r="Z112" s="2">
        <f t="shared" si="27"/>
        <v>0</v>
      </c>
      <c r="AA112" s="2">
        <f t="shared" si="27"/>
        <v>0</v>
      </c>
    </row>
    <row r="113" spans="1:27" x14ac:dyDescent="0.25">
      <c r="A113" s="14">
        <f>'Notes &amp; Assumptions'!A34</f>
        <v>21</v>
      </c>
      <c r="C113" s="1"/>
      <c r="D113" s="1"/>
      <c r="E113" t="s">
        <v>61</v>
      </c>
      <c r="F113" t="s">
        <v>3</v>
      </c>
      <c r="G113" s="10">
        <v>1</v>
      </c>
    </row>
    <row r="114" spans="1:27" x14ac:dyDescent="0.25">
      <c r="C114" s="1"/>
      <c r="D114" s="1"/>
      <c r="E114" t="s">
        <v>88</v>
      </c>
      <c r="F114" t="s">
        <v>3</v>
      </c>
      <c r="H114">
        <f>H111*$G113</f>
        <v>0</v>
      </c>
      <c r="I114">
        <f t="shared" ref="I114:AA114" si="28">I111*$G113</f>
        <v>0</v>
      </c>
      <c r="J114">
        <f t="shared" si="28"/>
        <v>0</v>
      </c>
      <c r="K114">
        <f t="shared" si="28"/>
        <v>0</v>
      </c>
      <c r="L114">
        <f t="shared" si="28"/>
        <v>0</v>
      </c>
      <c r="M114">
        <f t="shared" si="28"/>
        <v>0</v>
      </c>
      <c r="N114">
        <f t="shared" si="28"/>
        <v>0</v>
      </c>
      <c r="O114">
        <f t="shared" si="28"/>
        <v>0</v>
      </c>
      <c r="P114">
        <f t="shared" si="28"/>
        <v>0</v>
      </c>
      <c r="Q114">
        <f t="shared" si="28"/>
        <v>0</v>
      </c>
      <c r="R114">
        <f t="shared" si="28"/>
        <v>0</v>
      </c>
      <c r="S114">
        <f t="shared" si="28"/>
        <v>0</v>
      </c>
      <c r="T114">
        <f t="shared" si="28"/>
        <v>0</v>
      </c>
      <c r="U114">
        <f t="shared" si="28"/>
        <v>0</v>
      </c>
      <c r="V114">
        <f t="shared" si="28"/>
        <v>0</v>
      </c>
      <c r="W114">
        <f t="shared" si="28"/>
        <v>0</v>
      </c>
      <c r="X114">
        <f t="shared" si="28"/>
        <v>0</v>
      </c>
      <c r="Y114">
        <f t="shared" si="28"/>
        <v>0</v>
      </c>
      <c r="Z114">
        <f t="shared" si="28"/>
        <v>0</v>
      </c>
      <c r="AA114">
        <f t="shared" si="28"/>
        <v>0</v>
      </c>
    </row>
    <row r="115" spans="1:27" x14ac:dyDescent="0.25">
      <c r="C115" s="1"/>
      <c r="D115" s="1"/>
      <c r="E115" t="s">
        <v>89</v>
      </c>
      <c r="F115" t="s">
        <v>3</v>
      </c>
      <c r="H115">
        <f>H112*$G113</f>
        <v>0</v>
      </c>
      <c r="I115">
        <f t="shared" ref="I115:AA115" si="29">I112*$G113</f>
        <v>0</v>
      </c>
      <c r="J115">
        <f t="shared" si="29"/>
        <v>0</v>
      </c>
      <c r="K115">
        <f t="shared" si="29"/>
        <v>0</v>
      </c>
      <c r="L115">
        <f t="shared" si="29"/>
        <v>0</v>
      </c>
      <c r="M115">
        <f t="shared" si="29"/>
        <v>0</v>
      </c>
      <c r="N115">
        <f t="shared" si="29"/>
        <v>0</v>
      </c>
      <c r="O115">
        <f t="shared" si="29"/>
        <v>0</v>
      </c>
      <c r="P115">
        <f t="shared" si="29"/>
        <v>0</v>
      </c>
      <c r="Q115">
        <f t="shared" si="29"/>
        <v>0</v>
      </c>
      <c r="R115">
        <f t="shared" si="29"/>
        <v>0</v>
      </c>
      <c r="S115">
        <f t="shared" si="29"/>
        <v>0</v>
      </c>
      <c r="T115">
        <f t="shared" si="29"/>
        <v>0</v>
      </c>
      <c r="U115">
        <f t="shared" si="29"/>
        <v>0</v>
      </c>
      <c r="V115">
        <f t="shared" si="29"/>
        <v>0</v>
      </c>
      <c r="W115">
        <f t="shared" si="29"/>
        <v>0</v>
      </c>
      <c r="X115">
        <f t="shared" si="29"/>
        <v>0</v>
      </c>
      <c r="Y115">
        <f t="shared" si="29"/>
        <v>0</v>
      </c>
      <c r="Z115">
        <f t="shared" si="29"/>
        <v>0</v>
      </c>
      <c r="AA115">
        <f t="shared" si="29"/>
        <v>0</v>
      </c>
    </row>
    <row r="116" spans="1:27" x14ac:dyDescent="0.25">
      <c r="A116" s="14">
        <f>'Notes &amp; Assumptions'!A35</f>
        <v>22</v>
      </c>
      <c r="C116" s="1"/>
      <c r="D116" s="1"/>
      <c r="E116" t="s">
        <v>62</v>
      </c>
      <c r="F116" t="s">
        <v>43</v>
      </c>
      <c r="H116" s="10">
        <f>'[17]Demand assumptions'!$E$51</f>
        <v>0</v>
      </c>
      <c r="I116" s="10">
        <f>'[17]Demand assumptions'!$E$51</f>
        <v>0</v>
      </c>
      <c r="J116" s="10">
        <f>'[17]Demand assumptions'!$E$51</f>
        <v>0</v>
      </c>
      <c r="K116" s="10">
        <f>'[17]Demand assumptions'!$E$51</f>
        <v>0</v>
      </c>
      <c r="L116" s="10">
        <f>'[17]Demand assumptions'!$E$51</f>
        <v>0</v>
      </c>
      <c r="M116" s="10">
        <f>'[17]Demand assumptions'!$E$51</f>
        <v>0</v>
      </c>
      <c r="N116" s="10">
        <f>'[17]Demand assumptions'!$E$51</f>
        <v>0</v>
      </c>
      <c r="O116" s="10">
        <f>'[17]Demand assumptions'!$E$51</f>
        <v>0</v>
      </c>
      <c r="P116" s="10">
        <f>'[17]Demand assumptions'!$E$51</f>
        <v>0</v>
      </c>
      <c r="Q116" s="10">
        <f>'[17]Demand assumptions'!$E$51</f>
        <v>0</v>
      </c>
      <c r="R116" s="10">
        <f>'[17]Demand assumptions'!$E$51</f>
        <v>0</v>
      </c>
      <c r="S116" s="10">
        <f>'[17]Demand assumptions'!$E$51</f>
        <v>0</v>
      </c>
      <c r="T116" s="10">
        <f>'[17]Demand assumptions'!$E$51</f>
        <v>0</v>
      </c>
      <c r="U116" s="10">
        <f>'[17]Demand assumptions'!$E$51</f>
        <v>0</v>
      </c>
      <c r="V116" s="10">
        <f>'[17]Demand assumptions'!$E$51</f>
        <v>0</v>
      </c>
      <c r="W116" s="10">
        <f>'[17]Demand assumptions'!$E$51</f>
        <v>0</v>
      </c>
      <c r="X116" s="10">
        <f>'[17]Demand assumptions'!$E$51</f>
        <v>0</v>
      </c>
      <c r="Y116" s="10">
        <f>'[17]Demand assumptions'!$E$51</f>
        <v>0</v>
      </c>
      <c r="Z116" s="10">
        <f>'[17]Demand assumptions'!$E$51</f>
        <v>0</v>
      </c>
      <c r="AA116" s="10">
        <f>'[17]Demand assumptions'!$E$51</f>
        <v>0</v>
      </c>
    </row>
    <row r="117" spans="1:27" x14ac:dyDescent="0.25">
      <c r="C117" s="1"/>
      <c r="D117" s="1"/>
      <c r="E117" t="s">
        <v>63</v>
      </c>
      <c r="F117" t="s">
        <v>43</v>
      </c>
      <c r="H117" s="10"/>
      <c r="I117" s="10"/>
      <c r="J117" s="10"/>
      <c r="K117" s="10"/>
      <c r="L117" s="10"/>
      <c r="M117" s="10"/>
      <c r="N117" s="10"/>
      <c r="O117" s="10"/>
      <c r="P117" s="10"/>
      <c r="Q117" s="10"/>
      <c r="R117" s="10"/>
      <c r="S117" s="10"/>
      <c r="T117" s="10"/>
      <c r="U117" s="10"/>
      <c r="V117" s="10"/>
      <c r="W117" s="10"/>
      <c r="X117" s="10"/>
      <c r="Y117" s="10"/>
      <c r="Z117" s="10"/>
      <c r="AA117" s="10"/>
    </row>
    <row r="118" spans="1:27" x14ac:dyDescent="0.25">
      <c r="C118" s="1"/>
      <c r="D118" s="1"/>
      <c r="E118" t="s">
        <v>140</v>
      </c>
      <c r="F118" t="s">
        <v>43</v>
      </c>
      <c r="H118" s="10"/>
      <c r="I118" s="10"/>
      <c r="J118" s="10"/>
      <c r="K118" s="10"/>
      <c r="L118" s="10"/>
      <c r="M118" s="10"/>
      <c r="N118" s="10"/>
      <c r="O118" s="10"/>
      <c r="P118" s="10"/>
      <c r="Q118" s="10"/>
      <c r="R118" s="10"/>
      <c r="S118" s="10"/>
      <c r="T118" s="10"/>
      <c r="U118" s="10"/>
      <c r="V118" s="10"/>
      <c r="W118" s="10"/>
      <c r="X118" s="10"/>
      <c r="Y118" s="10"/>
      <c r="Z118" s="10"/>
      <c r="AA118" s="10"/>
    </row>
    <row r="119" spans="1:27" x14ac:dyDescent="0.25">
      <c r="C119" s="1"/>
      <c r="D119" s="1"/>
      <c r="E119" t="s">
        <v>64</v>
      </c>
      <c r="F119" t="s">
        <v>144</v>
      </c>
      <c r="H119" s="2">
        <f>H112*H116</f>
        <v>0</v>
      </c>
      <c r="I119" s="2">
        <f t="shared" ref="I119:AA119" si="30">I112*I116</f>
        <v>0</v>
      </c>
      <c r="J119" s="2">
        <f t="shared" si="30"/>
        <v>0</v>
      </c>
      <c r="K119" s="2">
        <f t="shared" si="30"/>
        <v>0</v>
      </c>
      <c r="L119" s="2">
        <f t="shared" si="30"/>
        <v>0</v>
      </c>
      <c r="M119" s="2">
        <f t="shared" si="30"/>
        <v>0</v>
      </c>
      <c r="N119" s="2">
        <f t="shared" si="30"/>
        <v>0</v>
      </c>
      <c r="O119" s="2">
        <f t="shared" si="30"/>
        <v>0</v>
      </c>
      <c r="P119" s="2">
        <f t="shared" si="30"/>
        <v>0</v>
      </c>
      <c r="Q119" s="2">
        <f t="shared" si="30"/>
        <v>0</v>
      </c>
      <c r="R119" s="2">
        <f t="shared" si="30"/>
        <v>0</v>
      </c>
      <c r="S119" s="2">
        <f t="shared" si="30"/>
        <v>0</v>
      </c>
      <c r="T119" s="2">
        <f t="shared" si="30"/>
        <v>0</v>
      </c>
      <c r="U119" s="2">
        <f t="shared" si="30"/>
        <v>0</v>
      </c>
      <c r="V119" s="2">
        <f t="shared" si="30"/>
        <v>0</v>
      </c>
      <c r="W119" s="2">
        <f t="shared" si="30"/>
        <v>0</v>
      </c>
      <c r="X119" s="2">
        <f t="shared" si="30"/>
        <v>0</v>
      </c>
      <c r="Y119" s="2">
        <f t="shared" si="30"/>
        <v>0</v>
      </c>
      <c r="Z119" s="2">
        <f t="shared" si="30"/>
        <v>0</v>
      </c>
      <c r="AA119" s="2">
        <f t="shared" si="30"/>
        <v>0</v>
      </c>
    </row>
    <row r="120" spans="1:27" x14ac:dyDescent="0.25">
      <c r="C120" s="1"/>
      <c r="D120" s="1"/>
      <c r="E120" t="s">
        <v>65</v>
      </c>
      <c r="F120" t="s">
        <v>144</v>
      </c>
      <c r="H120" s="2">
        <f>H112*H117</f>
        <v>0</v>
      </c>
      <c r="I120" s="2">
        <f t="shared" ref="I120:AA120" si="31">I112*I117</f>
        <v>0</v>
      </c>
      <c r="J120" s="2">
        <f t="shared" si="31"/>
        <v>0</v>
      </c>
      <c r="K120" s="2">
        <f t="shared" si="31"/>
        <v>0</v>
      </c>
      <c r="L120" s="2">
        <f t="shared" si="31"/>
        <v>0</v>
      </c>
      <c r="M120" s="2">
        <f t="shared" si="31"/>
        <v>0</v>
      </c>
      <c r="N120" s="2">
        <f t="shared" si="31"/>
        <v>0</v>
      </c>
      <c r="O120" s="2">
        <f t="shared" si="31"/>
        <v>0</v>
      </c>
      <c r="P120" s="2">
        <f t="shared" si="31"/>
        <v>0</v>
      </c>
      <c r="Q120" s="2">
        <f t="shared" si="31"/>
        <v>0</v>
      </c>
      <c r="R120" s="2">
        <f t="shared" si="31"/>
        <v>0</v>
      </c>
      <c r="S120" s="2">
        <f t="shared" si="31"/>
        <v>0</v>
      </c>
      <c r="T120" s="2">
        <f t="shared" si="31"/>
        <v>0</v>
      </c>
      <c r="U120" s="2">
        <f t="shared" si="31"/>
        <v>0</v>
      </c>
      <c r="V120" s="2">
        <f t="shared" si="31"/>
        <v>0</v>
      </c>
      <c r="W120" s="2">
        <f t="shared" si="31"/>
        <v>0</v>
      </c>
      <c r="X120" s="2">
        <f t="shared" si="31"/>
        <v>0</v>
      </c>
      <c r="Y120" s="2">
        <f t="shared" si="31"/>
        <v>0</v>
      </c>
      <c r="Z120" s="2">
        <f t="shared" si="31"/>
        <v>0</v>
      </c>
      <c r="AA120" s="2">
        <f t="shared" si="31"/>
        <v>0</v>
      </c>
    </row>
    <row r="121" spans="1:27" x14ac:dyDescent="0.25">
      <c r="C121" s="1"/>
      <c r="D121" s="1"/>
      <c r="E121" t="s">
        <v>141</v>
      </c>
      <c r="F121" t="s">
        <v>144</v>
      </c>
      <c r="H121" s="2">
        <f>H112*H118</f>
        <v>0</v>
      </c>
      <c r="I121" s="2">
        <f t="shared" ref="I121:AA121" si="32">I112*I118</f>
        <v>0</v>
      </c>
      <c r="J121" s="2">
        <f t="shared" si="32"/>
        <v>0</v>
      </c>
      <c r="K121" s="2">
        <f t="shared" si="32"/>
        <v>0</v>
      </c>
      <c r="L121" s="2">
        <f t="shared" si="32"/>
        <v>0</v>
      </c>
      <c r="M121" s="2">
        <f t="shared" si="32"/>
        <v>0</v>
      </c>
      <c r="N121" s="2">
        <f t="shared" si="32"/>
        <v>0</v>
      </c>
      <c r="O121" s="2">
        <f t="shared" si="32"/>
        <v>0</v>
      </c>
      <c r="P121" s="2">
        <f t="shared" si="32"/>
        <v>0</v>
      </c>
      <c r="Q121" s="2">
        <f t="shared" si="32"/>
        <v>0</v>
      </c>
      <c r="R121" s="2">
        <f t="shared" si="32"/>
        <v>0</v>
      </c>
      <c r="S121" s="2">
        <f t="shared" si="32"/>
        <v>0</v>
      </c>
      <c r="T121" s="2">
        <f t="shared" si="32"/>
        <v>0</v>
      </c>
      <c r="U121" s="2">
        <f t="shared" si="32"/>
        <v>0</v>
      </c>
      <c r="V121" s="2">
        <f t="shared" si="32"/>
        <v>0</v>
      </c>
      <c r="W121" s="2">
        <f t="shared" si="32"/>
        <v>0</v>
      </c>
      <c r="X121" s="2">
        <f t="shared" si="32"/>
        <v>0</v>
      </c>
      <c r="Y121" s="2">
        <f t="shared" si="32"/>
        <v>0</v>
      </c>
      <c r="Z121" s="2">
        <f t="shared" si="32"/>
        <v>0</v>
      </c>
      <c r="AA121" s="2">
        <f t="shared" si="32"/>
        <v>0</v>
      </c>
    </row>
    <row r="122" spans="1:27" x14ac:dyDescent="0.25">
      <c r="A122" s="14">
        <f>'Notes &amp; Assumptions'!A36</f>
        <v>23</v>
      </c>
      <c r="C122" s="1"/>
      <c r="D122" s="1"/>
      <c r="E122" t="s">
        <v>66</v>
      </c>
      <c r="F122" t="s">
        <v>8</v>
      </c>
      <c r="H122" s="11">
        <f>'YVW tariffs'!D34</f>
        <v>-4.24E-2</v>
      </c>
      <c r="I122" s="11">
        <f>'YVW tariffs'!E34</f>
        <v>-2.7400000000000001E-2</v>
      </c>
      <c r="J122" s="11">
        <f>'YVW tariffs'!F34</f>
        <v>0</v>
      </c>
      <c r="K122" s="11">
        <f>'YVW tariffs'!G34</f>
        <v>0</v>
      </c>
      <c r="L122" s="11">
        <f>'YVW tariffs'!H34</f>
        <v>0</v>
      </c>
      <c r="M122" s="11"/>
      <c r="N122" s="11"/>
      <c r="O122" s="11"/>
      <c r="P122" s="11"/>
      <c r="Q122" s="11"/>
      <c r="R122" s="11"/>
      <c r="S122" s="11"/>
      <c r="T122" s="11"/>
      <c r="U122" s="11"/>
      <c r="V122" s="11"/>
      <c r="W122" s="11"/>
      <c r="X122" s="11"/>
      <c r="Y122" s="11"/>
      <c r="Z122" s="11"/>
      <c r="AA122" s="11"/>
    </row>
    <row r="123" spans="1:27" x14ac:dyDescent="0.25">
      <c r="A123" s="14">
        <f>'Notes &amp; Assumptions'!A37</f>
        <v>24</v>
      </c>
      <c r="C123" s="1"/>
      <c r="D123" s="1"/>
      <c r="E123" t="s">
        <v>40</v>
      </c>
      <c r="F123" t="s">
        <v>41</v>
      </c>
      <c r="G123" s="20">
        <f>'YVW tariffs'!E10</f>
        <v>296.03894999999994</v>
      </c>
      <c r="H123" s="2">
        <f>G123*(1+$G$14)*(1+H122)</f>
        <v>289.44012338891991</v>
      </c>
      <c r="I123" s="2">
        <f>H123*(1+$G$14)*(1+I122)</f>
        <v>287.42116275223282</v>
      </c>
      <c r="J123" s="2">
        <f t="shared" ref="J123:AA123" si="33">I123*(1+$G$14)*(1+J122)</f>
        <v>293.45700717002967</v>
      </c>
      <c r="K123" s="2">
        <f t="shared" si="33"/>
        <v>299.61960432060027</v>
      </c>
      <c r="L123" s="2">
        <f t="shared" si="33"/>
        <v>305.91161601133285</v>
      </c>
      <c r="M123" s="2">
        <f t="shared" si="33"/>
        <v>312.33575994757081</v>
      </c>
      <c r="N123" s="2">
        <f t="shared" si="33"/>
        <v>318.89481090646979</v>
      </c>
      <c r="O123" s="2">
        <f t="shared" si="33"/>
        <v>325.59160193550559</v>
      </c>
      <c r="P123" s="2">
        <f t="shared" si="33"/>
        <v>332.42902557615116</v>
      </c>
      <c r="Q123" s="2">
        <f t="shared" si="33"/>
        <v>339.41003511325033</v>
      </c>
      <c r="R123" s="2">
        <f t="shared" si="33"/>
        <v>346.53764585062856</v>
      </c>
      <c r="S123" s="2">
        <f t="shared" si="33"/>
        <v>353.81493641349175</v>
      </c>
      <c r="T123" s="2">
        <f t="shared" si="33"/>
        <v>361.24505007817504</v>
      </c>
      <c r="U123" s="2">
        <f t="shared" si="33"/>
        <v>368.8311961298167</v>
      </c>
      <c r="V123" s="2">
        <f t="shared" si="33"/>
        <v>376.57665124854282</v>
      </c>
      <c r="W123" s="2">
        <f t="shared" si="33"/>
        <v>384.48476092476216</v>
      </c>
      <c r="X123" s="2">
        <f t="shared" si="33"/>
        <v>392.55894090418212</v>
      </c>
      <c r="Y123" s="2">
        <f t="shared" si="33"/>
        <v>400.8026786631699</v>
      </c>
      <c r="Z123" s="2">
        <f t="shared" si="33"/>
        <v>409.2195349150964</v>
      </c>
      <c r="AA123" s="2">
        <f t="shared" si="33"/>
        <v>417.81314514831337</v>
      </c>
    </row>
    <row r="124" spans="1:27" x14ac:dyDescent="0.25">
      <c r="C124" s="1"/>
      <c r="D124" s="1"/>
      <c r="E124" t="s">
        <v>67</v>
      </c>
      <c r="F124" t="s">
        <v>143</v>
      </c>
      <c r="G124" s="20">
        <f>'YVW tariffs'!E11</f>
        <v>2.9783590999999996</v>
      </c>
      <c r="H124" s="21">
        <f>G124*(1+$G$14)*(1+'YVW tariffs'!D47)</f>
        <v>3.0409046410999991</v>
      </c>
      <c r="I124" s="21">
        <f>H124*(1+$G$14)*(1+I122)</f>
        <v>3.0196931148664703</v>
      </c>
      <c r="J124" s="21">
        <f t="shared" ref="J124:AA124" si="34">I124*(1+$G$14)*(1+J122)</f>
        <v>3.0831066702786658</v>
      </c>
      <c r="K124" s="21">
        <f t="shared" si="34"/>
        <v>3.1478519103545177</v>
      </c>
      <c r="L124" s="21">
        <f t="shared" si="34"/>
        <v>3.2139568004719625</v>
      </c>
      <c r="M124" s="21">
        <f t="shared" si="34"/>
        <v>3.2814498932818736</v>
      </c>
      <c r="N124" s="21">
        <f t="shared" si="34"/>
        <v>3.3503603410407927</v>
      </c>
      <c r="O124" s="21">
        <f t="shared" si="34"/>
        <v>3.4207179082026489</v>
      </c>
      <c r="P124" s="21">
        <f t="shared" si="34"/>
        <v>3.4925529842749041</v>
      </c>
      <c r="Q124" s="21">
        <f t="shared" si="34"/>
        <v>3.5658965969446768</v>
      </c>
      <c r="R124" s="21">
        <f t="shared" si="34"/>
        <v>3.6407804254805147</v>
      </c>
      <c r="S124" s="21">
        <f t="shared" si="34"/>
        <v>3.7172368144156054</v>
      </c>
      <c r="T124" s="21">
        <f t="shared" si="34"/>
        <v>3.7952987875183326</v>
      </c>
      <c r="U124" s="21">
        <f t="shared" si="34"/>
        <v>3.8750000620562171</v>
      </c>
      <c r="V124" s="21">
        <f t="shared" si="34"/>
        <v>3.9563750633593973</v>
      </c>
      <c r="W124" s="21">
        <f t="shared" si="34"/>
        <v>4.0394589396899443</v>
      </c>
      <c r="X124" s="21">
        <f t="shared" si="34"/>
        <v>4.1242875774234324</v>
      </c>
      <c r="Y124" s="21">
        <f t="shared" si="34"/>
        <v>4.2108976165493237</v>
      </c>
      <c r="Z124" s="21">
        <f t="shared" si="34"/>
        <v>4.2993264664968587</v>
      </c>
      <c r="AA124" s="21">
        <f t="shared" si="34"/>
        <v>4.3896123222932921</v>
      </c>
    </row>
    <row r="125" spans="1:27" x14ac:dyDescent="0.25">
      <c r="C125" s="1"/>
      <c r="D125" s="1"/>
      <c r="E125" t="s">
        <v>68</v>
      </c>
      <c r="F125" t="s">
        <v>143</v>
      </c>
      <c r="G125" s="20"/>
      <c r="H125" s="21">
        <f>G125*(1+$G$14)*(1+'YVW tariffs'!D48)</f>
        <v>0</v>
      </c>
      <c r="I125" s="21">
        <f>H125*(1+$G$14)*(1+I122)</f>
        <v>0</v>
      </c>
      <c r="J125" s="21">
        <f t="shared" ref="J125:AA125" si="35">I125*(1+$G$14)*(1+J122)</f>
        <v>0</v>
      </c>
      <c r="K125" s="21">
        <f t="shared" si="35"/>
        <v>0</v>
      </c>
      <c r="L125" s="21">
        <f t="shared" si="35"/>
        <v>0</v>
      </c>
      <c r="M125" s="21">
        <f t="shared" si="35"/>
        <v>0</v>
      </c>
      <c r="N125" s="21">
        <f t="shared" si="35"/>
        <v>0</v>
      </c>
      <c r="O125" s="21">
        <f t="shared" si="35"/>
        <v>0</v>
      </c>
      <c r="P125" s="21">
        <f t="shared" si="35"/>
        <v>0</v>
      </c>
      <c r="Q125" s="21">
        <f t="shared" si="35"/>
        <v>0</v>
      </c>
      <c r="R125" s="21">
        <f t="shared" si="35"/>
        <v>0</v>
      </c>
      <c r="S125" s="21">
        <f t="shared" si="35"/>
        <v>0</v>
      </c>
      <c r="T125" s="21">
        <f t="shared" si="35"/>
        <v>0</v>
      </c>
      <c r="U125" s="21">
        <f t="shared" si="35"/>
        <v>0</v>
      </c>
      <c r="V125" s="21">
        <f t="shared" si="35"/>
        <v>0</v>
      </c>
      <c r="W125" s="21">
        <f t="shared" si="35"/>
        <v>0</v>
      </c>
      <c r="X125" s="21">
        <f t="shared" si="35"/>
        <v>0</v>
      </c>
      <c r="Y125" s="21">
        <f t="shared" si="35"/>
        <v>0</v>
      </c>
      <c r="Z125" s="21">
        <f t="shared" si="35"/>
        <v>0</v>
      </c>
      <c r="AA125" s="21">
        <f t="shared" si="35"/>
        <v>0</v>
      </c>
    </row>
    <row r="126" spans="1:27" x14ac:dyDescent="0.25">
      <c r="C126" s="1"/>
      <c r="D126" s="1"/>
      <c r="E126" t="s">
        <v>142</v>
      </c>
      <c r="F126" t="s">
        <v>143</v>
      </c>
      <c r="G126" s="20"/>
      <c r="H126" s="21">
        <f>G126*(1+$G$14)*(1+'YVW tariffs'!D49)</f>
        <v>0</v>
      </c>
      <c r="I126" s="21">
        <f>H126*(1+$G$14)*(1+I122)</f>
        <v>0</v>
      </c>
      <c r="J126" s="21">
        <f t="shared" ref="J126:AA126" si="36">I126*(1+$G$14)*(1+J122)</f>
        <v>0</v>
      </c>
      <c r="K126" s="21">
        <f t="shared" si="36"/>
        <v>0</v>
      </c>
      <c r="L126" s="21">
        <f t="shared" si="36"/>
        <v>0</v>
      </c>
      <c r="M126" s="21">
        <f t="shared" si="36"/>
        <v>0</v>
      </c>
      <c r="N126" s="21">
        <f t="shared" si="36"/>
        <v>0</v>
      </c>
      <c r="O126" s="21">
        <f t="shared" si="36"/>
        <v>0</v>
      </c>
      <c r="P126" s="21">
        <f t="shared" si="36"/>
        <v>0</v>
      </c>
      <c r="Q126" s="21">
        <f t="shared" si="36"/>
        <v>0</v>
      </c>
      <c r="R126" s="21">
        <f t="shared" si="36"/>
        <v>0</v>
      </c>
      <c r="S126" s="21">
        <f t="shared" si="36"/>
        <v>0</v>
      </c>
      <c r="T126" s="21">
        <f t="shared" si="36"/>
        <v>0</v>
      </c>
      <c r="U126" s="21">
        <f t="shared" si="36"/>
        <v>0</v>
      </c>
      <c r="V126" s="21">
        <f t="shared" si="36"/>
        <v>0</v>
      </c>
      <c r="W126" s="21">
        <f t="shared" si="36"/>
        <v>0</v>
      </c>
      <c r="X126" s="21">
        <f t="shared" si="36"/>
        <v>0</v>
      </c>
      <c r="Y126" s="21">
        <f t="shared" si="36"/>
        <v>0</v>
      </c>
      <c r="Z126" s="21">
        <f t="shared" si="36"/>
        <v>0</v>
      </c>
      <c r="AA126" s="21">
        <f t="shared" si="36"/>
        <v>0</v>
      </c>
    </row>
    <row r="127" spans="1:27" x14ac:dyDescent="0.25">
      <c r="C127" s="1"/>
      <c r="D127" s="1"/>
    </row>
    <row r="128" spans="1:27" x14ac:dyDescent="0.25">
      <c r="C128" s="1"/>
      <c r="D128" s="1"/>
      <c r="E128" t="s">
        <v>72</v>
      </c>
      <c r="F128" t="s">
        <v>58</v>
      </c>
      <c r="H128" s="2">
        <f>SUM(H119:H121)/1000</f>
        <v>0</v>
      </c>
      <c r="I128" s="2">
        <f t="shared" ref="I128:AA128" si="37">SUM(I119:I121)/1000</f>
        <v>0</v>
      </c>
      <c r="J128" s="2">
        <f t="shared" si="37"/>
        <v>0</v>
      </c>
      <c r="K128" s="2">
        <f t="shared" si="37"/>
        <v>0</v>
      </c>
      <c r="L128" s="2">
        <f t="shared" si="37"/>
        <v>0</v>
      </c>
      <c r="M128" s="2">
        <f t="shared" si="37"/>
        <v>0</v>
      </c>
      <c r="N128" s="2">
        <f t="shared" si="37"/>
        <v>0</v>
      </c>
      <c r="O128" s="2">
        <f t="shared" si="37"/>
        <v>0</v>
      </c>
      <c r="P128" s="2">
        <f t="shared" si="37"/>
        <v>0</v>
      </c>
      <c r="Q128" s="2">
        <f t="shared" si="37"/>
        <v>0</v>
      </c>
      <c r="R128" s="2">
        <f t="shared" si="37"/>
        <v>0</v>
      </c>
      <c r="S128" s="2">
        <f t="shared" si="37"/>
        <v>0</v>
      </c>
      <c r="T128" s="2">
        <f t="shared" si="37"/>
        <v>0</v>
      </c>
      <c r="U128" s="2">
        <f t="shared" si="37"/>
        <v>0</v>
      </c>
      <c r="V128" s="2">
        <f t="shared" si="37"/>
        <v>0</v>
      </c>
      <c r="W128" s="2">
        <f t="shared" si="37"/>
        <v>0</v>
      </c>
      <c r="X128" s="2">
        <f t="shared" si="37"/>
        <v>0</v>
      </c>
      <c r="Y128" s="2">
        <f t="shared" si="37"/>
        <v>0</v>
      </c>
      <c r="Z128" s="2">
        <f t="shared" si="37"/>
        <v>0</v>
      </c>
      <c r="AA128" s="2">
        <f t="shared" si="37"/>
        <v>0</v>
      </c>
    </row>
    <row r="129" spans="1:27" x14ac:dyDescent="0.25">
      <c r="C129" s="1"/>
      <c r="D129" s="1"/>
      <c r="E129" t="s">
        <v>73</v>
      </c>
      <c r="F129" t="s">
        <v>7</v>
      </c>
      <c r="H129" s="2">
        <f>H112*H123+H119*H124+H120*H125+H121*H126</f>
        <v>0</v>
      </c>
      <c r="I129" s="2">
        <f t="shared" ref="I129:AA129" si="38">I112*I123+I119*I124+I120*I125+I121*I126</f>
        <v>0</v>
      </c>
      <c r="J129" s="2">
        <f t="shared" si="38"/>
        <v>0</v>
      </c>
      <c r="K129" s="2">
        <f t="shared" si="38"/>
        <v>0</v>
      </c>
      <c r="L129" s="2">
        <f t="shared" si="38"/>
        <v>0</v>
      </c>
      <c r="M129" s="2">
        <f t="shared" si="38"/>
        <v>0</v>
      </c>
      <c r="N129" s="2">
        <f t="shared" si="38"/>
        <v>0</v>
      </c>
      <c r="O129" s="2">
        <f t="shared" si="38"/>
        <v>0</v>
      </c>
      <c r="P129" s="2">
        <f t="shared" si="38"/>
        <v>0</v>
      </c>
      <c r="Q129" s="2">
        <f t="shared" si="38"/>
        <v>0</v>
      </c>
      <c r="R129" s="2">
        <f t="shared" si="38"/>
        <v>0</v>
      </c>
      <c r="S129" s="2">
        <f t="shared" si="38"/>
        <v>0</v>
      </c>
      <c r="T129" s="2">
        <f t="shared" si="38"/>
        <v>0</v>
      </c>
      <c r="U129" s="2">
        <f t="shared" si="38"/>
        <v>0</v>
      </c>
      <c r="V129" s="2">
        <f t="shared" si="38"/>
        <v>0</v>
      </c>
      <c r="W129" s="2">
        <f t="shared" si="38"/>
        <v>0</v>
      </c>
      <c r="X129" s="2">
        <f t="shared" si="38"/>
        <v>0</v>
      </c>
      <c r="Y129" s="2">
        <f t="shared" si="38"/>
        <v>0</v>
      </c>
      <c r="Z129" s="2">
        <f t="shared" si="38"/>
        <v>0</v>
      </c>
      <c r="AA129" s="2">
        <f t="shared" si="38"/>
        <v>0</v>
      </c>
    </row>
    <row r="130" spans="1:27" x14ac:dyDescent="0.25">
      <c r="C130" s="1"/>
      <c r="D130" s="1"/>
    </row>
    <row r="131" spans="1:27" x14ac:dyDescent="0.25">
      <c r="C131" s="1"/>
      <c r="D131" t="s">
        <v>74</v>
      </c>
    </row>
    <row r="132" spans="1:27" x14ac:dyDescent="0.25">
      <c r="A132" s="14">
        <f>'Notes &amp; Assumptions'!A38</f>
        <v>25</v>
      </c>
      <c r="C132" s="1"/>
      <c r="D132" s="1"/>
      <c r="E132" t="s">
        <v>87</v>
      </c>
      <c r="F132" t="s">
        <v>3</v>
      </c>
      <c r="H132" s="10">
        <v>0</v>
      </c>
      <c r="I132" s="10">
        <v>0</v>
      </c>
      <c r="J132" s="10">
        <v>0</v>
      </c>
      <c r="K132" s="10">
        <v>0</v>
      </c>
      <c r="L132" s="10">
        <v>0</v>
      </c>
      <c r="M132" s="10">
        <v>0</v>
      </c>
      <c r="N132" s="10">
        <v>0</v>
      </c>
      <c r="O132" s="10">
        <v>0</v>
      </c>
      <c r="P132" s="10">
        <v>0</v>
      </c>
      <c r="Q132" s="10">
        <v>0</v>
      </c>
      <c r="R132" s="10">
        <f>AVERAGE($O132:$Q132)</f>
        <v>0</v>
      </c>
      <c r="S132" s="10">
        <f t="shared" ref="S132:V132" si="39">AVERAGE($O132:$Q132)</f>
        <v>0</v>
      </c>
      <c r="T132" s="10">
        <f t="shared" si="39"/>
        <v>0</v>
      </c>
      <c r="U132" s="10">
        <f t="shared" si="39"/>
        <v>0</v>
      </c>
      <c r="V132" s="10">
        <f t="shared" si="39"/>
        <v>0</v>
      </c>
    </row>
    <row r="133" spans="1:27" x14ac:dyDescent="0.25">
      <c r="C133" s="1"/>
      <c r="D133" s="1"/>
      <c r="E133" t="s">
        <v>60</v>
      </c>
      <c r="F133" t="s">
        <v>3</v>
      </c>
      <c r="H133" s="2">
        <f>G133+H132</f>
        <v>0</v>
      </c>
      <c r="I133" s="2">
        <f t="shared" ref="I133:AA133" si="40">H133+I132</f>
        <v>0</v>
      </c>
      <c r="J133" s="2">
        <f t="shared" si="40"/>
        <v>0</v>
      </c>
      <c r="K133" s="2">
        <f t="shared" si="40"/>
        <v>0</v>
      </c>
      <c r="L133" s="2">
        <f t="shared" si="40"/>
        <v>0</v>
      </c>
      <c r="M133" s="2">
        <f t="shared" si="40"/>
        <v>0</v>
      </c>
      <c r="N133" s="2">
        <f t="shared" si="40"/>
        <v>0</v>
      </c>
      <c r="O133" s="2">
        <f t="shared" si="40"/>
        <v>0</v>
      </c>
      <c r="P133" s="2">
        <f t="shared" si="40"/>
        <v>0</v>
      </c>
      <c r="Q133" s="2">
        <f t="shared" si="40"/>
        <v>0</v>
      </c>
      <c r="R133" s="2">
        <f t="shared" si="40"/>
        <v>0</v>
      </c>
      <c r="S133" s="2">
        <f t="shared" si="40"/>
        <v>0</v>
      </c>
      <c r="T133" s="2">
        <f t="shared" si="40"/>
        <v>0</v>
      </c>
      <c r="U133" s="2">
        <f t="shared" si="40"/>
        <v>0</v>
      </c>
      <c r="V133" s="2">
        <f t="shared" si="40"/>
        <v>0</v>
      </c>
      <c r="W133" s="2">
        <f t="shared" si="40"/>
        <v>0</v>
      </c>
      <c r="X133" s="2">
        <f t="shared" si="40"/>
        <v>0</v>
      </c>
      <c r="Y133" s="2">
        <f t="shared" si="40"/>
        <v>0</v>
      </c>
      <c r="Z133" s="2">
        <f t="shared" si="40"/>
        <v>0</v>
      </c>
      <c r="AA133" s="2">
        <f t="shared" si="40"/>
        <v>0</v>
      </c>
    </row>
    <row r="134" spans="1:27" x14ac:dyDescent="0.25">
      <c r="A134" s="14">
        <f>'Notes &amp; Assumptions'!A39</f>
        <v>26</v>
      </c>
      <c r="C134" s="1"/>
      <c r="D134" s="1"/>
      <c r="E134" t="s">
        <v>61</v>
      </c>
      <c r="F134" t="s">
        <v>3</v>
      </c>
      <c r="G134" s="10">
        <v>1</v>
      </c>
    </row>
    <row r="135" spans="1:27" x14ac:dyDescent="0.25">
      <c r="C135" s="1"/>
      <c r="D135" s="1"/>
      <c r="E135" t="s">
        <v>88</v>
      </c>
      <c r="F135" t="s">
        <v>3</v>
      </c>
      <c r="H135">
        <f>H132*$G134</f>
        <v>0</v>
      </c>
      <c r="I135">
        <f t="shared" ref="I135:AA135" si="41">I132*$G134</f>
        <v>0</v>
      </c>
      <c r="J135">
        <f t="shared" si="41"/>
        <v>0</v>
      </c>
      <c r="K135">
        <f t="shared" si="41"/>
        <v>0</v>
      </c>
      <c r="L135">
        <f t="shared" si="41"/>
        <v>0</v>
      </c>
      <c r="M135">
        <f t="shared" si="41"/>
        <v>0</v>
      </c>
      <c r="N135">
        <f t="shared" si="41"/>
        <v>0</v>
      </c>
      <c r="O135">
        <f t="shared" si="41"/>
        <v>0</v>
      </c>
      <c r="P135">
        <f t="shared" si="41"/>
        <v>0</v>
      </c>
      <c r="Q135">
        <f t="shared" si="41"/>
        <v>0</v>
      </c>
      <c r="R135">
        <f t="shared" si="41"/>
        <v>0</v>
      </c>
      <c r="S135">
        <f t="shared" si="41"/>
        <v>0</v>
      </c>
      <c r="T135">
        <f t="shared" si="41"/>
        <v>0</v>
      </c>
      <c r="U135">
        <f t="shared" si="41"/>
        <v>0</v>
      </c>
      <c r="V135">
        <f t="shared" si="41"/>
        <v>0</v>
      </c>
      <c r="W135">
        <f t="shared" si="41"/>
        <v>0</v>
      </c>
      <c r="X135">
        <f t="shared" si="41"/>
        <v>0</v>
      </c>
      <c r="Y135">
        <f t="shared" si="41"/>
        <v>0</v>
      </c>
      <c r="Z135">
        <f t="shared" si="41"/>
        <v>0</v>
      </c>
      <c r="AA135">
        <f t="shared" si="41"/>
        <v>0</v>
      </c>
    </row>
    <row r="136" spans="1:27" x14ac:dyDescent="0.25">
      <c r="C136" s="1"/>
      <c r="D136" s="1"/>
      <c r="E136" t="s">
        <v>89</v>
      </c>
      <c r="F136" t="s">
        <v>3</v>
      </c>
      <c r="H136">
        <f>H133*$G134</f>
        <v>0</v>
      </c>
      <c r="I136">
        <f t="shared" ref="I136:AA136" si="42">I133*$G134</f>
        <v>0</v>
      </c>
      <c r="J136">
        <f t="shared" si="42"/>
        <v>0</v>
      </c>
      <c r="K136">
        <f t="shared" si="42"/>
        <v>0</v>
      </c>
      <c r="L136">
        <f t="shared" si="42"/>
        <v>0</v>
      </c>
      <c r="M136">
        <f t="shared" si="42"/>
        <v>0</v>
      </c>
      <c r="N136">
        <f t="shared" si="42"/>
        <v>0</v>
      </c>
      <c r="O136">
        <f t="shared" si="42"/>
        <v>0</v>
      </c>
      <c r="P136">
        <f t="shared" si="42"/>
        <v>0</v>
      </c>
      <c r="Q136">
        <f t="shared" si="42"/>
        <v>0</v>
      </c>
      <c r="R136">
        <f t="shared" si="42"/>
        <v>0</v>
      </c>
      <c r="S136">
        <f t="shared" si="42"/>
        <v>0</v>
      </c>
      <c r="T136">
        <f t="shared" si="42"/>
        <v>0</v>
      </c>
      <c r="U136">
        <f t="shared" si="42"/>
        <v>0</v>
      </c>
      <c r="V136">
        <f t="shared" si="42"/>
        <v>0</v>
      </c>
      <c r="W136">
        <f t="shared" si="42"/>
        <v>0</v>
      </c>
      <c r="X136">
        <f t="shared" si="42"/>
        <v>0</v>
      </c>
      <c r="Y136">
        <f t="shared" si="42"/>
        <v>0</v>
      </c>
      <c r="Z136">
        <f t="shared" si="42"/>
        <v>0</v>
      </c>
      <c r="AA136">
        <f t="shared" si="42"/>
        <v>0</v>
      </c>
    </row>
    <row r="137" spans="1:27" x14ac:dyDescent="0.25">
      <c r="A137" s="14">
        <f>'Notes &amp; Assumptions'!A40</f>
        <v>27</v>
      </c>
      <c r="C137" s="1"/>
      <c r="D137" s="1"/>
      <c r="E137" t="s">
        <v>62</v>
      </c>
      <c r="F137" t="s">
        <v>43</v>
      </c>
      <c r="H137" s="10"/>
      <c r="I137" s="10"/>
      <c r="J137" s="10"/>
      <c r="K137" s="10"/>
      <c r="L137" s="10"/>
      <c r="M137" s="10"/>
      <c r="N137" s="10"/>
      <c r="O137" s="10"/>
      <c r="P137" s="10"/>
      <c r="Q137" s="10"/>
      <c r="R137" s="10"/>
      <c r="S137" s="10"/>
      <c r="T137" s="10"/>
      <c r="U137" s="10"/>
      <c r="V137" s="10"/>
      <c r="W137" s="10"/>
      <c r="X137" s="10"/>
      <c r="Y137" s="10"/>
      <c r="Z137" s="10"/>
      <c r="AA137" s="10"/>
    </row>
    <row r="138" spans="1:27" x14ac:dyDescent="0.25">
      <c r="C138" s="1"/>
      <c r="D138" s="1"/>
      <c r="E138" t="s">
        <v>63</v>
      </c>
      <c r="F138" t="s">
        <v>43</v>
      </c>
      <c r="H138" s="10"/>
      <c r="I138" s="10"/>
      <c r="J138" s="10"/>
      <c r="K138" s="10"/>
      <c r="L138" s="10"/>
      <c r="M138" s="10"/>
      <c r="N138" s="10"/>
      <c r="O138" s="10"/>
      <c r="P138" s="10"/>
      <c r="Q138" s="10"/>
      <c r="R138" s="10"/>
      <c r="S138" s="10"/>
      <c r="T138" s="10"/>
      <c r="U138" s="10"/>
      <c r="V138" s="10"/>
      <c r="W138" s="10"/>
      <c r="X138" s="10"/>
      <c r="Y138" s="10"/>
      <c r="Z138" s="10"/>
      <c r="AA138" s="10"/>
    </row>
    <row r="139" spans="1:27" x14ac:dyDescent="0.25">
      <c r="A139" s="14">
        <f>'Notes &amp; Assumptions'!A41</f>
        <v>28</v>
      </c>
      <c r="C139" s="1"/>
      <c r="D139" s="1"/>
      <c r="E139" t="s">
        <v>140</v>
      </c>
      <c r="F139" t="s">
        <v>43</v>
      </c>
      <c r="H139" s="10"/>
      <c r="I139" s="10"/>
      <c r="J139" s="10"/>
      <c r="K139" s="10"/>
      <c r="L139" s="10"/>
      <c r="M139" s="10"/>
      <c r="N139" s="10"/>
      <c r="O139" s="10"/>
      <c r="P139" s="10"/>
      <c r="Q139" s="10"/>
      <c r="R139" s="10"/>
      <c r="S139" s="10"/>
      <c r="T139" s="10"/>
      <c r="U139" s="10"/>
      <c r="V139" s="10"/>
      <c r="W139" s="10"/>
      <c r="X139" s="10"/>
      <c r="Y139" s="10"/>
      <c r="Z139" s="10"/>
      <c r="AA139" s="10"/>
    </row>
    <row r="140" spans="1:27" x14ac:dyDescent="0.25">
      <c r="C140" s="1"/>
      <c r="D140" s="1"/>
      <c r="E140" t="s">
        <v>64</v>
      </c>
      <c r="F140" t="s">
        <v>144</v>
      </c>
      <c r="H140" s="2">
        <f>H133*H137</f>
        <v>0</v>
      </c>
      <c r="I140" s="2">
        <f t="shared" ref="I140:AA140" si="43">I133*I137</f>
        <v>0</v>
      </c>
      <c r="J140" s="2">
        <f t="shared" si="43"/>
        <v>0</v>
      </c>
      <c r="K140" s="2">
        <f t="shared" si="43"/>
        <v>0</v>
      </c>
      <c r="L140" s="2">
        <f t="shared" si="43"/>
        <v>0</v>
      </c>
      <c r="M140" s="2">
        <f t="shared" si="43"/>
        <v>0</v>
      </c>
      <c r="N140" s="2">
        <f t="shared" si="43"/>
        <v>0</v>
      </c>
      <c r="O140" s="2">
        <f t="shared" si="43"/>
        <v>0</v>
      </c>
      <c r="P140" s="2">
        <f t="shared" si="43"/>
        <v>0</v>
      </c>
      <c r="Q140" s="2">
        <f t="shared" si="43"/>
        <v>0</v>
      </c>
      <c r="R140" s="2">
        <f t="shared" si="43"/>
        <v>0</v>
      </c>
      <c r="S140" s="2">
        <f t="shared" si="43"/>
        <v>0</v>
      </c>
      <c r="T140" s="2">
        <f t="shared" si="43"/>
        <v>0</v>
      </c>
      <c r="U140" s="2">
        <f t="shared" si="43"/>
        <v>0</v>
      </c>
      <c r="V140" s="2">
        <f t="shared" si="43"/>
        <v>0</v>
      </c>
      <c r="W140" s="2">
        <f t="shared" si="43"/>
        <v>0</v>
      </c>
      <c r="X140" s="2">
        <f t="shared" si="43"/>
        <v>0</v>
      </c>
      <c r="Y140" s="2">
        <f t="shared" si="43"/>
        <v>0</v>
      </c>
      <c r="Z140" s="2">
        <f t="shared" si="43"/>
        <v>0</v>
      </c>
      <c r="AA140" s="2">
        <f t="shared" si="43"/>
        <v>0</v>
      </c>
    </row>
    <row r="141" spans="1:27" x14ac:dyDescent="0.25">
      <c r="C141" s="1"/>
      <c r="D141" s="1"/>
      <c r="E141" t="s">
        <v>65</v>
      </c>
      <c r="F141" t="s">
        <v>144</v>
      </c>
      <c r="H141" s="2">
        <f>H133*H138</f>
        <v>0</v>
      </c>
      <c r="I141" s="2">
        <f t="shared" ref="I141:AA141" si="44">I133*I138</f>
        <v>0</v>
      </c>
      <c r="J141" s="2">
        <f t="shared" si="44"/>
        <v>0</v>
      </c>
      <c r="K141" s="2">
        <f t="shared" si="44"/>
        <v>0</v>
      </c>
      <c r="L141" s="2">
        <f t="shared" si="44"/>
        <v>0</v>
      </c>
      <c r="M141" s="2">
        <f t="shared" si="44"/>
        <v>0</v>
      </c>
      <c r="N141" s="2">
        <f t="shared" si="44"/>
        <v>0</v>
      </c>
      <c r="O141" s="2">
        <f t="shared" si="44"/>
        <v>0</v>
      </c>
      <c r="P141" s="2">
        <f t="shared" si="44"/>
        <v>0</v>
      </c>
      <c r="Q141" s="2">
        <f t="shared" si="44"/>
        <v>0</v>
      </c>
      <c r="R141" s="2">
        <f t="shared" si="44"/>
        <v>0</v>
      </c>
      <c r="S141" s="2">
        <f t="shared" si="44"/>
        <v>0</v>
      </c>
      <c r="T141" s="2">
        <f t="shared" si="44"/>
        <v>0</v>
      </c>
      <c r="U141" s="2">
        <f t="shared" si="44"/>
        <v>0</v>
      </c>
      <c r="V141" s="2">
        <f t="shared" si="44"/>
        <v>0</v>
      </c>
      <c r="W141" s="2">
        <f t="shared" si="44"/>
        <v>0</v>
      </c>
      <c r="X141" s="2">
        <f t="shared" si="44"/>
        <v>0</v>
      </c>
      <c r="Y141" s="2">
        <f t="shared" si="44"/>
        <v>0</v>
      </c>
      <c r="Z141" s="2">
        <f t="shared" si="44"/>
        <v>0</v>
      </c>
      <c r="AA141" s="2">
        <f t="shared" si="44"/>
        <v>0</v>
      </c>
    </row>
    <row r="142" spans="1:27" x14ac:dyDescent="0.25">
      <c r="C142" s="1"/>
      <c r="D142" s="1"/>
      <c r="E142" t="s">
        <v>141</v>
      </c>
      <c r="F142" t="s">
        <v>144</v>
      </c>
      <c r="H142" s="2">
        <f>H133*H139</f>
        <v>0</v>
      </c>
      <c r="I142" s="2">
        <f t="shared" ref="I142:AA142" si="45">I133*I139</f>
        <v>0</v>
      </c>
      <c r="J142" s="2">
        <f t="shared" si="45"/>
        <v>0</v>
      </c>
      <c r="K142" s="2">
        <f t="shared" si="45"/>
        <v>0</v>
      </c>
      <c r="L142" s="2">
        <f t="shared" si="45"/>
        <v>0</v>
      </c>
      <c r="M142" s="2">
        <f t="shared" si="45"/>
        <v>0</v>
      </c>
      <c r="N142" s="2">
        <f t="shared" si="45"/>
        <v>0</v>
      </c>
      <c r="O142" s="2">
        <f t="shared" si="45"/>
        <v>0</v>
      </c>
      <c r="P142" s="2">
        <f t="shared" si="45"/>
        <v>0</v>
      </c>
      <c r="Q142" s="2">
        <f t="shared" si="45"/>
        <v>0</v>
      </c>
      <c r="R142" s="2">
        <f t="shared" si="45"/>
        <v>0</v>
      </c>
      <c r="S142" s="2">
        <f t="shared" si="45"/>
        <v>0</v>
      </c>
      <c r="T142" s="2">
        <f t="shared" si="45"/>
        <v>0</v>
      </c>
      <c r="U142" s="2">
        <f t="shared" si="45"/>
        <v>0</v>
      </c>
      <c r="V142" s="2">
        <f t="shared" si="45"/>
        <v>0</v>
      </c>
      <c r="W142" s="2">
        <f t="shared" si="45"/>
        <v>0</v>
      </c>
      <c r="X142" s="2">
        <f t="shared" si="45"/>
        <v>0</v>
      </c>
      <c r="Y142" s="2">
        <f t="shared" si="45"/>
        <v>0</v>
      </c>
      <c r="Z142" s="2">
        <f t="shared" si="45"/>
        <v>0</v>
      </c>
      <c r="AA142" s="2">
        <f t="shared" si="45"/>
        <v>0</v>
      </c>
    </row>
    <row r="143" spans="1:27" x14ac:dyDescent="0.25">
      <c r="A143" s="14">
        <f>'Notes &amp; Assumptions'!A42</f>
        <v>29</v>
      </c>
      <c r="C143" s="1"/>
      <c r="D143" s="1"/>
      <c r="E143" t="s">
        <v>66</v>
      </c>
      <c r="F143" t="s">
        <v>8</v>
      </c>
      <c r="H143" s="11"/>
      <c r="I143" s="11"/>
      <c r="J143" s="11"/>
      <c r="K143" s="11"/>
      <c r="L143" s="11"/>
      <c r="M143" s="11"/>
      <c r="N143" s="11"/>
      <c r="O143" s="11"/>
      <c r="P143" s="11"/>
      <c r="Q143" s="11"/>
      <c r="R143" s="11"/>
      <c r="S143" s="11"/>
      <c r="T143" s="11"/>
      <c r="U143" s="11"/>
      <c r="V143" s="11"/>
      <c r="W143" s="11"/>
      <c r="X143" s="11"/>
      <c r="Y143" s="11"/>
      <c r="Z143" s="11"/>
      <c r="AA143" s="11"/>
    </row>
    <row r="144" spans="1:27" x14ac:dyDescent="0.25">
      <c r="A144" s="14">
        <f>'Notes &amp; Assumptions'!A43</f>
        <v>30</v>
      </c>
      <c r="C144" s="1"/>
      <c r="D144" s="1"/>
      <c r="E144" t="s">
        <v>40</v>
      </c>
      <c r="F144" t="s">
        <v>41</v>
      </c>
      <c r="G144" s="10"/>
      <c r="H144" s="2">
        <f>G144*(1+$G$14)*(1+H143)</f>
        <v>0</v>
      </c>
      <c r="I144" s="2">
        <f t="shared" ref="I144:AA144" si="46">H144*(1+$G$14)*(1+I143)</f>
        <v>0</v>
      </c>
      <c r="J144" s="2">
        <f t="shared" si="46"/>
        <v>0</v>
      </c>
      <c r="K144" s="2">
        <f t="shared" si="46"/>
        <v>0</v>
      </c>
      <c r="L144" s="2">
        <f t="shared" si="46"/>
        <v>0</v>
      </c>
      <c r="M144" s="2">
        <f t="shared" si="46"/>
        <v>0</v>
      </c>
      <c r="N144" s="2">
        <f t="shared" si="46"/>
        <v>0</v>
      </c>
      <c r="O144" s="2">
        <f t="shared" si="46"/>
        <v>0</v>
      </c>
      <c r="P144" s="2">
        <f t="shared" si="46"/>
        <v>0</v>
      </c>
      <c r="Q144" s="2">
        <f t="shared" si="46"/>
        <v>0</v>
      </c>
      <c r="R144" s="2">
        <f t="shared" si="46"/>
        <v>0</v>
      </c>
      <c r="S144" s="2">
        <f t="shared" si="46"/>
        <v>0</v>
      </c>
      <c r="T144" s="2">
        <f t="shared" si="46"/>
        <v>0</v>
      </c>
      <c r="U144" s="2">
        <f t="shared" si="46"/>
        <v>0</v>
      </c>
      <c r="V144" s="2">
        <f t="shared" si="46"/>
        <v>0</v>
      </c>
      <c r="W144" s="2">
        <f t="shared" si="46"/>
        <v>0</v>
      </c>
      <c r="X144" s="2">
        <f t="shared" si="46"/>
        <v>0</v>
      </c>
      <c r="Y144" s="2">
        <f t="shared" si="46"/>
        <v>0</v>
      </c>
      <c r="Z144" s="2">
        <f t="shared" si="46"/>
        <v>0</v>
      </c>
      <c r="AA144" s="2">
        <f t="shared" si="46"/>
        <v>0</v>
      </c>
    </row>
    <row r="145" spans="1:27" x14ac:dyDescent="0.25">
      <c r="C145" s="1"/>
      <c r="D145" s="1"/>
      <c r="E145" t="s">
        <v>67</v>
      </c>
      <c r="F145" t="s">
        <v>143</v>
      </c>
      <c r="G145" s="20"/>
      <c r="H145" s="21">
        <f>G145*(1+$G$14)*(1+H143)</f>
        <v>0</v>
      </c>
      <c r="I145" s="21">
        <f t="shared" ref="I145:AA145" si="47">H145*(1+$G$14)*(1+I143)</f>
        <v>0</v>
      </c>
      <c r="J145" s="21">
        <f t="shared" si="47"/>
        <v>0</v>
      </c>
      <c r="K145" s="21">
        <f t="shared" si="47"/>
        <v>0</v>
      </c>
      <c r="L145" s="21">
        <f t="shared" si="47"/>
        <v>0</v>
      </c>
      <c r="M145" s="21">
        <f t="shared" si="47"/>
        <v>0</v>
      </c>
      <c r="N145" s="21">
        <f t="shared" si="47"/>
        <v>0</v>
      </c>
      <c r="O145" s="21">
        <f t="shared" si="47"/>
        <v>0</v>
      </c>
      <c r="P145" s="21">
        <f t="shared" si="47"/>
        <v>0</v>
      </c>
      <c r="Q145" s="21">
        <f t="shared" si="47"/>
        <v>0</v>
      </c>
      <c r="R145" s="21">
        <f t="shared" si="47"/>
        <v>0</v>
      </c>
      <c r="S145" s="21">
        <f t="shared" si="47"/>
        <v>0</v>
      </c>
      <c r="T145" s="21">
        <f t="shared" si="47"/>
        <v>0</v>
      </c>
      <c r="U145" s="21">
        <f t="shared" si="47"/>
        <v>0</v>
      </c>
      <c r="V145" s="21">
        <f t="shared" si="47"/>
        <v>0</v>
      </c>
      <c r="W145" s="21">
        <f t="shared" si="47"/>
        <v>0</v>
      </c>
      <c r="X145" s="21">
        <f t="shared" si="47"/>
        <v>0</v>
      </c>
      <c r="Y145" s="21">
        <f t="shared" si="47"/>
        <v>0</v>
      </c>
      <c r="Z145" s="21">
        <f t="shared" si="47"/>
        <v>0</v>
      </c>
      <c r="AA145" s="21">
        <f t="shared" si="47"/>
        <v>0</v>
      </c>
    </row>
    <row r="146" spans="1:27" x14ac:dyDescent="0.25">
      <c r="C146" s="1"/>
      <c r="D146" s="1"/>
      <c r="E146" t="s">
        <v>68</v>
      </c>
      <c r="F146" t="s">
        <v>143</v>
      </c>
      <c r="G146" s="20"/>
      <c r="H146" s="21">
        <f>G146*(1+$G$14)*(1+H143)</f>
        <v>0</v>
      </c>
      <c r="I146" s="21">
        <f t="shared" ref="I146:AA146" si="48">H146*(1+$G$14)*(1+I143)</f>
        <v>0</v>
      </c>
      <c r="J146" s="21">
        <f t="shared" si="48"/>
        <v>0</v>
      </c>
      <c r="K146" s="21">
        <f t="shared" si="48"/>
        <v>0</v>
      </c>
      <c r="L146" s="21">
        <f t="shared" si="48"/>
        <v>0</v>
      </c>
      <c r="M146" s="21">
        <f t="shared" si="48"/>
        <v>0</v>
      </c>
      <c r="N146" s="21">
        <f t="shared" si="48"/>
        <v>0</v>
      </c>
      <c r="O146" s="21">
        <f t="shared" si="48"/>
        <v>0</v>
      </c>
      <c r="P146" s="21">
        <f t="shared" si="48"/>
        <v>0</v>
      </c>
      <c r="Q146" s="21">
        <f t="shared" si="48"/>
        <v>0</v>
      </c>
      <c r="R146" s="21">
        <f t="shared" si="48"/>
        <v>0</v>
      </c>
      <c r="S146" s="21">
        <f t="shared" si="48"/>
        <v>0</v>
      </c>
      <c r="T146" s="21">
        <f t="shared" si="48"/>
        <v>0</v>
      </c>
      <c r="U146" s="21">
        <f t="shared" si="48"/>
        <v>0</v>
      </c>
      <c r="V146" s="21">
        <f t="shared" si="48"/>
        <v>0</v>
      </c>
      <c r="W146" s="21">
        <f t="shared" si="48"/>
        <v>0</v>
      </c>
      <c r="X146" s="21">
        <f t="shared" si="48"/>
        <v>0</v>
      </c>
      <c r="Y146" s="21">
        <f t="shared" si="48"/>
        <v>0</v>
      </c>
      <c r="Z146" s="21">
        <f t="shared" si="48"/>
        <v>0</v>
      </c>
      <c r="AA146" s="21">
        <f t="shared" si="48"/>
        <v>0</v>
      </c>
    </row>
    <row r="147" spans="1:27" x14ac:dyDescent="0.25">
      <c r="C147" s="1"/>
      <c r="D147" s="1"/>
      <c r="E147" t="s">
        <v>142</v>
      </c>
      <c r="F147" t="s">
        <v>143</v>
      </c>
      <c r="G147" s="20"/>
      <c r="H147" s="21">
        <f>G147*(1+$G$14)*(1+H143)</f>
        <v>0</v>
      </c>
      <c r="I147" s="21">
        <f t="shared" ref="I147:AA147" si="49">H147*(1+$G$14)*(1+I143)</f>
        <v>0</v>
      </c>
      <c r="J147" s="21">
        <f t="shared" si="49"/>
        <v>0</v>
      </c>
      <c r="K147" s="21">
        <f t="shared" si="49"/>
        <v>0</v>
      </c>
      <c r="L147" s="21">
        <f t="shared" si="49"/>
        <v>0</v>
      </c>
      <c r="M147" s="21">
        <f t="shared" si="49"/>
        <v>0</v>
      </c>
      <c r="N147" s="21">
        <f t="shared" si="49"/>
        <v>0</v>
      </c>
      <c r="O147" s="21">
        <f t="shared" si="49"/>
        <v>0</v>
      </c>
      <c r="P147" s="21">
        <f t="shared" si="49"/>
        <v>0</v>
      </c>
      <c r="Q147" s="21">
        <f t="shared" si="49"/>
        <v>0</v>
      </c>
      <c r="R147" s="21">
        <f t="shared" si="49"/>
        <v>0</v>
      </c>
      <c r="S147" s="21">
        <f t="shared" si="49"/>
        <v>0</v>
      </c>
      <c r="T147" s="21">
        <f t="shared" si="49"/>
        <v>0</v>
      </c>
      <c r="U147" s="21">
        <f t="shared" si="49"/>
        <v>0</v>
      </c>
      <c r="V147" s="21">
        <f t="shared" si="49"/>
        <v>0</v>
      </c>
      <c r="W147" s="21">
        <f t="shared" si="49"/>
        <v>0</v>
      </c>
      <c r="X147" s="21">
        <f t="shared" si="49"/>
        <v>0</v>
      </c>
      <c r="Y147" s="21">
        <f t="shared" si="49"/>
        <v>0</v>
      </c>
      <c r="Z147" s="21">
        <f t="shared" si="49"/>
        <v>0</v>
      </c>
      <c r="AA147" s="21">
        <f t="shared" si="49"/>
        <v>0</v>
      </c>
    </row>
    <row r="148" spans="1:27" x14ac:dyDescent="0.25">
      <c r="C148" s="1"/>
      <c r="D148" s="1"/>
    </row>
    <row r="149" spans="1:27" x14ac:dyDescent="0.25">
      <c r="C149" s="1"/>
      <c r="D149" s="1"/>
      <c r="E149" t="s">
        <v>75</v>
      </c>
      <c r="F149" t="s">
        <v>58</v>
      </c>
      <c r="H149" s="2">
        <f>SUM(H140:H142)/1000</f>
        <v>0</v>
      </c>
      <c r="I149" s="2">
        <f t="shared" ref="I149:AA149" si="50">SUM(I140:I142)/1000</f>
        <v>0</v>
      </c>
      <c r="J149" s="2">
        <f t="shared" si="50"/>
        <v>0</v>
      </c>
      <c r="K149" s="2">
        <f t="shared" si="50"/>
        <v>0</v>
      </c>
      <c r="L149" s="2">
        <f t="shared" si="50"/>
        <v>0</v>
      </c>
      <c r="M149" s="2">
        <f t="shared" si="50"/>
        <v>0</v>
      </c>
      <c r="N149" s="2">
        <f t="shared" si="50"/>
        <v>0</v>
      </c>
      <c r="O149" s="2">
        <f t="shared" si="50"/>
        <v>0</v>
      </c>
      <c r="P149" s="2">
        <f t="shared" si="50"/>
        <v>0</v>
      </c>
      <c r="Q149" s="2">
        <f t="shared" si="50"/>
        <v>0</v>
      </c>
      <c r="R149" s="2">
        <f t="shared" si="50"/>
        <v>0</v>
      </c>
      <c r="S149" s="2">
        <f t="shared" si="50"/>
        <v>0</v>
      </c>
      <c r="T149" s="2">
        <f t="shared" si="50"/>
        <v>0</v>
      </c>
      <c r="U149" s="2">
        <f t="shared" si="50"/>
        <v>0</v>
      </c>
      <c r="V149" s="2">
        <f t="shared" si="50"/>
        <v>0</v>
      </c>
      <c r="W149" s="2">
        <f t="shared" si="50"/>
        <v>0</v>
      </c>
      <c r="X149" s="2">
        <f t="shared" si="50"/>
        <v>0</v>
      </c>
      <c r="Y149" s="2">
        <f t="shared" si="50"/>
        <v>0</v>
      </c>
      <c r="Z149" s="2">
        <f t="shared" si="50"/>
        <v>0</v>
      </c>
      <c r="AA149" s="2">
        <f t="shared" si="50"/>
        <v>0</v>
      </c>
    </row>
    <row r="150" spans="1:27" x14ac:dyDescent="0.25">
      <c r="C150" s="1"/>
      <c r="D150" s="1"/>
      <c r="E150" t="s">
        <v>76</v>
      </c>
      <c r="F150" t="s">
        <v>7</v>
      </c>
      <c r="H150" s="2">
        <f>H133*H144+H140*H145+H141*H146+H142*H147</f>
        <v>0</v>
      </c>
      <c r="I150" s="2">
        <f t="shared" ref="I150:AA150" si="51">I133*I144+I140*I145+I141*I146+I142*I147</f>
        <v>0</v>
      </c>
      <c r="J150" s="2">
        <f t="shared" si="51"/>
        <v>0</v>
      </c>
      <c r="K150" s="2">
        <f t="shared" si="51"/>
        <v>0</v>
      </c>
      <c r="L150" s="2">
        <f t="shared" si="51"/>
        <v>0</v>
      </c>
      <c r="M150" s="2">
        <f t="shared" si="51"/>
        <v>0</v>
      </c>
      <c r="N150" s="2">
        <f t="shared" si="51"/>
        <v>0</v>
      </c>
      <c r="O150" s="2">
        <f t="shared" si="51"/>
        <v>0</v>
      </c>
      <c r="P150" s="2">
        <f t="shared" si="51"/>
        <v>0</v>
      </c>
      <c r="Q150" s="2">
        <f t="shared" si="51"/>
        <v>0</v>
      </c>
      <c r="R150" s="2">
        <f t="shared" si="51"/>
        <v>0</v>
      </c>
      <c r="S150" s="2">
        <f t="shared" si="51"/>
        <v>0</v>
      </c>
      <c r="T150" s="2">
        <f t="shared" si="51"/>
        <v>0</v>
      </c>
      <c r="U150" s="2">
        <f t="shared" si="51"/>
        <v>0</v>
      </c>
      <c r="V150" s="2">
        <f t="shared" si="51"/>
        <v>0</v>
      </c>
      <c r="W150" s="2">
        <f t="shared" si="51"/>
        <v>0</v>
      </c>
      <c r="X150" s="2">
        <f t="shared" si="51"/>
        <v>0</v>
      </c>
      <c r="Y150" s="2">
        <f t="shared" si="51"/>
        <v>0</v>
      </c>
      <c r="Z150" s="2">
        <f t="shared" si="51"/>
        <v>0</v>
      </c>
      <c r="AA150" s="2">
        <f t="shared" si="51"/>
        <v>0</v>
      </c>
    </row>
    <row r="151" spans="1:27" x14ac:dyDescent="0.25">
      <c r="C151" s="1"/>
      <c r="D151" s="1"/>
    </row>
    <row r="152" spans="1:27" x14ac:dyDescent="0.25">
      <c r="C152" s="1"/>
      <c r="D152" t="s">
        <v>77</v>
      </c>
    </row>
    <row r="153" spans="1:27" x14ac:dyDescent="0.25">
      <c r="A153" s="14">
        <f>'Notes &amp; Assumptions'!A44</f>
        <v>31</v>
      </c>
      <c r="C153" s="1"/>
      <c r="D153" s="1"/>
      <c r="E153" t="s">
        <v>87</v>
      </c>
      <c r="F153" t="s">
        <v>3</v>
      </c>
      <c r="H153" s="10">
        <v>0</v>
      </c>
      <c r="I153" s="10">
        <v>0</v>
      </c>
      <c r="J153" s="10">
        <v>0</v>
      </c>
      <c r="K153" s="10">
        <v>0</v>
      </c>
      <c r="L153" s="10">
        <v>0</v>
      </c>
      <c r="M153" s="10">
        <v>0</v>
      </c>
      <c r="N153" s="10">
        <v>0</v>
      </c>
      <c r="O153" s="10">
        <v>0</v>
      </c>
      <c r="P153" s="10">
        <v>0</v>
      </c>
      <c r="Q153" s="10">
        <v>0</v>
      </c>
      <c r="R153" s="10">
        <f>AVERAGE($O153:$Q153)</f>
        <v>0</v>
      </c>
      <c r="S153" s="10">
        <f t="shared" ref="S153:V153" si="52">AVERAGE($O153:$Q153)</f>
        <v>0</v>
      </c>
      <c r="T153" s="10">
        <f t="shared" si="52"/>
        <v>0</v>
      </c>
      <c r="U153" s="10">
        <f t="shared" si="52"/>
        <v>0</v>
      </c>
      <c r="V153" s="10">
        <f t="shared" si="52"/>
        <v>0</v>
      </c>
    </row>
    <row r="154" spans="1:27" x14ac:dyDescent="0.25">
      <c r="C154" s="1"/>
      <c r="D154" s="1"/>
      <c r="E154" t="s">
        <v>60</v>
      </c>
      <c r="F154" t="s">
        <v>3</v>
      </c>
      <c r="H154" s="2">
        <f>G154+H153</f>
        <v>0</v>
      </c>
      <c r="I154" s="2">
        <f t="shared" ref="I154:AA154" si="53">H154+I153</f>
        <v>0</v>
      </c>
      <c r="J154" s="2">
        <f t="shared" si="53"/>
        <v>0</v>
      </c>
      <c r="K154" s="2">
        <f t="shared" si="53"/>
        <v>0</v>
      </c>
      <c r="L154" s="2">
        <f t="shared" si="53"/>
        <v>0</v>
      </c>
      <c r="M154" s="2">
        <f t="shared" si="53"/>
        <v>0</v>
      </c>
      <c r="N154" s="2">
        <f t="shared" si="53"/>
        <v>0</v>
      </c>
      <c r="O154" s="2">
        <f t="shared" si="53"/>
        <v>0</v>
      </c>
      <c r="P154" s="2">
        <f t="shared" si="53"/>
        <v>0</v>
      </c>
      <c r="Q154" s="2">
        <f t="shared" si="53"/>
        <v>0</v>
      </c>
      <c r="R154" s="2">
        <f t="shared" si="53"/>
        <v>0</v>
      </c>
      <c r="S154" s="2">
        <f t="shared" si="53"/>
        <v>0</v>
      </c>
      <c r="T154" s="2">
        <f t="shared" si="53"/>
        <v>0</v>
      </c>
      <c r="U154" s="2">
        <f t="shared" si="53"/>
        <v>0</v>
      </c>
      <c r="V154" s="2">
        <f t="shared" si="53"/>
        <v>0</v>
      </c>
      <c r="W154" s="2">
        <f t="shared" si="53"/>
        <v>0</v>
      </c>
      <c r="X154" s="2">
        <f t="shared" si="53"/>
        <v>0</v>
      </c>
      <c r="Y154" s="2">
        <f t="shared" si="53"/>
        <v>0</v>
      </c>
      <c r="Z154" s="2">
        <f t="shared" si="53"/>
        <v>0</v>
      </c>
      <c r="AA154" s="2">
        <f t="shared" si="53"/>
        <v>0</v>
      </c>
    </row>
    <row r="155" spans="1:27" x14ac:dyDescent="0.25">
      <c r="A155" s="14">
        <f>'Notes &amp; Assumptions'!A45</f>
        <v>32</v>
      </c>
      <c r="C155" s="1"/>
      <c r="D155" s="1"/>
      <c r="E155" t="s">
        <v>61</v>
      </c>
      <c r="F155" t="s">
        <v>3</v>
      </c>
      <c r="G155" s="10">
        <v>1</v>
      </c>
    </row>
    <row r="156" spans="1:27" x14ac:dyDescent="0.25">
      <c r="C156" s="1"/>
      <c r="D156" s="1"/>
      <c r="E156" t="s">
        <v>88</v>
      </c>
      <c r="F156" t="s">
        <v>3</v>
      </c>
      <c r="H156">
        <f>H153*$G155</f>
        <v>0</v>
      </c>
      <c r="I156">
        <f t="shared" ref="I156:AA156" si="54">I153*$G155</f>
        <v>0</v>
      </c>
      <c r="J156">
        <f t="shared" si="54"/>
        <v>0</v>
      </c>
      <c r="K156">
        <f t="shared" si="54"/>
        <v>0</v>
      </c>
      <c r="L156">
        <f t="shared" si="54"/>
        <v>0</v>
      </c>
      <c r="M156">
        <f t="shared" si="54"/>
        <v>0</v>
      </c>
      <c r="N156">
        <f t="shared" si="54"/>
        <v>0</v>
      </c>
      <c r="O156">
        <f t="shared" si="54"/>
        <v>0</v>
      </c>
      <c r="P156">
        <f t="shared" si="54"/>
        <v>0</v>
      </c>
      <c r="Q156">
        <f t="shared" si="54"/>
        <v>0</v>
      </c>
      <c r="R156">
        <f t="shared" si="54"/>
        <v>0</v>
      </c>
      <c r="S156">
        <f t="shared" si="54"/>
        <v>0</v>
      </c>
      <c r="T156">
        <f t="shared" si="54"/>
        <v>0</v>
      </c>
      <c r="U156">
        <f t="shared" si="54"/>
        <v>0</v>
      </c>
      <c r="V156">
        <f t="shared" si="54"/>
        <v>0</v>
      </c>
      <c r="W156">
        <f t="shared" si="54"/>
        <v>0</v>
      </c>
      <c r="X156">
        <f t="shared" si="54"/>
        <v>0</v>
      </c>
      <c r="Y156">
        <f t="shared" si="54"/>
        <v>0</v>
      </c>
      <c r="Z156">
        <f t="shared" si="54"/>
        <v>0</v>
      </c>
      <c r="AA156">
        <f t="shared" si="54"/>
        <v>0</v>
      </c>
    </row>
    <row r="157" spans="1:27" x14ac:dyDescent="0.25">
      <c r="C157" s="1"/>
      <c r="D157" s="1"/>
      <c r="E157" t="s">
        <v>89</v>
      </c>
      <c r="F157" t="s">
        <v>3</v>
      </c>
      <c r="H157">
        <f>H154*$G155</f>
        <v>0</v>
      </c>
      <c r="I157">
        <f t="shared" ref="I157:AA157" si="55">I154*$G155</f>
        <v>0</v>
      </c>
      <c r="J157">
        <f t="shared" si="55"/>
        <v>0</v>
      </c>
      <c r="K157">
        <f t="shared" si="55"/>
        <v>0</v>
      </c>
      <c r="L157">
        <f t="shared" si="55"/>
        <v>0</v>
      </c>
      <c r="M157">
        <f t="shared" si="55"/>
        <v>0</v>
      </c>
      <c r="N157">
        <f t="shared" si="55"/>
        <v>0</v>
      </c>
      <c r="O157">
        <f t="shared" si="55"/>
        <v>0</v>
      </c>
      <c r="P157">
        <f t="shared" si="55"/>
        <v>0</v>
      </c>
      <c r="Q157">
        <f t="shared" si="55"/>
        <v>0</v>
      </c>
      <c r="R157">
        <f t="shared" si="55"/>
        <v>0</v>
      </c>
      <c r="S157">
        <f t="shared" si="55"/>
        <v>0</v>
      </c>
      <c r="T157">
        <f t="shared" si="55"/>
        <v>0</v>
      </c>
      <c r="U157">
        <f t="shared" si="55"/>
        <v>0</v>
      </c>
      <c r="V157">
        <f t="shared" si="55"/>
        <v>0</v>
      </c>
      <c r="W157">
        <f t="shared" si="55"/>
        <v>0</v>
      </c>
      <c r="X157">
        <f t="shared" si="55"/>
        <v>0</v>
      </c>
      <c r="Y157">
        <f t="shared" si="55"/>
        <v>0</v>
      </c>
      <c r="Z157">
        <f t="shared" si="55"/>
        <v>0</v>
      </c>
      <c r="AA157">
        <f t="shared" si="55"/>
        <v>0</v>
      </c>
    </row>
    <row r="158" spans="1:27" x14ac:dyDescent="0.25">
      <c r="A158" s="14">
        <f>'Notes &amp; Assumptions'!A46</f>
        <v>33</v>
      </c>
      <c r="C158" s="1"/>
      <c r="D158" s="1"/>
      <c r="E158" t="s">
        <v>62</v>
      </c>
      <c r="F158" t="s">
        <v>43</v>
      </c>
      <c r="H158" s="10"/>
      <c r="I158" s="10"/>
      <c r="J158" s="10"/>
      <c r="K158" s="10"/>
      <c r="L158" s="10"/>
      <c r="M158" s="10"/>
      <c r="N158" s="10"/>
      <c r="O158" s="10"/>
      <c r="P158" s="10"/>
      <c r="Q158" s="10"/>
      <c r="R158" s="10"/>
      <c r="S158" s="10"/>
      <c r="T158" s="10"/>
      <c r="U158" s="10"/>
      <c r="V158" s="10"/>
      <c r="W158" s="10"/>
      <c r="X158" s="10"/>
      <c r="Y158" s="10"/>
      <c r="Z158" s="10"/>
      <c r="AA158" s="10"/>
    </row>
    <row r="159" spans="1:27" x14ac:dyDescent="0.25">
      <c r="C159" s="1"/>
      <c r="D159" s="1"/>
      <c r="E159" t="s">
        <v>63</v>
      </c>
      <c r="F159" t="s">
        <v>43</v>
      </c>
      <c r="H159" s="10"/>
      <c r="I159" s="10"/>
      <c r="J159" s="10"/>
      <c r="K159" s="10"/>
      <c r="L159" s="10"/>
      <c r="M159" s="10"/>
      <c r="N159" s="10"/>
      <c r="O159" s="10"/>
      <c r="P159" s="10"/>
      <c r="Q159" s="10"/>
      <c r="R159" s="10"/>
      <c r="S159" s="10"/>
      <c r="T159" s="10"/>
      <c r="U159" s="10"/>
      <c r="V159" s="10"/>
      <c r="W159" s="10"/>
      <c r="X159" s="10"/>
      <c r="Y159" s="10"/>
      <c r="Z159" s="10"/>
      <c r="AA159" s="10"/>
    </row>
    <row r="160" spans="1:27" x14ac:dyDescent="0.25">
      <c r="A160" s="14">
        <f>'Notes &amp; Assumptions'!A47</f>
        <v>34</v>
      </c>
      <c r="C160" s="1"/>
      <c r="D160" s="1"/>
      <c r="E160" t="s">
        <v>140</v>
      </c>
      <c r="F160" t="s">
        <v>43</v>
      </c>
      <c r="H160" s="10"/>
      <c r="I160" s="10"/>
      <c r="J160" s="10"/>
      <c r="K160" s="10"/>
      <c r="L160" s="10"/>
      <c r="M160" s="10"/>
      <c r="N160" s="10"/>
      <c r="O160" s="10"/>
      <c r="P160" s="10"/>
      <c r="Q160" s="10"/>
      <c r="R160" s="10"/>
      <c r="S160" s="10"/>
      <c r="T160" s="10"/>
      <c r="U160" s="10"/>
      <c r="V160" s="10"/>
      <c r="W160" s="10"/>
      <c r="X160" s="10"/>
      <c r="Y160" s="10"/>
      <c r="Z160" s="10"/>
      <c r="AA160" s="10"/>
    </row>
    <row r="161" spans="1:27" x14ac:dyDescent="0.25">
      <c r="C161" s="1"/>
      <c r="D161" s="1"/>
      <c r="E161" t="s">
        <v>64</v>
      </c>
      <c r="F161" t="s">
        <v>144</v>
      </c>
      <c r="H161" s="2">
        <f>H154*H158</f>
        <v>0</v>
      </c>
      <c r="I161" s="2">
        <f t="shared" ref="I161:AA161" si="56">I154*I158</f>
        <v>0</v>
      </c>
      <c r="J161" s="2">
        <f t="shared" si="56"/>
        <v>0</v>
      </c>
      <c r="K161" s="2">
        <f t="shared" si="56"/>
        <v>0</v>
      </c>
      <c r="L161" s="2">
        <f t="shared" si="56"/>
        <v>0</v>
      </c>
      <c r="M161" s="2">
        <f t="shared" si="56"/>
        <v>0</v>
      </c>
      <c r="N161" s="2">
        <f t="shared" si="56"/>
        <v>0</v>
      </c>
      <c r="O161" s="2">
        <f t="shared" si="56"/>
        <v>0</v>
      </c>
      <c r="P161" s="2">
        <f t="shared" si="56"/>
        <v>0</v>
      </c>
      <c r="Q161" s="2">
        <f t="shared" si="56"/>
        <v>0</v>
      </c>
      <c r="R161" s="2">
        <f t="shared" si="56"/>
        <v>0</v>
      </c>
      <c r="S161" s="2">
        <f t="shared" si="56"/>
        <v>0</v>
      </c>
      <c r="T161" s="2">
        <f t="shared" si="56"/>
        <v>0</v>
      </c>
      <c r="U161" s="2">
        <f t="shared" si="56"/>
        <v>0</v>
      </c>
      <c r="V161" s="2">
        <f t="shared" si="56"/>
        <v>0</v>
      </c>
      <c r="W161" s="2">
        <f t="shared" si="56"/>
        <v>0</v>
      </c>
      <c r="X161" s="2">
        <f t="shared" si="56"/>
        <v>0</v>
      </c>
      <c r="Y161" s="2">
        <f t="shared" si="56"/>
        <v>0</v>
      </c>
      <c r="Z161" s="2">
        <f t="shared" si="56"/>
        <v>0</v>
      </c>
      <c r="AA161" s="2">
        <f t="shared" si="56"/>
        <v>0</v>
      </c>
    </row>
    <row r="162" spans="1:27" x14ac:dyDescent="0.25">
      <c r="C162" s="1"/>
      <c r="D162" s="1"/>
      <c r="E162" t="s">
        <v>65</v>
      </c>
      <c r="F162" t="s">
        <v>144</v>
      </c>
      <c r="H162" s="2">
        <f>H154*H159</f>
        <v>0</v>
      </c>
      <c r="I162" s="2">
        <f t="shared" ref="I162:AA162" si="57">I154*I159</f>
        <v>0</v>
      </c>
      <c r="J162" s="2">
        <f t="shared" si="57"/>
        <v>0</v>
      </c>
      <c r="K162" s="2">
        <f t="shared" si="57"/>
        <v>0</v>
      </c>
      <c r="L162" s="2">
        <f t="shared" si="57"/>
        <v>0</v>
      </c>
      <c r="M162" s="2">
        <f t="shared" si="57"/>
        <v>0</v>
      </c>
      <c r="N162" s="2">
        <f t="shared" si="57"/>
        <v>0</v>
      </c>
      <c r="O162" s="2">
        <f t="shared" si="57"/>
        <v>0</v>
      </c>
      <c r="P162" s="2">
        <f t="shared" si="57"/>
        <v>0</v>
      </c>
      <c r="Q162" s="2">
        <f t="shared" si="57"/>
        <v>0</v>
      </c>
      <c r="R162" s="2">
        <f t="shared" si="57"/>
        <v>0</v>
      </c>
      <c r="S162" s="2">
        <f t="shared" si="57"/>
        <v>0</v>
      </c>
      <c r="T162" s="2">
        <f t="shared" si="57"/>
        <v>0</v>
      </c>
      <c r="U162" s="2">
        <f t="shared" si="57"/>
        <v>0</v>
      </c>
      <c r="V162" s="2">
        <f t="shared" si="57"/>
        <v>0</v>
      </c>
      <c r="W162" s="2">
        <f t="shared" si="57"/>
        <v>0</v>
      </c>
      <c r="X162" s="2">
        <f t="shared" si="57"/>
        <v>0</v>
      </c>
      <c r="Y162" s="2">
        <f t="shared" si="57"/>
        <v>0</v>
      </c>
      <c r="Z162" s="2">
        <f t="shared" si="57"/>
        <v>0</v>
      </c>
      <c r="AA162" s="2">
        <f t="shared" si="57"/>
        <v>0</v>
      </c>
    </row>
    <row r="163" spans="1:27" x14ac:dyDescent="0.25">
      <c r="C163" s="1"/>
      <c r="D163" s="1"/>
      <c r="E163" t="s">
        <v>141</v>
      </c>
      <c r="F163" t="s">
        <v>144</v>
      </c>
      <c r="H163" s="2">
        <f>H154*H160</f>
        <v>0</v>
      </c>
      <c r="I163" s="2">
        <f t="shared" ref="I163:AA163" si="58">I154*I160</f>
        <v>0</v>
      </c>
      <c r="J163" s="2">
        <f t="shared" si="58"/>
        <v>0</v>
      </c>
      <c r="K163" s="2">
        <f t="shared" si="58"/>
        <v>0</v>
      </c>
      <c r="L163" s="2">
        <f t="shared" si="58"/>
        <v>0</v>
      </c>
      <c r="M163" s="2">
        <f t="shared" si="58"/>
        <v>0</v>
      </c>
      <c r="N163" s="2">
        <f t="shared" si="58"/>
        <v>0</v>
      </c>
      <c r="O163" s="2">
        <f t="shared" si="58"/>
        <v>0</v>
      </c>
      <c r="P163" s="2">
        <f t="shared" si="58"/>
        <v>0</v>
      </c>
      <c r="Q163" s="2">
        <f t="shared" si="58"/>
        <v>0</v>
      </c>
      <c r="R163" s="2">
        <f t="shared" si="58"/>
        <v>0</v>
      </c>
      <c r="S163" s="2">
        <f t="shared" si="58"/>
        <v>0</v>
      </c>
      <c r="T163" s="2">
        <f t="shared" si="58"/>
        <v>0</v>
      </c>
      <c r="U163" s="2">
        <f t="shared" si="58"/>
        <v>0</v>
      </c>
      <c r="V163" s="2">
        <f t="shared" si="58"/>
        <v>0</v>
      </c>
      <c r="W163" s="2">
        <f t="shared" si="58"/>
        <v>0</v>
      </c>
      <c r="X163" s="2">
        <f t="shared" si="58"/>
        <v>0</v>
      </c>
      <c r="Y163" s="2">
        <f t="shared" si="58"/>
        <v>0</v>
      </c>
      <c r="Z163" s="2">
        <f t="shared" si="58"/>
        <v>0</v>
      </c>
      <c r="AA163" s="2">
        <f t="shared" si="58"/>
        <v>0</v>
      </c>
    </row>
    <row r="164" spans="1:27" x14ac:dyDescent="0.25">
      <c r="A164" s="14">
        <f>'Notes &amp; Assumptions'!A48</f>
        <v>35</v>
      </c>
      <c r="C164" s="1"/>
      <c r="D164" s="1"/>
      <c r="E164" t="s">
        <v>66</v>
      </c>
      <c r="F164" t="s">
        <v>8</v>
      </c>
      <c r="H164" s="11"/>
      <c r="I164" s="11"/>
      <c r="J164" s="11"/>
      <c r="K164" s="11"/>
      <c r="L164" s="11"/>
      <c r="M164" s="11"/>
      <c r="N164" s="11"/>
      <c r="O164" s="11"/>
      <c r="P164" s="11"/>
      <c r="Q164" s="11"/>
      <c r="R164" s="11"/>
      <c r="S164" s="11"/>
      <c r="T164" s="11"/>
      <c r="U164" s="11"/>
      <c r="V164" s="11"/>
      <c r="W164" s="11"/>
      <c r="X164" s="11"/>
      <c r="Y164" s="11"/>
      <c r="Z164" s="11"/>
      <c r="AA164" s="11"/>
    </row>
    <row r="165" spans="1:27" x14ac:dyDescent="0.25">
      <c r="A165" s="14">
        <f>'Notes &amp; Assumptions'!A49</f>
        <v>36</v>
      </c>
      <c r="C165" s="1"/>
      <c r="D165" s="1"/>
      <c r="E165" t="s">
        <v>40</v>
      </c>
      <c r="F165" t="s">
        <v>41</v>
      </c>
      <c r="G165" s="10"/>
      <c r="H165" s="2">
        <f>G165*(1+$G$14)*(1+H164)</f>
        <v>0</v>
      </c>
      <c r="I165" s="2">
        <f t="shared" ref="I165:AA165" si="59">H165*(1+$G$14)*(1+I164)</f>
        <v>0</v>
      </c>
      <c r="J165" s="2">
        <f t="shared" si="59"/>
        <v>0</v>
      </c>
      <c r="K165" s="2">
        <f t="shared" si="59"/>
        <v>0</v>
      </c>
      <c r="L165" s="2">
        <f t="shared" si="59"/>
        <v>0</v>
      </c>
      <c r="M165" s="2">
        <f t="shared" si="59"/>
        <v>0</v>
      </c>
      <c r="N165" s="2">
        <f t="shared" si="59"/>
        <v>0</v>
      </c>
      <c r="O165" s="2">
        <f t="shared" si="59"/>
        <v>0</v>
      </c>
      <c r="P165" s="2">
        <f t="shared" si="59"/>
        <v>0</v>
      </c>
      <c r="Q165" s="2">
        <f t="shared" si="59"/>
        <v>0</v>
      </c>
      <c r="R165" s="2">
        <f t="shared" si="59"/>
        <v>0</v>
      </c>
      <c r="S165" s="2">
        <f t="shared" si="59"/>
        <v>0</v>
      </c>
      <c r="T165" s="2">
        <f t="shared" si="59"/>
        <v>0</v>
      </c>
      <c r="U165" s="2">
        <f t="shared" si="59"/>
        <v>0</v>
      </c>
      <c r="V165" s="2">
        <f t="shared" si="59"/>
        <v>0</v>
      </c>
      <c r="W165" s="2">
        <f t="shared" si="59"/>
        <v>0</v>
      </c>
      <c r="X165" s="2">
        <f t="shared" si="59"/>
        <v>0</v>
      </c>
      <c r="Y165" s="2">
        <f t="shared" si="59"/>
        <v>0</v>
      </c>
      <c r="Z165" s="2">
        <f t="shared" si="59"/>
        <v>0</v>
      </c>
      <c r="AA165" s="2">
        <f t="shared" si="59"/>
        <v>0</v>
      </c>
    </row>
    <row r="166" spans="1:27" x14ac:dyDescent="0.25">
      <c r="C166" s="1"/>
      <c r="D166" s="1"/>
      <c r="E166" t="s">
        <v>67</v>
      </c>
      <c r="F166" t="s">
        <v>143</v>
      </c>
      <c r="G166" s="20"/>
      <c r="H166" s="21">
        <f>G166*(1+$G$14)*(1+H164)</f>
        <v>0</v>
      </c>
      <c r="I166" s="21">
        <f t="shared" ref="I166:AA166" si="60">H166*(1+$G$14)*(1+I164)</f>
        <v>0</v>
      </c>
      <c r="J166" s="21">
        <f t="shared" si="60"/>
        <v>0</v>
      </c>
      <c r="K166" s="21">
        <f t="shared" si="60"/>
        <v>0</v>
      </c>
      <c r="L166" s="21">
        <f t="shared" si="60"/>
        <v>0</v>
      </c>
      <c r="M166" s="21">
        <f t="shared" si="60"/>
        <v>0</v>
      </c>
      <c r="N166" s="21">
        <f t="shared" si="60"/>
        <v>0</v>
      </c>
      <c r="O166" s="21">
        <f t="shared" si="60"/>
        <v>0</v>
      </c>
      <c r="P166" s="21">
        <f t="shared" si="60"/>
        <v>0</v>
      </c>
      <c r="Q166" s="21">
        <f t="shared" si="60"/>
        <v>0</v>
      </c>
      <c r="R166" s="21">
        <f t="shared" si="60"/>
        <v>0</v>
      </c>
      <c r="S166" s="21">
        <f t="shared" si="60"/>
        <v>0</v>
      </c>
      <c r="T166" s="21">
        <f t="shared" si="60"/>
        <v>0</v>
      </c>
      <c r="U166" s="21">
        <f t="shared" si="60"/>
        <v>0</v>
      </c>
      <c r="V166" s="21">
        <f t="shared" si="60"/>
        <v>0</v>
      </c>
      <c r="W166" s="21">
        <f t="shared" si="60"/>
        <v>0</v>
      </c>
      <c r="X166" s="21">
        <f t="shared" si="60"/>
        <v>0</v>
      </c>
      <c r="Y166" s="21">
        <f t="shared" si="60"/>
        <v>0</v>
      </c>
      <c r="Z166" s="21">
        <f t="shared" si="60"/>
        <v>0</v>
      </c>
      <c r="AA166" s="21">
        <f t="shared" si="60"/>
        <v>0</v>
      </c>
    </row>
    <row r="167" spans="1:27" x14ac:dyDescent="0.25">
      <c r="C167" s="1"/>
      <c r="D167" s="1"/>
      <c r="E167" t="s">
        <v>68</v>
      </c>
      <c r="F167" t="s">
        <v>143</v>
      </c>
      <c r="G167" s="20"/>
      <c r="H167" s="21">
        <f>G167*(1+$G$14)*(1+H164)</f>
        <v>0</v>
      </c>
      <c r="I167" s="21">
        <f t="shared" ref="I167:AA167" si="61">H167*(1+$G$14)*(1+I164)</f>
        <v>0</v>
      </c>
      <c r="J167" s="21">
        <f t="shared" si="61"/>
        <v>0</v>
      </c>
      <c r="K167" s="21">
        <f t="shared" si="61"/>
        <v>0</v>
      </c>
      <c r="L167" s="21">
        <f t="shared" si="61"/>
        <v>0</v>
      </c>
      <c r="M167" s="21">
        <f t="shared" si="61"/>
        <v>0</v>
      </c>
      <c r="N167" s="21">
        <f t="shared" si="61"/>
        <v>0</v>
      </c>
      <c r="O167" s="21">
        <f t="shared" si="61"/>
        <v>0</v>
      </c>
      <c r="P167" s="21">
        <f t="shared" si="61"/>
        <v>0</v>
      </c>
      <c r="Q167" s="21">
        <f t="shared" si="61"/>
        <v>0</v>
      </c>
      <c r="R167" s="21">
        <f t="shared" si="61"/>
        <v>0</v>
      </c>
      <c r="S167" s="21">
        <f t="shared" si="61"/>
        <v>0</v>
      </c>
      <c r="T167" s="21">
        <f t="shared" si="61"/>
        <v>0</v>
      </c>
      <c r="U167" s="21">
        <f t="shared" si="61"/>
        <v>0</v>
      </c>
      <c r="V167" s="21">
        <f t="shared" si="61"/>
        <v>0</v>
      </c>
      <c r="W167" s="21">
        <f t="shared" si="61"/>
        <v>0</v>
      </c>
      <c r="X167" s="21">
        <f t="shared" si="61"/>
        <v>0</v>
      </c>
      <c r="Y167" s="21">
        <f t="shared" si="61"/>
        <v>0</v>
      </c>
      <c r="Z167" s="21">
        <f t="shared" si="61"/>
        <v>0</v>
      </c>
      <c r="AA167" s="21">
        <f t="shared" si="61"/>
        <v>0</v>
      </c>
    </row>
    <row r="168" spans="1:27" x14ac:dyDescent="0.25">
      <c r="C168" s="1"/>
      <c r="D168" s="1"/>
      <c r="E168" t="s">
        <v>142</v>
      </c>
      <c r="F168" t="s">
        <v>143</v>
      </c>
      <c r="G168" s="20"/>
      <c r="H168" s="21">
        <f>G168*(1+$G$14)*(1+H164)</f>
        <v>0</v>
      </c>
      <c r="I168" s="21">
        <f t="shared" ref="I168:AA168" si="62">H168*(1+$G$14)*(1+I164)</f>
        <v>0</v>
      </c>
      <c r="J168" s="21">
        <f t="shared" si="62"/>
        <v>0</v>
      </c>
      <c r="K168" s="21">
        <f t="shared" si="62"/>
        <v>0</v>
      </c>
      <c r="L168" s="21">
        <f t="shared" si="62"/>
        <v>0</v>
      </c>
      <c r="M168" s="21">
        <f t="shared" si="62"/>
        <v>0</v>
      </c>
      <c r="N168" s="21">
        <f t="shared" si="62"/>
        <v>0</v>
      </c>
      <c r="O168" s="21">
        <f t="shared" si="62"/>
        <v>0</v>
      </c>
      <c r="P168" s="21">
        <f t="shared" si="62"/>
        <v>0</v>
      </c>
      <c r="Q168" s="21">
        <f t="shared" si="62"/>
        <v>0</v>
      </c>
      <c r="R168" s="21">
        <f t="shared" si="62"/>
        <v>0</v>
      </c>
      <c r="S168" s="21">
        <f t="shared" si="62"/>
        <v>0</v>
      </c>
      <c r="T168" s="21">
        <f t="shared" si="62"/>
        <v>0</v>
      </c>
      <c r="U168" s="21">
        <f t="shared" si="62"/>
        <v>0</v>
      </c>
      <c r="V168" s="21">
        <f t="shared" si="62"/>
        <v>0</v>
      </c>
      <c r="W168" s="21">
        <f t="shared" si="62"/>
        <v>0</v>
      </c>
      <c r="X168" s="21">
        <f t="shared" si="62"/>
        <v>0</v>
      </c>
      <c r="Y168" s="21">
        <f t="shared" si="62"/>
        <v>0</v>
      </c>
      <c r="Z168" s="21">
        <f t="shared" si="62"/>
        <v>0</v>
      </c>
      <c r="AA168" s="21">
        <f t="shared" si="62"/>
        <v>0</v>
      </c>
    </row>
    <row r="169" spans="1:27" x14ac:dyDescent="0.25">
      <c r="C169" s="1"/>
      <c r="D169" s="1"/>
    </row>
    <row r="170" spans="1:27" x14ac:dyDescent="0.25">
      <c r="C170" s="1"/>
      <c r="D170" s="1"/>
      <c r="E170" t="s">
        <v>78</v>
      </c>
      <c r="F170" t="s">
        <v>58</v>
      </c>
      <c r="H170" s="2">
        <f>SUM(H161:H163)/1000</f>
        <v>0</v>
      </c>
      <c r="I170" s="2">
        <f t="shared" ref="I170:AA170" si="63">SUM(I161:I163)/1000</f>
        <v>0</v>
      </c>
      <c r="J170" s="2">
        <f t="shared" si="63"/>
        <v>0</v>
      </c>
      <c r="K170" s="2">
        <f t="shared" si="63"/>
        <v>0</v>
      </c>
      <c r="L170" s="2">
        <f t="shared" si="63"/>
        <v>0</v>
      </c>
      <c r="M170" s="2">
        <f t="shared" si="63"/>
        <v>0</v>
      </c>
      <c r="N170" s="2">
        <f t="shared" si="63"/>
        <v>0</v>
      </c>
      <c r="O170" s="2">
        <f t="shared" si="63"/>
        <v>0</v>
      </c>
      <c r="P170" s="2">
        <f t="shared" si="63"/>
        <v>0</v>
      </c>
      <c r="Q170" s="2">
        <f t="shared" si="63"/>
        <v>0</v>
      </c>
      <c r="R170" s="2">
        <f t="shared" si="63"/>
        <v>0</v>
      </c>
      <c r="S170" s="2">
        <f t="shared" si="63"/>
        <v>0</v>
      </c>
      <c r="T170" s="2">
        <f t="shared" si="63"/>
        <v>0</v>
      </c>
      <c r="U170" s="2">
        <f t="shared" si="63"/>
        <v>0</v>
      </c>
      <c r="V170" s="2">
        <f t="shared" si="63"/>
        <v>0</v>
      </c>
      <c r="W170" s="2">
        <f t="shared" si="63"/>
        <v>0</v>
      </c>
      <c r="X170" s="2">
        <f t="shared" si="63"/>
        <v>0</v>
      </c>
      <c r="Y170" s="2">
        <f t="shared" si="63"/>
        <v>0</v>
      </c>
      <c r="Z170" s="2">
        <f t="shared" si="63"/>
        <v>0</v>
      </c>
      <c r="AA170" s="2">
        <f t="shared" si="63"/>
        <v>0</v>
      </c>
    </row>
    <row r="171" spans="1:27" x14ac:dyDescent="0.25">
      <c r="C171" s="1"/>
      <c r="D171" s="1"/>
      <c r="E171" t="s">
        <v>79</v>
      </c>
      <c r="F171" t="s">
        <v>7</v>
      </c>
      <c r="H171" s="2">
        <f>H154*H165+H161*H166+H162*H167+H163*H168</f>
        <v>0</v>
      </c>
      <c r="I171" s="2">
        <f t="shared" ref="I171:AA171" si="64">I154*I165+I161*I166+I162*I167+I163*I168</f>
        <v>0</v>
      </c>
      <c r="J171" s="2">
        <f t="shared" si="64"/>
        <v>0</v>
      </c>
      <c r="K171" s="2">
        <f t="shared" si="64"/>
        <v>0</v>
      </c>
      <c r="L171" s="2">
        <f t="shared" si="64"/>
        <v>0</v>
      </c>
      <c r="M171" s="2">
        <f t="shared" si="64"/>
        <v>0</v>
      </c>
      <c r="N171" s="2">
        <f t="shared" si="64"/>
        <v>0</v>
      </c>
      <c r="O171" s="2">
        <f t="shared" si="64"/>
        <v>0</v>
      </c>
      <c r="P171" s="2">
        <f t="shared" si="64"/>
        <v>0</v>
      </c>
      <c r="Q171" s="2">
        <f t="shared" si="64"/>
        <v>0</v>
      </c>
      <c r="R171" s="2">
        <f t="shared" si="64"/>
        <v>0</v>
      </c>
      <c r="S171" s="2">
        <f t="shared" si="64"/>
        <v>0</v>
      </c>
      <c r="T171" s="2">
        <f t="shared" si="64"/>
        <v>0</v>
      </c>
      <c r="U171" s="2">
        <f t="shared" si="64"/>
        <v>0</v>
      </c>
      <c r="V171" s="2">
        <f t="shared" si="64"/>
        <v>0</v>
      </c>
      <c r="W171" s="2">
        <f t="shared" si="64"/>
        <v>0</v>
      </c>
      <c r="X171" s="2">
        <f t="shared" si="64"/>
        <v>0</v>
      </c>
      <c r="Y171" s="2">
        <f t="shared" si="64"/>
        <v>0</v>
      </c>
      <c r="Z171" s="2">
        <f t="shared" si="64"/>
        <v>0</v>
      </c>
      <c r="AA171" s="2">
        <f t="shared" si="64"/>
        <v>0</v>
      </c>
    </row>
    <row r="172" spans="1:27" x14ac:dyDescent="0.25">
      <c r="C172" s="1"/>
      <c r="D172" s="1"/>
    </row>
    <row r="173" spans="1:27" x14ac:dyDescent="0.25">
      <c r="C173" s="1"/>
      <c r="D173" t="s">
        <v>80</v>
      </c>
    </row>
    <row r="174" spans="1:27" x14ac:dyDescent="0.25">
      <c r="C174" s="1"/>
      <c r="E174" t="s">
        <v>91</v>
      </c>
      <c r="F174" t="s">
        <v>3</v>
      </c>
      <c r="H174">
        <f t="shared" ref="H174:AA175" si="65">SUM(H93,H114,H135,H156)</f>
        <v>622</v>
      </c>
      <c r="I174">
        <f t="shared" si="65"/>
        <v>620</v>
      </c>
      <c r="J174">
        <f t="shared" si="65"/>
        <v>629.5</v>
      </c>
      <c r="K174">
        <f t="shared" si="65"/>
        <v>607</v>
      </c>
      <c r="L174">
        <f t="shared" si="65"/>
        <v>583.5</v>
      </c>
      <c r="M174">
        <f t="shared" si="65"/>
        <v>561</v>
      </c>
      <c r="N174">
        <f t="shared" si="65"/>
        <v>538.5</v>
      </c>
      <c r="O174">
        <f t="shared" si="65"/>
        <v>516.5</v>
      </c>
      <c r="P174">
        <f t="shared" si="65"/>
        <v>546.5</v>
      </c>
      <c r="Q174">
        <f t="shared" si="65"/>
        <v>578.5</v>
      </c>
      <c r="R174">
        <f t="shared" si="65"/>
        <v>612.5</v>
      </c>
      <c r="S174">
        <f t="shared" si="65"/>
        <v>649</v>
      </c>
      <c r="T174">
        <f t="shared" si="65"/>
        <v>687.5</v>
      </c>
      <c r="U174">
        <f t="shared" si="65"/>
        <v>683</v>
      </c>
      <c r="V174">
        <f t="shared" si="65"/>
        <v>678</v>
      </c>
      <c r="W174">
        <f t="shared" si="65"/>
        <v>0</v>
      </c>
      <c r="X174">
        <f t="shared" si="65"/>
        <v>0</v>
      </c>
      <c r="Y174">
        <f t="shared" si="65"/>
        <v>0</v>
      </c>
      <c r="Z174">
        <f t="shared" si="65"/>
        <v>0</v>
      </c>
      <c r="AA174">
        <f t="shared" si="65"/>
        <v>0</v>
      </c>
    </row>
    <row r="175" spans="1:27" x14ac:dyDescent="0.25">
      <c r="C175" s="1"/>
      <c r="D175" s="1"/>
      <c r="E175" t="s">
        <v>90</v>
      </c>
      <c r="F175" t="s">
        <v>3</v>
      </c>
      <c r="H175">
        <f t="shared" si="65"/>
        <v>622</v>
      </c>
      <c r="I175">
        <f t="shared" si="65"/>
        <v>1242</v>
      </c>
      <c r="J175">
        <f t="shared" si="65"/>
        <v>1871.5</v>
      </c>
      <c r="K175">
        <f t="shared" si="65"/>
        <v>2478.5</v>
      </c>
      <c r="L175">
        <f t="shared" si="65"/>
        <v>3062</v>
      </c>
      <c r="M175">
        <f t="shared" si="65"/>
        <v>3623</v>
      </c>
      <c r="N175">
        <f t="shared" si="65"/>
        <v>4161.5</v>
      </c>
      <c r="O175">
        <f t="shared" si="65"/>
        <v>4678</v>
      </c>
      <c r="P175">
        <f t="shared" si="65"/>
        <v>5224.5</v>
      </c>
      <c r="Q175">
        <f t="shared" si="65"/>
        <v>5803</v>
      </c>
      <c r="R175">
        <f t="shared" si="65"/>
        <v>6415.5</v>
      </c>
      <c r="S175">
        <f t="shared" si="65"/>
        <v>7064.5</v>
      </c>
      <c r="T175">
        <f t="shared" si="65"/>
        <v>7752</v>
      </c>
      <c r="U175">
        <f t="shared" si="65"/>
        <v>8435</v>
      </c>
      <c r="V175">
        <f t="shared" si="65"/>
        <v>9113</v>
      </c>
      <c r="W175">
        <f t="shared" si="65"/>
        <v>9113</v>
      </c>
      <c r="X175">
        <f t="shared" si="65"/>
        <v>9113</v>
      </c>
      <c r="Y175">
        <f t="shared" si="65"/>
        <v>9113</v>
      </c>
      <c r="Z175">
        <f t="shared" si="65"/>
        <v>9113</v>
      </c>
      <c r="AA175">
        <f t="shared" si="65"/>
        <v>9113</v>
      </c>
    </row>
    <row r="176" spans="1:27" x14ac:dyDescent="0.25">
      <c r="C176" s="1"/>
      <c r="D176" s="1"/>
      <c r="E176" t="s">
        <v>81</v>
      </c>
      <c r="F176" t="s">
        <v>58</v>
      </c>
      <c r="H176" s="2">
        <f t="shared" ref="H176:AA177" si="66">SUM(H107,H128,H149,H170)</f>
        <v>68.42</v>
      </c>
      <c r="I176" s="2">
        <f t="shared" si="66"/>
        <v>136.62</v>
      </c>
      <c r="J176" s="2">
        <f t="shared" si="66"/>
        <v>205.86500000000001</v>
      </c>
      <c r="K176" s="2">
        <f t="shared" si="66"/>
        <v>272.63499999999999</v>
      </c>
      <c r="L176" s="2">
        <f t="shared" si="66"/>
        <v>336.82</v>
      </c>
      <c r="M176" s="2">
        <f t="shared" si="66"/>
        <v>398.53</v>
      </c>
      <c r="N176" s="2">
        <f t="shared" si="66"/>
        <v>457.76499999999999</v>
      </c>
      <c r="O176" s="2">
        <f t="shared" si="66"/>
        <v>514.58000000000004</v>
      </c>
      <c r="P176" s="2">
        <f t="shared" si="66"/>
        <v>574.69500000000005</v>
      </c>
      <c r="Q176" s="2">
        <f t="shared" si="66"/>
        <v>638.33000000000004</v>
      </c>
      <c r="R176" s="2">
        <f t="shared" si="66"/>
        <v>705.70500000000004</v>
      </c>
      <c r="S176" s="2">
        <f t="shared" si="66"/>
        <v>777.09500000000003</v>
      </c>
      <c r="T176" s="2">
        <f t="shared" si="66"/>
        <v>852.72</v>
      </c>
      <c r="U176" s="2">
        <f t="shared" si="66"/>
        <v>927.85</v>
      </c>
      <c r="V176" s="2">
        <f t="shared" si="66"/>
        <v>1002.43</v>
      </c>
      <c r="W176" s="2">
        <f t="shared" si="66"/>
        <v>1002.43</v>
      </c>
      <c r="X176" s="2">
        <f t="shared" si="66"/>
        <v>1002.43</v>
      </c>
      <c r="Y176" s="2">
        <f t="shared" si="66"/>
        <v>1002.43</v>
      </c>
      <c r="Z176" s="2">
        <f t="shared" si="66"/>
        <v>1002.43</v>
      </c>
      <c r="AA176" s="2">
        <f t="shared" si="66"/>
        <v>1002.43</v>
      </c>
    </row>
    <row r="177" spans="1:27" x14ac:dyDescent="0.25">
      <c r="C177" s="1"/>
      <c r="D177" s="1"/>
      <c r="E177" t="s">
        <v>82</v>
      </c>
      <c r="F177" t="s">
        <v>7</v>
      </c>
      <c r="H177" s="2">
        <f t="shared" si="66"/>
        <v>273540.16345632629</v>
      </c>
      <c r="I177" s="2">
        <f t="shared" si="66"/>
        <v>542390.80765110941</v>
      </c>
      <c r="J177" s="2">
        <f t="shared" si="66"/>
        <v>834461.48860382545</v>
      </c>
      <c r="K177" s="2">
        <f t="shared" si="66"/>
        <v>1128317.0014930149</v>
      </c>
      <c r="L177" s="2">
        <f t="shared" si="66"/>
        <v>1423223.6023407767</v>
      </c>
      <c r="M177" s="2">
        <f t="shared" si="66"/>
        <v>1719341.0295942284</v>
      </c>
      <c r="N177" s="2">
        <f t="shared" si="66"/>
        <v>2016365.8532277574</v>
      </c>
      <c r="O177" s="2">
        <f t="shared" si="66"/>
        <v>2314224.0081914784</v>
      </c>
      <c r="P177" s="2">
        <f t="shared" si="66"/>
        <v>2638855.7633054936</v>
      </c>
      <c r="Q177" s="2">
        <f t="shared" si="66"/>
        <v>2992603.861488272</v>
      </c>
      <c r="R177" s="2">
        <f t="shared" si="66"/>
        <v>3377947.6348300781</v>
      </c>
      <c r="S177" s="2">
        <f t="shared" si="66"/>
        <v>3797778.0061801081</v>
      </c>
      <c r="T177" s="2">
        <f t="shared" si="66"/>
        <v>4254883.2870111503</v>
      </c>
      <c r="U177" s="2">
        <f t="shared" si="66"/>
        <v>4726990.3608080195</v>
      </c>
      <c r="V177" s="2">
        <f t="shared" si="66"/>
        <v>5214188.6762729567</v>
      </c>
      <c r="W177" s="2">
        <f t="shared" si="66"/>
        <v>5323686.6384746879</v>
      </c>
      <c r="X177" s="2">
        <f t="shared" si="66"/>
        <v>5435484.0578826563</v>
      </c>
      <c r="Y177" s="2">
        <f t="shared" si="66"/>
        <v>5549629.2230981914</v>
      </c>
      <c r="Z177" s="2">
        <f t="shared" si="66"/>
        <v>5666171.4367832523</v>
      </c>
      <c r="AA177" s="2">
        <f t="shared" si="66"/>
        <v>5785161.0369557012</v>
      </c>
    </row>
    <row r="178" spans="1:27" x14ac:dyDescent="0.25">
      <c r="C178" s="1"/>
      <c r="D178" s="1"/>
    </row>
    <row r="179" spans="1:27" x14ac:dyDescent="0.25">
      <c r="C179" s="1"/>
      <c r="D179" s="1"/>
      <c r="E179" s="3" t="s">
        <v>84</v>
      </c>
      <c r="F179" s="3" t="s">
        <v>85</v>
      </c>
      <c r="G179" s="3"/>
      <c r="H179" s="9">
        <f>H176*1000/H175</f>
        <v>110</v>
      </c>
      <c r="I179" s="9">
        <f t="shared" ref="I179:AA179" si="67">I176*1000/I175</f>
        <v>110</v>
      </c>
      <c r="J179" s="9">
        <f t="shared" si="67"/>
        <v>110</v>
      </c>
      <c r="K179" s="9">
        <f t="shared" si="67"/>
        <v>110</v>
      </c>
      <c r="L179" s="9">
        <f t="shared" si="67"/>
        <v>110</v>
      </c>
      <c r="M179" s="9">
        <f t="shared" si="67"/>
        <v>110</v>
      </c>
      <c r="N179" s="9">
        <f t="shared" si="67"/>
        <v>110</v>
      </c>
      <c r="O179" s="9">
        <f t="shared" si="67"/>
        <v>110.00000000000001</v>
      </c>
      <c r="P179" s="9">
        <f t="shared" si="67"/>
        <v>110</v>
      </c>
      <c r="Q179" s="9">
        <f t="shared" si="67"/>
        <v>110</v>
      </c>
      <c r="R179" s="9">
        <f t="shared" si="67"/>
        <v>110</v>
      </c>
      <c r="S179" s="9">
        <f t="shared" si="67"/>
        <v>110</v>
      </c>
      <c r="T179" s="9">
        <f t="shared" si="67"/>
        <v>110</v>
      </c>
      <c r="U179" s="9">
        <f t="shared" si="67"/>
        <v>110</v>
      </c>
      <c r="V179" s="9">
        <f t="shared" si="67"/>
        <v>110</v>
      </c>
      <c r="W179" s="9">
        <f t="shared" si="67"/>
        <v>110</v>
      </c>
      <c r="X179" s="9">
        <f t="shared" si="67"/>
        <v>110</v>
      </c>
      <c r="Y179" s="9">
        <f t="shared" si="67"/>
        <v>110</v>
      </c>
      <c r="Z179" s="9">
        <f t="shared" si="67"/>
        <v>110</v>
      </c>
      <c r="AA179" s="9">
        <f t="shared" si="67"/>
        <v>110</v>
      </c>
    </row>
    <row r="180" spans="1:27" x14ac:dyDescent="0.25">
      <c r="C180" s="1"/>
      <c r="D180" s="1"/>
      <c r="E180" s="3" t="s">
        <v>83</v>
      </c>
      <c r="F180" s="3" t="s">
        <v>22</v>
      </c>
      <c r="G180" s="3"/>
      <c r="H180" s="9">
        <f>H177/H175</f>
        <v>439.77518240566928</v>
      </c>
      <c r="I180" s="9">
        <f t="shared" ref="I180:AA180" si="68">I177/I175</f>
        <v>436.70757459831674</v>
      </c>
      <c r="J180" s="9">
        <f t="shared" si="68"/>
        <v>445.87843366488136</v>
      </c>
      <c r="K180" s="9">
        <f t="shared" si="68"/>
        <v>455.2418807718438</v>
      </c>
      <c r="L180" s="9">
        <f t="shared" si="68"/>
        <v>464.80196026805248</v>
      </c>
      <c r="M180" s="9">
        <f t="shared" si="68"/>
        <v>474.56280143368156</v>
      </c>
      <c r="N180" s="9">
        <f t="shared" si="68"/>
        <v>484.52862026378887</v>
      </c>
      <c r="O180" s="9">
        <f t="shared" si="68"/>
        <v>494.70372128932843</v>
      </c>
      <c r="P180" s="9">
        <f t="shared" si="68"/>
        <v>505.09249943640418</v>
      </c>
      <c r="Q180" s="9">
        <f t="shared" si="68"/>
        <v>515.69944192456865</v>
      </c>
      <c r="R180" s="9">
        <f t="shared" si="68"/>
        <v>526.52913020498454</v>
      </c>
      <c r="S180" s="9">
        <f t="shared" si="68"/>
        <v>537.58624193928915</v>
      </c>
      <c r="T180" s="9">
        <f t="shared" si="68"/>
        <v>548.87555302001419</v>
      </c>
      <c r="U180" s="9">
        <f t="shared" si="68"/>
        <v>560.40193963343449</v>
      </c>
      <c r="V180" s="9">
        <f t="shared" si="68"/>
        <v>572.17038036573649</v>
      </c>
      <c r="W180" s="9">
        <f t="shared" si="68"/>
        <v>584.18595835341682</v>
      </c>
      <c r="X180" s="9">
        <f t="shared" si="68"/>
        <v>596.45386347883857</v>
      </c>
      <c r="Y180" s="9">
        <f t="shared" si="68"/>
        <v>608.97939461189412</v>
      </c>
      <c r="Z180" s="9">
        <f t="shared" si="68"/>
        <v>621.76796189874381</v>
      </c>
      <c r="AA180" s="9">
        <f t="shared" si="68"/>
        <v>634.82508909861747</v>
      </c>
    </row>
    <row r="181" spans="1:27" x14ac:dyDescent="0.25">
      <c r="C181" s="1"/>
      <c r="D181" s="1"/>
      <c r="E181" s="3" t="s">
        <v>86</v>
      </c>
      <c r="F181" s="3" t="s">
        <v>4</v>
      </c>
      <c r="G181" s="3"/>
      <c r="H181" s="9">
        <f>H177/H176</f>
        <v>3997.9562036879024</v>
      </c>
      <c r="I181" s="9">
        <f t="shared" ref="I181:AA181" si="69">I177/I176</f>
        <v>3970.0688599846976</v>
      </c>
      <c r="J181" s="9">
        <f t="shared" si="69"/>
        <v>4053.4403060443756</v>
      </c>
      <c r="K181" s="9">
        <f t="shared" si="69"/>
        <v>4138.5625524713078</v>
      </c>
      <c r="L181" s="9">
        <f t="shared" si="69"/>
        <v>4225.4723660732043</v>
      </c>
      <c r="M181" s="9">
        <f t="shared" si="69"/>
        <v>4314.2072857607418</v>
      </c>
      <c r="N181" s="9">
        <f t="shared" si="69"/>
        <v>4404.8056387617171</v>
      </c>
      <c r="O181" s="9">
        <f t="shared" si="69"/>
        <v>4497.3065571757124</v>
      </c>
      <c r="P181" s="9">
        <f t="shared" si="69"/>
        <v>4591.7499948764016</v>
      </c>
      <c r="Q181" s="9">
        <f t="shared" si="69"/>
        <v>4688.1767447688062</v>
      </c>
      <c r="R181" s="9">
        <f t="shared" si="69"/>
        <v>4786.6284564089501</v>
      </c>
      <c r="S181" s="9">
        <f t="shared" si="69"/>
        <v>4887.1476539935375</v>
      </c>
      <c r="T181" s="9">
        <f t="shared" si="69"/>
        <v>4989.7777547274018</v>
      </c>
      <c r="U181" s="9">
        <f t="shared" si="69"/>
        <v>5094.5630875766765</v>
      </c>
      <c r="V181" s="9">
        <f t="shared" si="69"/>
        <v>5201.5489124157866</v>
      </c>
      <c r="W181" s="9">
        <f t="shared" si="69"/>
        <v>5310.7814395765172</v>
      </c>
      <c r="X181" s="9">
        <f t="shared" si="69"/>
        <v>5422.3078498076238</v>
      </c>
      <c r="Y181" s="9">
        <f t="shared" si="69"/>
        <v>5536.1763146535832</v>
      </c>
      <c r="Z181" s="9">
        <f t="shared" si="69"/>
        <v>5652.4360172613078</v>
      </c>
      <c r="AA181" s="9">
        <f t="shared" si="69"/>
        <v>5771.1371736237952</v>
      </c>
    </row>
    <row r="182" spans="1:27" x14ac:dyDescent="0.25">
      <c r="C182" s="1"/>
      <c r="D182" s="1"/>
    </row>
    <row r="183" spans="1:27" x14ac:dyDescent="0.25">
      <c r="C183" s="1" t="str">
        <f>"Incremental "&amp;VLOOKUP(G4,E320:F322,2,FALSE)&amp;" Charges"</f>
        <v>Incremental Bulk Water Charges</v>
      </c>
      <c r="H183" s="2"/>
      <c r="I183" s="2"/>
      <c r="J183" s="2"/>
      <c r="K183" s="2"/>
      <c r="L183" s="2"/>
      <c r="M183" s="2"/>
      <c r="N183" s="2"/>
      <c r="O183" s="2"/>
      <c r="P183" s="2"/>
      <c r="Q183" s="2"/>
      <c r="R183" s="2"/>
      <c r="S183" s="2"/>
      <c r="T183" s="2"/>
      <c r="U183" s="2"/>
      <c r="V183" s="2"/>
      <c r="W183" s="2"/>
      <c r="X183" s="2"/>
      <c r="Y183" s="2"/>
      <c r="Z183" s="2"/>
      <c r="AA183" s="2"/>
    </row>
    <row r="184" spans="1:27" x14ac:dyDescent="0.25">
      <c r="A184" s="14">
        <f>'Notes &amp; Assumptions'!A50</f>
        <v>37</v>
      </c>
      <c r="E184" t="s">
        <v>118</v>
      </c>
      <c r="F184" t="s">
        <v>8</v>
      </c>
      <c r="H184" s="11">
        <f>'Bulk charges'!E22</f>
        <v>3.4299999999999997E-2</v>
      </c>
      <c r="I184" s="11">
        <f>'Bulk charges'!F22</f>
        <v>7.0000000000000001E-3</v>
      </c>
      <c r="J184" s="11">
        <f>'Bulk charges'!G22</f>
        <v>1.01E-2</v>
      </c>
      <c r="K184" s="11"/>
      <c r="L184" s="11"/>
      <c r="M184" s="11"/>
      <c r="N184" s="11"/>
      <c r="O184" s="11"/>
      <c r="P184" s="11"/>
      <c r="Q184" s="11"/>
      <c r="R184" s="11"/>
      <c r="S184" s="11"/>
      <c r="T184" s="11"/>
      <c r="U184" s="11"/>
      <c r="V184" s="11"/>
      <c r="W184" s="11"/>
      <c r="X184" s="11"/>
      <c r="Y184" s="11"/>
      <c r="Z184" s="11"/>
      <c r="AA184" s="11"/>
    </row>
    <row r="185" spans="1:27" x14ac:dyDescent="0.25">
      <c r="A185" s="14">
        <f>'Notes &amp; Assumptions'!A51</f>
        <v>38</v>
      </c>
      <c r="E185" t="s">
        <v>122</v>
      </c>
      <c r="F185" t="s">
        <v>4</v>
      </c>
      <c r="G185" s="10">
        <f>'Bulk charges'!D23</f>
        <v>260.27774017446001</v>
      </c>
      <c r="H185" s="2">
        <f t="shared" ref="H185:AA185" si="70">G185*(1+$G$14)*(1+H184)</f>
        <v>274.85857726235525</v>
      </c>
      <c r="I185" s="2">
        <f t="shared" si="70"/>
        <v>282.59502163655867</v>
      </c>
      <c r="J185" s="2">
        <f t="shared" si="70"/>
        <v>291.44366521354476</v>
      </c>
      <c r="K185" s="2">
        <f t="shared" si="70"/>
        <v>297.56398218302917</v>
      </c>
      <c r="L185" s="2">
        <f t="shared" si="70"/>
        <v>303.81282580887273</v>
      </c>
      <c r="M185" s="2">
        <f t="shared" si="70"/>
        <v>310.19289515085904</v>
      </c>
      <c r="N185" s="2">
        <f t="shared" si="70"/>
        <v>316.70694594902704</v>
      </c>
      <c r="O185" s="2">
        <f t="shared" si="70"/>
        <v>323.35779181395657</v>
      </c>
      <c r="P185" s="2">
        <f t="shared" si="70"/>
        <v>330.1483054420496</v>
      </c>
      <c r="Q185" s="2">
        <f t="shared" si="70"/>
        <v>337.08141985633262</v>
      </c>
      <c r="R185" s="2">
        <f t="shared" si="70"/>
        <v>344.16012967331557</v>
      </c>
      <c r="S185" s="2">
        <f t="shared" si="70"/>
        <v>351.38749239645517</v>
      </c>
      <c r="T185" s="2">
        <f t="shared" si="70"/>
        <v>358.76662973678071</v>
      </c>
      <c r="U185" s="2">
        <f t="shared" si="70"/>
        <v>366.30072896125307</v>
      </c>
      <c r="V185" s="2">
        <f t="shared" si="70"/>
        <v>373.99304426943934</v>
      </c>
      <c r="W185" s="2">
        <f t="shared" si="70"/>
        <v>381.84689819909755</v>
      </c>
      <c r="X185" s="2">
        <f t="shared" si="70"/>
        <v>389.86568306127856</v>
      </c>
      <c r="Y185" s="2">
        <f t="shared" si="70"/>
        <v>398.05286240556535</v>
      </c>
      <c r="Z185" s="2">
        <f t="shared" si="70"/>
        <v>406.41197251608219</v>
      </c>
      <c r="AA185" s="2">
        <f t="shared" si="70"/>
        <v>414.94662393891986</v>
      </c>
    </row>
    <row r="186" spans="1:27" x14ac:dyDescent="0.25">
      <c r="A186" s="14">
        <f>'Notes &amp; Assumptions'!A52</f>
        <v>39</v>
      </c>
      <c r="E186" t="s">
        <v>123</v>
      </c>
      <c r="F186" t="s">
        <v>7</v>
      </c>
      <c r="G186" s="10">
        <f>'20 New UGB Water'!G186</f>
        <v>353.9658908426249</v>
      </c>
      <c r="H186" s="10">
        <f>G186*(1+$G$14)*(H154+H133+H112+H91)</f>
        <v>224790.28657029901</v>
      </c>
      <c r="I186" s="10">
        <f>H186/(H154+H133+H112+H91)*(1+$G$14)*(I154+I133+I112+I91)</f>
        <v>458283.78806211881</v>
      </c>
      <c r="J186" s="10">
        <f t="shared" ref="J186:AA186" si="71">I186/(I154+I133+I112+I91)*(1+$G$14)*(J154+J133+J112+J91)</f>
        <v>705063.88861093298</v>
      </c>
      <c r="K186" s="10">
        <f t="shared" si="71"/>
        <v>953352.05221937667</v>
      </c>
      <c r="L186" s="10">
        <f t="shared" si="71"/>
        <v>1202528.314527957</v>
      </c>
      <c r="M186" s="10">
        <f t="shared" si="71"/>
        <v>1452727.6437913189</v>
      </c>
      <c r="N186" s="10">
        <f t="shared" si="71"/>
        <v>1703693.662025935</v>
      </c>
      <c r="O186" s="10">
        <f t="shared" si="71"/>
        <v>1955363.7892412415</v>
      </c>
      <c r="P186" s="10">
        <f t="shared" si="71"/>
        <v>2229655.8096078611</v>
      </c>
      <c r="Q186" s="10">
        <f t="shared" si="71"/>
        <v>2528549.1834779712</v>
      </c>
      <c r="R186" s="10">
        <f t="shared" si="71"/>
        <v>2854138.7798761991</v>
      </c>
      <c r="S186" s="10">
        <f t="shared" si="71"/>
        <v>3208867.2343628011</v>
      </c>
      <c r="T186" s="10">
        <f t="shared" si="71"/>
        <v>3595090.4827796477</v>
      </c>
      <c r="U186" s="10">
        <f t="shared" si="71"/>
        <v>3993989.2382499352</v>
      </c>
      <c r="V186" s="10">
        <f t="shared" si="71"/>
        <v>4405639.0789168067</v>
      </c>
      <c r="W186" s="10">
        <f t="shared" si="71"/>
        <v>4498157.4995740596</v>
      </c>
      <c r="X186" s="10">
        <f t="shared" si="71"/>
        <v>4592618.8070651144</v>
      </c>
      <c r="Y186" s="10">
        <f t="shared" si="71"/>
        <v>4689063.802013482</v>
      </c>
      <c r="Z186" s="10">
        <f t="shared" si="71"/>
        <v>4787534.1418557642</v>
      </c>
      <c r="AA186" s="10">
        <f t="shared" si="71"/>
        <v>4888072.3588347342</v>
      </c>
    </row>
    <row r="187" spans="1:27" x14ac:dyDescent="0.25">
      <c r="E187" t="s">
        <v>57</v>
      </c>
      <c r="F187" t="s">
        <v>7</v>
      </c>
      <c r="H187" s="2">
        <f>H185*H176+H186</f>
        <v>243596.11042658935</v>
      </c>
      <c r="I187" s="2">
        <f t="shared" ref="I187:AA187" si="72">I185*I176+I186</f>
        <v>496891.91991810547</v>
      </c>
      <c r="J187" s="2">
        <f t="shared" si="72"/>
        <v>765061.93875011941</v>
      </c>
      <c r="K187" s="2">
        <f t="shared" si="72"/>
        <v>1034478.4085018468</v>
      </c>
      <c r="L187" s="2">
        <f t="shared" si="72"/>
        <v>1304858.5505169015</v>
      </c>
      <c r="M187" s="2">
        <f t="shared" si="72"/>
        <v>1576348.8182957908</v>
      </c>
      <c r="N187" s="2">
        <f t="shared" si="72"/>
        <v>1848671.0171382914</v>
      </c>
      <c r="O187" s="2">
        <f t="shared" si="72"/>
        <v>2121757.2417528671</v>
      </c>
      <c r="P187" s="2">
        <f t="shared" si="72"/>
        <v>2419390.39000388</v>
      </c>
      <c r="Q187" s="2">
        <f t="shared" si="72"/>
        <v>2743718.366214864</v>
      </c>
      <c r="R187" s="2">
        <f t="shared" si="72"/>
        <v>3097014.3041873062</v>
      </c>
      <c r="S187" s="2">
        <f t="shared" si="72"/>
        <v>3481928.6977666244</v>
      </c>
      <c r="T187" s="2">
        <f t="shared" si="72"/>
        <v>3901017.9632887952</v>
      </c>
      <c r="U187" s="2">
        <f t="shared" si="72"/>
        <v>4333861.3696166342</v>
      </c>
      <c r="V187" s="2">
        <f t="shared" si="72"/>
        <v>4780540.9262838205</v>
      </c>
      <c r="W187" s="2">
        <f t="shared" si="72"/>
        <v>4880932.2857357813</v>
      </c>
      <c r="X187" s="2">
        <f t="shared" si="72"/>
        <v>4983431.8637362318</v>
      </c>
      <c r="Y187" s="2">
        <f t="shared" si="72"/>
        <v>5088083.9328746926</v>
      </c>
      <c r="Z187" s="2">
        <f t="shared" si="72"/>
        <v>5194933.6954650609</v>
      </c>
      <c r="AA187" s="2">
        <f t="shared" si="72"/>
        <v>5304027.3030698253</v>
      </c>
    </row>
    <row r="188" spans="1:27" x14ac:dyDescent="0.25">
      <c r="H188" s="2"/>
      <c r="I188" s="2"/>
      <c r="J188" s="2"/>
      <c r="K188" s="2"/>
      <c r="L188" s="2"/>
      <c r="M188" s="2"/>
      <c r="N188" s="2"/>
      <c r="O188" s="2"/>
      <c r="P188" s="2"/>
      <c r="Q188" s="2"/>
      <c r="R188" s="2"/>
      <c r="S188" s="2"/>
      <c r="T188" s="2"/>
      <c r="U188" s="2"/>
      <c r="V188" s="2"/>
      <c r="W188" s="2"/>
      <c r="X188" s="2"/>
      <c r="Y188" s="2"/>
      <c r="Z188" s="2"/>
      <c r="AA188" s="2"/>
    </row>
    <row r="189" spans="1:27" x14ac:dyDescent="0.25">
      <c r="C189" s="1" t="s">
        <v>10</v>
      </c>
      <c r="G189" s="2"/>
    </row>
    <row r="190" spans="1:27" x14ac:dyDescent="0.25">
      <c r="C190" s="1"/>
      <c r="D190" t="s">
        <v>149</v>
      </c>
      <c r="G190" s="2"/>
    </row>
    <row r="191" spans="1:27" x14ac:dyDescent="0.25">
      <c r="A191" s="14">
        <f>'Notes &amp; Assumptions'!A53</f>
        <v>40</v>
      </c>
      <c r="C191" s="1"/>
      <c r="E191" t="s">
        <v>125</v>
      </c>
      <c r="G191" s="2"/>
      <c r="H191" s="11"/>
      <c r="I191" s="11"/>
      <c r="J191" s="11"/>
      <c r="K191" s="11"/>
      <c r="L191" s="11"/>
      <c r="M191" s="11"/>
      <c r="N191" s="11"/>
      <c r="O191" s="11"/>
      <c r="P191" s="11"/>
      <c r="Q191" s="11"/>
      <c r="R191" s="11"/>
      <c r="S191" s="11"/>
      <c r="T191" s="11"/>
      <c r="U191" s="11"/>
      <c r="V191" s="11"/>
      <c r="W191" s="11"/>
      <c r="X191" s="11"/>
      <c r="Y191" s="11"/>
      <c r="Z191" s="11"/>
      <c r="AA191" s="11"/>
    </row>
    <row r="192" spans="1:27" x14ac:dyDescent="0.25">
      <c r="A192" s="14">
        <f>'Notes &amp; Assumptions'!A54</f>
        <v>41</v>
      </c>
      <c r="E192" t="s">
        <v>26</v>
      </c>
      <c r="F192" t="s">
        <v>22</v>
      </c>
      <c r="G192" s="10">
        <f>'Key assumptions'!B12</f>
        <v>114</v>
      </c>
      <c r="H192" s="2">
        <f t="shared" ref="H192:W193" si="73">G192*(1+$G$14)*(1+H$191)</f>
        <v>116.39399999999999</v>
      </c>
      <c r="I192" s="2">
        <f t="shared" si="73"/>
        <v>118.83827399999998</v>
      </c>
      <c r="J192" s="2">
        <f t="shared" si="73"/>
        <v>121.33387775399997</v>
      </c>
      <c r="K192" s="2">
        <f t="shared" si="73"/>
        <v>123.88188918683396</v>
      </c>
      <c r="L192" s="2">
        <f t="shared" si="73"/>
        <v>126.48340885975746</v>
      </c>
      <c r="M192" s="2">
        <f t="shared" si="73"/>
        <v>129.13956044581235</v>
      </c>
      <c r="N192" s="2">
        <f t="shared" si="73"/>
        <v>131.85149121517441</v>
      </c>
      <c r="O192" s="2">
        <f t="shared" si="73"/>
        <v>134.62037253069306</v>
      </c>
      <c r="P192" s="2">
        <f t="shared" si="73"/>
        <v>137.44740035383759</v>
      </c>
      <c r="Q192" s="2">
        <f t="shared" si="73"/>
        <v>140.33379576126816</v>
      </c>
      <c r="R192" s="2">
        <f t="shared" si="73"/>
        <v>143.28080547225477</v>
      </c>
      <c r="S192" s="2">
        <f t="shared" si="73"/>
        <v>146.2897023871721</v>
      </c>
      <c r="T192" s="2">
        <f t="shared" si="73"/>
        <v>149.36178613730269</v>
      </c>
      <c r="U192" s="2">
        <f t="shared" si="73"/>
        <v>152.49838364618603</v>
      </c>
      <c r="V192" s="2">
        <f t="shared" si="73"/>
        <v>155.70084970275593</v>
      </c>
      <c r="W192" s="2">
        <f t="shared" si="73"/>
        <v>158.97056754651379</v>
      </c>
      <c r="X192" s="2">
        <f t="shared" ref="X192:AA193" si="74">W192*(1+$G$14)*(1+X$191)</f>
        <v>162.30894946499058</v>
      </c>
      <c r="Y192" s="2">
        <f t="shared" si="74"/>
        <v>165.71743740375535</v>
      </c>
      <c r="Z192" s="2">
        <f t="shared" si="74"/>
        <v>169.1975035892342</v>
      </c>
      <c r="AA192" s="2">
        <f t="shared" si="74"/>
        <v>172.75065116460812</v>
      </c>
    </row>
    <row r="193" spans="1:29" x14ac:dyDescent="0.25">
      <c r="A193" s="14">
        <f>'Notes &amp; Assumptions'!A55</f>
        <v>42</v>
      </c>
      <c r="E193" t="s">
        <v>27</v>
      </c>
      <c r="F193" t="s">
        <v>4</v>
      </c>
      <c r="G193" s="10"/>
      <c r="H193" s="2">
        <f t="shared" si="73"/>
        <v>0</v>
      </c>
      <c r="I193" s="2">
        <f t="shared" si="73"/>
        <v>0</v>
      </c>
      <c r="J193" s="2">
        <f t="shared" si="73"/>
        <v>0</v>
      </c>
      <c r="K193" s="2">
        <f t="shared" si="73"/>
        <v>0</v>
      </c>
      <c r="L193" s="2">
        <f t="shared" si="73"/>
        <v>0</v>
      </c>
      <c r="M193" s="2">
        <f t="shared" si="73"/>
        <v>0</v>
      </c>
      <c r="N193" s="2">
        <f t="shared" si="73"/>
        <v>0</v>
      </c>
      <c r="O193" s="2">
        <f t="shared" si="73"/>
        <v>0</v>
      </c>
      <c r="P193" s="2">
        <f t="shared" si="73"/>
        <v>0</v>
      </c>
      <c r="Q193" s="2">
        <f t="shared" si="73"/>
        <v>0</v>
      </c>
      <c r="R193" s="2">
        <f t="shared" si="73"/>
        <v>0</v>
      </c>
      <c r="S193" s="2">
        <f t="shared" si="73"/>
        <v>0</v>
      </c>
      <c r="T193" s="2">
        <f t="shared" si="73"/>
        <v>0</v>
      </c>
      <c r="U193" s="2">
        <f t="shared" si="73"/>
        <v>0</v>
      </c>
      <c r="V193" s="2">
        <f t="shared" si="73"/>
        <v>0</v>
      </c>
      <c r="W193" s="2">
        <f t="shared" si="73"/>
        <v>0</v>
      </c>
      <c r="X193" s="2">
        <f t="shared" si="74"/>
        <v>0</v>
      </c>
      <c r="Y193" s="2">
        <f t="shared" si="74"/>
        <v>0</v>
      </c>
      <c r="Z193" s="2">
        <f t="shared" si="74"/>
        <v>0</v>
      </c>
      <c r="AA193" s="2">
        <f t="shared" si="74"/>
        <v>0</v>
      </c>
    </row>
    <row r="194" spans="1:29" x14ac:dyDescent="0.25">
      <c r="A194" s="14">
        <f>'Notes &amp; Assumptions'!A56</f>
        <v>43</v>
      </c>
      <c r="E194" t="s">
        <v>39</v>
      </c>
      <c r="F194" t="s">
        <v>7</v>
      </c>
      <c r="G194" s="2"/>
      <c r="H194" s="10"/>
      <c r="I194" s="10"/>
      <c r="J194" s="10"/>
      <c r="K194" s="10"/>
      <c r="L194" s="10"/>
      <c r="M194" s="10"/>
      <c r="N194" s="10"/>
      <c r="O194" s="10"/>
      <c r="P194" s="10"/>
      <c r="Q194" s="10"/>
      <c r="R194" s="10"/>
      <c r="S194" s="10"/>
      <c r="T194" s="10"/>
      <c r="U194" s="10"/>
      <c r="V194" s="10"/>
      <c r="W194" s="10"/>
      <c r="X194" s="10"/>
      <c r="Y194" s="10"/>
      <c r="Z194" s="10"/>
      <c r="AA194" s="10"/>
    </row>
    <row r="195" spans="1:29" x14ac:dyDescent="0.25">
      <c r="B195" s="14"/>
      <c r="C195" s="14"/>
      <c r="D195" s="14"/>
      <c r="E195" s="14"/>
      <c r="F195" s="14"/>
      <c r="G195" s="14"/>
      <c r="H195" s="14"/>
      <c r="I195" s="14"/>
      <c r="J195" s="14"/>
      <c r="K195" s="14"/>
      <c r="L195" s="14"/>
      <c r="M195" s="14"/>
      <c r="N195" s="14"/>
      <c r="O195" s="14"/>
      <c r="P195" s="14"/>
      <c r="Q195" s="14"/>
      <c r="R195" s="14"/>
      <c r="S195" s="14"/>
      <c r="T195" s="14"/>
      <c r="U195" s="14"/>
      <c r="V195" s="14"/>
      <c r="W195" s="14"/>
      <c r="X195" s="14"/>
      <c r="Y195" s="14"/>
      <c r="Z195" s="14"/>
      <c r="AA195" s="14"/>
      <c r="AB195" s="14"/>
      <c r="AC195" s="14"/>
    </row>
    <row r="196" spans="1:29" x14ac:dyDescent="0.25">
      <c r="D196" t="s">
        <v>124</v>
      </c>
      <c r="G196" s="14"/>
      <c r="H196" s="14"/>
      <c r="I196" s="14"/>
      <c r="J196" s="14"/>
      <c r="K196" s="14"/>
      <c r="L196" s="14"/>
      <c r="M196" s="14"/>
      <c r="N196" s="14"/>
      <c r="O196" s="14"/>
      <c r="P196" s="14"/>
      <c r="Q196" s="14"/>
      <c r="R196" s="14"/>
      <c r="S196" s="14"/>
      <c r="T196" s="14"/>
      <c r="U196" s="14"/>
      <c r="V196" s="14"/>
      <c r="W196" s="14"/>
      <c r="X196" s="14"/>
      <c r="Y196" s="14"/>
      <c r="Z196" s="14"/>
      <c r="AA196" s="14"/>
    </row>
    <row r="197" spans="1:29" x14ac:dyDescent="0.25">
      <c r="A197" s="14">
        <f>'Notes &amp; Assumptions'!A57</f>
        <v>44</v>
      </c>
      <c r="E197" t="s">
        <v>27</v>
      </c>
      <c r="F197" t="s">
        <v>4</v>
      </c>
      <c r="G197" s="14"/>
      <c r="H197" s="10"/>
      <c r="I197" s="10"/>
      <c r="J197" s="10"/>
      <c r="K197" s="10"/>
      <c r="L197" s="10"/>
      <c r="M197" s="10"/>
      <c r="N197" s="10"/>
      <c r="O197" s="10"/>
      <c r="P197" s="10"/>
      <c r="Q197" s="10"/>
      <c r="R197" s="10"/>
      <c r="S197" s="10"/>
      <c r="T197" s="10"/>
      <c r="U197" s="10"/>
      <c r="V197" s="10"/>
      <c r="W197" s="10"/>
      <c r="X197" s="10"/>
      <c r="Y197" s="10"/>
      <c r="Z197" s="10"/>
      <c r="AA197" s="10"/>
    </row>
    <row r="198" spans="1:29" x14ac:dyDescent="0.25">
      <c r="A198" s="14">
        <f>'Notes &amp; Assumptions'!A58</f>
        <v>45</v>
      </c>
      <c r="E198" t="s">
        <v>39</v>
      </c>
      <c r="F198" t="s">
        <v>7</v>
      </c>
      <c r="G198" s="2"/>
      <c r="H198" s="10"/>
      <c r="I198" s="10"/>
      <c r="J198" s="10"/>
      <c r="K198" s="10"/>
      <c r="L198" s="10"/>
      <c r="M198" s="10"/>
      <c r="N198" s="10"/>
      <c r="O198" s="10"/>
      <c r="P198" s="10"/>
      <c r="Q198" s="10"/>
      <c r="R198" s="10"/>
      <c r="S198" s="10"/>
      <c r="T198" s="10"/>
      <c r="U198" s="10"/>
      <c r="V198" s="10"/>
      <c r="W198" s="10"/>
      <c r="X198" s="10"/>
      <c r="Y198" s="10"/>
      <c r="Z198" s="10"/>
      <c r="AA198" s="10"/>
    </row>
    <row r="199" spans="1:29" x14ac:dyDescent="0.25">
      <c r="G199" s="2"/>
    </row>
    <row r="200" spans="1:29" x14ac:dyDescent="0.25">
      <c r="E200" t="s">
        <v>10</v>
      </c>
      <c r="F200" t="s">
        <v>7</v>
      </c>
      <c r="G200" s="2"/>
      <c r="H200" s="2">
        <f>H192*H175+(H193+H197)*H176+H194+H198</f>
        <v>72397.067999999999</v>
      </c>
      <c r="I200" s="2">
        <f t="shared" ref="I200:AA200" si="75">I192*I175+(I193+I197)*I176+I194+I198</f>
        <v>147597.13630799999</v>
      </c>
      <c r="J200" s="2">
        <f t="shared" si="75"/>
        <v>227076.35221661095</v>
      </c>
      <c r="K200" s="2">
        <f t="shared" si="75"/>
        <v>307041.26234956796</v>
      </c>
      <c r="L200" s="2">
        <f t="shared" si="75"/>
        <v>387292.19792857737</v>
      </c>
      <c r="M200" s="2">
        <f t="shared" si="75"/>
        <v>467872.62749517814</v>
      </c>
      <c r="N200" s="2">
        <f t="shared" si="75"/>
        <v>548699.98069194832</v>
      </c>
      <c r="O200" s="2">
        <f t="shared" si="75"/>
        <v>629754.10269858211</v>
      </c>
      <c r="P200" s="2">
        <f t="shared" si="75"/>
        <v>718093.9431486245</v>
      </c>
      <c r="Q200" s="2">
        <f t="shared" si="75"/>
        <v>814357.01680263912</v>
      </c>
      <c r="R200" s="2">
        <f t="shared" si="75"/>
        <v>919218.00750725053</v>
      </c>
      <c r="S200" s="2">
        <f t="shared" si="75"/>
        <v>1033463.6025141773</v>
      </c>
      <c r="T200" s="2">
        <f t="shared" si="75"/>
        <v>1157852.5661363704</v>
      </c>
      <c r="U200" s="2">
        <f t="shared" si="75"/>
        <v>1286323.8660555792</v>
      </c>
      <c r="V200" s="2">
        <f t="shared" si="75"/>
        <v>1418901.8433412148</v>
      </c>
      <c r="W200" s="2">
        <f t="shared" si="75"/>
        <v>1448698.7820513803</v>
      </c>
      <c r="X200" s="2">
        <f t="shared" si="75"/>
        <v>1479121.456474459</v>
      </c>
      <c r="Y200" s="2">
        <f t="shared" si="75"/>
        <v>1510183.0070604226</v>
      </c>
      <c r="Z200" s="2">
        <f t="shared" si="75"/>
        <v>1541896.8502086913</v>
      </c>
      <c r="AA200" s="2">
        <f t="shared" si="75"/>
        <v>1574276.6840630737</v>
      </c>
    </row>
    <row r="201" spans="1:29" x14ac:dyDescent="0.25">
      <c r="G201" s="2"/>
      <c r="H201" s="2"/>
      <c r="I201" s="2"/>
      <c r="J201" s="2"/>
      <c r="K201" s="2"/>
      <c r="L201" s="2"/>
      <c r="M201" s="2"/>
      <c r="N201" s="2"/>
      <c r="O201" s="2"/>
      <c r="P201" s="2"/>
      <c r="Q201" s="2"/>
      <c r="R201" s="2"/>
      <c r="S201" s="2"/>
      <c r="T201" s="2"/>
      <c r="U201" s="2"/>
      <c r="V201" s="2"/>
      <c r="W201" s="2"/>
      <c r="X201" s="2"/>
      <c r="Y201" s="2"/>
      <c r="Z201" s="2"/>
      <c r="AA201" s="2"/>
    </row>
    <row r="202" spans="1:29" x14ac:dyDescent="0.25">
      <c r="C202" s="1" t="s">
        <v>48</v>
      </c>
      <c r="G202" s="2"/>
      <c r="H202" s="2"/>
      <c r="I202" s="2"/>
      <c r="J202" s="2"/>
      <c r="K202" s="2"/>
      <c r="L202" s="2"/>
      <c r="M202" s="2"/>
      <c r="N202" s="2"/>
      <c r="O202" s="2"/>
      <c r="P202" s="2"/>
      <c r="Q202" s="2"/>
      <c r="R202" s="2"/>
      <c r="S202" s="2"/>
      <c r="T202" s="2"/>
      <c r="U202" s="2"/>
      <c r="V202" s="2"/>
      <c r="W202" s="2"/>
      <c r="X202" s="2"/>
      <c r="Y202" s="2"/>
      <c r="Z202" s="2"/>
      <c r="AA202" s="2"/>
    </row>
    <row r="203" spans="1:29" x14ac:dyDescent="0.25">
      <c r="A203" s="14">
        <f>'Notes &amp; Assumptions'!A59</f>
        <v>46</v>
      </c>
      <c r="E203" s="10" t="s">
        <v>44</v>
      </c>
      <c r="F203" t="s">
        <v>7</v>
      </c>
      <c r="G203" s="2"/>
      <c r="H203" s="10"/>
      <c r="I203" s="10"/>
      <c r="J203" s="10"/>
      <c r="K203" s="10"/>
      <c r="L203" s="10"/>
      <c r="M203" s="10"/>
      <c r="N203" s="10"/>
      <c r="O203" s="10"/>
      <c r="P203" s="10"/>
      <c r="Q203" s="10"/>
      <c r="R203" s="10"/>
      <c r="S203" s="10"/>
      <c r="T203" s="10"/>
      <c r="U203" s="10"/>
      <c r="V203" s="10"/>
      <c r="W203" s="10"/>
      <c r="X203" s="10"/>
      <c r="Y203" s="10"/>
      <c r="Z203" s="10"/>
      <c r="AA203" s="10"/>
    </row>
    <row r="204" spans="1:29" x14ac:dyDescent="0.25">
      <c r="A204" s="14">
        <f>'Notes &amp; Assumptions'!A60</f>
        <v>47</v>
      </c>
      <c r="E204" s="10" t="s">
        <v>45</v>
      </c>
      <c r="F204" t="s">
        <v>7</v>
      </c>
      <c r="G204" s="2"/>
      <c r="H204" s="10"/>
      <c r="I204" s="10"/>
      <c r="J204" s="10"/>
      <c r="K204" s="10"/>
      <c r="L204" s="10"/>
      <c r="M204" s="10"/>
      <c r="N204" s="10"/>
      <c r="O204" s="10"/>
      <c r="P204" s="10"/>
      <c r="Q204" s="10"/>
      <c r="R204" s="10"/>
      <c r="S204" s="10"/>
      <c r="T204" s="10"/>
      <c r="U204" s="10"/>
      <c r="V204" s="10"/>
      <c r="W204" s="10"/>
      <c r="X204" s="10"/>
      <c r="Y204" s="10"/>
      <c r="Z204" s="10"/>
      <c r="AA204" s="10"/>
    </row>
    <row r="205" spans="1:29" x14ac:dyDescent="0.25">
      <c r="A205" s="14">
        <f>'Notes &amp; Assumptions'!A61</f>
        <v>48</v>
      </c>
      <c r="E205" s="10" t="s">
        <v>46</v>
      </c>
      <c r="F205" t="s">
        <v>7</v>
      </c>
      <c r="G205" s="2"/>
      <c r="H205" s="10"/>
      <c r="I205" s="10"/>
      <c r="J205" s="10"/>
      <c r="K205" s="10"/>
      <c r="L205" s="10"/>
      <c r="M205" s="10"/>
      <c r="N205" s="10"/>
      <c r="O205" s="10"/>
      <c r="P205" s="10"/>
      <c r="Q205" s="10"/>
      <c r="R205" s="10"/>
      <c r="S205" s="10"/>
      <c r="T205" s="10"/>
      <c r="U205" s="10"/>
      <c r="V205" s="10"/>
      <c r="W205" s="10"/>
      <c r="X205" s="10"/>
      <c r="Y205" s="10"/>
      <c r="Z205" s="10"/>
      <c r="AA205" s="10"/>
    </row>
    <row r="206" spans="1:29" x14ac:dyDescent="0.25">
      <c r="A206" s="14">
        <f>'Notes &amp; Assumptions'!A62</f>
        <v>49</v>
      </c>
      <c r="E206" s="10" t="s">
        <v>47</v>
      </c>
      <c r="F206" t="s">
        <v>7</v>
      </c>
      <c r="G206" s="2"/>
      <c r="H206" s="10"/>
      <c r="I206" s="10"/>
      <c r="J206" s="10"/>
      <c r="K206" s="10"/>
      <c r="L206" s="10"/>
      <c r="M206" s="10"/>
      <c r="N206" s="10"/>
      <c r="O206" s="10"/>
      <c r="P206" s="10"/>
      <c r="Q206" s="10"/>
      <c r="R206" s="10"/>
      <c r="S206" s="10"/>
      <c r="T206" s="10"/>
      <c r="U206" s="10"/>
      <c r="V206" s="10"/>
      <c r="W206" s="10"/>
      <c r="X206" s="10"/>
      <c r="Y206" s="10"/>
      <c r="Z206" s="10"/>
      <c r="AA206" s="10"/>
    </row>
    <row r="207" spans="1:29" x14ac:dyDescent="0.25">
      <c r="E207" t="s">
        <v>17</v>
      </c>
      <c r="G207" s="2"/>
      <c r="H207" s="2">
        <f>SUM(H203:H206)</f>
        <v>0</v>
      </c>
      <c r="I207" s="2">
        <f t="shared" ref="I207:AA207" si="76">SUM(I203:I206)</f>
        <v>0</v>
      </c>
      <c r="J207" s="2">
        <f t="shared" si="76"/>
        <v>0</v>
      </c>
      <c r="K207" s="2">
        <f t="shared" si="76"/>
        <v>0</v>
      </c>
      <c r="L207" s="2">
        <f t="shared" si="76"/>
        <v>0</v>
      </c>
      <c r="M207" s="2">
        <f t="shared" si="76"/>
        <v>0</v>
      </c>
      <c r="N207" s="2">
        <f t="shared" si="76"/>
        <v>0</v>
      </c>
      <c r="O207" s="2">
        <f t="shared" si="76"/>
        <v>0</v>
      </c>
      <c r="P207" s="2">
        <f t="shared" si="76"/>
        <v>0</v>
      </c>
      <c r="Q207" s="2">
        <f t="shared" si="76"/>
        <v>0</v>
      </c>
      <c r="R207" s="2">
        <f t="shared" si="76"/>
        <v>0</v>
      </c>
      <c r="S207" s="2">
        <f t="shared" si="76"/>
        <v>0</v>
      </c>
      <c r="T207" s="2">
        <f t="shared" si="76"/>
        <v>0</v>
      </c>
      <c r="U207" s="2">
        <f t="shared" si="76"/>
        <v>0</v>
      </c>
      <c r="V207" s="2">
        <f t="shared" si="76"/>
        <v>0</v>
      </c>
      <c r="W207" s="2">
        <f t="shared" si="76"/>
        <v>0</v>
      </c>
      <c r="X207" s="2">
        <f t="shared" si="76"/>
        <v>0</v>
      </c>
      <c r="Y207" s="2">
        <f t="shared" si="76"/>
        <v>0</v>
      </c>
      <c r="Z207" s="2">
        <f t="shared" si="76"/>
        <v>0</v>
      </c>
      <c r="AA207" s="2">
        <f t="shared" si="76"/>
        <v>0</v>
      </c>
    </row>
    <row r="208" spans="1:29" x14ac:dyDescent="0.25">
      <c r="G208" s="2"/>
      <c r="H208" s="2"/>
      <c r="I208" s="2"/>
      <c r="J208" s="2"/>
      <c r="K208" s="2"/>
      <c r="L208" s="2"/>
      <c r="M208" s="2"/>
      <c r="N208" s="2"/>
      <c r="O208" s="2"/>
      <c r="P208" s="2"/>
      <c r="Q208" s="2"/>
      <c r="R208" s="2"/>
      <c r="S208" s="2"/>
      <c r="T208" s="2"/>
      <c r="U208" s="2"/>
      <c r="V208" s="2"/>
      <c r="W208" s="2"/>
      <c r="X208" s="2"/>
      <c r="Y208" s="2"/>
      <c r="Z208" s="2"/>
      <c r="AA208" s="2"/>
    </row>
    <row r="209" spans="1:27" x14ac:dyDescent="0.25">
      <c r="C209" s="1" t="s">
        <v>49</v>
      </c>
      <c r="G209" s="2"/>
      <c r="H209" s="2"/>
      <c r="I209" s="2"/>
      <c r="J209" s="2"/>
      <c r="K209" s="2"/>
      <c r="L209" s="2"/>
      <c r="M209" s="2"/>
      <c r="N209" s="2"/>
      <c r="O209" s="2"/>
      <c r="P209" s="2"/>
      <c r="Q209" s="2"/>
      <c r="R209" s="2"/>
      <c r="S209" s="2"/>
      <c r="T209" s="2"/>
      <c r="U209" s="2"/>
      <c r="V209" s="2"/>
      <c r="W209" s="2"/>
      <c r="X209" s="2"/>
      <c r="Y209" s="2"/>
      <c r="Z209" s="2"/>
      <c r="AA209" s="2"/>
    </row>
    <row r="210" spans="1:27" x14ac:dyDescent="0.25">
      <c r="A210" s="14">
        <f>'Notes &amp; Assumptions'!A63</f>
        <v>50</v>
      </c>
      <c r="E210" s="10" t="s">
        <v>174</v>
      </c>
      <c r="F210" t="s">
        <v>7</v>
      </c>
      <c r="G210" s="24">
        <v>0</v>
      </c>
      <c r="H210" s="10">
        <f>H107*($G$210*(1+$G$14)^(H2))</f>
        <v>0</v>
      </c>
      <c r="I210" s="10">
        <f>I107*($G$210*(1+$G$14)^(I2))</f>
        <v>0</v>
      </c>
      <c r="J210" s="10">
        <f t="shared" ref="J210:AA210" si="77">J107*($G$210*(1+$G$14)^(J2))</f>
        <v>0</v>
      </c>
      <c r="K210" s="10">
        <f t="shared" si="77"/>
        <v>0</v>
      </c>
      <c r="L210" s="10">
        <f t="shared" si="77"/>
        <v>0</v>
      </c>
      <c r="M210" s="10">
        <f t="shared" si="77"/>
        <v>0</v>
      </c>
      <c r="N210" s="10">
        <f t="shared" si="77"/>
        <v>0</v>
      </c>
      <c r="O210" s="10">
        <f t="shared" si="77"/>
        <v>0</v>
      </c>
      <c r="P210" s="10">
        <f t="shared" si="77"/>
        <v>0</v>
      </c>
      <c r="Q210" s="10">
        <f t="shared" si="77"/>
        <v>0</v>
      </c>
      <c r="R210" s="10">
        <f t="shared" si="77"/>
        <v>0</v>
      </c>
      <c r="S210" s="10">
        <f t="shared" si="77"/>
        <v>0</v>
      </c>
      <c r="T210" s="10">
        <f t="shared" si="77"/>
        <v>0</v>
      </c>
      <c r="U210" s="10">
        <f t="shared" si="77"/>
        <v>0</v>
      </c>
      <c r="V210" s="10">
        <f t="shared" si="77"/>
        <v>0</v>
      </c>
      <c r="W210" s="10">
        <f t="shared" si="77"/>
        <v>0</v>
      </c>
      <c r="X210" s="10">
        <f t="shared" si="77"/>
        <v>0</v>
      </c>
      <c r="Y210" s="10">
        <f t="shared" si="77"/>
        <v>0</v>
      </c>
      <c r="Z210" s="10">
        <f t="shared" si="77"/>
        <v>0</v>
      </c>
      <c r="AA210" s="10">
        <f t="shared" si="77"/>
        <v>0</v>
      </c>
    </row>
    <row r="211" spans="1:27" x14ac:dyDescent="0.25">
      <c r="A211" s="14">
        <f>'Notes &amp; Assumptions'!A64</f>
        <v>51</v>
      </c>
      <c r="E211" s="10" t="s">
        <v>50</v>
      </c>
      <c r="F211" t="s">
        <v>7</v>
      </c>
      <c r="G211" s="2"/>
      <c r="H211" s="10"/>
      <c r="I211" s="10"/>
      <c r="J211" s="10"/>
      <c r="K211" s="10"/>
      <c r="L211" s="10"/>
      <c r="M211" s="10"/>
      <c r="N211" s="10"/>
      <c r="O211" s="10"/>
      <c r="P211" s="10"/>
      <c r="Q211" s="10"/>
      <c r="R211" s="10"/>
      <c r="S211" s="10"/>
      <c r="T211" s="10"/>
      <c r="U211" s="10"/>
      <c r="V211" s="10"/>
      <c r="W211" s="10"/>
      <c r="X211" s="10"/>
      <c r="Y211" s="10"/>
      <c r="Z211" s="10"/>
      <c r="AA211" s="10"/>
    </row>
    <row r="212" spans="1:27" x14ac:dyDescent="0.25">
      <c r="A212" s="14">
        <f>'Notes &amp; Assumptions'!A65</f>
        <v>52</v>
      </c>
      <c r="E212" s="10" t="s">
        <v>51</v>
      </c>
      <c r="F212" t="s">
        <v>7</v>
      </c>
      <c r="G212" s="2"/>
      <c r="H212" s="10"/>
      <c r="I212" s="10"/>
      <c r="J212" s="10"/>
      <c r="K212" s="10"/>
      <c r="L212" s="10"/>
      <c r="M212" s="10"/>
      <c r="N212" s="10"/>
      <c r="O212" s="10"/>
      <c r="P212" s="10"/>
      <c r="Q212" s="10"/>
      <c r="R212" s="10"/>
      <c r="S212" s="10"/>
      <c r="T212" s="10"/>
      <c r="U212" s="10"/>
      <c r="V212" s="10"/>
      <c r="W212" s="10"/>
      <c r="X212" s="10"/>
      <c r="Y212" s="10"/>
      <c r="Z212" s="10"/>
      <c r="AA212" s="10"/>
    </row>
    <row r="213" spans="1:27" x14ac:dyDescent="0.25">
      <c r="A213" s="14">
        <f>'Notes &amp; Assumptions'!A66</f>
        <v>53</v>
      </c>
      <c r="E213" s="10" t="s">
        <v>52</v>
      </c>
      <c r="F213" t="s">
        <v>7</v>
      </c>
      <c r="G213" s="2"/>
      <c r="H213" s="10"/>
      <c r="I213" s="10"/>
      <c r="J213" s="10"/>
      <c r="K213" s="10"/>
      <c r="L213" s="10"/>
      <c r="M213" s="10"/>
      <c r="N213" s="10"/>
      <c r="O213" s="10"/>
      <c r="P213" s="10"/>
      <c r="Q213" s="10"/>
      <c r="R213" s="10"/>
      <c r="S213" s="10"/>
      <c r="T213" s="10"/>
      <c r="U213" s="10"/>
      <c r="V213" s="10"/>
      <c r="W213" s="10"/>
      <c r="X213" s="10"/>
      <c r="Y213" s="10"/>
      <c r="Z213" s="10"/>
      <c r="AA213" s="10"/>
    </row>
    <row r="214" spans="1:27" x14ac:dyDescent="0.25">
      <c r="E214" t="s">
        <v>17</v>
      </c>
      <c r="G214" s="2"/>
      <c r="H214" s="2">
        <f>SUM(H210:H213)</f>
        <v>0</v>
      </c>
      <c r="I214" s="2">
        <f t="shared" ref="I214:AA214" si="78">SUM(I210:I213)</f>
        <v>0</v>
      </c>
      <c r="J214" s="2">
        <f t="shared" si="78"/>
        <v>0</v>
      </c>
      <c r="K214" s="2">
        <f t="shared" si="78"/>
        <v>0</v>
      </c>
      <c r="L214" s="2">
        <f t="shared" si="78"/>
        <v>0</v>
      </c>
      <c r="M214" s="2">
        <f t="shared" si="78"/>
        <v>0</v>
      </c>
      <c r="N214" s="2">
        <f t="shared" si="78"/>
        <v>0</v>
      </c>
      <c r="O214" s="2">
        <f t="shared" si="78"/>
        <v>0</v>
      </c>
      <c r="P214" s="2">
        <f t="shared" si="78"/>
        <v>0</v>
      </c>
      <c r="Q214" s="2">
        <f t="shared" si="78"/>
        <v>0</v>
      </c>
      <c r="R214" s="2">
        <f t="shared" si="78"/>
        <v>0</v>
      </c>
      <c r="S214" s="2">
        <f t="shared" si="78"/>
        <v>0</v>
      </c>
      <c r="T214" s="2">
        <f t="shared" si="78"/>
        <v>0</v>
      </c>
      <c r="U214" s="2">
        <f t="shared" si="78"/>
        <v>0</v>
      </c>
      <c r="V214" s="2">
        <f t="shared" si="78"/>
        <v>0</v>
      </c>
      <c r="W214" s="2">
        <f t="shared" si="78"/>
        <v>0</v>
      </c>
      <c r="X214" s="2">
        <f t="shared" si="78"/>
        <v>0</v>
      </c>
      <c r="Y214" s="2">
        <f t="shared" si="78"/>
        <v>0</v>
      </c>
      <c r="Z214" s="2">
        <f t="shared" si="78"/>
        <v>0</v>
      </c>
      <c r="AA214" s="2">
        <f t="shared" si="78"/>
        <v>0</v>
      </c>
    </row>
    <row r="215" spans="1:27" x14ac:dyDescent="0.25">
      <c r="G215" s="2"/>
      <c r="H215" s="2"/>
      <c r="I215" s="2"/>
      <c r="J215" s="2"/>
      <c r="K215" s="2"/>
      <c r="L215" s="2"/>
      <c r="M215" s="2"/>
      <c r="N215" s="2"/>
      <c r="O215" s="2"/>
      <c r="P215" s="2"/>
      <c r="Q215" s="2"/>
      <c r="R215" s="2"/>
      <c r="S215" s="2"/>
      <c r="T215" s="2"/>
      <c r="U215" s="2"/>
      <c r="V215" s="2"/>
      <c r="W215" s="2"/>
      <c r="X215" s="2"/>
      <c r="Y215" s="2"/>
      <c r="Z215" s="2"/>
      <c r="AA215" s="2"/>
    </row>
    <row r="216" spans="1:27" x14ac:dyDescent="0.25">
      <c r="C216" s="1" t="s">
        <v>33</v>
      </c>
      <c r="G216" s="44"/>
      <c r="H216" s="2"/>
      <c r="I216" s="2"/>
      <c r="J216" s="2"/>
      <c r="K216" s="2"/>
      <c r="L216" s="2"/>
      <c r="M216" s="2"/>
      <c r="N216" s="2"/>
      <c r="O216" s="2"/>
      <c r="P216" s="2"/>
      <c r="Q216" s="2"/>
      <c r="R216" s="2"/>
      <c r="S216" s="2"/>
      <c r="T216" s="2"/>
      <c r="U216" s="2"/>
      <c r="V216" s="2"/>
      <c r="W216" s="2"/>
      <c r="X216" s="2"/>
      <c r="Y216" s="2"/>
      <c r="Z216" s="2"/>
      <c r="AA216" s="2"/>
    </row>
    <row r="217" spans="1:27" x14ac:dyDescent="0.25">
      <c r="C217" s="1"/>
      <c r="D217" s="1"/>
      <c r="E217" t="s">
        <v>29</v>
      </c>
      <c r="F217" t="s">
        <v>3</v>
      </c>
      <c r="G217" s="44"/>
      <c r="H217" s="2">
        <f t="shared" ref="H217:AA217" si="79">H174</f>
        <v>622</v>
      </c>
      <c r="I217" s="2">
        <f t="shared" si="79"/>
        <v>620</v>
      </c>
      <c r="J217" s="2">
        <f t="shared" si="79"/>
        <v>629.5</v>
      </c>
      <c r="K217" s="2">
        <f t="shared" si="79"/>
        <v>607</v>
      </c>
      <c r="L217" s="2">
        <f t="shared" si="79"/>
        <v>583.5</v>
      </c>
      <c r="M217" s="2">
        <f t="shared" si="79"/>
        <v>561</v>
      </c>
      <c r="N217" s="2">
        <f t="shared" si="79"/>
        <v>538.5</v>
      </c>
      <c r="O217" s="2">
        <f t="shared" si="79"/>
        <v>516.5</v>
      </c>
      <c r="P217" s="2">
        <f t="shared" si="79"/>
        <v>546.5</v>
      </c>
      <c r="Q217" s="2">
        <f t="shared" si="79"/>
        <v>578.5</v>
      </c>
      <c r="R217" s="2">
        <f t="shared" si="79"/>
        <v>612.5</v>
      </c>
      <c r="S217" s="2">
        <f t="shared" si="79"/>
        <v>649</v>
      </c>
      <c r="T217" s="2">
        <f t="shared" si="79"/>
        <v>687.5</v>
      </c>
      <c r="U217" s="2">
        <f t="shared" si="79"/>
        <v>683</v>
      </c>
      <c r="V217" s="2">
        <f t="shared" si="79"/>
        <v>678</v>
      </c>
      <c r="W217" s="2">
        <f t="shared" si="79"/>
        <v>0</v>
      </c>
      <c r="X217" s="2">
        <f t="shared" si="79"/>
        <v>0</v>
      </c>
      <c r="Y217" s="2">
        <f t="shared" si="79"/>
        <v>0</v>
      </c>
      <c r="Z217" s="2">
        <f t="shared" si="79"/>
        <v>0</v>
      </c>
      <c r="AA217" s="2">
        <f t="shared" si="79"/>
        <v>0</v>
      </c>
    </row>
    <row r="218" spans="1:27" x14ac:dyDescent="0.25">
      <c r="E218" t="s">
        <v>18</v>
      </c>
      <c r="F218" t="s">
        <v>22</v>
      </c>
      <c r="G218" s="8">
        <f ca="1">MAX(0,-G245/(NPV($G$16,H217:AA217)))</f>
        <v>4782.2416255380576</v>
      </c>
      <c r="H218" s="2">
        <f t="shared" ref="H218:AA218" ca="1" si="80">G218*(1+$G$14)</f>
        <v>4882.6686996743565</v>
      </c>
      <c r="I218" s="2">
        <f t="shared" ca="1" si="80"/>
        <v>4985.2047423675176</v>
      </c>
      <c r="J218" s="2">
        <f t="shared" ca="1" si="80"/>
        <v>5089.8940419572355</v>
      </c>
      <c r="K218" s="2">
        <f t="shared" ca="1" si="80"/>
        <v>5196.7818168383374</v>
      </c>
      <c r="L218" s="2">
        <f t="shared" ca="1" si="80"/>
        <v>5305.9142349919421</v>
      </c>
      <c r="M218" s="2">
        <f t="shared" ca="1" si="80"/>
        <v>5417.3384339267723</v>
      </c>
      <c r="N218" s="2">
        <f t="shared" ca="1" si="80"/>
        <v>5531.102541039234</v>
      </c>
      <c r="O218" s="2">
        <f t="shared" ca="1" si="80"/>
        <v>5647.2556944010576</v>
      </c>
      <c r="P218" s="2">
        <f t="shared" ca="1" si="80"/>
        <v>5765.8480639834788</v>
      </c>
      <c r="Q218" s="2">
        <f t="shared" ca="1" si="80"/>
        <v>5886.9308733271309</v>
      </c>
      <c r="R218" s="2">
        <f t="shared" ca="1" si="80"/>
        <v>6010.556421667</v>
      </c>
      <c r="S218" s="2">
        <f t="shared" ca="1" si="80"/>
        <v>6136.7781065220061</v>
      </c>
      <c r="T218" s="2">
        <f t="shared" ca="1" si="80"/>
        <v>6265.6504467589675</v>
      </c>
      <c r="U218" s="2">
        <f t="shared" ca="1" si="80"/>
        <v>6397.2291061409051</v>
      </c>
      <c r="V218" s="2">
        <f t="shared" ca="1" si="80"/>
        <v>6531.5709173698633</v>
      </c>
      <c r="W218" s="2">
        <f t="shared" ca="1" si="80"/>
        <v>6668.7339066346294</v>
      </c>
      <c r="X218" s="2">
        <f t="shared" ca="1" si="80"/>
        <v>6808.777318673956</v>
      </c>
      <c r="Y218" s="2">
        <f t="shared" ca="1" si="80"/>
        <v>6951.7616423661084</v>
      </c>
      <c r="Z218" s="2">
        <f t="shared" ca="1" si="80"/>
        <v>7097.7486368557957</v>
      </c>
      <c r="AA218" s="2">
        <f t="shared" ca="1" si="80"/>
        <v>7246.8013582297663</v>
      </c>
    </row>
    <row r="219" spans="1:27" x14ac:dyDescent="0.25">
      <c r="E219" t="s">
        <v>21</v>
      </c>
      <c r="F219" t="s">
        <v>7</v>
      </c>
      <c r="H219" s="2">
        <f ca="1">H218*H217</f>
        <v>3037019.9311974496</v>
      </c>
      <c r="I219" s="2">
        <f t="shared" ref="I219:AA219" ca="1" si="81">I218*I217</f>
        <v>3090826.9402678609</v>
      </c>
      <c r="J219" s="2">
        <f t="shared" ca="1" si="81"/>
        <v>3204088.2994120796</v>
      </c>
      <c r="K219" s="2">
        <f t="shared" ca="1" si="81"/>
        <v>3154446.5628208709</v>
      </c>
      <c r="L219" s="2">
        <f t="shared" ca="1" si="81"/>
        <v>3096000.9561177981</v>
      </c>
      <c r="M219" s="2">
        <f t="shared" ca="1" si="81"/>
        <v>3039126.8614329193</v>
      </c>
      <c r="N219" s="2">
        <f t="shared" ca="1" si="81"/>
        <v>2978498.7183496277</v>
      </c>
      <c r="O219" s="2">
        <f t="shared" ca="1" si="81"/>
        <v>2916807.5661581461</v>
      </c>
      <c r="P219" s="2">
        <f t="shared" ca="1" si="81"/>
        <v>3151035.9669669713</v>
      </c>
      <c r="Q219" s="2">
        <f t="shared" ca="1" si="81"/>
        <v>3405589.5102197453</v>
      </c>
      <c r="R219" s="2">
        <f t="shared" ca="1" si="81"/>
        <v>3681465.8082710374</v>
      </c>
      <c r="S219" s="2">
        <f t="shared" ca="1" si="81"/>
        <v>3982768.9911327818</v>
      </c>
      <c r="T219" s="2">
        <f t="shared" ca="1" si="81"/>
        <v>4307634.6821467904</v>
      </c>
      <c r="U219" s="2">
        <f t="shared" ca="1" si="81"/>
        <v>4369307.4794942383</v>
      </c>
      <c r="V219" s="2">
        <f t="shared" ca="1" si="81"/>
        <v>4428405.0819767676</v>
      </c>
      <c r="W219" s="2">
        <f t="shared" ca="1" si="81"/>
        <v>0</v>
      </c>
      <c r="X219" s="2">
        <f t="shared" ca="1" si="81"/>
        <v>0</v>
      </c>
      <c r="Y219" s="2">
        <f t="shared" ca="1" si="81"/>
        <v>0</v>
      </c>
      <c r="Z219" s="2">
        <f t="shared" ca="1" si="81"/>
        <v>0</v>
      </c>
      <c r="AA219" s="2">
        <f t="shared" ca="1" si="81"/>
        <v>0</v>
      </c>
    </row>
    <row r="220" spans="1:27" x14ac:dyDescent="0.25">
      <c r="G220" s="8">
        <f ca="1">-G245/(NPV($G$16,H217:AA217))</f>
        <v>4782.2416255380576</v>
      </c>
    </row>
    <row r="221" spans="1:27" x14ac:dyDescent="0.25">
      <c r="D221" t="s">
        <v>9</v>
      </c>
    </row>
    <row r="222" spans="1:27" x14ac:dyDescent="0.25">
      <c r="E222" t="s">
        <v>107</v>
      </c>
      <c r="F222" t="s">
        <v>7</v>
      </c>
      <c r="G222" s="2">
        <f t="shared" ref="G222:AA222" si="82">G42</f>
        <v>0</v>
      </c>
      <c r="H222" s="2">
        <f t="shared" si="82"/>
        <v>2222716.9999999995</v>
      </c>
      <c r="I222" s="2">
        <f t="shared" si="82"/>
        <v>2262096.9699999993</v>
      </c>
      <c r="J222" s="2">
        <f t="shared" si="82"/>
        <v>2344990.0540482495</v>
      </c>
      <c r="K222" s="2">
        <f t="shared" si="82"/>
        <v>2308658.5401528832</v>
      </c>
      <c r="L222" s="2">
        <f t="shared" si="82"/>
        <v>2265883.699507365</v>
      </c>
      <c r="M222" s="2">
        <f t="shared" si="82"/>
        <v>2224259.0082048466</v>
      </c>
      <c r="N222" s="2">
        <f t="shared" si="82"/>
        <v>2179886.8251561397</v>
      </c>
      <c r="O222" s="2">
        <f t="shared" si="82"/>
        <v>2134736.6530031604</v>
      </c>
      <c r="P222" s="2">
        <f t="shared" si="82"/>
        <v>2306162.4125158135</v>
      </c>
      <c r="Q222" s="2">
        <f t="shared" si="82"/>
        <v>2492463.6225230494</v>
      </c>
      <c r="R222" s="2">
        <f t="shared" si="82"/>
        <v>2694370.4099223348</v>
      </c>
      <c r="S222" s="2">
        <f t="shared" si="82"/>
        <v>2914886.4822145733</v>
      </c>
      <c r="T222" s="2">
        <f t="shared" si="82"/>
        <v>3152647.3499375833</v>
      </c>
      <c r="U222" s="2">
        <f t="shared" si="82"/>
        <v>3197784.0886509442</v>
      </c>
      <c r="V222" s="2">
        <f t="shared" si="82"/>
        <v>3241036.1082863132</v>
      </c>
      <c r="W222" s="2">
        <f t="shared" si="82"/>
        <v>0</v>
      </c>
      <c r="X222" s="2">
        <f t="shared" si="82"/>
        <v>0</v>
      </c>
      <c r="Y222" s="2">
        <f t="shared" si="82"/>
        <v>0</v>
      </c>
      <c r="Z222" s="2">
        <f t="shared" si="82"/>
        <v>0</v>
      </c>
      <c r="AA222" s="2">
        <f t="shared" si="82"/>
        <v>0</v>
      </c>
    </row>
    <row r="223" spans="1:27" x14ac:dyDescent="0.25">
      <c r="E223" t="s">
        <v>11</v>
      </c>
      <c r="F223" t="s">
        <v>7</v>
      </c>
      <c r="G223" s="2">
        <f t="shared" ref="G223:AA223" si="83">G177</f>
        <v>0</v>
      </c>
      <c r="H223" s="2">
        <f t="shared" si="83"/>
        <v>273540.16345632629</v>
      </c>
      <c r="I223" s="2">
        <f t="shared" si="83"/>
        <v>542390.80765110941</v>
      </c>
      <c r="J223" s="2">
        <f t="shared" si="83"/>
        <v>834461.48860382545</v>
      </c>
      <c r="K223" s="2">
        <f t="shared" si="83"/>
        <v>1128317.0014930149</v>
      </c>
      <c r="L223" s="2">
        <f t="shared" si="83"/>
        <v>1423223.6023407767</v>
      </c>
      <c r="M223" s="2">
        <f t="shared" si="83"/>
        <v>1719341.0295942284</v>
      </c>
      <c r="N223" s="2">
        <f t="shared" si="83"/>
        <v>2016365.8532277574</v>
      </c>
      <c r="O223" s="2">
        <f t="shared" si="83"/>
        <v>2314224.0081914784</v>
      </c>
      <c r="P223" s="2">
        <f t="shared" si="83"/>
        <v>2638855.7633054936</v>
      </c>
      <c r="Q223" s="2">
        <f t="shared" si="83"/>
        <v>2992603.861488272</v>
      </c>
      <c r="R223" s="2">
        <f t="shared" si="83"/>
        <v>3377947.6348300781</v>
      </c>
      <c r="S223" s="2">
        <f t="shared" si="83"/>
        <v>3797778.0061801081</v>
      </c>
      <c r="T223" s="2">
        <f t="shared" si="83"/>
        <v>4254883.2870111503</v>
      </c>
      <c r="U223" s="2">
        <f t="shared" si="83"/>
        <v>4726990.3608080195</v>
      </c>
      <c r="V223" s="2">
        <f t="shared" si="83"/>
        <v>5214188.6762729567</v>
      </c>
      <c r="W223" s="2">
        <f t="shared" si="83"/>
        <v>5323686.6384746879</v>
      </c>
      <c r="X223" s="2">
        <f t="shared" si="83"/>
        <v>5435484.0578826563</v>
      </c>
      <c r="Y223" s="2">
        <f t="shared" si="83"/>
        <v>5549629.2230981914</v>
      </c>
      <c r="Z223" s="2">
        <f t="shared" si="83"/>
        <v>5666171.4367832523</v>
      </c>
      <c r="AA223" s="2">
        <f t="shared" si="83"/>
        <v>5785161.0369557012</v>
      </c>
    </row>
    <row r="224" spans="1:27" x14ac:dyDescent="0.25">
      <c r="E224" t="s">
        <v>57</v>
      </c>
      <c r="F224" t="s">
        <v>7</v>
      </c>
      <c r="G224" s="2">
        <f t="shared" ref="G224:AA224" si="84">-G187</f>
        <v>0</v>
      </c>
      <c r="H224" s="2">
        <f t="shared" si="84"/>
        <v>-243596.11042658935</v>
      </c>
      <c r="I224" s="2">
        <f t="shared" si="84"/>
        <v>-496891.91991810547</v>
      </c>
      <c r="J224" s="2">
        <f t="shared" si="84"/>
        <v>-765061.93875011941</v>
      </c>
      <c r="K224" s="2">
        <f t="shared" si="84"/>
        <v>-1034478.4085018468</v>
      </c>
      <c r="L224" s="2">
        <f t="shared" si="84"/>
        <v>-1304858.5505169015</v>
      </c>
      <c r="M224" s="2">
        <f t="shared" si="84"/>
        <v>-1576348.8182957908</v>
      </c>
      <c r="N224" s="2">
        <f t="shared" si="84"/>
        <v>-1848671.0171382914</v>
      </c>
      <c r="O224" s="2">
        <f t="shared" si="84"/>
        <v>-2121757.2417528671</v>
      </c>
      <c r="P224" s="2">
        <f t="shared" si="84"/>
        <v>-2419390.39000388</v>
      </c>
      <c r="Q224" s="2">
        <f t="shared" si="84"/>
        <v>-2743718.366214864</v>
      </c>
      <c r="R224" s="2">
        <f t="shared" si="84"/>
        <v>-3097014.3041873062</v>
      </c>
      <c r="S224" s="2">
        <f t="shared" si="84"/>
        <v>-3481928.6977666244</v>
      </c>
      <c r="T224" s="2">
        <f t="shared" si="84"/>
        <v>-3901017.9632887952</v>
      </c>
      <c r="U224" s="2">
        <f t="shared" si="84"/>
        <v>-4333861.3696166342</v>
      </c>
      <c r="V224" s="2">
        <f t="shared" si="84"/>
        <v>-4780540.9262838205</v>
      </c>
      <c r="W224" s="2">
        <f t="shared" si="84"/>
        <v>-4880932.2857357813</v>
      </c>
      <c r="X224" s="2">
        <f t="shared" si="84"/>
        <v>-4983431.8637362318</v>
      </c>
      <c r="Y224" s="2">
        <f t="shared" si="84"/>
        <v>-5088083.9328746926</v>
      </c>
      <c r="Z224" s="2">
        <f t="shared" si="84"/>
        <v>-5194933.6954650609</v>
      </c>
      <c r="AA224" s="2">
        <f t="shared" si="84"/>
        <v>-5304027.3030698253</v>
      </c>
    </row>
    <row r="225" spans="4:28" customFormat="1" x14ac:dyDescent="0.25">
      <c r="E225" t="s">
        <v>10</v>
      </c>
      <c r="F225" t="s">
        <v>7</v>
      </c>
      <c r="G225" s="2">
        <f t="shared" ref="G225:AA225" si="85">-G200</f>
        <v>0</v>
      </c>
      <c r="H225" s="2">
        <f t="shared" si="85"/>
        <v>-72397.067999999999</v>
      </c>
      <c r="I225" s="2">
        <f t="shared" si="85"/>
        <v>-147597.13630799999</v>
      </c>
      <c r="J225" s="2">
        <f t="shared" si="85"/>
        <v>-227076.35221661095</v>
      </c>
      <c r="K225" s="2">
        <f t="shared" si="85"/>
        <v>-307041.26234956796</v>
      </c>
      <c r="L225" s="2">
        <f t="shared" si="85"/>
        <v>-387292.19792857737</v>
      </c>
      <c r="M225" s="2">
        <f t="shared" si="85"/>
        <v>-467872.62749517814</v>
      </c>
      <c r="N225" s="2">
        <f t="shared" si="85"/>
        <v>-548699.98069194832</v>
      </c>
      <c r="O225" s="2">
        <f t="shared" si="85"/>
        <v>-629754.10269858211</v>
      </c>
      <c r="P225" s="2">
        <f t="shared" si="85"/>
        <v>-718093.9431486245</v>
      </c>
      <c r="Q225" s="2">
        <f t="shared" si="85"/>
        <v>-814357.01680263912</v>
      </c>
      <c r="R225" s="2">
        <f t="shared" si="85"/>
        <v>-919218.00750725053</v>
      </c>
      <c r="S225" s="2">
        <f t="shared" si="85"/>
        <v>-1033463.6025141773</v>
      </c>
      <c r="T225" s="2">
        <f t="shared" si="85"/>
        <v>-1157852.5661363704</v>
      </c>
      <c r="U225" s="2">
        <f t="shared" si="85"/>
        <v>-1286323.8660555792</v>
      </c>
      <c r="V225" s="2">
        <f t="shared" si="85"/>
        <v>-1418901.8433412148</v>
      </c>
      <c r="W225" s="2">
        <f t="shared" si="85"/>
        <v>-1448698.7820513803</v>
      </c>
      <c r="X225" s="2">
        <f t="shared" si="85"/>
        <v>-1479121.456474459</v>
      </c>
      <c r="Y225" s="2">
        <f t="shared" si="85"/>
        <v>-1510183.0070604226</v>
      </c>
      <c r="Z225" s="2">
        <f t="shared" si="85"/>
        <v>-1541896.8502086913</v>
      </c>
      <c r="AA225" s="2">
        <f t="shared" si="85"/>
        <v>-1574276.6840630737</v>
      </c>
    </row>
    <row r="226" spans="4:28" customFormat="1" x14ac:dyDescent="0.25">
      <c r="E226" t="s">
        <v>12</v>
      </c>
      <c r="F226" t="s">
        <v>7</v>
      </c>
      <c r="G226" s="2">
        <f t="shared" ref="G226:AA226" si="86">-G34-G50-G85</f>
        <v>-98839.892565715039</v>
      </c>
      <c r="H226" s="2">
        <f t="shared" si="86"/>
        <v>-127751.13015753975</v>
      </c>
      <c r="I226" s="2">
        <f t="shared" si="86"/>
        <v>-158562.30305326753</v>
      </c>
      <c r="J226" s="2">
        <f t="shared" si="86"/>
        <v>-187874.67872887064</v>
      </c>
      <c r="K226" s="2">
        <f t="shared" si="86"/>
        <v>-216732.91048078169</v>
      </c>
      <c r="L226" s="2">
        <f t="shared" si="86"/>
        <v>-245056.45672462374</v>
      </c>
      <c r="M226" s="2">
        <f t="shared" si="86"/>
        <v>-272859.69432718435</v>
      </c>
      <c r="N226" s="2">
        <f t="shared" si="86"/>
        <v>-300108.27964163607</v>
      </c>
      <c r="O226" s="2">
        <f t="shared" si="86"/>
        <v>-326792.48780417559</v>
      </c>
      <c r="P226" s="2">
        <f t="shared" si="86"/>
        <v>-355619.51796062326</v>
      </c>
      <c r="Q226" s="2">
        <f t="shared" si="86"/>
        <v>-386775.31324216136</v>
      </c>
      <c r="R226" s="2">
        <f t="shared" si="86"/>
        <v>-420454.94336619054</v>
      </c>
      <c r="S226" s="2">
        <f t="shared" si="86"/>
        <v>-456891.02439387271</v>
      </c>
      <c r="T226" s="2">
        <f t="shared" si="86"/>
        <v>-496299.11626809248</v>
      </c>
      <c r="U226" s="2">
        <f t="shared" si="86"/>
        <v>-536271.41737622931</v>
      </c>
      <c r="V226" s="2">
        <f t="shared" si="86"/>
        <v>-576784.36872980825</v>
      </c>
      <c r="W226" s="2">
        <f t="shared" si="86"/>
        <v>-576784.36872980825</v>
      </c>
      <c r="X226" s="2">
        <f t="shared" si="86"/>
        <v>-576784.36872980825</v>
      </c>
      <c r="Y226" s="2">
        <f t="shared" si="86"/>
        <v>-576784.36872980825</v>
      </c>
      <c r="Z226" s="2">
        <f t="shared" si="86"/>
        <v>-576784.36872980825</v>
      </c>
      <c r="AA226" s="2">
        <f t="shared" si="86"/>
        <v>-576784.36872980825</v>
      </c>
    </row>
    <row r="227" spans="4:28" customFormat="1" x14ac:dyDescent="0.25">
      <c r="E227" t="s">
        <v>48</v>
      </c>
      <c r="F227" t="s">
        <v>7</v>
      </c>
      <c r="G227" s="2">
        <f t="shared" ref="G227:AA227" si="87">G207</f>
        <v>0</v>
      </c>
      <c r="H227" s="2">
        <f t="shared" si="87"/>
        <v>0</v>
      </c>
      <c r="I227" s="2">
        <f t="shared" si="87"/>
        <v>0</v>
      </c>
      <c r="J227" s="2">
        <f t="shared" si="87"/>
        <v>0</v>
      </c>
      <c r="K227" s="2">
        <f t="shared" si="87"/>
        <v>0</v>
      </c>
      <c r="L227" s="2">
        <f t="shared" si="87"/>
        <v>0</v>
      </c>
      <c r="M227" s="2">
        <f t="shared" si="87"/>
        <v>0</v>
      </c>
      <c r="N227" s="2">
        <f t="shared" si="87"/>
        <v>0</v>
      </c>
      <c r="O227" s="2">
        <f t="shared" si="87"/>
        <v>0</v>
      </c>
      <c r="P227" s="2">
        <f t="shared" si="87"/>
        <v>0</v>
      </c>
      <c r="Q227" s="2">
        <f t="shared" si="87"/>
        <v>0</v>
      </c>
      <c r="R227" s="2">
        <f t="shared" si="87"/>
        <v>0</v>
      </c>
      <c r="S227" s="2">
        <f t="shared" si="87"/>
        <v>0</v>
      </c>
      <c r="T227" s="2">
        <f t="shared" si="87"/>
        <v>0</v>
      </c>
      <c r="U227" s="2">
        <f t="shared" si="87"/>
        <v>0</v>
      </c>
      <c r="V227" s="2">
        <f t="shared" si="87"/>
        <v>0</v>
      </c>
      <c r="W227" s="2">
        <f t="shared" si="87"/>
        <v>0</v>
      </c>
      <c r="X227" s="2">
        <f t="shared" si="87"/>
        <v>0</v>
      </c>
      <c r="Y227" s="2">
        <f t="shared" si="87"/>
        <v>0</v>
      </c>
      <c r="Z227" s="2">
        <f t="shared" si="87"/>
        <v>0</v>
      </c>
      <c r="AA227" s="2">
        <f t="shared" si="87"/>
        <v>0</v>
      </c>
    </row>
    <row r="228" spans="4:28" customFormat="1" x14ac:dyDescent="0.25">
      <c r="E228" t="s">
        <v>13</v>
      </c>
      <c r="F228" t="s">
        <v>7</v>
      </c>
      <c r="H228" s="2">
        <f t="shared" ref="H228:AA228" ca="1" si="88">H219</f>
        <v>3037019.9311974496</v>
      </c>
      <c r="I228" s="2">
        <f t="shared" ca="1" si="88"/>
        <v>3090826.9402678609</v>
      </c>
      <c r="J228" s="2">
        <f t="shared" ca="1" si="88"/>
        <v>3204088.2994120796</v>
      </c>
      <c r="K228" s="2">
        <f t="shared" ca="1" si="88"/>
        <v>3154446.5628208709</v>
      </c>
      <c r="L228" s="2">
        <f t="shared" ca="1" si="88"/>
        <v>3096000.9561177981</v>
      </c>
      <c r="M228" s="2">
        <f t="shared" ca="1" si="88"/>
        <v>3039126.8614329193</v>
      </c>
      <c r="N228" s="2">
        <f t="shared" ca="1" si="88"/>
        <v>2978498.7183496277</v>
      </c>
      <c r="O228" s="2">
        <f t="shared" ca="1" si="88"/>
        <v>2916807.5661581461</v>
      </c>
      <c r="P228" s="2">
        <f t="shared" ca="1" si="88"/>
        <v>3151035.9669669713</v>
      </c>
      <c r="Q228" s="2">
        <f t="shared" ca="1" si="88"/>
        <v>3405589.5102197453</v>
      </c>
      <c r="R228" s="2">
        <f t="shared" ca="1" si="88"/>
        <v>3681465.8082710374</v>
      </c>
      <c r="S228" s="2">
        <f t="shared" ca="1" si="88"/>
        <v>3982768.9911327818</v>
      </c>
      <c r="T228" s="2">
        <f t="shared" ca="1" si="88"/>
        <v>4307634.6821467904</v>
      </c>
      <c r="U228" s="2">
        <f t="shared" ca="1" si="88"/>
        <v>4369307.4794942383</v>
      </c>
      <c r="V228" s="2">
        <f t="shared" ca="1" si="88"/>
        <v>4428405.0819767676</v>
      </c>
      <c r="W228" s="2">
        <f t="shared" ca="1" si="88"/>
        <v>0</v>
      </c>
      <c r="X228" s="2">
        <f t="shared" ca="1" si="88"/>
        <v>0</v>
      </c>
      <c r="Y228" s="2">
        <f t="shared" ca="1" si="88"/>
        <v>0</v>
      </c>
      <c r="Z228" s="2">
        <f t="shared" ca="1" si="88"/>
        <v>0</v>
      </c>
      <c r="AA228" s="2">
        <f t="shared" ca="1" si="88"/>
        <v>0</v>
      </c>
    </row>
    <row r="229" spans="4:28" customFormat="1" x14ac:dyDescent="0.25"/>
    <row r="230" spans="4:28" customFormat="1" x14ac:dyDescent="0.25">
      <c r="E230" t="s">
        <v>14</v>
      </c>
      <c r="F230" t="s">
        <v>7</v>
      </c>
      <c r="G230" s="2">
        <f t="shared" ref="G230:AA230" si="89">SUM(G222:G228)</f>
        <v>-98839.892565715039</v>
      </c>
      <c r="H230" s="2">
        <f t="shared" ca="1" si="89"/>
        <v>5089532.7860696465</v>
      </c>
      <c r="I230" s="2">
        <f t="shared" ca="1" si="89"/>
        <v>5092263.358639597</v>
      </c>
      <c r="J230" s="2">
        <f t="shared" ca="1" si="89"/>
        <v>5203526.8723685537</v>
      </c>
      <c r="K230" s="2">
        <f t="shared" ca="1" si="89"/>
        <v>5033169.5231345724</v>
      </c>
      <c r="L230" s="2">
        <f t="shared" ca="1" si="89"/>
        <v>4847901.0527958367</v>
      </c>
      <c r="M230" s="2">
        <f t="shared" ca="1" si="89"/>
        <v>4665645.7591138408</v>
      </c>
      <c r="N230" s="2">
        <f t="shared" ca="1" si="89"/>
        <v>4477272.1192616485</v>
      </c>
      <c r="O230" s="2">
        <f t="shared" ca="1" si="89"/>
        <v>4287464.3950971607</v>
      </c>
      <c r="P230" s="2">
        <f t="shared" ca="1" si="89"/>
        <v>4602950.2916751504</v>
      </c>
      <c r="Q230" s="2">
        <f t="shared" ca="1" si="89"/>
        <v>4945806.2979714023</v>
      </c>
      <c r="R230" s="2">
        <f t="shared" ca="1" si="89"/>
        <v>5317096.5979627036</v>
      </c>
      <c r="S230" s="2">
        <f t="shared" ca="1" si="89"/>
        <v>5723150.1548527889</v>
      </c>
      <c r="T230" s="2">
        <f t="shared" ca="1" si="89"/>
        <v>6159995.6734022656</v>
      </c>
      <c r="U230" s="2">
        <f t="shared" ca="1" si="89"/>
        <v>6137625.2759047598</v>
      </c>
      <c r="V230" s="2">
        <f t="shared" ca="1" si="89"/>
        <v>6107402.7281811945</v>
      </c>
      <c r="W230" s="2">
        <f t="shared" ca="1" si="89"/>
        <v>-1582728.798042282</v>
      </c>
      <c r="X230" s="2">
        <f t="shared" ca="1" si="89"/>
        <v>-1603853.6310578426</v>
      </c>
      <c r="Y230" s="2">
        <f t="shared" ca="1" si="89"/>
        <v>-1625422.0855667321</v>
      </c>
      <c r="Z230" s="2">
        <f t="shared" ca="1" si="89"/>
        <v>-1647443.4776203083</v>
      </c>
      <c r="AA230" s="2">
        <f t="shared" ca="1" si="89"/>
        <v>-1669927.3189070062</v>
      </c>
    </row>
    <row r="231" spans="4:28" customFormat="1" x14ac:dyDescent="0.25">
      <c r="E231" t="s">
        <v>15</v>
      </c>
      <c r="F231" t="s">
        <v>7</v>
      </c>
      <c r="G231" s="2">
        <f>-G230*G$18</f>
        <v>29651.967769714509</v>
      </c>
      <c r="H231" s="2">
        <f t="shared" ref="H231:AA231" ca="1" si="90">-H230*H$18</f>
        <v>-1526859.835820894</v>
      </c>
      <c r="I231" s="2">
        <f t="shared" ca="1" si="90"/>
        <v>-1527679.007591879</v>
      </c>
      <c r="J231" s="2">
        <f t="shared" ca="1" si="90"/>
        <v>-1561058.061710566</v>
      </c>
      <c r="K231" s="2">
        <f t="shared" ca="1" si="90"/>
        <v>-1509950.8569403717</v>
      </c>
      <c r="L231" s="2">
        <f t="shared" ca="1" si="90"/>
        <v>-1454370.3158387509</v>
      </c>
      <c r="M231" s="2">
        <f t="shared" ca="1" si="90"/>
        <v>-1399693.7277341522</v>
      </c>
      <c r="N231" s="2">
        <f t="shared" ca="1" si="90"/>
        <v>-1343181.6357784944</v>
      </c>
      <c r="O231" s="2">
        <f t="shared" ca="1" si="90"/>
        <v>-1286239.3185291481</v>
      </c>
      <c r="P231" s="2">
        <f t="shared" ca="1" si="90"/>
        <v>-1380885.087502545</v>
      </c>
      <c r="Q231" s="2">
        <f t="shared" ca="1" si="90"/>
        <v>-1483741.8893914206</v>
      </c>
      <c r="R231" s="2">
        <f t="shared" ca="1" si="90"/>
        <v>-1595128.9793888109</v>
      </c>
      <c r="S231" s="2">
        <f t="shared" ca="1" si="90"/>
        <v>-1716945.0464558366</v>
      </c>
      <c r="T231" s="2">
        <f t="shared" ca="1" si="90"/>
        <v>-1847998.7020206796</v>
      </c>
      <c r="U231" s="2">
        <f t="shared" ca="1" si="90"/>
        <v>-1841287.5827714279</v>
      </c>
      <c r="V231" s="2">
        <f t="shared" ca="1" si="90"/>
        <v>-1832220.8184543583</v>
      </c>
      <c r="W231" s="2">
        <f t="shared" ca="1" si="90"/>
        <v>474818.6394126846</v>
      </c>
      <c r="X231" s="2">
        <f t="shared" ca="1" si="90"/>
        <v>481156.08931735274</v>
      </c>
      <c r="Y231" s="2">
        <f t="shared" ca="1" si="90"/>
        <v>487626.6256700196</v>
      </c>
      <c r="Z231" s="2">
        <f t="shared" ca="1" si="90"/>
        <v>494233.04328609246</v>
      </c>
      <c r="AA231" s="2">
        <f t="shared" ca="1" si="90"/>
        <v>500978.19567210181</v>
      </c>
    </row>
    <row r="232" spans="4:28" customFormat="1" x14ac:dyDescent="0.25"/>
    <row r="233" spans="4:28" customFormat="1" x14ac:dyDescent="0.25">
      <c r="D233" t="s">
        <v>28</v>
      </c>
    </row>
    <row r="234" spans="4:28" customFormat="1" x14ac:dyDescent="0.25">
      <c r="E234" t="s">
        <v>1</v>
      </c>
      <c r="F234" t="s">
        <v>7</v>
      </c>
      <c r="G234" s="2">
        <f t="shared" ref="G234:AA234" si="91">-G26</f>
        <v>-7907191.4052572027</v>
      </c>
      <c r="H234" s="2">
        <f t="shared" si="91"/>
        <v>-90182.007345977254</v>
      </c>
      <c r="I234" s="2">
        <f t="shared" si="91"/>
        <v>-202796.86165822332</v>
      </c>
      <c r="J234" s="2">
        <f t="shared" si="91"/>
        <v>0</v>
      </c>
      <c r="K234" s="2">
        <f t="shared" si="91"/>
        <v>0</v>
      </c>
      <c r="L234" s="2">
        <f t="shared" si="91"/>
        <v>0</v>
      </c>
      <c r="M234" s="2">
        <f t="shared" si="91"/>
        <v>0</v>
      </c>
      <c r="N234" s="2">
        <f t="shared" si="91"/>
        <v>0</v>
      </c>
      <c r="O234" s="2">
        <f t="shared" si="91"/>
        <v>0</v>
      </c>
      <c r="P234" s="2">
        <f t="shared" si="91"/>
        <v>0</v>
      </c>
      <c r="Q234" s="2">
        <f t="shared" si="91"/>
        <v>0</v>
      </c>
      <c r="R234" s="2">
        <f t="shared" si="91"/>
        <v>0</v>
      </c>
      <c r="S234" s="2">
        <f t="shared" si="91"/>
        <v>0</v>
      </c>
      <c r="T234" s="2">
        <f t="shared" si="91"/>
        <v>0</v>
      </c>
      <c r="U234" s="2">
        <f t="shared" si="91"/>
        <v>0</v>
      </c>
      <c r="V234" s="2">
        <f t="shared" si="91"/>
        <v>0</v>
      </c>
      <c r="W234" s="2">
        <f t="shared" si="91"/>
        <v>0</v>
      </c>
      <c r="X234" s="2">
        <f t="shared" si="91"/>
        <v>0</v>
      </c>
      <c r="Y234" s="2">
        <f t="shared" si="91"/>
        <v>0</v>
      </c>
      <c r="Z234" s="2">
        <f t="shared" si="91"/>
        <v>0</v>
      </c>
      <c r="AA234" s="2">
        <f t="shared" si="91"/>
        <v>0</v>
      </c>
    </row>
    <row r="235" spans="4:28" customFormat="1" x14ac:dyDescent="0.25">
      <c r="E235" t="s">
        <v>19</v>
      </c>
      <c r="F235" t="s">
        <v>7</v>
      </c>
      <c r="G235" s="2">
        <f t="shared" ref="G235:AA235" si="92">G84</f>
        <v>0</v>
      </c>
      <c r="H235" s="2">
        <f t="shared" si="92"/>
        <v>0</v>
      </c>
      <c r="I235" s="2">
        <f t="shared" si="92"/>
        <v>0</v>
      </c>
      <c r="J235" s="2">
        <f t="shared" si="92"/>
        <v>0</v>
      </c>
      <c r="K235" s="2">
        <f t="shared" si="92"/>
        <v>0</v>
      </c>
      <c r="L235" s="2">
        <f t="shared" si="92"/>
        <v>0</v>
      </c>
      <c r="M235" s="2">
        <f t="shared" si="92"/>
        <v>0</v>
      </c>
      <c r="N235" s="2">
        <f t="shared" si="92"/>
        <v>0</v>
      </c>
      <c r="O235" s="2">
        <f t="shared" si="92"/>
        <v>0</v>
      </c>
      <c r="P235" s="2">
        <f t="shared" si="92"/>
        <v>0</v>
      </c>
      <c r="Q235" s="2">
        <f t="shared" si="92"/>
        <v>0</v>
      </c>
      <c r="R235" s="2">
        <f t="shared" si="92"/>
        <v>0</v>
      </c>
      <c r="S235" s="2">
        <f t="shared" si="92"/>
        <v>0</v>
      </c>
      <c r="T235" s="2">
        <f t="shared" si="92"/>
        <v>0</v>
      </c>
      <c r="U235" s="2">
        <f t="shared" si="92"/>
        <v>0</v>
      </c>
      <c r="V235" s="2">
        <f t="shared" si="92"/>
        <v>0</v>
      </c>
      <c r="W235" s="2">
        <f t="shared" si="92"/>
        <v>0</v>
      </c>
      <c r="X235" s="2">
        <f t="shared" si="92"/>
        <v>0</v>
      </c>
      <c r="Y235" s="2">
        <f t="shared" si="92"/>
        <v>0</v>
      </c>
      <c r="Z235" s="2">
        <f t="shared" si="92"/>
        <v>0</v>
      </c>
      <c r="AA235" s="2">
        <f t="shared" si="92"/>
        <v>0</v>
      </c>
    </row>
    <row r="236" spans="4:28" customFormat="1" x14ac:dyDescent="0.25">
      <c r="E236" t="s">
        <v>109</v>
      </c>
      <c r="F236" t="s">
        <v>7</v>
      </c>
      <c r="G236" s="2">
        <f t="shared" ref="G236:AA236" si="93">G53</f>
        <v>0</v>
      </c>
      <c r="H236" s="2">
        <f t="shared" si="93"/>
        <v>0</v>
      </c>
      <c r="I236" s="2">
        <f t="shared" si="93"/>
        <v>0</v>
      </c>
      <c r="J236" s="2">
        <f t="shared" si="93"/>
        <v>0</v>
      </c>
      <c r="K236" s="2">
        <f t="shared" si="93"/>
        <v>0</v>
      </c>
      <c r="L236" s="2">
        <f t="shared" si="93"/>
        <v>0</v>
      </c>
      <c r="M236" s="2">
        <f t="shared" si="93"/>
        <v>0</v>
      </c>
      <c r="N236" s="2">
        <f t="shared" si="93"/>
        <v>0</v>
      </c>
      <c r="O236" s="2">
        <f t="shared" si="93"/>
        <v>0</v>
      </c>
      <c r="P236" s="2">
        <f t="shared" si="93"/>
        <v>0</v>
      </c>
      <c r="Q236" s="2">
        <f t="shared" si="93"/>
        <v>0</v>
      </c>
      <c r="R236" s="2">
        <f t="shared" si="93"/>
        <v>0</v>
      </c>
      <c r="S236" s="2">
        <f t="shared" si="93"/>
        <v>0</v>
      </c>
      <c r="T236" s="2">
        <f t="shared" si="93"/>
        <v>0</v>
      </c>
      <c r="U236" s="2">
        <f t="shared" si="93"/>
        <v>0</v>
      </c>
      <c r="V236" s="2">
        <f t="shared" si="93"/>
        <v>0</v>
      </c>
      <c r="W236" s="2">
        <f t="shared" si="93"/>
        <v>0</v>
      </c>
      <c r="X236" s="2">
        <f t="shared" si="93"/>
        <v>0</v>
      </c>
      <c r="Y236" s="2">
        <f t="shared" si="93"/>
        <v>0</v>
      </c>
      <c r="Z236" s="2">
        <f t="shared" si="93"/>
        <v>0</v>
      </c>
      <c r="AA236" s="2">
        <f t="shared" si="93"/>
        <v>0</v>
      </c>
    </row>
    <row r="237" spans="4:28" customFormat="1" x14ac:dyDescent="0.25">
      <c r="E237" t="s">
        <v>11</v>
      </c>
      <c r="F237" t="s">
        <v>7</v>
      </c>
      <c r="G237" s="2">
        <f t="shared" ref="G237:AA237" si="94">G177</f>
        <v>0</v>
      </c>
      <c r="H237" s="2">
        <f t="shared" si="94"/>
        <v>273540.16345632629</v>
      </c>
      <c r="I237" s="2">
        <f t="shared" si="94"/>
        <v>542390.80765110941</v>
      </c>
      <c r="J237" s="2">
        <f t="shared" si="94"/>
        <v>834461.48860382545</v>
      </c>
      <c r="K237" s="2">
        <f t="shared" si="94"/>
        <v>1128317.0014930149</v>
      </c>
      <c r="L237" s="2">
        <f t="shared" si="94"/>
        <v>1423223.6023407767</v>
      </c>
      <c r="M237" s="2">
        <f t="shared" si="94"/>
        <v>1719341.0295942284</v>
      </c>
      <c r="N237" s="2">
        <f t="shared" si="94"/>
        <v>2016365.8532277574</v>
      </c>
      <c r="O237" s="2">
        <f t="shared" si="94"/>
        <v>2314224.0081914784</v>
      </c>
      <c r="P237" s="2">
        <f t="shared" si="94"/>
        <v>2638855.7633054936</v>
      </c>
      <c r="Q237" s="2">
        <f t="shared" si="94"/>
        <v>2992603.861488272</v>
      </c>
      <c r="R237" s="2">
        <f t="shared" si="94"/>
        <v>3377947.6348300781</v>
      </c>
      <c r="S237" s="2">
        <f t="shared" si="94"/>
        <v>3797778.0061801081</v>
      </c>
      <c r="T237" s="2">
        <f t="shared" si="94"/>
        <v>4254883.2870111503</v>
      </c>
      <c r="U237" s="2">
        <f t="shared" si="94"/>
        <v>4726990.3608080195</v>
      </c>
      <c r="V237" s="2">
        <f t="shared" si="94"/>
        <v>5214188.6762729567</v>
      </c>
      <c r="W237" s="2">
        <f t="shared" si="94"/>
        <v>5323686.6384746879</v>
      </c>
      <c r="X237" s="2">
        <f t="shared" si="94"/>
        <v>5435484.0578826563</v>
      </c>
      <c r="Y237" s="2">
        <f t="shared" si="94"/>
        <v>5549629.2230981914</v>
      </c>
      <c r="Z237" s="2">
        <f t="shared" si="94"/>
        <v>5666171.4367832523</v>
      </c>
      <c r="AA237" s="2">
        <f t="shared" si="94"/>
        <v>5785161.0369557012</v>
      </c>
      <c r="AB237" s="2">
        <f t="shared" ref="AB237:AB241" si="95">IF(V237=0,0,IF($G$15&gt;(AA237/V237)^(1/5)-1+2%,AA237*(AA237/V237)^(1/5)/($G$15-((AA237/V237)^(1/5)-1)),AA237*(1+$G$14)/$G$16))</f>
        <v>192838701.23185709</v>
      </c>
    </row>
    <row r="238" spans="4:28" customFormat="1" x14ac:dyDescent="0.25">
      <c r="E238" t="s">
        <v>57</v>
      </c>
      <c r="F238" t="s">
        <v>7</v>
      </c>
      <c r="G238" s="2">
        <f t="shared" ref="G238:AA238" si="96">G224</f>
        <v>0</v>
      </c>
      <c r="H238" s="2">
        <f t="shared" si="96"/>
        <v>-243596.11042658935</v>
      </c>
      <c r="I238" s="2">
        <f t="shared" si="96"/>
        <v>-496891.91991810547</v>
      </c>
      <c r="J238" s="2">
        <f t="shared" si="96"/>
        <v>-765061.93875011941</v>
      </c>
      <c r="K238" s="2">
        <f t="shared" si="96"/>
        <v>-1034478.4085018468</v>
      </c>
      <c r="L238" s="2">
        <f t="shared" si="96"/>
        <v>-1304858.5505169015</v>
      </c>
      <c r="M238" s="2">
        <f t="shared" si="96"/>
        <v>-1576348.8182957908</v>
      </c>
      <c r="N238" s="2">
        <f t="shared" si="96"/>
        <v>-1848671.0171382914</v>
      </c>
      <c r="O238" s="2">
        <f t="shared" si="96"/>
        <v>-2121757.2417528671</v>
      </c>
      <c r="P238" s="2">
        <f t="shared" si="96"/>
        <v>-2419390.39000388</v>
      </c>
      <c r="Q238" s="2">
        <f t="shared" si="96"/>
        <v>-2743718.366214864</v>
      </c>
      <c r="R238" s="2">
        <f t="shared" si="96"/>
        <v>-3097014.3041873062</v>
      </c>
      <c r="S238" s="2">
        <f t="shared" si="96"/>
        <v>-3481928.6977666244</v>
      </c>
      <c r="T238" s="2">
        <f t="shared" si="96"/>
        <v>-3901017.9632887952</v>
      </c>
      <c r="U238" s="2">
        <f t="shared" si="96"/>
        <v>-4333861.3696166342</v>
      </c>
      <c r="V238" s="2">
        <f t="shared" si="96"/>
        <v>-4780540.9262838205</v>
      </c>
      <c r="W238" s="2">
        <f t="shared" si="96"/>
        <v>-4880932.2857357813</v>
      </c>
      <c r="X238" s="2">
        <f t="shared" si="96"/>
        <v>-4983431.8637362318</v>
      </c>
      <c r="Y238" s="2">
        <f t="shared" si="96"/>
        <v>-5088083.9328746926</v>
      </c>
      <c r="Z238" s="2">
        <f t="shared" si="96"/>
        <v>-5194933.6954650609</v>
      </c>
      <c r="AA238" s="2">
        <f t="shared" si="96"/>
        <v>-5304027.3030698253</v>
      </c>
      <c r="AB238" s="2">
        <f t="shared" si="95"/>
        <v>-176800910.10232785</v>
      </c>
    </row>
    <row r="239" spans="4:28" customFormat="1" x14ac:dyDescent="0.25">
      <c r="E239" t="s">
        <v>10</v>
      </c>
      <c r="F239" t="s">
        <v>7</v>
      </c>
      <c r="G239" s="2">
        <f t="shared" ref="G239:AA239" si="97">-G200</f>
        <v>0</v>
      </c>
      <c r="H239" s="2">
        <f t="shared" si="97"/>
        <v>-72397.067999999999</v>
      </c>
      <c r="I239" s="2">
        <f t="shared" si="97"/>
        <v>-147597.13630799999</v>
      </c>
      <c r="J239" s="2">
        <f t="shared" si="97"/>
        <v>-227076.35221661095</v>
      </c>
      <c r="K239" s="2">
        <f t="shared" si="97"/>
        <v>-307041.26234956796</v>
      </c>
      <c r="L239" s="2">
        <f t="shared" si="97"/>
        <v>-387292.19792857737</v>
      </c>
      <c r="M239" s="2">
        <f t="shared" si="97"/>
        <v>-467872.62749517814</v>
      </c>
      <c r="N239" s="2">
        <f t="shared" si="97"/>
        <v>-548699.98069194832</v>
      </c>
      <c r="O239" s="2">
        <f t="shared" si="97"/>
        <v>-629754.10269858211</v>
      </c>
      <c r="P239" s="2">
        <f t="shared" si="97"/>
        <v>-718093.9431486245</v>
      </c>
      <c r="Q239" s="2">
        <f t="shared" si="97"/>
        <v>-814357.01680263912</v>
      </c>
      <c r="R239" s="2">
        <f t="shared" si="97"/>
        <v>-919218.00750725053</v>
      </c>
      <c r="S239" s="2">
        <f t="shared" si="97"/>
        <v>-1033463.6025141773</v>
      </c>
      <c r="T239" s="2">
        <f t="shared" si="97"/>
        <v>-1157852.5661363704</v>
      </c>
      <c r="U239" s="2">
        <f t="shared" si="97"/>
        <v>-1286323.8660555792</v>
      </c>
      <c r="V239" s="2">
        <f t="shared" si="97"/>
        <v>-1418901.8433412148</v>
      </c>
      <c r="W239" s="2">
        <f t="shared" si="97"/>
        <v>-1448698.7820513803</v>
      </c>
      <c r="X239" s="2">
        <f t="shared" si="97"/>
        <v>-1479121.456474459</v>
      </c>
      <c r="Y239" s="2">
        <f t="shared" si="97"/>
        <v>-1510183.0070604226</v>
      </c>
      <c r="Z239" s="2">
        <f t="shared" si="97"/>
        <v>-1541896.8502086913</v>
      </c>
      <c r="AA239" s="2">
        <f t="shared" si="97"/>
        <v>-1574276.6840630737</v>
      </c>
      <c r="AB239" s="2">
        <f t="shared" si="95"/>
        <v>-52475889.46876923</v>
      </c>
    </row>
    <row r="240" spans="4:28" customFormat="1" x14ac:dyDescent="0.25">
      <c r="E240" t="s">
        <v>48</v>
      </c>
      <c r="F240" t="s">
        <v>7</v>
      </c>
      <c r="G240" s="2">
        <f t="shared" ref="G240:AA240" si="98">G207</f>
        <v>0</v>
      </c>
      <c r="H240" s="2">
        <f t="shared" si="98"/>
        <v>0</v>
      </c>
      <c r="I240" s="2">
        <f t="shared" si="98"/>
        <v>0</v>
      </c>
      <c r="J240" s="2">
        <f t="shared" si="98"/>
        <v>0</v>
      </c>
      <c r="K240" s="2">
        <f t="shared" si="98"/>
        <v>0</v>
      </c>
      <c r="L240" s="2">
        <f t="shared" si="98"/>
        <v>0</v>
      </c>
      <c r="M240" s="2">
        <f t="shared" si="98"/>
        <v>0</v>
      </c>
      <c r="N240" s="2">
        <f t="shared" si="98"/>
        <v>0</v>
      </c>
      <c r="O240" s="2">
        <f t="shared" si="98"/>
        <v>0</v>
      </c>
      <c r="P240" s="2">
        <f t="shared" si="98"/>
        <v>0</v>
      </c>
      <c r="Q240" s="2">
        <f t="shared" si="98"/>
        <v>0</v>
      </c>
      <c r="R240" s="2">
        <f t="shared" si="98"/>
        <v>0</v>
      </c>
      <c r="S240" s="2">
        <f t="shared" si="98"/>
        <v>0</v>
      </c>
      <c r="T240" s="2">
        <f t="shared" si="98"/>
        <v>0</v>
      </c>
      <c r="U240" s="2">
        <f t="shared" si="98"/>
        <v>0</v>
      </c>
      <c r="V240" s="2">
        <f t="shared" si="98"/>
        <v>0</v>
      </c>
      <c r="W240" s="2">
        <f t="shared" si="98"/>
        <v>0</v>
      </c>
      <c r="X240" s="2">
        <f t="shared" si="98"/>
        <v>0</v>
      </c>
      <c r="Y240" s="2">
        <f t="shared" si="98"/>
        <v>0</v>
      </c>
      <c r="Z240" s="2">
        <f t="shared" si="98"/>
        <v>0</v>
      </c>
      <c r="AA240" s="2">
        <f t="shared" si="98"/>
        <v>0</v>
      </c>
      <c r="AB240" s="2">
        <f t="shared" si="95"/>
        <v>0</v>
      </c>
    </row>
    <row r="241" spans="1:28" x14ac:dyDescent="0.25">
      <c r="A241"/>
      <c r="E241" t="s">
        <v>49</v>
      </c>
      <c r="F241" t="s">
        <v>7</v>
      </c>
      <c r="G241" s="2">
        <f t="shared" ref="G241:AA241" si="99">G214</f>
        <v>0</v>
      </c>
      <c r="H241" s="2">
        <f t="shared" si="99"/>
        <v>0</v>
      </c>
      <c r="I241" s="2">
        <f t="shared" si="99"/>
        <v>0</v>
      </c>
      <c r="J241" s="2">
        <f t="shared" si="99"/>
        <v>0</v>
      </c>
      <c r="K241" s="2">
        <f t="shared" si="99"/>
        <v>0</v>
      </c>
      <c r="L241" s="2">
        <f t="shared" si="99"/>
        <v>0</v>
      </c>
      <c r="M241" s="2">
        <f t="shared" si="99"/>
        <v>0</v>
      </c>
      <c r="N241" s="2">
        <f t="shared" si="99"/>
        <v>0</v>
      </c>
      <c r="O241" s="2">
        <f t="shared" si="99"/>
        <v>0</v>
      </c>
      <c r="P241" s="2">
        <f t="shared" si="99"/>
        <v>0</v>
      </c>
      <c r="Q241" s="2">
        <f t="shared" si="99"/>
        <v>0</v>
      </c>
      <c r="R241" s="2">
        <f t="shared" si="99"/>
        <v>0</v>
      </c>
      <c r="S241" s="2">
        <f t="shared" si="99"/>
        <v>0</v>
      </c>
      <c r="T241" s="2">
        <f t="shared" si="99"/>
        <v>0</v>
      </c>
      <c r="U241" s="2">
        <f t="shared" si="99"/>
        <v>0</v>
      </c>
      <c r="V241" s="2">
        <f t="shared" si="99"/>
        <v>0</v>
      </c>
      <c r="W241" s="2">
        <f t="shared" si="99"/>
        <v>0</v>
      </c>
      <c r="X241" s="2">
        <f t="shared" si="99"/>
        <v>0</v>
      </c>
      <c r="Y241" s="2">
        <f t="shared" si="99"/>
        <v>0</v>
      </c>
      <c r="Z241" s="2">
        <f t="shared" si="99"/>
        <v>0</v>
      </c>
      <c r="AA241" s="2">
        <f t="shared" si="99"/>
        <v>0</v>
      </c>
      <c r="AB241" s="2">
        <f t="shared" si="95"/>
        <v>0</v>
      </c>
    </row>
    <row r="242" spans="1:28" x14ac:dyDescent="0.25">
      <c r="A242"/>
      <c r="E242" t="s">
        <v>20</v>
      </c>
      <c r="F242" t="s">
        <v>7</v>
      </c>
      <c r="G242" s="2">
        <f t="shared" ref="G242:AA242" si="100">G231</f>
        <v>29651.967769714509</v>
      </c>
      <c r="H242" s="2">
        <f t="shared" ca="1" si="100"/>
        <v>-1526859.835820894</v>
      </c>
      <c r="I242" s="2">
        <f t="shared" ca="1" si="100"/>
        <v>-1527679.007591879</v>
      </c>
      <c r="J242" s="2">
        <f t="shared" ca="1" si="100"/>
        <v>-1561058.061710566</v>
      </c>
      <c r="K242" s="2">
        <f t="shared" ca="1" si="100"/>
        <v>-1509950.8569403717</v>
      </c>
      <c r="L242" s="2">
        <f t="shared" ca="1" si="100"/>
        <v>-1454370.3158387509</v>
      </c>
      <c r="M242" s="2">
        <f t="shared" ca="1" si="100"/>
        <v>-1399693.7277341522</v>
      </c>
      <c r="N242" s="2">
        <f t="shared" ca="1" si="100"/>
        <v>-1343181.6357784944</v>
      </c>
      <c r="O242" s="2">
        <f t="shared" ca="1" si="100"/>
        <v>-1286239.3185291481</v>
      </c>
      <c r="P242" s="2">
        <f t="shared" ca="1" si="100"/>
        <v>-1380885.087502545</v>
      </c>
      <c r="Q242" s="2">
        <f t="shared" ca="1" si="100"/>
        <v>-1483741.8893914206</v>
      </c>
      <c r="R242" s="2">
        <f t="shared" ca="1" si="100"/>
        <v>-1595128.9793888109</v>
      </c>
      <c r="S242" s="2">
        <f t="shared" ca="1" si="100"/>
        <v>-1716945.0464558366</v>
      </c>
      <c r="T242" s="2">
        <f t="shared" ca="1" si="100"/>
        <v>-1847998.7020206796</v>
      </c>
      <c r="U242" s="2">
        <f t="shared" ca="1" si="100"/>
        <v>-1841287.5827714279</v>
      </c>
      <c r="V242" s="2">
        <f t="shared" ca="1" si="100"/>
        <v>-1832220.8184543583</v>
      </c>
      <c r="W242" s="2">
        <f t="shared" ca="1" si="100"/>
        <v>474818.6394126846</v>
      </c>
      <c r="X242" s="2">
        <f t="shared" ca="1" si="100"/>
        <v>481156.08931735274</v>
      </c>
      <c r="Y242" s="2">
        <f t="shared" ca="1" si="100"/>
        <v>487626.6256700196</v>
      </c>
      <c r="Z242" s="2">
        <f t="shared" ca="1" si="100"/>
        <v>494233.04328609246</v>
      </c>
      <c r="AA242" s="2">
        <f t="shared" ca="1" si="100"/>
        <v>500978.19567210181</v>
      </c>
      <c r="AB242" s="2">
        <f ca="1">IF(V242=0,0,IF($G$15&gt;(AA242/V242)^(1/5)-1+2%,AA242*(AA242/V242)^(1/5)/($G$15-((AA242/V242)^(1/5)-1)),AA242*(1+$G$14)/$G$16))</f>
        <v>-212009.70026676968</v>
      </c>
    </row>
    <row r="243" spans="1:28" x14ac:dyDescent="0.25">
      <c r="A243"/>
      <c r="E243" t="s">
        <v>173</v>
      </c>
      <c r="F243" t="s">
        <v>7</v>
      </c>
      <c r="G243" s="2">
        <f>-$G$17*G242</f>
        <v>-14825.983884857254</v>
      </c>
      <c r="H243" s="2">
        <f t="shared" ref="H243:AA243" ca="1" si="101">-$G$17*H242</f>
        <v>763429.91791044699</v>
      </c>
      <c r="I243" s="2">
        <f t="shared" ca="1" si="101"/>
        <v>763839.5037959395</v>
      </c>
      <c r="J243" s="2">
        <f t="shared" ca="1" si="101"/>
        <v>780529.03085528302</v>
      </c>
      <c r="K243" s="2">
        <f t="shared" ca="1" si="101"/>
        <v>754975.42847018584</v>
      </c>
      <c r="L243" s="2">
        <f t="shared" ca="1" si="101"/>
        <v>727185.15791937546</v>
      </c>
      <c r="M243" s="2">
        <f t="shared" ca="1" si="101"/>
        <v>699846.86386707611</v>
      </c>
      <c r="N243" s="2">
        <f t="shared" ca="1" si="101"/>
        <v>671590.81788924721</v>
      </c>
      <c r="O243" s="2">
        <f t="shared" ca="1" si="101"/>
        <v>643119.65926457406</v>
      </c>
      <c r="P243" s="2">
        <f t="shared" ca="1" si="101"/>
        <v>690442.54375127249</v>
      </c>
      <c r="Q243" s="2">
        <f t="shared" ca="1" si="101"/>
        <v>741870.94469571032</v>
      </c>
      <c r="R243" s="2">
        <f t="shared" ca="1" si="101"/>
        <v>797564.48969440546</v>
      </c>
      <c r="S243" s="2">
        <f t="shared" ca="1" si="101"/>
        <v>858472.52322791831</v>
      </c>
      <c r="T243" s="2">
        <f t="shared" ca="1" si="101"/>
        <v>923999.3510103398</v>
      </c>
      <c r="U243" s="2">
        <f t="shared" ca="1" si="101"/>
        <v>920643.79138571396</v>
      </c>
      <c r="V243" s="2">
        <f t="shared" ca="1" si="101"/>
        <v>916110.40922717913</v>
      </c>
      <c r="W243" s="2">
        <f t="shared" ca="1" si="101"/>
        <v>-237409.3197063423</v>
      </c>
      <c r="X243" s="2">
        <f t="shared" ca="1" si="101"/>
        <v>-240578.04465867637</v>
      </c>
      <c r="Y243" s="2">
        <f t="shared" ca="1" si="101"/>
        <v>-243813.3128350098</v>
      </c>
      <c r="Z243" s="2">
        <f t="shared" ca="1" si="101"/>
        <v>-247116.52164304623</v>
      </c>
      <c r="AA243" s="2">
        <f t="shared" ca="1" si="101"/>
        <v>-250489.0978360509</v>
      </c>
      <c r="AB243" s="2">
        <f t="shared" ref="AB243" ca="1" si="102">IF(V243=0,0,IF($G$15&gt;(AA243/V243)^(1/5)-1+2%,AA243*(AA243/V243)^(1/5)/($G$15-((AA243/V243)^(1/5)-1)),AA243*(1+$G$14)/$G$16))</f>
        <v>106004.85013338484</v>
      </c>
    </row>
    <row r="244" spans="1:28" x14ac:dyDescent="0.25">
      <c r="A244"/>
      <c r="E244" t="s">
        <v>23</v>
      </c>
      <c r="F244" t="s">
        <v>7</v>
      </c>
      <c r="G244" s="2">
        <f>SUM(G234:G243)</f>
        <v>-7892365.4213723456</v>
      </c>
      <c r="H244" s="2">
        <f t="shared" ref="H244:AB244" ca="1" si="103">SUM(H234:H243)</f>
        <v>-896064.94022668723</v>
      </c>
      <c r="I244" s="2">
        <f t="shared" ca="1" si="103"/>
        <v>-1068734.6140291588</v>
      </c>
      <c r="J244" s="2">
        <f t="shared" ca="1" si="103"/>
        <v>-938205.83321818791</v>
      </c>
      <c r="K244" s="2">
        <f t="shared" ca="1" si="103"/>
        <v>-968178.09782858577</v>
      </c>
      <c r="L244" s="2">
        <f t="shared" ca="1" si="103"/>
        <v>-996112.30402407772</v>
      </c>
      <c r="M244" s="2">
        <f t="shared" ca="1" si="103"/>
        <v>-1024727.2800638168</v>
      </c>
      <c r="N244" s="2">
        <f t="shared" ca="1" si="103"/>
        <v>-1052595.9624917298</v>
      </c>
      <c r="O244" s="2">
        <f t="shared" ca="1" si="103"/>
        <v>-1080406.995524545</v>
      </c>
      <c r="P244" s="2">
        <f t="shared" ca="1" si="103"/>
        <v>-1189071.1135982834</v>
      </c>
      <c r="Q244" s="2">
        <f t="shared" ca="1" si="103"/>
        <v>-1307342.4662249414</v>
      </c>
      <c r="R244" s="2">
        <f t="shared" ca="1" si="103"/>
        <v>-1435849.1665588841</v>
      </c>
      <c r="S244" s="2">
        <f t="shared" ca="1" si="103"/>
        <v>-1576086.8173286119</v>
      </c>
      <c r="T244" s="2">
        <f t="shared" ca="1" si="103"/>
        <v>-1727986.5934243551</v>
      </c>
      <c r="U244" s="2">
        <f t="shared" ca="1" si="103"/>
        <v>-1813838.6662499076</v>
      </c>
      <c r="V244" s="2">
        <f t="shared" ca="1" si="103"/>
        <v>-1901364.5025792581</v>
      </c>
      <c r="W244" s="2">
        <f t="shared" ca="1" si="103"/>
        <v>-768535.10960613133</v>
      </c>
      <c r="X244" s="2">
        <f t="shared" ca="1" si="103"/>
        <v>-786491.21766935813</v>
      </c>
      <c r="Y244" s="2">
        <f t="shared" ca="1" si="103"/>
        <v>-804824.40400191396</v>
      </c>
      <c r="Z244" s="2">
        <f t="shared" ca="1" si="103"/>
        <v>-823542.58724745363</v>
      </c>
      <c r="AA244" s="2">
        <f t="shared" ca="1" si="103"/>
        <v>-842653.85234114691</v>
      </c>
      <c r="AB244" s="2">
        <f t="shared" ca="1" si="103"/>
        <v>-36544103.189373381</v>
      </c>
    </row>
    <row r="245" spans="1:28" x14ac:dyDescent="0.25">
      <c r="A245"/>
      <c r="E245" t="s">
        <v>31</v>
      </c>
      <c r="F245" t="s">
        <v>7</v>
      </c>
      <c r="G245" s="2">
        <f ca="1">NPV($G$15,H244:AB244)+G244</f>
        <v>-34548302.120643929</v>
      </c>
    </row>
    <row r="247" spans="1:28" x14ac:dyDescent="0.25">
      <c r="A247"/>
      <c r="E247" t="s">
        <v>13</v>
      </c>
      <c r="F247" t="s">
        <v>7</v>
      </c>
      <c r="H247" s="2">
        <f t="shared" ref="H247:AA247" ca="1" si="104">H219</f>
        <v>3037019.9311974496</v>
      </c>
      <c r="I247" s="2">
        <f t="shared" ca="1" si="104"/>
        <v>3090826.9402678609</v>
      </c>
      <c r="J247" s="2">
        <f t="shared" ca="1" si="104"/>
        <v>3204088.2994120796</v>
      </c>
      <c r="K247" s="2">
        <f t="shared" ca="1" si="104"/>
        <v>3154446.5628208709</v>
      </c>
      <c r="L247" s="2">
        <f t="shared" ca="1" si="104"/>
        <v>3096000.9561177981</v>
      </c>
      <c r="M247" s="2">
        <f t="shared" ca="1" si="104"/>
        <v>3039126.8614329193</v>
      </c>
      <c r="N247" s="2">
        <f t="shared" ca="1" si="104"/>
        <v>2978498.7183496277</v>
      </c>
      <c r="O247" s="2">
        <f t="shared" ca="1" si="104"/>
        <v>2916807.5661581461</v>
      </c>
      <c r="P247" s="2">
        <f t="shared" ca="1" si="104"/>
        <v>3151035.9669669713</v>
      </c>
      <c r="Q247" s="2">
        <f t="shared" ca="1" si="104"/>
        <v>3405589.5102197453</v>
      </c>
      <c r="R247" s="2">
        <f t="shared" ca="1" si="104"/>
        <v>3681465.8082710374</v>
      </c>
      <c r="S247" s="2">
        <f t="shared" ca="1" si="104"/>
        <v>3982768.9911327818</v>
      </c>
      <c r="T247" s="2">
        <f t="shared" ca="1" si="104"/>
        <v>4307634.6821467904</v>
      </c>
      <c r="U247" s="2">
        <f t="shared" ca="1" si="104"/>
        <v>4369307.4794942383</v>
      </c>
      <c r="V247" s="2">
        <f t="shared" ca="1" si="104"/>
        <v>4428405.0819767676</v>
      </c>
      <c r="W247" s="2">
        <f t="shared" ca="1" si="104"/>
        <v>0</v>
      </c>
      <c r="X247" s="2">
        <f t="shared" ca="1" si="104"/>
        <v>0</v>
      </c>
      <c r="Y247" s="2">
        <f t="shared" ca="1" si="104"/>
        <v>0</v>
      </c>
      <c r="Z247" s="2">
        <f t="shared" ca="1" si="104"/>
        <v>0</v>
      </c>
      <c r="AA247" s="2">
        <f t="shared" ca="1" si="104"/>
        <v>0</v>
      </c>
    </row>
    <row r="248" spans="1:28" x14ac:dyDescent="0.25">
      <c r="A248"/>
      <c r="E248" t="s">
        <v>24</v>
      </c>
      <c r="F248" t="s">
        <v>7</v>
      </c>
      <c r="G248" s="2">
        <f ca="1">NPV($G$15,H247:AA247)+G247</f>
        <v>34548302.120643951</v>
      </c>
    </row>
    <row r="249" spans="1:28" x14ac:dyDescent="0.25">
      <c r="A249"/>
      <c r="E249" s="3" t="s">
        <v>34</v>
      </c>
      <c r="F249" s="3"/>
      <c r="G249" s="4" t="str">
        <f ca="1">IF(G245&gt;0,"N/A",IF(ABS(G245+G248)&gt;1,"Error","OK"))</f>
        <v>OK</v>
      </c>
    </row>
    <row r="251" spans="1:28" x14ac:dyDescent="0.25">
      <c r="A251"/>
      <c r="C251" s="1" t="s">
        <v>35</v>
      </c>
      <c r="D251" s="1"/>
    </row>
    <row r="252" spans="1:28" x14ac:dyDescent="0.25">
      <c r="A252"/>
      <c r="C252" s="1"/>
      <c r="D252" s="1"/>
      <c r="G252" s="44"/>
    </row>
    <row r="253" spans="1:28" x14ac:dyDescent="0.25">
      <c r="A253"/>
      <c r="C253" s="1"/>
      <c r="D253" t="s">
        <v>35</v>
      </c>
      <c r="F253" t="s">
        <v>7</v>
      </c>
      <c r="G253" s="8" t="e">
        <f ca="1">MAX(0,-G279)</f>
        <v>#DIV/0!</v>
      </c>
    </row>
    <row r="254" spans="1:28" x14ac:dyDescent="0.25">
      <c r="G254" s="44"/>
    </row>
    <row r="255" spans="1:28" x14ac:dyDescent="0.25">
      <c r="A255"/>
      <c r="D255" t="s">
        <v>9</v>
      </c>
    </row>
    <row r="256" spans="1:28" x14ac:dyDescent="0.25">
      <c r="A256"/>
      <c r="E256" t="s">
        <v>107</v>
      </c>
      <c r="F256" t="s">
        <v>7</v>
      </c>
      <c r="G256" s="2">
        <f t="shared" ref="G256:AA261" si="105">G222</f>
        <v>0</v>
      </c>
      <c r="H256" s="2">
        <f t="shared" si="105"/>
        <v>2222716.9999999995</v>
      </c>
      <c r="I256" s="2">
        <f t="shared" si="105"/>
        <v>2262096.9699999993</v>
      </c>
      <c r="J256" s="2">
        <f t="shared" si="105"/>
        <v>2344990.0540482495</v>
      </c>
      <c r="K256" s="2">
        <f t="shared" si="105"/>
        <v>2308658.5401528832</v>
      </c>
      <c r="L256" s="2">
        <f t="shared" si="105"/>
        <v>2265883.699507365</v>
      </c>
      <c r="M256" s="2">
        <f t="shared" si="105"/>
        <v>2224259.0082048466</v>
      </c>
      <c r="N256" s="2">
        <f t="shared" si="105"/>
        <v>2179886.8251561397</v>
      </c>
      <c r="O256" s="2">
        <f t="shared" si="105"/>
        <v>2134736.6530031604</v>
      </c>
      <c r="P256" s="2">
        <f t="shared" si="105"/>
        <v>2306162.4125158135</v>
      </c>
      <c r="Q256" s="2">
        <f t="shared" si="105"/>
        <v>2492463.6225230494</v>
      </c>
      <c r="R256" s="2">
        <f t="shared" si="105"/>
        <v>2694370.4099223348</v>
      </c>
      <c r="S256" s="2">
        <f t="shared" si="105"/>
        <v>2914886.4822145733</v>
      </c>
      <c r="T256" s="2">
        <f t="shared" si="105"/>
        <v>3152647.3499375833</v>
      </c>
      <c r="U256" s="2">
        <f t="shared" si="105"/>
        <v>3197784.0886509442</v>
      </c>
      <c r="V256" s="2">
        <f t="shared" si="105"/>
        <v>3241036.1082863132</v>
      </c>
      <c r="W256" s="2">
        <f t="shared" si="105"/>
        <v>0</v>
      </c>
      <c r="X256" s="2">
        <f t="shared" si="105"/>
        <v>0</v>
      </c>
      <c r="Y256" s="2">
        <f t="shared" si="105"/>
        <v>0</v>
      </c>
      <c r="Z256" s="2">
        <f t="shared" si="105"/>
        <v>0</v>
      </c>
      <c r="AA256" s="2">
        <f t="shared" si="105"/>
        <v>0</v>
      </c>
    </row>
    <row r="257" spans="4:28" customFormat="1" x14ac:dyDescent="0.25">
      <c r="E257" t="s">
        <v>11</v>
      </c>
      <c r="F257" t="s">
        <v>7</v>
      </c>
      <c r="G257" s="2">
        <f t="shared" si="105"/>
        <v>0</v>
      </c>
      <c r="H257" s="2">
        <f t="shared" si="105"/>
        <v>273540.16345632629</v>
      </c>
      <c r="I257" s="2">
        <f t="shared" si="105"/>
        <v>542390.80765110941</v>
      </c>
      <c r="J257" s="2">
        <f t="shared" si="105"/>
        <v>834461.48860382545</v>
      </c>
      <c r="K257" s="2">
        <f t="shared" si="105"/>
        <v>1128317.0014930149</v>
      </c>
      <c r="L257" s="2">
        <f t="shared" si="105"/>
        <v>1423223.6023407767</v>
      </c>
      <c r="M257" s="2">
        <f t="shared" si="105"/>
        <v>1719341.0295942284</v>
      </c>
      <c r="N257" s="2">
        <f t="shared" si="105"/>
        <v>2016365.8532277574</v>
      </c>
      <c r="O257" s="2">
        <f t="shared" si="105"/>
        <v>2314224.0081914784</v>
      </c>
      <c r="P257" s="2">
        <f t="shared" si="105"/>
        <v>2638855.7633054936</v>
      </c>
      <c r="Q257" s="2">
        <f t="shared" si="105"/>
        <v>2992603.861488272</v>
      </c>
      <c r="R257" s="2">
        <f t="shared" si="105"/>
        <v>3377947.6348300781</v>
      </c>
      <c r="S257" s="2">
        <f t="shared" si="105"/>
        <v>3797778.0061801081</v>
      </c>
      <c r="T257" s="2">
        <f t="shared" si="105"/>
        <v>4254883.2870111503</v>
      </c>
      <c r="U257" s="2">
        <f t="shared" si="105"/>
        <v>4726990.3608080195</v>
      </c>
      <c r="V257" s="2">
        <f t="shared" si="105"/>
        <v>5214188.6762729567</v>
      </c>
      <c r="W257" s="2">
        <f t="shared" si="105"/>
        <v>5323686.6384746879</v>
      </c>
      <c r="X257" s="2">
        <f t="shared" si="105"/>
        <v>5435484.0578826563</v>
      </c>
      <c r="Y257" s="2">
        <f t="shared" si="105"/>
        <v>5549629.2230981914</v>
      </c>
      <c r="Z257" s="2">
        <f t="shared" si="105"/>
        <v>5666171.4367832523</v>
      </c>
      <c r="AA257" s="2">
        <f t="shared" si="105"/>
        <v>5785161.0369557012</v>
      </c>
    </row>
    <row r="258" spans="4:28" customFormat="1" x14ac:dyDescent="0.25">
      <c r="E258" t="s">
        <v>57</v>
      </c>
      <c r="F258" t="s">
        <v>7</v>
      </c>
      <c r="G258" s="2">
        <f t="shared" si="105"/>
        <v>0</v>
      </c>
      <c r="H258" s="2">
        <f t="shared" si="105"/>
        <v>-243596.11042658935</v>
      </c>
      <c r="I258" s="2">
        <f t="shared" si="105"/>
        <v>-496891.91991810547</v>
      </c>
      <c r="J258" s="2">
        <f t="shared" si="105"/>
        <v>-765061.93875011941</v>
      </c>
      <c r="K258" s="2">
        <f t="shared" si="105"/>
        <v>-1034478.4085018468</v>
      </c>
      <c r="L258" s="2">
        <f t="shared" si="105"/>
        <v>-1304858.5505169015</v>
      </c>
      <c r="M258" s="2">
        <f t="shared" si="105"/>
        <v>-1576348.8182957908</v>
      </c>
      <c r="N258" s="2">
        <f t="shared" si="105"/>
        <v>-1848671.0171382914</v>
      </c>
      <c r="O258" s="2">
        <f t="shared" si="105"/>
        <v>-2121757.2417528671</v>
      </c>
      <c r="P258" s="2">
        <f t="shared" si="105"/>
        <v>-2419390.39000388</v>
      </c>
      <c r="Q258" s="2">
        <f t="shared" si="105"/>
        <v>-2743718.366214864</v>
      </c>
      <c r="R258" s="2">
        <f t="shared" si="105"/>
        <v>-3097014.3041873062</v>
      </c>
      <c r="S258" s="2">
        <f t="shared" si="105"/>
        <v>-3481928.6977666244</v>
      </c>
      <c r="T258" s="2">
        <f t="shared" si="105"/>
        <v>-3901017.9632887952</v>
      </c>
      <c r="U258" s="2">
        <f t="shared" si="105"/>
        <v>-4333861.3696166342</v>
      </c>
      <c r="V258" s="2">
        <f t="shared" si="105"/>
        <v>-4780540.9262838205</v>
      </c>
      <c r="W258" s="2">
        <f t="shared" si="105"/>
        <v>-4880932.2857357813</v>
      </c>
      <c r="X258" s="2">
        <f t="shared" si="105"/>
        <v>-4983431.8637362318</v>
      </c>
      <c r="Y258" s="2">
        <f t="shared" si="105"/>
        <v>-5088083.9328746926</v>
      </c>
      <c r="Z258" s="2">
        <f t="shared" si="105"/>
        <v>-5194933.6954650609</v>
      </c>
      <c r="AA258" s="2">
        <f t="shared" si="105"/>
        <v>-5304027.3030698253</v>
      </c>
    </row>
    <row r="259" spans="4:28" customFormat="1" x14ac:dyDescent="0.25">
      <c r="E259" t="s">
        <v>10</v>
      </c>
      <c r="F259" t="s">
        <v>7</v>
      </c>
      <c r="G259" s="2">
        <f t="shared" si="105"/>
        <v>0</v>
      </c>
      <c r="H259" s="2">
        <f t="shared" si="105"/>
        <v>-72397.067999999999</v>
      </c>
      <c r="I259" s="2">
        <f t="shared" si="105"/>
        <v>-147597.13630799999</v>
      </c>
      <c r="J259" s="2">
        <f t="shared" si="105"/>
        <v>-227076.35221661095</v>
      </c>
      <c r="K259" s="2">
        <f t="shared" si="105"/>
        <v>-307041.26234956796</v>
      </c>
      <c r="L259" s="2">
        <f t="shared" si="105"/>
        <v>-387292.19792857737</v>
      </c>
      <c r="M259" s="2">
        <f t="shared" si="105"/>
        <v>-467872.62749517814</v>
      </c>
      <c r="N259" s="2">
        <f t="shared" si="105"/>
        <v>-548699.98069194832</v>
      </c>
      <c r="O259" s="2">
        <f t="shared" si="105"/>
        <v>-629754.10269858211</v>
      </c>
      <c r="P259" s="2">
        <f t="shared" si="105"/>
        <v>-718093.9431486245</v>
      </c>
      <c r="Q259" s="2">
        <f t="shared" si="105"/>
        <v>-814357.01680263912</v>
      </c>
      <c r="R259" s="2">
        <f t="shared" si="105"/>
        <v>-919218.00750725053</v>
      </c>
      <c r="S259" s="2">
        <f t="shared" si="105"/>
        <v>-1033463.6025141773</v>
      </c>
      <c r="T259" s="2">
        <f t="shared" si="105"/>
        <v>-1157852.5661363704</v>
      </c>
      <c r="U259" s="2">
        <f t="shared" si="105"/>
        <v>-1286323.8660555792</v>
      </c>
      <c r="V259" s="2">
        <f t="shared" si="105"/>
        <v>-1418901.8433412148</v>
      </c>
      <c r="W259" s="2">
        <f t="shared" si="105"/>
        <v>-1448698.7820513803</v>
      </c>
      <c r="X259" s="2">
        <f t="shared" si="105"/>
        <v>-1479121.456474459</v>
      </c>
      <c r="Y259" s="2">
        <f t="shared" si="105"/>
        <v>-1510183.0070604226</v>
      </c>
      <c r="Z259" s="2">
        <f t="shared" si="105"/>
        <v>-1541896.8502086913</v>
      </c>
      <c r="AA259" s="2">
        <f t="shared" si="105"/>
        <v>-1574276.6840630737</v>
      </c>
    </row>
    <row r="260" spans="4:28" customFormat="1" x14ac:dyDescent="0.25">
      <c r="E260" t="s">
        <v>12</v>
      </c>
      <c r="F260" t="s">
        <v>7</v>
      </c>
      <c r="G260" s="2">
        <f t="shared" si="105"/>
        <v>-98839.892565715039</v>
      </c>
      <c r="H260" s="2">
        <f t="shared" si="105"/>
        <v>-127751.13015753975</v>
      </c>
      <c r="I260" s="2">
        <f t="shared" si="105"/>
        <v>-158562.30305326753</v>
      </c>
      <c r="J260" s="2">
        <f t="shared" si="105"/>
        <v>-187874.67872887064</v>
      </c>
      <c r="K260" s="2">
        <f t="shared" si="105"/>
        <v>-216732.91048078169</v>
      </c>
      <c r="L260" s="2">
        <f t="shared" si="105"/>
        <v>-245056.45672462374</v>
      </c>
      <c r="M260" s="2">
        <f t="shared" si="105"/>
        <v>-272859.69432718435</v>
      </c>
      <c r="N260" s="2">
        <f t="shared" si="105"/>
        <v>-300108.27964163607</v>
      </c>
      <c r="O260" s="2">
        <f t="shared" si="105"/>
        <v>-326792.48780417559</v>
      </c>
      <c r="P260" s="2">
        <f t="shared" si="105"/>
        <v>-355619.51796062326</v>
      </c>
      <c r="Q260" s="2">
        <f t="shared" si="105"/>
        <v>-386775.31324216136</v>
      </c>
      <c r="R260" s="2">
        <f t="shared" si="105"/>
        <v>-420454.94336619054</v>
      </c>
      <c r="S260" s="2">
        <f t="shared" si="105"/>
        <v>-456891.02439387271</v>
      </c>
      <c r="T260" s="2">
        <f t="shared" si="105"/>
        <v>-496299.11626809248</v>
      </c>
      <c r="U260" s="2">
        <f t="shared" si="105"/>
        <v>-536271.41737622931</v>
      </c>
      <c r="V260" s="2">
        <f t="shared" si="105"/>
        <v>-576784.36872980825</v>
      </c>
      <c r="W260" s="2">
        <f t="shared" si="105"/>
        <v>-576784.36872980825</v>
      </c>
      <c r="X260" s="2">
        <f t="shared" si="105"/>
        <v>-576784.36872980825</v>
      </c>
      <c r="Y260" s="2">
        <f t="shared" si="105"/>
        <v>-576784.36872980825</v>
      </c>
      <c r="Z260" s="2">
        <f t="shared" si="105"/>
        <v>-576784.36872980825</v>
      </c>
      <c r="AA260" s="2">
        <f t="shared" si="105"/>
        <v>-576784.36872980825</v>
      </c>
    </row>
    <row r="261" spans="4:28" customFormat="1" x14ac:dyDescent="0.25">
      <c r="E261" t="s">
        <v>48</v>
      </c>
      <c r="F261" t="s">
        <v>7</v>
      </c>
      <c r="G261" s="2">
        <f t="shared" si="105"/>
        <v>0</v>
      </c>
      <c r="H261" s="2">
        <f t="shared" si="105"/>
        <v>0</v>
      </c>
      <c r="I261" s="2">
        <f t="shared" si="105"/>
        <v>0</v>
      </c>
      <c r="J261" s="2">
        <f t="shared" si="105"/>
        <v>0</v>
      </c>
      <c r="K261" s="2">
        <f t="shared" si="105"/>
        <v>0</v>
      </c>
      <c r="L261" s="2">
        <f t="shared" si="105"/>
        <v>0</v>
      </c>
      <c r="M261" s="2">
        <f t="shared" si="105"/>
        <v>0</v>
      </c>
      <c r="N261" s="2">
        <f t="shared" si="105"/>
        <v>0</v>
      </c>
      <c r="O261" s="2">
        <f t="shared" si="105"/>
        <v>0</v>
      </c>
      <c r="P261" s="2">
        <f t="shared" si="105"/>
        <v>0</v>
      </c>
      <c r="Q261" s="2">
        <f t="shared" si="105"/>
        <v>0</v>
      </c>
      <c r="R261" s="2">
        <f t="shared" si="105"/>
        <v>0</v>
      </c>
      <c r="S261" s="2">
        <f t="shared" si="105"/>
        <v>0</v>
      </c>
      <c r="T261" s="2">
        <f t="shared" si="105"/>
        <v>0</v>
      </c>
      <c r="U261" s="2">
        <f t="shared" si="105"/>
        <v>0</v>
      </c>
      <c r="V261" s="2">
        <f t="shared" si="105"/>
        <v>0</v>
      </c>
      <c r="W261" s="2">
        <f t="shared" si="105"/>
        <v>0</v>
      </c>
      <c r="X261" s="2">
        <f t="shared" si="105"/>
        <v>0</v>
      </c>
      <c r="Y261" s="2">
        <f t="shared" si="105"/>
        <v>0</v>
      </c>
      <c r="Z261" s="2">
        <f t="shared" si="105"/>
        <v>0</v>
      </c>
      <c r="AA261" s="2">
        <f t="shared" si="105"/>
        <v>0</v>
      </c>
    </row>
    <row r="262" spans="4:28" customFormat="1" x14ac:dyDescent="0.25">
      <c r="E262" t="s">
        <v>13</v>
      </c>
      <c r="F262" t="s">
        <v>7</v>
      </c>
      <c r="G262" s="2" t="e">
        <f ca="1">G253</f>
        <v>#DIV/0!</v>
      </c>
      <c r="H262" s="2"/>
      <c r="I262" s="2"/>
      <c r="J262" s="2"/>
      <c r="K262" s="2"/>
      <c r="L262" s="2"/>
      <c r="M262" s="2"/>
      <c r="N262" s="2"/>
      <c r="O262" s="2"/>
      <c r="P262" s="2"/>
      <c r="Q262" s="2"/>
      <c r="R262" s="2"/>
      <c r="S262" s="2"/>
      <c r="T262" s="2"/>
      <c r="U262" s="2"/>
      <c r="V262" s="2"/>
      <c r="W262" s="2"/>
      <c r="X262" s="2"/>
      <c r="Y262" s="2"/>
      <c r="Z262" s="2"/>
      <c r="AA262" s="2"/>
    </row>
    <row r="263" spans="4:28" customFormat="1" x14ac:dyDescent="0.25"/>
    <row r="264" spans="4:28" customFormat="1" x14ac:dyDescent="0.25">
      <c r="E264" t="s">
        <v>14</v>
      </c>
      <c r="F264" t="s">
        <v>7</v>
      </c>
      <c r="G264" s="2" t="e">
        <f t="shared" ref="G264:AA264" ca="1" si="106">SUM(G256:G262)</f>
        <v>#DIV/0!</v>
      </c>
      <c r="H264" s="2">
        <f t="shared" si="106"/>
        <v>2052512.8548721967</v>
      </c>
      <c r="I264" s="2">
        <f t="shared" si="106"/>
        <v>2001436.4183717358</v>
      </c>
      <c r="J264" s="2">
        <f t="shared" si="106"/>
        <v>1999438.572956474</v>
      </c>
      <c r="K264" s="2">
        <f t="shared" si="106"/>
        <v>1878722.9603137018</v>
      </c>
      <c r="L264" s="2">
        <f t="shared" si="106"/>
        <v>1751900.0966780388</v>
      </c>
      <c r="M264" s="2">
        <f t="shared" si="106"/>
        <v>1626518.8976809219</v>
      </c>
      <c r="N264" s="2">
        <f t="shared" si="106"/>
        <v>1498773.4009120213</v>
      </c>
      <c r="O264" s="2">
        <f t="shared" si="106"/>
        <v>1370656.8289390143</v>
      </c>
      <c r="P264" s="2">
        <f t="shared" si="106"/>
        <v>1451914.3247081791</v>
      </c>
      <c r="Q264" s="2">
        <f t="shared" si="106"/>
        <v>1540216.7877516567</v>
      </c>
      <c r="R264" s="2">
        <f t="shared" si="106"/>
        <v>1635630.7896916661</v>
      </c>
      <c r="S264" s="2">
        <f t="shared" si="106"/>
        <v>1740381.1637200066</v>
      </c>
      <c r="T264" s="2">
        <f t="shared" si="106"/>
        <v>1852360.9912554754</v>
      </c>
      <c r="U264" s="2">
        <f t="shared" si="106"/>
        <v>1768317.7964105217</v>
      </c>
      <c r="V264" s="2">
        <f t="shared" si="106"/>
        <v>1678997.6462044269</v>
      </c>
      <c r="W264" s="2">
        <f t="shared" si="106"/>
        <v>-1582728.798042282</v>
      </c>
      <c r="X264" s="2">
        <f t="shared" si="106"/>
        <v>-1603853.6310578426</v>
      </c>
      <c r="Y264" s="2">
        <f t="shared" si="106"/>
        <v>-1625422.0855667321</v>
      </c>
      <c r="Z264" s="2">
        <f t="shared" si="106"/>
        <v>-1647443.4776203083</v>
      </c>
      <c r="AA264" s="2">
        <f t="shared" si="106"/>
        <v>-1669927.3189070062</v>
      </c>
    </row>
    <row r="265" spans="4:28" customFormat="1" x14ac:dyDescent="0.25">
      <c r="E265" t="s">
        <v>15</v>
      </c>
      <c r="F265" t="s">
        <v>7</v>
      </c>
      <c r="G265" s="2" t="e">
        <f ca="1">-G264*G$18</f>
        <v>#DIV/0!</v>
      </c>
      <c r="H265" s="2">
        <f t="shared" ref="H265:AA265" si="107">-H264*H$18</f>
        <v>-615753.85646165896</v>
      </c>
      <c r="I265" s="2">
        <f t="shared" si="107"/>
        <v>-600430.92551152071</v>
      </c>
      <c r="J265" s="2">
        <f t="shared" si="107"/>
        <v>-599831.57188694214</v>
      </c>
      <c r="K265" s="2">
        <f t="shared" si="107"/>
        <v>-563616.88809411053</v>
      </c>
      <c r="L265" s="2">
        <f t="shared" si="107"/>
        <v>-525570.02900341165</v>
      </c>
      <c r="M265" s="2">
        <f t="shared" si="107"/>
        <v>-487955.66930427658</v>
      </c>
      <c r="N265" s="2">
        <f t="shared" si="107"/>
        <v>-449632.02027360635</v>
      </c>
      <c r="O265" s="2">
        <f t="shared" si="107"/>
        <v>-411197.04868170427</v>
      </c>
      <c r="P265" s="2">
        <f t="shared" si="107"/>
        <v>-435574.29741245374</v>
      </c>
      <c r="Q265" s="2">
        <f t="shared" si="107"/>
        <v>-462065.03632549703</v>
      </c>
      <c r="R265" s="2">
        <f t="shared" si="107"/>
        <v>-490689.23690749984</v>
      </c>
      <c r="S265" s="2">
        <f t="shared" si="107"/>
        <v>-522114.34911600198</v>
      </c>
      <c r="T265" s="2">
        <f t="shared" si="107"/>
        <v>-555708.29737664259</v>
      </c>
      <c r="U265" s="2">
        <f t="shared" si="107"/>
        <v>-530495.33892315649</v>
      </c>
      <c r="V265" s="2">
        <f t="shared" si="107"/>
        <v>-503699.29386132804</v>
      </c>
      <c r="W265" s="2">
        <f t="shared" si="107"/>
        <v>474818.6394126846</v>
      </c>
      <c r="X265" s="2">
        <f t="shared" si="107"/>
        <v>481156.08931735274</v>
      </c>
      <c r="Y265" s="2">
        <f t="shared" si="107"/>
        <v>487626.6256700196</v>
      </c>
      <c r="Z265" s="2">
        <f t="shared" si="107"/>
        <v>494233.04328609246</v>
      </c>
      <c r="AA265" s="2">
        <f t="shared" si="107"/>
        <v>500978.19567210181</v>
      </c>
    </row>
    <row r="266" spans="4:28" customFormat="1" x14ac:dyDescent="0.25"/>
    <row r="267" spans="4:28" customFormat="1" x14ac:dyDescent="0.25">
      <c r="D267" t="s">
        <v>28</v>
      </c>
    </row>
    <row r="268" spans="4:28" customFormat="1" x14ac:dyDescent="0.25">
      <c r="E268" t="s">
        <v>1</v>
      </c>
      <c r="F268" t="s">
        <v>7</v>
      </c>
      <c r="G268" s="2">
        <f t="shared" ref="G268:AA275" si="108">G234</f>
        <v>-7907191.4052572027</v>
      </c>
      <c r="H268" s="2">
        <f t="shared" si="108"/>
        <v>-90182.007345977254</v>
      </c>
      <c r="I268" s="2">
        <f t="shared" si="108"/>
        <v>-202796.86165822332</v>
      </c>
      <c r="J268" s="2">
        <f t="shared" si="108"/>
        <v>0</v>
      </c>
      <c r="K268" s="2">
        <f t="shared" si="108"/>
        <v>0</v>
      </c>
      <c r="L268" s="2">
        <f t="shared" si="108"/>
        <v>0</v>
      </c>
      <c r="M268" s="2">
        <f t="shared" si="108"/>
        <v>0</v>
      </c>
      <c r="N268" s="2">
        <f t="shared" si="108"/>
        <v>0</v>
      </c>
      <c r="O268" s="2">
        <f t="shared" si="108"/>
        <v>0</v>
      </c>
      <c r="P268" s="2">
        <f t="shared" si="108"/>
        <v>0</v>
      </c>
      <c r="Q268" s="2">
        <f t="shared" si="108"/>
        <v>0</v>
      </c>
      <c r="R268" s="2">
        <f t="shared" si="108"/>
        <v>0</v>
      </c>
      <c r="S268" s="2">
        <f t="shared" si="108"/>
        <v>0</v>
      </c>
      <c r="T268" s="2">
        <f t="shared" si="108"/>
        <v>0</v>
      </c>
      <c r="U268" s="2">
        <f t="shared" si="108"/>
        <v>0</v>
      </c>
      <c r="V268" s="2">
        <f t="shared" si="108"/>
        <v>0</v>
      </c>
      <c r="W268" s="2">
        <f t="shared" si="108"/>
        <v>0</v>
      </c>
      <c r="X268" s="2">
        <f t="shared" si="108"/>
        <v>0</v>
      </c>
      <c r="Y268" s="2">
        <f t="shared" si="108"/>
        <v>0</v>
      </c>
      <c r="Z268" s="2">
        <f t="shared" si="108"/>
        <v>0</v>
      </c>
      <c r="AA268" s="2">
        <f t="shared" si="108"/>
        <v>0</v>
      </c>
    </row>
    <row r="269" spans="4:28" customFormat="1" x14ac:dyDescent="0.25">
      <c r="E269" t="s">
        <v>19</v>
      </c>
      <c r="F269" t="s">
        <v>7</v>
      </c>
      <c r="G269" s="2">
        <f t="shared" si="108"/>
        <v>0</v>
      </c>
      <c r="H269" s="2">
        <f t="shared" si="108"/>
        <v>0</v>
      </c>
      <c r="I269" s="2">
        <f t="shared" si="108"/>
        <v>0</v>
      </c>
      <c r="J269" s="2">
        <f t="shared" si="108"/>
        <v>0</v>
      </c>
      <c r="K269" s="2">
        <f t="shared" si="108"/>
        <v>0</v>
      </c>
      <c r="L269" s="2">
        <f t="shared" si="108"/>
        <v>0</v>
      </c>
      <c r="M269" s="2">
        <f t="shared" si="108"/>
        <v>0</v>
      </c>
      <c r="N269" s="2">
        <f t="shared" si="108"/>
        <v>0</v>
      </c>
      <c r="O269" s="2">
        <f t="shared" si="108"/>
        <v>0</v>
      </c>
      <c r="P269" s="2">
        <f t="shared" si="108"/>
        <v>0</v>
      </c>
      <c r="Q269" s="2">
        <f t="shared" si="108"/>
        <v>0</v>
      </c>
      <c r="R269" s="2">
        <f t="shared" si="108"/>
        <v>0</v>
      </c>
      <c r="S269" s="2">
        <f t="shared" si="108"/>
        <v>0</v>
      </c>
      <c r="T269" s="2">
        <f t="shared" si="108"/>
        <v>0</v>
      </c>
      <c r="U269" s="2">
        <f t="shared" si="108"/>
        <v>0</v>
      </c>
      <c r="V269" s="2">
        <f t="shared" si="108"/>
        <v>0</v>
      </c>
      <c r="W269" s="2">
        <f t="shared" si="108"/>
        <v>0</v>
      </c>
      <c r="X269" s="2">
        <f t="shared" si="108"/>
        <v>0</v>
      </c>
      <c r="Y269" s="2">
        <f t="shared" si="108"/>
        <v>0</v>
      </c>
      <c r="Z269" s="2">
        <f t="shared" si="108"/>
        <v>0</v>
      </c>
      <c r="AA269" s="2">
        <f t="shared" si="108"/>
        <v>0</v>
      </c>
    </row>
    <row r="270" spans="4:28" customFormat="1" x14ac:dyDescent="0.25">
      <c r="E270" t="s">
        <v>109</v>
      </c>
      <c r="F270" t="s">
        <v>7</v>
      </c>
      <c r="G270" s="2">
        <f t="shared" si="108"/>
        <v>0</v>
      </c>
      <c r="H270" s="2">
        <f t="shared" si="108"/>
        <v>0</v>
      </c>
      <c r="I270" s="2">
        <f t="shared" si="108"/>
        <v>0</v>
      </c>
      <c r="J270" s="2">
        <f t="shared" si="108"/>
        <v>0</v>
      </c>
      <c r="K270" s="2">
        <f t="shared" si="108"/>
        <v>0</v>
      </c>
      <c r="L270" s="2">
        <f t="shared" si="108"/>
        <v>0</v>
      </c>
      <c r="M270" s="2">
        <f t="shared" si="108"/>
        <v>0</v>
      </c>
      <c r="N270" s="2">
        <f t="shared" si="108"/>
        <v>0</v>
      </c>
      <c r="O270" s="2">
        <f t="shared" si="108"/>
        <v>0</v>
      </c>
      <c r="P270" s="2">
        <f t="shared" si="108"/>
        <v>0</v>
      </c>
      <c r="Q270" s="2">
        <f t="shared" si="108"/>
        <v>0</v>
      </c>
      <c r="R270" s="2">
        <f t="shared" si="108"/>
        <v>0</v>
      </c>
      <c r="S270" s="2">
        <f t="shared" si="108"/>
        <v>0</v>
      </c>
      <c r="T270" s="2">
        <f t="shared" si="108"/>
        <v>0</v>
      </c>
      <c r="U270" s="2">
        <f t="shared" si="108"/>
        <v>0</v>
      </c>
      <c r="V270" s="2">
        <f t="shared" si="108"/>
        <v>0</v>
      </c>
      <c r="W270" s="2">
        <f t="shared" si="108"/>
        <v>0</v>
      </c>
      <c r="X270" s="2">
        <f t="shared" si="108"/>
        <v>0</v>
      </c>
      <c r="Y270" s="2">
        <f t="shared" si="108"/>
        <v>0</v>
      </c>
      <c r="Z270" s="2">
        <f t="shared" si="108"/>
        <v>0</v>
      </c>
      <c r="AA270" s="2">
        <f t="shared" si="108"/>
        <v>0</v>
      </c>
    </row>
    <row r="271" spans="4:28" customFormat="1" x14ac:dyDescent="0.25">
      <c r="E271" t="s">
        <v>11</v>
      </c>
      <c r="F271" t="s">
        <v>7</v>
      </c>
      <c r="G271" s="2">
        <f t="shared" si="108"/>
        <v>0</v>
      </c>
      <c r="H271" s="2">
        <f t="shared" si="108"/>
        <v>273540.16345632629</v>
      </c>
      <c r="I271" s="2">
        <f t="shared" si="108"/>
        <v>542390.80765110941</v>
      </c>
      <c r="J271" s="2">
        <f t="shared" si="108"/>
        <v>834461.48860382545</v>
      </c>
      <c r="K271" s="2">
        <f t="shared" si="108"/>
        <v>1128317.0014930149</v>
      </c>
      <c r="L271" s="2">
        <f t="shared" si="108"/>
        <v>1423223.6023407767</v>
      </c>
      <c r="M271" s="2">
        <f t="shared" si="108"/>
        <v>1719341.0295942284</v>
      </c>
      <c r="N271" s="2">
        <f t="shared" si="108"/>
        <v>2016365.8532277574</v>
      </c>
      <c r="O271" s="2">
        <f t="shared" si="108"/>
        <v>2314224.0081914784</v>
      </c>
      <c r="P271" s="2">
        <f t="shared" si="108"/>
        <v>2638855.7633054936</v>
      </c>
      <c r="Q271" s="2">
        <f t="shared" si="108"/>
        <v>2992603.861488272</v>
      </c>
      <c r="R271" s="2">
        <f t="shared" si="108"/>
        <v>3377947.6348300781</v>
      </c>
      <c r="S271" s="2">
        <f t="shared" si="108"/>
        <v>3797778.0061801081</v>
      </c>
      <c r="T271" s="2">
        <f t="shared" si="108"/>
        <v>4254883.2870111503</v>
      </c>
      <c r="U271" s="2">
        <f t="shared" si="108"/>
        <v>4726990.3608080195</v>
      </c>
      <c r="V271" s="2">
        <f t="shared" si="108"/>
        <v>5214188.6762729567</v>
      </c>
      <c r="W271" s="2">
        <f t="shared" si="108"/>
        <v>5323686.6384746879</v>
      </c>
      <c r="X271" s="2">
        <f t="shared" si="108"/>
        <v>5435484.0578826563</v>
      </c>
      <c r="Y271" s="2">
        <f t="shared" si="108"/>
        <v>5549629.2230981914</v>
      </c>
      <c r="Z271" s="2">
        <f t="shared" si="108"/>
        <v>5666171.4367832523</v>
      </c>
      <c r="AA271" s="2">
        <f t="shared" si="108"/>
        <v>5785161.0369557012</v>
      </c>
      <c r="AB271" s="2">
        <f t="shared" ref="AB271:AB275" si="109">IF(V271=0,0,IF($G$15&gt;(AA271/V271)^(1/5)-1+2%,AA271*(AA271/V271)^(1/5)/($G$15-((AA271/V271)^(1/5)-1)),AA271*(1+$G$14)/$G$16))</f>
        <v>192838701.23185709</v>
      </c>
    </row>
    <row r="272" spans="4:28" customFormat="1" x14ac:dyDescent="0.25">
      <c r="E272" t="s">
        <v>57</v>
      </c>
      <c r="F272" t="s">
        <v>7</v>
      </c>
      <c r="G272" s="2">
        <f t="shared" si="108"/>
        <v>0</v>
      </c>
      <c r="H272" s="2">
        <f t="shared" si="108"/>
        <v>-243596.11042658935</v>
      </c>
      <c r="I272" s="2">
        <f t="shared" si="108"/>
        <v>-496891.91991810547</v>
      </c>
      <c r="J272" s="2">
        <f t="shared" si="108"/>
        <v>-765061.93875011941</v>
      </c>
      <c r="K272" s="2">
        <f t="shared" si="108"/>
        <v>-1034478.4085018468</v>
      </c>
      <c r="L272" s="2">
        <f t="shared" si="108"/>
        <v>-1304858.5505169015</v>
      </c>
      <c r="M272" s="2">
        <f t="shared" si="108"/>
        <v>-1576348.8182957908</v>
      </c>
      <c r="N272" s="2">
        <f t="shared" si="108"/>
        <v>-1848671.0171382914</v>
      </c>
      <c r="O272" s="2">
        <f t="shared" si="108"/>
        <v>-2121757.2417528671</v>
      </c>
      <c r="P272" s="2">
        <f t="shared" si="108"/>
        <v>-2419390.39000388</v>
      </c>
      <c r="Q272" s="2">
        <f t="shared" si="108"/>
        <v>-2743718.366214864</v>
      </c>
      <c r="R272" s="2">
        <f t="shared" si="108"/>
        <v>-3097014.3041873062</v>
      </c>
      <c r="S272" s="2">
        <f t="shared" si="108"/>
        <v>-3481928.6977666244</v>
      </c>
      <c r="T272" s="2">
        <f t="shared" si="108"/>
        <v>-3901017.9632887952</v>
      </c>
      <c r="U272" s="2">
        <f t="shared" si="108"/>
        <v>-4333861.3696166342</v>
      </c>
      <c r="V272" s="2">
        <f t="shared" si="108"/>
        <v>-4780540.9262838205</v>
      </c>
      <c r="W272" s="2">
        <f t="shared" si="108"/>
        <v>-4880932.2857357813</v>
      </c>
      <c r="X272" s="2">
        <f t="shared" si="108"/>
        <v>-4983431.8637362318</v>
      </c>
      <c r="Y272" s="2">
        <f t="shared" si="108"/>
        <v>-5088083.9328746926</v>
      </c>
      <c r="Z272" s="2">
        <f t="shared" si="108"/>
        <v>-5194933.6954650609</v>
      </c>
      <c r="AA272" s="2">
        <f t="shared" si="108"/>
        <v>-5304027.3030698253</v>
      </c>
      <c r="AB272" s="2">
        <f t="shared" si="109"/>
        <v>-176800910.10232785</v>
      </c>
    </row>
    <row r="273" spans="1:28" x14ac:dyDescent="0.25">
      <c r="E273" t="s">
        <v>10</v>
      </c>
      <c r="F273" t="s">
        <v>7</v>
      </c>
      <c r="G273" s="2">
        <f t="shared" si="108"/>
        <v>0</v>
      </c>
      <c r="H273" s="2">
        <f t="shared" si="108"/>
        <v>-72397.067999999999</v>
      </c>
      <c r="I273" s="2">
        <f t="shared" si="108"/>
        <v>-147597.13630799999</v>
      </c>
      <c r="J273" s="2">
        <f t="shared" si="108"/>
        <v>-227076.35221661095</v>
      </c>
      <c r="K273" s="2">
        <f t="shared" si="108"/>
        <v>-307041.26234956796</v>
      </c>
      <c r="L273" s="2">
        <f t="shared" si="108"/>
        <v>-387292.19792857737</v>
      </c>
      <c r="M273" s="2">
        <f t="shared" si="108"/>
        <v>-467872.62749517814</v>
      </c>
      <c r="N273" s="2">
        <f t="shared" si="108"/>
        <v>-548699.98069194832</v>
      </c>
      <c r="O273" s="2">
        <f t="shared" si="108"/>
        <v>-629754.10269858211</v>
      </c>
      <c r="P273" s="2">
        <f t="shared" si="108"/>
        <v>-718093.9431486245</v>
      </c>
      <c r="Q273" s="2">
        <f t="shared" si="108"/>
        <v>-814357.01680263912</v>
      </c>
      <c r="R273" s="2">
        <f t="shared" si="108"/>
        <v>-919218.00750725053</v>
      </c>
      <c r="S273" s="2">
        <f t="shared" si="108"/>
        <v>-1033463.6025141773</v>
      </c>
      <c r="T273" s="2">
        <f t="shared" si="108"/>
        <v>-1157852.5661363704</v>
      </c>
      <c r="U273" s="2">
        <f t="shared" si="108"/>
        <v>-1286323.8660555792</v>
      </c>
      <c r="V273" s="2">
        <f t="shared" si="108"/>
        <v>-1418901.8433412148</v>
      </c>
      <c r="W273" s="2">
        <f t="shared" si="108"/>
        <v>-1448698.7820513803</v>
      </c>
      <c r="X273" s="2">
        <f t="shared" si="108"/>
        <v>-1479121.456474459</v>
      </c>
      <c r="Y273" s="2">
        <f t="shared" si="108"/>
        <v>-1510183.0070604226</v>
      </c>
      <c r="Z273" s="2">
        <f t="shared" si="108"/>
        <v>-1541896.8502086913</v>
      </c>
      <c r="AA273" s="2">
        <f t="shared" si="108"/>
        <v>-1574276.6840630737</v>
      </c>
      <c r="AB273" s="2">
        <f t="shared" si="109"/>
        <v>-52475889.46876923</v>
      </c>
    </row>
    <row r="274" spans="1:28" x14ac:dyDescent="0.25">
      <c r="E274" t="s">
        <v>48</v>
      </c>
      <c r="F274" t="s">
        <v>7</v>
      </c>
      <c r="G274" s="2">
        <f t="shared" si="108"/>
        <v>0</v>
      </c>
      <c r="H274" s="2">
        <f t="shared" si="108"/>
        <v>0</v>
      </c>
      <c r="I274" s="2">
        <f t="shared" si="108"/>
        <v>0</v>
      </c>
      <c r="J274" s="2">
        <f t="shared" si="108"/>
        <v>0</v>
      </c>
      <c r="K274" s="2">
        <f t="shared" si="108"/>
        <v>0</v>
      </c>
      <c r="L274" s="2">
        <f t="shared" si="108"/>
        <v>0</v>
      </c>
      <c r="M274" s="2">
        <f t="shared" si="108"/>
        <v>0</v>
      </c>
      <c r="N274" s="2">
        <f t="shared" si="108"/>
        <v>0</v>
      </c>
      <c r="O274" s="2">
        <f t="shared" si="108"/>
        <v>0</v>
      </c>
      <c r="P274" s="2">
        <f t="shared" si="108"/>
        <v>0</v>
      </c>
      <c r="Q274" s="2">
        <f t="shared" si="108"/>
        <v>0</v>
      </c>
      <c r="R274" s="2">
        <f t="shared" si="108"/>
        <v>0</v>
      </c>
      <c r="S274" s="2">
        <f t="shared" si="108"/>
        <v>0</v>
      </c>
      <c r="T274" s="2">
        <f t="shared" si="108"/>
        <v>0</v>
      </c>
      <c r="U274" s="2">
        <f t="shared" si="108"/>
        <v>0</v>
      </c>
      <c r="V274" s="2">
        <f t="shared" si="108"/>
        <v>0</v>
      </c>
      <c r="W274" s="2">
        <f t="shared" si="108"/>
        <v>0</v>
      </c>
      <c r="X274" s="2">
        <f t="shared" si="108"/>
        <v>0</v>
      </c>
      <c r="Y274" s="2">
        <f t="shared" si="108"/>
        <v>0</v>
      </c>
      <c r="Z274" s="2">
        <f t="shared" si="108"/>
        <v>0</v>
      </c>
      <c r="AA274" s="2">
        <f t="shared" si="108"/>
        <v>0</v>
      </c>
      <c r="AB274" s="2">
        <f t="shared" si="109"/>
        <v>0</v>
      </c>
    </row>
    <row r="275" spans="1:28" x14ac:dyDescent="0.25">
      <c r="E275" t="s">
        <v>49</v>
      </c>
      <c r="F275" t="s">
        <v>7</v>
      </c>
      <c r="G275" s="2">
        <f t="shared" si="108"/>
        <v>0</v>
      </c>
      <c r="H275" s="2">
        <f t="shared" si="108"/>
        <v>0</v>
      </c>
      <c r="I275" s="2">
        <f t="shared" si="108"/>
        <v>0</v>
      </c>
      <c r="J275" s="2">
        <f t="shared" si="108"/>
        <v>0</v>
      </c>
      <c r="K275" s="2">
        <f t="shared" si="108"/>
        <v>0</v>
      </c>
      <c r="L275" s="2">
        <f t="shared" si="108"/>
        <v>0</v>
      </c>
      <c r="M275" s="2">
        <f t="shared" si="108"/>
        <v>0</v>
      </c>
      <c r="N275" s="2">
        <f t="shared" si="108"/>
        <v>0</v>
      </c>
      <c r="O275" s="2">
        <f t="shared" si="108"/>
        <v>0</v>
      </c>
      <c r="P275" s="2">
        <f t="shared" si="108"/>
        <v>0</v>
      </c>
      <c r="Q275" s="2">
        <f t="shared" si="108"/>
        <v>0</v>
      </c>
      <c r="R275" s="2">
        <f t="shared" si="108"/>
        <v>0</v>
      </c>
      <c r="S275" s="2">
        <f t="shared" si="108"/>
        <v>0</v>
      </c>
      <c r="T275" s="2">
        <f t="shared" si="108"/>
        <v>0</v>
      </c>
      <c r="U275" s="2">
        <f t="shared" si="108"/>
        <v>0</v>
      </c>
      <c r="V275" s="2">
        <f t="shared" si="108"/>
        <v>0</v>
      </c>
      <c r="W275" s="2">
        <f t="shared" si="108"/>
        <v>0</v>
      </c>
      <c r="X275" s="2">
        <f t="shared" si="108"/>
        <v>0</v>
      </c>
      <c r="Y275" s="2">
        <f t="shared" si="108"/>
        <v>0</v>
      </c>
      <c r="Z275" s="2">
        <f t="shared" si="108"/>
        <v>0</v>
      </c>
      <c r="AA275" s="2">
        <f t="shared" si="108"/>
        <v>0</v>
      </c>
      <c r="AB275" s="2">
        <f t="shared" si="109"/>
        <v>0</v>
      </c>
    </row>
    <row r="276" spans="1:28" x14ac:dyDescent="0.25">
      <c r="E276" t="s">
        <v>20</v>
      </c>
      <c r="F276" t="s">
        <v>7</v>
      </c>
      <c r="G276" s="2" t="e">
        <f t="shared" ref="G276:AA276" ca="1" si="110">G265</f>
        <v>#DIV/0!</v>
      </c>
      <c r="H276" s="2">
        <f t="shared" si="110"/>
        <v>-615753.85646165896</v>
      </c>
      <c r="I276" s="2">
        <f t="shared" si="110"/>
        <v>-600430.92551152071</v>
      </c>
      <c r="J276" s="2">
        <f t="shared" si="110"/>
        <v>-599831.57188694214</v>
      </c>
      <c r="K276" s="2">
        <f t="shared" si="110"/>
        <v>-563616.88809411053</v>
      </c>
      <c r="L276" s="2">
        <f t="shared" si="110"/>
        <v>-525570.02900341165</v>
      </c>
      <c r="M276" s="2">
        <f t="shared" si="110"/>
        <v>-487955.66930427658</v>
      </c>
      <c r="N276" s="2">
        <f t="shared" si="110"/>
        <v>-449632.02027360635</v>
      </c>
      <c r="O276" s="2">
        <f t="shared" si="110"/>
        <v>-411197.04868170427</v>
      </c>
      <c r="P276" s="2">
        <f t="shared" si="110"/>
        <v>-435574.29741245374</v>
      </c>
      <c r="Q276" s="2">
        <f t="shared" si="110"/>
        <v>-462065.03632549703</v>
      </c>
      <c r="R276" s="2">
        <f t="shared" si="110"/>
        <v>-490689.23690749984</v>
      </c>
      <c r="S276" s="2">
        <f t="shared" si="110"/>
        <v>-522114.34911600198</v>
      </c>
      <c r="T276" s="2">
        <f t="shared" si="110"/>
        <v>-555708.29737664259</v>
      </c>
      <c r="U276" s="2">
        <f t="shared" si="110"/>
        <v>-530495.33892315649</v>
      </c>
      <c r="V276" s="2">
        <f t="shared" si="110"/>
        <v>-503699.29386132804</v>
      </c>
      <c r="W276" s="2">
        <f t="shared" si="110"/>
        <v>474818.6394126846</v>
      </c>
      <c r="X276" s="2">
        <f t="shared" si="110"/>
        <v>481156.08931735274</v>
      </c>
      <c r="Y276" s="2">
        <f t="shared" si="110"/>
        <v>487626.6256700196</v>
      </c>
      <c r="Z276" s="2">
        <f t="shared" si="110"/>
        <v>494233.04328609246</v>
      </c>
      <c r="AA276" s="2">
        <f t="shared" si="110"/>
        <v>500978.19567210181</v>
      </c>
      <c r="AB276" s="2">
        <f>IF(V276=0,0,IF($G$15&gt;(AA276/V276)^(1/5)-1+2%,AA276*(AA276/V276)^(1/5)/($G$15-((AA276/V276)^(1/5)-1)),AA276*(1+$G$14)/$G$16))</f>
        <v>-244049.85147848629</v>
      </c>
    </row>
    <row r="277" spans="1:28" x14ac:dyDescent="0.25">
      <c r="E277" t="s">
        <v>173</v>
      </c>
      <c r="F277" t="s">
        <v>7</v>
      </c>
      <c r="G277" s="2" t="e">
        <f ca="1">-$G$17*G276</f>
        <v>#DIV/0!</v>
      </c>
      <c r="H277" s="2">
        <f t="shared" ref="H277:AA277" si="111">-$G$17*H276</f>
        <v>307876.92823082948</v>
      </c>
      <c r="I277" s="2">
        <f t="shared" si="111"/>
        <v>300215.46275576035</v>
      </c>
      <c r="J277" s="2">
        <f t="shared" si="111"/>
        <v>299915.78594347107</v>
      </c>
      <c r="K277" s="2">
        <f t="shared" si="111"/>
        <v>281808.44404705527</v>
      </c>
      <c r="L277" s="2">
        <f t="shared" si="111"/>
        <v>262785.01450170582</v>
      </c>
      <c r="M277" s="2">
        <f t="shared" si="111"/>
        <v>243977.83465213829</v>
      </c>
      <c r="N277" s="2">
        <f t="shared" si="111"/>
        <v>224816.01013680318</v>
      </c>
      <c r="O277" s="2">
        <f t="shared" si="111"/>
        <v>205598.52434085213</v>
      </c>
      <c r="P277" s="2">
        <f t="shared" si="111"/>
        <v>217787.14870622687</v>
      </c>
      <c r="Q277" s="2">
        <f t="shared" si="111"/>
        <v>231032.51816274851</v>
      </c>
      <c r="R277" s="2">
        <f t="shared" si="111"/>
        <v>245344.61845374992</v>
      </c>
      <c r="S277" s="2">
        <f t="shared" si="111"/>
        <v>261057.17455800099</v>
      </c>
      <c r="T277" s="2">
        <f t="shared" si="111"/>
        <v>277854.14868832129</v>
      </c>
      <c r="U277" s="2">
        <f t="shared" si="111"/>
        <v>265247.66946157825</v>
      </c>
      <c r="V277" s="2">
        <f t="shared" si="111"/>
        <v>251849.64693066402</v>
      </c>
      <c r="W277" s="2">
        <f t="shared" si="111"/>
        <v>-237409.3197063423</v>
      </c>
      <c r="X277" s="2">
        <f t="shared" si="111"/>
        <v>-240578.04465867637</v>
      </c>
      <c r="Y277" s="2">
        <f t="shared" si="111"/>
        <v>-243813.3128350098</v>
      </c>
      <c r="Z277" s="2">
        <f t="shared" si="111"/>
        <v>-247116.52164304623</v>
      </c>
      <c r="AA277" s="2">
        <f t="shared" si="111"/>
        <v>-250489.0978360509</v>
      </c>
      <c r="AB277" s="2">
        <f t="shared" ref="AB277" si="112">IF(V277=0,0,IF($G$15&gt;(AA277/V277)^(1/5)-1+2%,AA277*(AA277/V277)^(1/5)/($G$15-((AA277/V277)^(1/5)-1)),AA277*(1+$G$14)/$G$16))</f>
        <v>122024.92573924315</v>
      </c>
    </row>
    <row r="278" spans="1:28" x14ac:dyDescent="0.25">
      <c r="E278" t="s">
        <v>23</v>
      </c>
      <c r="F278" t="s">
        <v>7</v>
      </c>
      <c r="G278" s="2" t="e">
        <f t="shared" ref="G278:AB278" ca="1" si="113">SUM(G268:G277)</f>
        <v>#DIV/0!</v>
      </c>
      <c r="H278" s="2">
        <f t="shared" si="113"/>
        <v>-440511.95054706984</v>
      </c>
      <c r="I278" s="2">
        <f t="shared" si="113"/>
        <v>-605110.57298897975</v>
      </c>
      <c r="J278" s="2">
        <f t="shared" si="113"/>
        <v>-457592.58830637595</v>
      </c>
      <c r="K278" s="2">
        <f t="shared" si="113"/>
        <v>-495011.11340545519</v>
      </c>
      <c r="L278" s="2">
        <f t="shared" si="113"/>
        <v>-531712.16060640803</v>
      </c>
      <c r="M278" s="2">
        <f t="shared" si="113"/>
        <v>-568858.25084887887</v>
      </c>
      <c r="N278" s="2">
        <f t="shared" si="113"/>
        <v>-605821.15473928559</v>
      </c>
      <c r="O278" s="2">
        <f t="shared" si="113"/>
        <v>-642885.86060082284</v>
      </c>
      <c r="P278" s="2">
        <f t="shared" si="113"/>
        <v>-716415.71855323785</v>
      </c>
      <c r="Q278" s="2">
        <f t="shared" si="113"/>
        <v>-796504.03969197953</v>
      </c>
      <c r="R278" s="2">
        <f t="shared" si="113"/>
        <v>-883629.29531822866</v>
      </c>
      <c r="S278" s="2">
        <f t="shared" si="113"/>
        <v>-978671.46865869465</v>
      </c>
      <c r="T278" s="2">
        <f t="shared" si="113"/>
        <v>-1081841.3911023366</v>
      </c>
      <c r="U278" s="2">
        <f t="shared" si="113"/>
        <v>-1158442.5443257722</v>
      </c>
      <c r="V278" s="2">
        <f t="shared" si="113"/>
        <v>-1237103.7402827425</v>
      </c>
      <c r="W278" s="2">
        <f t="shared" si="113"/>
        <v>-768535.10960613133</v>
      </c>
      <c r="X278" s="2">
        <f t="shared" si="113"/>
        <v>-786491.21766935813</v>
      </c>
      <c r="Y278" s="2">
        <f t="shared" si="113"/>
        <v>-804824.40400191396</v>
      </c>
      <c r="Z278" s="2">
        <f t="shared" si="113"/>
        <v>-823542.58724745363</v>
      </c>
      <c r="AA278" s="2">
        <f t="shared" si="113"/>
        <v>-842653.85234114691</v>
      </c>
      <c r="AB278" s="2">
        <f t="shared" si="113"/>
        <v>-36560123.264979236</v>
      </c>
    </row>
    <row r="279" spans="1:28" x14ac:dyDescent="0.25">
      <c r="E279" t="s">
        <v>31</v>
      </c>
      <c r="F279" t="s">
        <v>7</v>
      </c>
      <c r="G279" s="2" t="e">
        <f ca="1">NPV($G$15,H278:AB278)+G278</f>
        <v>#DIV/0!</v>
      </c>
    </row>
    <row r="280" spans="1:28" x14ac:dyDescent="0.25">
      <c r="E280" s="3" t="s">
        <v>34</v>
      </c>
      <c r="F280" s="3"/>
      <c r="G280" s="4" t="e">
        <f ca="1">IF(G279&gt;0,"N/A",IF(ABS(G279+G253)&gt;1,"Error","OK"))</f>
        <v>#DIV/0!</v>
      </c>
    </row>
    <row r="282" spans="1:28" x14ac:dyDescent="0.25">
      <c r="C282" s="1" t="s">
        <v>36</v>
      </c>
      <c r="D282" s="1"/>
      <c r="G282" s="44"/>
    </row>
    <row r="283" spans="1:28" x14ac:dyDescent="0.25">
      <c r="A283" s="14">
        <f>'Notes &amp; Assumptions'!A67</f>
        <v>54</v>
      </c>
      <c r="C283" s="1"/>
      <c r="D283" s="1"/>
      <c r="E283" t="s">
        <v>42</v>
      </c>
      <c r="F283" t="s">
        <v>3</v>
      </c>
      <c r="G283" s="10"/>
      <c r="H283" s="10">
        <v>1</v>
      </c>
      <c r="I283" s="10">
        <v>1</v>
      </c>
      <c r="J283" s="10">
        <v>1</v>
      </c>
      <c r="K283" s="10">
        <v>1</v>
      </c>
      <c r="L283" s="10">
        <v>1</v>
      </c>
      <c r="M283" s="10">
        <v>1</v>
      </c>
      <c r="N283" s="10">
        <v>1</v>
      </c>
      <c r="O283" s="10">
        <v>1</v>
      </c>
      <c r="P283" s="10">
        <v>1</v>
      </c>
      <c r="Q283" s="10">
        <v>1</v>
      </c>
      <c r="R283" s="10">
        <v>1</v>
      </c>
      <c r="S283" s="10">
        <v>1</v>
      </c>
      <c r="T283" s="10">
        <v>1</v>
      </c>
      <c r="U283" s="10">
        <v>1</v>
      </c>
      <c r="V283" s="10">
        <v>1</v>
      </c>
      <c r="W283" s="10">
        <v>0</v>
      </c>
      <c r="X283" s="10">
        <v>0</v>
      </c>
      <c r="Y283" s="10">
        <v>0</v>
      </c>
      <c r="Z283" s="10">
        <v>0</v>
      </c>
      <c r="AA283" s="10">
        <v>0</v>
      </c>
    </row>
    <row r="284" spans="1:28" x14ac:dyDescent="0.25">
      <c r="E284" t="s">
        <v>37</v>
      </c>
      <c r="F284" t="s">
        <v>38</v>
      </c>
      <c r="G284" s="8" t="e">
        <f ca="1">MAX(0,-G311/(NPV($G$16,H283:AA283)+G283))</f>
        <v>#DIV/0!</v>
      </c>
      <c r="H284" s="2" t="e">
        <f t="shared" ref="H284:AA284" ca="1" si="114">G284*(1+$G$14)</f>
        <v>#DIV/0!</v>
      </c>
      <c r="I284" s="2" t="e">
        <f t="shared" ca="1" si="114"/>
        <v>#DIV/0!</v>
      </c>
      <c r="J284" s="2" t="e">
        <f t="shared" ca="1" si="114"/>
        <v>#DIV/0!</v>
      </c>
      <c r="K284" s="2" t="e">
        <f t="shared" ca="1" si="114"/>
        <v>#DIV/0!</v>
      </c>
      <c r="L284" s="2" t="e">
        <f t="shared" ca="1" si="114"/>
        <v>#DIV/0!</v>
      </c>
      <c r="M284" s="2" t="e">
        <f t="shared" ca="1" si="114"/>
        <v>#DIV/0!</v>
      </c>
      <c r="N284" s="2" t="e">
        <f t="shared" ca="1" si="114"/>
        <v>#DIV/0!</v>
      </c>
      <c r="O284" s="2" t="e">
        <f t="shared" ca="1" si="114"/>
        <v>#DIV/0!</v>
      </c>
      <c r="P284" s="2" t="e">
        <f t="shared" ca="1" si="114"/>
        <v>#DIV/0!</v>
      </c>
      <c r="Q284" s="2" t="e">
        <f t="shared" ca="1" si="114"/>
        <v>#DIV/0!</v>
      </c>
      <c r="R284" s="2" t="e">
        <f t="shared" ca="1" si="114"/>
        <v>#DIV/0!</v>
      </c>
      <c r="S284" s="2" t="e">
        <f t="shared" ca="1" si="114"/>
        <v>#DIV/0!</v>
      </c>
      <c r="T284" s="2" t="e">
        <f t="shared" ca="1" si="114"/>
        <v>#DIV/0!</v>
      </c>
      <c r="U284" s="2" t="e">
        <f t="shared" ca="1" si="114"/>
        <v>#DIV/0!</v>
      </c>
      <c r="V284" s="2" t="e">
        <f t="shared" ca="1" si="114"/>
        <v>#DIV/0!</v>
      </c>
      <c r="W284" s="2" t="e">
        <f t="shared" ca="1" si="114"/>
        <v>#DIV/0!</v>
      </c>
      <c r="X284" s="2" t="e">
        <f t="shared" ca="1" si="114"/>
        <v>#DIV/0!</v>
      </c>
      <c r="Y284" s="2" t="e">
        <f t="shared" ca="1" si="114"/>
        <v>#DIV/0!</v>
      </c>
      <c r="Z284" s="2" t="e">
        <f t="shared" ca="1" si="114"/>
        <v>#DIV/0!</v>
      </c>
      <c r="AA284" s="2" t="e">
        <f t="shared" ca="1" si="114"/>
        <v>#DIV/0!</v>
      </c>
    </row>
    <row r="285" spans="1:28" x14ac:dyDescent="0.25">
      <c r="E285" t="s">
        <v>21</v>
      </c>
      <c r="F285" t="s">
        <v>7</v>
      </c>
      <c r="G285" s="2" t="e">
        <f ca="1">G283*G284</f>
        <v>#DIV/0!</v>
      </c>
      <c r="H285" s="2" t="e">
        <f t="shared" ref="H285:AA285" ca="1" si="115">H283*H284</f>
        <v>#DIV/0!</v>
      </c>
      <c r="I285" s="2" t="e">
        <f t="shared" ca="1" si="115"/>
        <v>#DIV/0!</v>
      </c>
      <c r="J285" s="2" t="e">
        <f t="shared" ca="1" si="115"/>
        <v>#DIV/0!</v>
      </c>
      <c r="K285" s="2" t="e">
        <f t="shared" ca="1" si="115"/>
        <v>#DIV/0!</v>
      </c>
      <c r="L285" s="2" t="e">
        <f t="shared" ca="1" si="115"/>
        <v>#DIV/0!</v>
      </c>
      <c r="M285" s="2" t="e">
        <f t="shared" ca="1" si="115"/>
        <v>#DIV/0!</v>
      </c>
      <c r="N285" s="2" t="e">
        <f t="shared" ca="1" si="115"/>
        <v>#DIV/0!</v>
      </c>
      <c r="O285" s="2" t="e">
        <f t="shared" ca="1" si="115"/>
        <v>#DIV/0!</v>
      </c>
      <c r="P285" s="2" t="e">
        <f t="shared" ca="1" si="115"/>
        <v>#DIV/0!</v>
      </c>
      <c r="Q285" s="2" t="e">
        <f t="shared" ca="1" si="115"/>
        <v>#DIV/0!</v>
      </c>
      <c r="R285" s="2" t="e">
        <f t="shared" ca="1" si="115"/>
        <v>#DIV/0!</v>
      </c>
      <c r="S285" s="2" t="e">
        <f t="shared" ca="1" si="115"/>
        <v>#DIV/0!</v>
      </c>
      <c r="T285" s="2" t="e">
        <f t="shared" ca="1" si="115"/>
        <v>#DIV/0!</v>
      </c>
      <c r="U285" s="2" t="e">
        <f t="shared" ca="1" si="115"/>
        <v>#DIV/0!</v>
      </c>
      <c r="V285" s="2" t="e">
        <f t="shared" ca="1" si="115"/>
        <v>#DIV/0!</v>
      </c>
      <c r="W285" s="2" t="e">
        <f t="shared" ca="1" si="115"/>
        <v>#DIV/0!</v>
      </c>
      <c r="X285" s="2" t="e">
        <f t="shared" ca="1" si="115"/>
        <v>#DIV/0!</v>
      </c>
      <c r="Y285" s="2" t="e">
        <f t="shared" ca="1" si="115"/>
        <v>#DIV/0!</v>
      </c>
      <c r="Z285" s="2" t="e">
        <f t="shared" ca="1" si="115"/>
        <v>#DIV/0!</v>
      </c>
      <c r="AA285" s="2" t="e">
        <f t="shared" ca="1" si="115"/>
        <v>#DIV/0!</v>
      </c>
    </row>
    <row r="286" spans="1:28" x14ac:dyDescent="0.25">
      <c r="G286" s="8" t="e">
        <f ca="1">-G311/(NPV($G$16,H283:AA283)+G283)</f>
        <v>#DIV/0!</v>
      </c>
    </row>
    <row r="287" spans="1:28" x14ac:dyDescent="0.25">
      <c r="D287" t="s">
        <v>9</v>
      </c>
    </row>
    <row r="288" spans="1:28" x14ac:dyDescent="0.25">
      <c r="E288" t="s">
        <v>107</v>
      </c>
      <c r="F288" t="s">
        <v>7</v>
      </c>
      <c r="G288" s="2">
        <f t="shared" ref="G288:AA293" si="116">G222</f>
        <v>0</v>
      </c>
      <c r="H288" s="2">
        <f t="shared" si="116"/>
        <v>2222716.9999999995</v>
      </c>
      <c r="I288" s="2">
        <f t="shared" si="116"/>
        <v>2262096.9699999993</v>
      </c>
      <c r="J288" s="2">
        <f t="shared" si="116"/>
        <v>2344990.0540482495</v>
      </c>
      <c r="K288" s="2">
        <f t="shared" si="116"/>
        <v>2308658.5401528832</v>
      </c>
      <c r="L288" s="2">
        <f t="shared" si="116"/>
        <v>2265883.699507365</v>
      </c>
      <c r="M288" s="2">
        <f t="shared" si="116"/>
        <v>2224259.0082048466</v>
      </c>
      <c r="N288" s="2">
        <f t="shared" si="116"/>
        <v>2179886.8251561397</v>
      </c>
      <c r="O288" s="2">
        <f t="shared" si="116"/>
        <v>2134736.6530031604</v>
      </c>
      <c r="P288" s="2">
        <f t="shared" si="116"/>
        <v>2306162.4125158135</v>
      </c>
      <c r="Q288" s="2">
        <f t="shared" si="116"/>
        <v>2492463.6225230494</v>
      </c>
      <c r="R288" s="2">
        <f t="shared" si="116"/>
        <v>2694370.4099223348</v>
      </c>
      <c r="S288" s="2">
        <f t="shared" si="116"/>
        <v>2914886.4822145733</v>
      </c>
      <c r="T288" s="2">
        <f t="shared" si="116"/>
        <v>3152647.3499375833</v>
      </c>
      <c r="U288" s="2">
        <f t="shared" si="116"/>
        <v>3197784.0886509442</v>
      </c>
      <c r="V288" s="2">
        <f t="shared" si="116"/>
        <v>3241036.1082863132</v>
      </c>
      <c r="W288" s="2">
        <f t="shared" si="116"/>
        <v>0</v>
      </c>
      <c r="X288" s="2">
        <f t="shared" si="116"/>
        <v>0</v>
      </c>
      <c r="Y288" s="2">
        <f t="shared" si="116"/>
        <v>0</v>
      </c>
      <c r="Z288" s="2">
        <f t="shared" si="116"/>
        <v>0</v>
      </c>
      <c r="AA288" s="2">
        <f t="shared" si="116"/>
        <v>0</v>
      </c>
    </row>
    <row r="289" spans="4:28" customFormat="1" x14ac:dyDescent="0.25">
      <c r="E289" t="s">
        <v>11</v>
      </c>
      <c r="F289" t="s">
        <v>7</v>
      </c>
      <c r="G289" s="2">
        <f t="shared" si="116"/>
        <v>0</v>
      </c>
      <c r="H289" s="2">
        <f t="shared" si="116"/>
        <v>273540.16345632629</v>
      </c>
      <c r="I289" s="2">
        <f t="shared" si="116"/>
        <v>542390.80765110941</v>
      </c>
      <c r="J289" s="2">
        <f t="shared" si="116"/>
        <v>834461.48860382545</v>
      </c>
      <c r="K289" s="2">
        <f t="shared" si="116"/>
        <v>1128317.0014930149</v>
      </c>
      <c r="L289" s="2">
        <f t="shared" si="116"/>
        <v>1423223.6023407767</v>
      </c>
      <c r="M289" s="2">
        <f t="shared" si="116"/>
        <v>1719341.0295942284</v>
      </c>
      <c r="N289" s="2">
        <f t="shared" si="116"/>
        <v>2016365.8532277574</v>
      </c>
      <c r="O289" s="2">
        <f t="shared" si="116"/>
        <v>2314224.0081914784</v>
      </c>
      <c r="P289" s="2">
        <f t="shared" si="116"/>
        <v>2638855.7633054936</v>
      </c>
      <c r="Q289" s="2">
        <f t="shared" si="116"/>
        <v>2992603.861488272</v>
      </c>
      <c r="R289" s="2">
        <f t="shared" si="116"/>
        <v>3377947.6348300781</v>
      </c>
      <c r="S289" s="2">
        <f t="shared" si="116"/>
        <v>3797778.0061801081</v>
      </c>
      <c r="T289" s="2">
        <f t="shared" si="116"/>
        <v>4254883.2870111503</v>
      </c>
      <c r="U289" s="2">
        <f t="shared" si="116"/>
        <v>4726990.3608080195</v>
      </c>
      <c r="V289" s="2">
        <f t="shared" si="116"/>
        <v>5214188.6762729567</v>
      </c>
      <c r="W289" s="2">
        <f t="shared" si="116"/>
        <v>5323686.6384746879</v>
      </c>
      <c r="X289" s="2">
        <f t="shared" si="116"/>
        <v>5435484.0578826563</v>
      </c>
      <c r="Y289" s="2">
        <f t="shared" si="116"/>
        <v>5549629.2230981914</v>
      </c>
      <c r="Z289" s="2">
        <f t="shared" si="116"/>
        <v>5666171.4367832523</v>
      </c>
      <c r="AA289" s="2">
        <f t="shared" si="116"/>
        <v>5785161.0369557012</v>
      </c>
    </row>
    <row r="290" spans="4:28" customFormat="1" x14ac:dyDescent="0.25">
      <c r="E290" t="s">
        <v>57</v>
      </c>
      <c r="F290" t="s">
        <v>7</v>
      </c>
      <c r="G290" s="2">
        <f t="shared" si="116"/>
        <v>0</v>
      </c>
      <c r="H290" s="2">
        <f t="shared" si="116"/>
        <v>-243596.11042658935</v>
      </c>
      <c r="I290" s="2">
        <f t="shared" si="116"/>
        <v>-496891.91991810547</v>
      </c>
      <c r="J290" s="2">
        <f t="shared" si="116"/>
        <v>-765061.93875011941</v>
      </c>
      <c r="K290" s="2">
        <f t="shared" si="116"/>
        <v>-1034478.4085018468</v>
      </c>
      <c r="L290" s="2">
        <f t="shared" si="116"/>
        <v>-1304858.5505169015</v>
      </c>
      <c r="M290" s="2">
        <f t="shared" si="116"/>
        <v>-1576348.8182957908</v>
      </c>
      <c r="N290" s="2">
        <f t="shared" si="116"/>
        <v>-1848671.0171382914</v>
      </c>
      <c r="O290" s="2">
        <f t="shared" si="116"/>
        <v>-2121757.2417528671</v>
      </c>
      <c r="P290" s="2">
        <f t="shared" si="116"/>
        <v>-2419390.39000388</v>
      </c>
      <c r="Q290" s="2">
        <f t="shared" si="116"/>
        <v>-2743718.366214864</v>
      </c>
      <c r="R290" s="2">
        <f t="shared" si="116"/>
        <v>-3097014.3041873062</v>
      </c>
      <c r="S290" s="2">
        <f t="shared" si="116"/>
        <v>-3481928.6977666244</v>
      </c>
      <c r="T290" s="2">
        <f t="shared" si="116"/>
        <v>-3901017.9632887952</v>
      </c>
      <c r="U290" s="2">
        <f t="shared" si="116"/>
        <v>-4333861.3696166342</v>
      </c>
      <c r="V290" s="2">
        <f t="shared" si="116"/>
        <v>-4780540.9262838205</v>
      </c>
      <c r="W290" s="2">
        <f t="shared" si="116"/>
        <v>-4880932.2857357813</v>
      </c>
      <c r="X290" s="2">
        <f t="shared" si="116"/>
        <v>-4983431.8637362318</v>
      </c>
      <c r="Y290" s="2">
        <f t="shared" si="116"/>
        <v>-5088083.9328746926</v>
      </c>
      <c r="Z290" s="2">
        <f t="shared" si="116"/>
        <v>-5194933.6954650609</v>
      </c>
      <c r="AA290" s="2">
        <f t="shared" si="116"/>
        <v>-5304027.3030698253</v>
      </c>
    </row>
    <row r="291" spans="4:28" customFormat="1" x14ac:dyDescent="0.25">
      <c r="E291" t="s">
        <v>10</v>
      </c>
      <c r="F291" t="s">
        <v>7</v>
      </c>
      <c r="G291" s="2">
        <f t="shared" si="116"/>
        <v>0</v>
      </c>
      <c r="H291" s="2">
        <f t="shared" si="116"/>
        <v>-72397.067999999999</v>
      </c>
      <c r="I291" s="2">
        <f t="shared" si="116"/>
        <v>-147597.13630799999</v>
      </c>
      <c r="J291" s="2">
        <f t="shared" si="116"/>
        <v>-227076.35221661095</v>
      </c>
      <c r="K291" s="2">
        <f t="shared" si="116"/>
        <v>-307041.26234956796</v>
      </c>
      <c r="L291" s="2">
        <f t="shared" si="116"/>
        <v>-387292.19792857737</v>
      </c>
      <c r="M291" s="2">
        <f t="shared" si="116"/>
        <v>-467872.62749517814</v>
      </c>
      <c r="N291" s="2">
        <f t="shared" si="116"/>
        <v>-548699.98069194832</v>
      </c>
      <c r="O291" s="2">
        <f t="shared" si="116"/>
        <v>-629754.10269858211</v>
      </c>
      <c r="P291" s="2">
        <f t="shared" si="116"/>
        <v>-718093.9431486245</v>
      </c>
      <c r="Q291" s="2">
        <f t="shared" si="116"/>
        <v>-814357.01680263912</v>
      </c>
      <c r="R291" s="2">
        <f t="shared" si="116"/>
        <v>-919218.00750725053</v>
      </c>
      <c r="S291" s="2">
        <f t="shared" si="116"/>
        <v>-1033463.6025141773</v>
      </c>
      <c r="T291" s="2">
        <f t="shared" si="116"/>
        <v>-1157852.5661363704</v>
      </c>
      <c r="U291" s="2">
        <f t="shared" si="116"/>
        <v>-1286323.8660555792</v>
      </c>
      <c r="V291" s="2">
        <f t="shared" si="116"/>
        <v>-1418901.8433412148</v>
      </c>
      <c r="W291" s="2">
        <f t="shared" si="116"/>
        <v>-1448698.7820513803</v>
      </c>
      <c r="X291" s="2">
        <f t="shared" si="116"/>
        <v>-1479121.456474459</v>
      </c>
      <c r="Y291" s="2">
        <f t="shared" si="116"/>
        <v>-1510183.0070604226</v>
      </c>
      <c r="Z291" s="2">
        <f t="shared" si="116"/>
        <v>-1541896.8502086913</v>
      </c>
      <c r="AA291" s="2">
        <f t="shared" si="116"/>
        <v>-1574276.6840630737</v>
      </c>
    </row>
    <row r="292" spans="4:28" customFormat="1" x14ac:dyDescent="0.25">
      <c r="E292" t="s">
        <v>12</v>
      </c>
      <c r="F292" t="s">
        <v>7</v>
      </c>
      <c r="G292" s="2">
        <f t="shared" si="116"/>
        <v>-98839.892565715039</v>
      </c>
      <c r="H292" s="2">
        <f t="shared" si="116"/>
        <v>-127751.13015753975</v>
      </c>
      <c r="I292" s="2">
        <f t="shared" si="116"/>
        <v>-158562.30305326753</v>
      </c>
      <c r="J292" s="2">
        <f t="shared" si="116"/>
        <v>-187874.67872887064</v>
      </c>
      <c r="K292" s="2">
        <f t="shared" si="116"/>
        <v>-216732.91048078169</v>
      </c>
      <c r="L292" s="2">
        <f t="shared" si="116"/>
        <v>-245056.45672462374</v>
      </c>
      <c r="M292" s="2">
        <f t="shared" si="116"/>
        <v>-272859.69432718435</v>
      </c>
      <c r="N292" s="2">
        <f t="shared" si="116"/>
        <v>-300108.27964163607</v>
      </c>
      <c r="O292" s="2">
        <f t="shared" si="116"/>
        <v>-326792.48780417559</v>
      </c>
      <c r="P292" s="2">
        <f t="shared" si="116"/>
        <v>-355619.51796062326</v>
      </c>
      <c r="Q292" s="2">
        <f t="shared" si="116"/>
        <v>-386775.31324216136</v>
      </c>
      <c r="R292" s="2">
        <f t="shared" si="116"/>
        <v>-420454.94336619054</v>
      </c>
      <c r="S292" s="2">
        <f t="shared" si="116"/>
        <v>-456891.02439387271</v>
      </c>
      <c r="T292" s="2">
        <f t="shared" si="116"/>
        <v>-496299.11626809248</v>
      </c>
      <c r="U292" s="2">
        <f t="shared" si="116"/>
        <v>-536271.41737622931</v>
      </c>
      <c r="V292" s="2">
        <f t="shared" si="116"/>
        <v>-576784.36872980825</v>
      </c>
      <c r="W292" s="2">
        <f t="shared" si="116"/>
        <v>-576784.36872980825</v>
      </c>
      <c r="X292" s="2">
        <f t="shared" si="116"/>
        <v>-576784.36872980825</v>
      </c>
      <c r="Y292" s="2">
        <f t="shared" si="116"/>
        <v>-576784.36872980825</v>
      </c>
      <c r="Z292" s="2">
        <f t="shared" si="116"/>
        <v>-576784.36872980825</v>
      </c>
      <c r="AA292" s="2">
        <f t="shared" si="116"/>
        <v>-576784.36872980825</v>
      </c>
    </row>
    <row r="293" spans="4:28" customFormat="1" x14ac:dyDescent="0.25">
      <c r="E293" t="s">
        <v>48</v>
      </c>
      <c r="F293" t="s">
        <v>7</v>
      </c>
      <c r="G293" s="2">
        <f t="shared" si="116"/>
        <v>0</v>
      </c>
      <c r="H293" s="2">
        <f t="shared" si="116"/>
        <v>0</v>
      </c>
      <c r="I293" s="2">
        <f t="shared" si="116"/>
        <v>0</v>
      </c>
      <c r="J293" s="2">
        <f t="shared" si="116"/>
        <v>0</v>
      </c>
      <c r="K293" s="2">
        <f t="shared" si="116"/>
        <v>0</v>
      </c>
      <c r="L293" s="2">
        <f t="shared" si="116"/>
        <v>0</v>
      </c>
      <c r="M293" s="2">
        <f t="shared" si="116"/>
        <v>0</v>
      </c>
      <c r="N293" s="2">
        <f t="shared" si="116"/>
        <v>0</v>
      </c>
      <c r="O293" s="2">
        <f t="shared" si="116"/>
        <v>0</v>
      </c>
      <c r="P293" s="2">
        <f t="shared" si="116"/>
        <v>0</v>
      </c>
      <c r="Q293" s="2">
        <f t="shared" si="116"/>
        <v>0</v>
      </c>
      <c r="R293" s="2">
        <f t="shared" si="116"/>
        <v>0</v>
      </c>
      <c r="S293" s="2">
        <f t="shared" si="116"/>
        <v>0</v>
      </c>
      <c r="T293" s="2">
        <f t="shared" si="116"/>
        <v>0</v>
      </c>
      <c r="U293" s="2">
        <f t="shared" si="116"/>
        <v>0</v>
      </c>
      <c r="V293" s="2">
        <f t="shared" si="116"/>
        <v>0</v>
      </c>
      <c r="W293" s="2">
        <f t="shared" si="116"/>
        <v>0</v>
      </c>
      <c r="X293" s="2">
        <f t="shared" si="116"/>
        <v>0</v>
      </c>
      <c r="Y293" s="2">
        <f t="shared" si="116"/>
        <v>0</v>
      </c>
      <c r="Z293" s="2">
        <f t="shared" si="116"/>
        <v>0</v>
      </c>
      <c r="AA293" s="2">
        <f t="shared" si="116"/>
        <v>0</v>
      </c>
    </row>
    <row r="294" spans="4:28" customFormat="1" x14ac:dyDescent="0.25">
      <c r="E294" t="s">
        <v>13</v>
      </c>
      <c r="F294" t="s">
        <v>7</v>
      </c>
      <c r="G294" s="2" t="e">
        <f t="shared" ref="G294:AA294" ca="1" si="117">G285</f>
        <v>#DIV/0!</v>
      </c>
      <c r="H294" s="2" t="e">
        <f t="shared" ca="1" si="117"/>
        <v>#DIV/0!</v>
      </c>
      <c r="I294" s="2" t="e">
        <f t="shared" ca="1" si="117"/>
        <v>#DIV/0!</v>
      </c>
      <c r="J294" s="2" t="e">
        <f t="shared" ca="1" si="117"/>
        <v>#DIV/0!</v>
      </c>
      <c r="K294" s="2" t="e">
        <f t="shared" ca="1" si="117"/>
        <v>#DIV/0!</v>
      </c>
      <c r="L294" s="2" t="e">
        <f t="shared" ca="1" si="117"/>
        <v>#DIV/0!</v>
      </c>
      <c r="M294" s="2" t="e">
        <f t="shared" ca="1" si="117"/>
        <v>#DIV/0!</v>
      </c>
      <c r="N294" s="2" t="e">
        <f t="shared" ca="1" si="117"/>
        <v>#DIV/0!</v>
      </c>
      <c r="O294" s="2" t="e">
        <f t="shared" ca="1" si="117"/>
        <v>#DIV/0!</v>
      </c>
      <c r="P294" s="2" t="e">
        <f t="shared" ca="1" si="117"/>
        <v>#DIV/0!</v>
      </c>
      <c r="Q294" s="2" t="e">
        <f t="shared" ca="1" si="117"/>
        <v>#DIV/0!</v>
      </c>
      <c r="R294" s="2" t="e">
        <f t="shared" ca="1" si="117"/>
        <v>#DIV/0!</v>
      </c>
      <c r="S294" s="2" t="e">
        <f t="shared" ca="1" si="117"/>
        <v>#DIV/0!</v>
      </c>
      <c r="T294" s="2" t="e">
        <f t="shared" ca="1" si="117"/>
        <v>#DIV/0!</v>
      </c>
      <c r="U294" s="2" t="e">
        <f t="shared" ca="1" si="117"/>
        <v>#DIV/0!</v>
      </c>
      <c r="V294" s="2" t="e">
        <f t="shared" ca="1" si="117"/>
        <v>#DIV/0!</v>
      </c>
      <c r="W294" s="2" t="e">
        <f t="shared" ca="1" si="117"/>
        <v>#DIV/0!</v>
      </c>
      <c r="X294" s="2" t="e">
        <f t="shared" ca="1" si="117"/>
        <v>#DIV/0!</v>
      </c>
      <c r="Y294" s="2" t="e">
        <f t="shared" ca="1" si="117"/>
        <v>#DIV/0!</v>
      </c>
      <c r="Z294" s="2" t="e">
        <f t="shared" ca="1" si="117"/>
        <v>#DIV/0!</v>
      </c>
      <c r="AA294" s="2" t="e">
        <f t="shared" ca="1" si="117"/>
        <v>#DIV/0!</v>
      </c>
    </row>
    <row r="295" spans="4:28" customFormat="1" x14ac:dyDescent="0.25"/>
    <row r="296" spans="4:28" customFormat="1" x14ac:dyDescent="0.25">
      <c r="E296" t="s">
        <v>14</v>
      </c>
      <c r="F296" t="s">
        <v>7</v>
      </c>
      <c r="G296" s="2" t="e">
        <f t="shared" ref="G296:AA296" ca="1" si="118">SUM(G288:G294)</f>
        <v>#DIV/0!</v>
      </c>
      <c r="H296" s="2" t="e">
        <f t="shared" ca="1" si="118"/>
        <v>#DIV/0!</v>
      </c>
      <c r="I296" s="2" t="e">
        <f t="shared" ca="1" si="118"/>
        <v>#DIV/0!</v>
      </c>
      <c r="J296" s="2" t="e">
        <f t="shared" ca="1" si="118"/>
        <v>#DIV/0!</v>
      </c>
      <c r="K296" s="2" t="e">
        <f t="shared" ca="1" si="118"/>
        <v>#DIV/0!</v>
      </c>
      <c r="L296" s="2" t="e">
        <f t="shared" ca="1" si="118"/>
        <v>#DIV/0!</v>
      </c>
      <c r="M296" s="2" t="e">
        <f t="shared" ca="1" si="118"/>
        <v>#DIV/0!</v>
      </c>
      <c r="N296" s="2" t="e">
        <f t="shared" ca="1" si="118"/>
        <v>#DIV/0!</v>
      </c>
      <c r="O296" s="2" t="e">
        <f t="shared" ca="1" si="118"/>
        <v>#DIV/0!</v>
      </c>
      <c r="P296" s="2" t="e">
        <f t="shared" ca="1" si="118"/>
        <v>#DIV/0!</v>
      </c>
      <c r="Q296" s="2" t="e">
        <f t="shared" ca="1" si="118"/>
        <v>#DIV/0!</v>
      </c>
      <c r="R296" s="2" t="e">
        <f t="shared" ca="1" si="118"/>
        <v>#DIV/0!</v>
      </c>
      <c r="S296" s="2" t="e">
        <f t="shared" ca="1" si="118"/>
        <v>#DIV/0!</v>
      </c>
      <c r="T296" s="2" t="e">
        <f t="shared" ca="1" si="118"/>
        <v>#DIV/0!</v>
      </c>
      <c r="U296" s="2" t="e">
        <f t="shared" ca="1" si="118"/>
        <v>#DIV/0!</v>
      </c>
      <c r="V296" s="2" t="e">
        <f t="shared" ca="1" si="118"/>
        <v>#DIV/0!</v>
      </c>
      <c r="W296" s="2" t="e">
        <f t="shared" ca="1" si="118"/>
        <v>#DIV/0!</v>
      </c>
      <c r="X296" s="2" t="e">
        <f t="shared" ca="1" si="118"/>
        <v>#DIV/0!</v>
      </c>
      <c r="Y296" s="2" t="e">
        <f t="shared" ca="1" si="118"/>
        <v>#DIV/0!</v>
      </c>
      <c r="Z296" s="2" t="e">
        <f t="shared" ca="1" si="118"/>
        <v>#DIV/0!</v>
      </c>
      <c r="AA296" s="2" t="e">
        <f t="shared" ca="1" si="118"/>
        <v>#DIV/0!</v>
      </c>
    </row>
    <row r="297" spans="4:28" customFormat="1" x14ac:dyDescent="0.25">
      <c r="E297" t="s">
        <v>15</v>
      </c>
      <c r="F297" t="s">
        <v>7</v>
      </c>
      <c r="G297" s="2" t="e">
        <f t="shared" ref="G297:AA297" ca="1" si="119">-G296*G$18</f>
        <v>#DIV/0!</v>
      </c>
      <c r="H297" s="2" t="e">
        <f t="shared" ca="1" si="119"/>
        <v>#DIV/0!</v>
      </c>
      <c r="I297" s="2" t="e">
        <f t="shared" ca="1" si="119"/>
        <v>#DIV/0!</v>
      </c>
      <c r="J297" s="2" t="e">
        <f t="shared" ca="1" si="119"/>
        <v>#DIV/0!</v>
      </c>
      <c r="K297" s="2" t="e">
        <f t="shared" ca="1" si="119"/>
        <v>#DIV/0!</v>
      </c>
      <c r="L297" s="2" t="e">
        <f t="shared" ca="1" si="119"/>
        <v>#DIV/0!</v>
      </c>
      <c r="M297" s="2" t="e">
        <f t="shared" ca="1" si="119"/>
        <v>#DIV/0!</v>
      </c>
      <c r="N297" s="2" t="e">
        <f t="shared" ca="1" si="119"/>
        <v>#DIV/0!</v>
      </c>
      <c r="O297" s="2" t="e">
        <f t="shared" ca="1" si="119"/>
        <v>#DIV/0!</v>
      </c>
      <c r="P297" s="2" t="e">
        <f t="shared" ca="1" si="119"/>
        <v>#DIV/0!</v>
      </c>
      <c r="Q297" s="2" t="e">
        <f t="shared" ca="1" si="119"/>
        <v>#DIV/0!</v>
      </c>
      <c r="R297" s="2" t="e">
        <f t="shared" ca="1" si="119"/>
        <v>#DIV/0!</v>
      </c>
      <c r="S297" s="2" t="e">
        <f t="shared" ca="1" si="119"/>
        <v>#DIV/0!</v>
      </c>
      <c r="T297" s="2" t="e">
        <f t="shared" ca="1" si="119"/>
        <v>#DIV/0!</v>
      </c>
      <c r="U297" s="2" t="e">
        <f t="shared" ca="1" si="119"/>
        <v>#DIV/0!</v>
      </c>
      <c r="V297" s="2" t="e">
        <f t="shared" ca="1" si="119"/>
        <v>#DIV/0!</v>
      </c>
      <c r="W297" s="2" t="e">
        <f t="shared" ca="1" si="119"/>
        <v>#DIV/0!</v>
      </c>
      <c r="X297" s="2" t="e">
        <f t="shared" ca="1" si="119"/>
        <v>#DIV/0!</v>
      </c>
      <c r="Y297" s="2" t="e">
        <f t="shared" ca="1" si="119"/>
        <v>#DIV/0!</v>
      </c>
      <c r="Z297" s="2" t="e">
        <f t="shared" ca="1" si="119"/>
        <v>#DIV/0!</v>
      </c>
      <c r="AA297" s="2" t="e">
        <f t="shared" ca="1" si="119"/>
        <v>#DIV/0!</v>
      </c>
    </row>
    <row r="298" spans="4:28" customFormat="1" x14ac:dyDescent="0.25"/>
    <row r="299" spans="4:28" customFormat="1" x14ac:dyDescent="0.25">
      <c r="D299" t="s">
        <v>28</v>
      </c>
    </row>
    <row r="300" spans="4:28" customFormat="1" x14ac:dyDescent="0.25">
      <c r="E300" t="s">
        <v>1</v>
      </c>
      <c r="F300" t="s">
        <v>7</v>
      </c>
      <c r="G300" s="2">
        <f t="shared" ref="G300:AA307" si="120">G234</f>
        <v>-7907191.4052572027</v>
      </c>
      <c r="H300" s="2">
        <f t="shared" si="120"/>
        <v>-90182.007345977254</v>
      </c>
      <c r="I300" s="2">
        <f t="shared" si="120"/>
        <v>-202796.86165822332</v>
      </c>
      <c r="J300" s="2">
        <f t="shared" si="120"/>
        <v>0</v>
      </c>
      <c r="K300" s="2">
        <f t="shared" si="120"/>
        <v>0</v>
      </c>
      <c r="L300" s="2">
        <f t="shared" si="120"/>
        <v>0</v>
      </c>
      <c r="M300" s="2">
        <f t="shared" si="120"/>
        <v>0</v>
      </c>
      <c r="N300" s="2">
        <f t="shared" si="120"/>
        <v>0</v>
      </c>
      <c r="O300" s="2">
        <f t="shared" si="120"/>
        <v>0</v>
      </c>
      <c r="P300" s="2">
        <f t="shared" si="120"/>
        <v>0</v>
      </c>
      <c r="Q300" s="2">
        <f t="shared" si="120"/>
        <v>0</v>
      </c>
      <c r="R300" s="2">
        <f t="shared" si="120"/>
        <v>0</v>
      </c>
      <c r="S300" s="2">
        <f t="shared" si="120"/>
        <v>0</v>
      </c>
      <c r="T300" s="2">
        <f t="shared" si="120"/>
        <v>0</v>
      </c>
      <c r="U300" s="2">
        <f t="shared" si="120"/>
        <v>0</v>
      </c>
      <c r="V300" s="2">
        <f t="shared" si="120"/>
        <v>0</v>
      </c>
      <c r="W300" s="2">
        <f t="shared" si="120"/>
        <v>0</v>
      </c>
      <c r="X300" s="2">
        <f t="shared" si="120"/>
        <v>0</v>
      </c>
      <c r="Y300" s="2">
        <f t="shared" si="120"/>
        <v>0</v>
      </c>
      <c r="Z300" s="2">
        <f t="shared" si="120"/>
        <v>0</v>
      </c>
      <c r="AA300" s="2">
        <f t="shared" si="120"/>
        <v>0</v>
      </c>
    </row>
    <row r="301" spans="4:28" customFormat="1" x14ac:dyDescent="0.25">
      <c r="E301" t="s">
        <v>19</v>
      </c>
      <c r="F301" t="s">
        <v>7</v>
      </c>
      <c r="G301" s="2">
        <f t="shared" si="120"/>
        <v>0</v>
      </c>
      <c r="H301" s="2">
        <f t="shared" si="120"/>
        <v>0</v>
      </c>
      <c r="I301" s="2">
        <f t="shared" si="120"/>
        <v>0</v>
      </c>
      <c r="J301" s="2">
        <f t="shared" si="120"/>
        <v>0</v>
      </c>
      <c r="K301" s="2">
        <f t="shared" si="120"/>
        <v>0</v>
      </c>
      <c r="L301" s="2">
        <f t="shared" si="120"/>
        <v>0</v>
      </c>
      <c r="M301" s="2">
        <f t="shared" si="120"/>
        <v>0</v>
      </c>
      <c r="N301" s="2">
        <f t="shared" si="120"/>
        <v>0</v>
      </c>
      <c r="O301" s="2">
        <f t="shared" si="120"/>
        <v>0</v>
      </c>
      <c r="P301" s="2">
        <f t="shared" si="120"/>
        <v>0</v>
      </c>
      <c r="Q301" s="2">
        <f t="shared" si="120"/>
        <v>0</v>
      </c>
      <c r="R301" s="2">
        <f t="shared" si="120"/>
        <v>0</v>
      </c>
      <c r="S301" s="2">
        <f t="shared" si="120"/>
        <v>0</v>
      </c>
      <c r="T301" s="2">
        <f t="shared" si="120"/>
        <v>0</v>
      </c>
      <c r="U301" s="2">
        <f t="shared" si="120"/>
        <v>0</v>
      </c>
      <c r="V301" s="2">
        <f t="shared" si="120"/>
        <v>0</v>
      </c>
      <c r="W301" s="2">
        <f t="shared" si="120"/>
        <v>0</v>
      </c>
      <c r="X301" s="2">
        <f t="shared" si="120"/>
        <v>0</v>
      </c>
      <c r="Y301" s="2">
        <f t="shared" si="120"/>
        <v>0</v>
      </c>
      <c r="Z301" s="2">
        <f t="shared" si="120"/>
        <v>0</v>
      </c>
      <c r="AA301" s="2">
        <f t="shared" si="120"/>
        <v>0</v>
      </c>
    </row>
    <row r="302" spans="4:28" customFormat="1" x14ac:dyDescent="0.25">
      <c r="E302" t="s">
        <v>109</v>
      </c>
      <c r="F302" t="s">
        <v>7</v>
      </c>
      <c r="G302" s="2">
        <f t="shared" si="120"/>
        <v>0</v>
      </c>
      <c r="H302" s="2">
        <f t="shared" si="120"/>
        <v>0</v>
      </c>
      <c r="I302" s="2">
        <f t="shared" si="120"/>
        <v>0</v>
      </c>
      <c r="J302" s="2">
        <f t="shared" si="120"/>
        <v>0</v>
      </c>
      <c r="K302" s="2">
        <f t="shared" si="120"/>
        <v>0</v>
      </c>
      <c r="L302" s="2">
        <f t="shared" si="120"/>
        <v>0</v>
      </c>
      <c r="M302" s="2">
        <f t="shared" si="120"/>
        <v>0</v>
      </c>
      <c r="N302" s="2">
        <f t="shared" si="120"/>
        <v>0</v>
      </c>
      <c r="O302" s="2">
        <f t="shared" si="120"/>
        <v>0</v>
      </c>
      <c r="P302" s="2">
        <f t="shared" si="120"/>
        <v>0</v>
      </c>
      <c r="Q302" s="2">
        <f t="shared" si="120"/>
        <v>0</v>
      </c>
      <c r="R302" s="2">
        <f t="shared" si="120"/>
        <v>0</v>
      </c>
      <c r="S302" s="2">
        <f t="shared" si="120"/>
        <v>0</v>
      </c>
      <c r="T302" s="2">
        <f t="shared" si="120"/>
        <v>0</v>
      </c>
      <c r="U302" s="2">
        <f t="shared" si="120"/>
        <v>0</v>
      </c>
      <c r="V302" s="2">
        <f t="shared" si="120"/>
        <v>0</v>
      </c>
      <c r="W302" s="2">
        <f t="shared" si="120"/>
        <v>0</v>
      </c>
      <c r="X302" s="2">
        <f t="shared" si="120"/>
        <v>0</v>
      </c>
      <c r="Y302" s="2">
        <f t="shared" si="120"/>
        <v>0</v>
      </c>
      <c r="Z302" s="2">
        <f t="shared" si="120"/>
        <v>0</v>
      </c>
      <c r="AA302" s="2">
        <f t="shared" si="120"/>
        <v>0</v>
      </c>
    </row>
    <row r="303" spans="4:28" customFormat="1" x14ac:dyDescent="0.25">
      <c r="E303" t="s">
        <v>11</v>
      </c>
      <c r="F303" t="s">
        <v>7</v>
      </c>
      <c r="G303" s="2">
        <f t="shared" si="120"/>
        <v>0</v>
      </c>
      <c r="H303" s="2">
        <f t="shared" si="120"/>
        <v>273540.16345632629</v>
      </c>
      <c r="I303" s="2">
        <f t="shared" si="120"/>
        <v>542390.80765110941</v>
      </c>
      <c r="J303" s="2">
        <f t="shared" si="120"/>
        <v>834461.48860382545</v>
      </c>
      <c r="K303" s="2">
        <f t="shared" si="120"/>
        <v>1128317.0014930149</v>
      </c>
      <c r="L303" s="2">
        <f t="shared" si="120"/>
        <v>1423223.6023407767</v>
      </c>
      <c r="M303" s="2">
        <f t="shared" si="120"/>
        <v>1719341.0295942284</v>
      </c>
      <c r="N303" s="2">
        <f t="shared" si="120"/>
        <v>2016365.8532277574</v>
      </c>
      <c r="O303" s="2">
        <f t="shared" si="120"/>
        <v>2314224.0081914784</v>
      </c>
      <c r="P303" s="2">
        <f t="shared" si="120"/>
        <v>2638855.7633054936</v>
      </c>
      <c r="Q303" s="2">
        <f t="shared" si="120"/>
        <v>2992603.861488272</v>
      </c>
      <c r="R303" s="2">
        <f t="shared" si="120"/>
        <v>3377947.6348300781</v>
      </c>
      <c r="S303" s="2">
        <f t="shared" si="120"/>
        <v>3797778.0061801081</v>
      </c>
      <c r="T303" s="2">
        <f t="shared" si="120"/>
        <v>4254883.2870111503</v>
      </c>
      <c r="U303" s="2">
        <f t="shared" si="120"/>
        <v>4726990.3608080195</v>
      </c>
      <c r="V303" s="2">
        <f t="shared" si="120"/>
        <v>5214188.6762729567</v>
      </c>
      <c r="W303" s="2">
        <f t="shared" si="120"/>
        <v>5323686.6384746879</v>
      </c>
      <c r="X303" s="2">
        <f t="shared" si="120"/>
        <v>5435484.0578826563</v>
      </c>
      <c r="Y303" s="2">
        <f t="shared" si="120"/>
        <v>5549629.2230981914</v>
      </c>
      <c r="Z303" s="2">
        <f t="shared" si="120"/>
        <v>5666171.4367832523</v>
      </c>
      <c r="AA303" s="2">
        <f t="shared" si="120"/>
        <v>5785161.0369557012</v>
      </c>
      <c r="AB303" s="2">
        <f t="shared" ref="AB303:AB307" si="121">IF(V303=0,0,IF($G$15&gt;(AA303/V303)^(1/5)-1+2%,AA303*(AA303/V303)^(1/5)/($G$15-((AA303/V303)^(1/5)-1)),AA303*(1+$G$14)/$G$16))</f>
        <v>192838701.23185709</v>
      </c>
    </row>
    <row r="304" spans="4:28" customFormat="1" x14ac:dyDescent="0.25">
      <c r="E304" t="s">
        <v>57</v>
      </c>
      <c r="F304" t="s">
        <v>7</v>
      </c>
      <c r="G304" s="2">
        <f t="shared" si="120"/>
        <v>0</v>
      </c>
      <c r="H304" s="2">
        <f t="shared" si="120"/>
        <v>-243596.11042658935</v>
      </c>
      <c r="I304" s="2">
        <f t="shared" si="120"/>
        <v>-496891.91991810547</v>
      </c>
      <c r="J304" s="2">
        <f t="shared" si="120"/>
        <v>-765061.93875011941</v>
      </c>
      <c r="K304" s="2">
        <f t="shared" si="120"/>
        <v>-1034478.4085018468</v>
      </c>
      <c r="L304" s="2">
        <f t="shared" si="120"/>
        <v>-1304858.5505169015</v>
      </c>
      <c r="M304" s="2">
        <f t="shared" si="120"/>
        <v>-1576348.8182957908</v>
      </c>
      <c r="N304" s="2">
        <f t="shared" si="120"/>
        <v>-1848671.0171382914</v>
      </c>
      <c r="O304" s="2">
        <f t="shared" si="120"/>
        <v>-2121757.2417528671</v>
      </c>
      <c r="P304" s="2">
        <f t="shared" si="120"/>
        <v>-2419390.39000388</v>
      </c>
      <c r="Q304" s="2">
        <f t="shared" si="120"/>
        <v>-2743718.366214864</v>
      </c>
      <c r="R304" s="2">
        <f t="shared" si="120"/>
        <v>-3097014.3041873062</v>
      </c>
      <c r="S304" s="2">
        <f t="shared" si="120"/>
        <v>-3481928.6977666244</v>
      </c>
      <c r="T304" s="2">
        <f t="shared" si="120"/>
        <v>-3901017.9632887952</v>
      </c>
      <c r="U304" s="2">
        <f t="shared" si="120"/>
        <v>-4333861.3696166342</v>
      </c>
      <c r="V304" s="2">
        <f t="shared" si="120"/>
        <v>-4780540.9262838205</v>
      </c>
      <c r="W304" s="2">
        <f t="shared" si="120"/>
        <v>-4880932.2857357813</v>
      </c>
      <c r="X304" s="2">
        <f t="shared" si="120"/>
        <v>-4983431.8637362318</v>
      </c>
      <c r="Y304" s="2">
        <f t="shared" si="120"/>
        <v>-5088083.9328746926</v>
      </c>
      <c r="Z304" s="2">
        <f t="shared" si="120"/>
        <v>-5194933.6954650609</v>
      </c>
      <c r="AA304" s="2">
        <f t="shared" si="120"/>
        <v>-5304027.3030698253</v>
      </c>
      <c r="AB304" s="2">
        <f t="shared" si="121"/>
        <v>-176800910.10232785</v>
      </c>
    </row>
    <row r="305" spans="1:28" x14ac:dyDescent="0.25">
      <c r="E305" t="s">
        <v>10</v>
      </c>
      <c r="F305" t="s">
        <v>7</v>
      </c>
      <c r="G305" s="2">
        <f t="shared" si="120"/>
        <v>0</v>
      </c>
      <c r="H305" s="2">
        <f t="shared" si="120"/>
        <v>-72397.067999999999</v>
      </c>
      <c r="I305" s="2">
        <f t="shared" si="120"/>
        <v>-147597.13630799999</v>
      </c>
      <c r="J305" s="2">
        <f t="shared" si="120"/>
        <v>-227076.35221661095</v>
      </c>
      <c r="K305" s="2">
        <f t="shared" si="120"/>
        <v>-307041.26234956796</v>
      </c>
      <c r="L305" s="2">
        <f t="shared" si="120"/>
        <v>-387292.19792857737</v>
      </c>
      <c r="M305" s="2">
        <f t="shared" si="120"/>
        <v>-467872.62749517814</v>
      </c>
      <c r="N305" s="2">
        <f t="shared" si="120"/>
        <v>-548699.98069194832</v>
      </c>
      <c r="O305" s="2">
        <f t="shared" si="120"/>
        <v>-629754.10269858211</v>
      </c>
      <c r="P305" s="2">
        <f t="shared" si="120"/>
        <v>-718093.9431486245</v>
      </c>
      <c r="Q305" s="2">
        <f t="shared" si="120"/>
        <v>-814357.01680263912</v>
      </c>
      <c r="R305" s="2">
        <f t="shared" si="120"/>
        <v>-919218.00750725053</v>
      </c>
      <c r="S305" s="2">
        <f t="shared" si="120"/>
        <v>-1033463.6025141773</v>
      </c>
      <c r="T305" s="2">
        <f t="shared" si="120"/>
        <v>-1157852.5661363704</v>
      </c>
      <c r="U305" s="2">
        <f t="shared" si="120"/>
        <v>-1286323.8660555792</v>
      </c>
      <c r="V305" s="2">
        <f t="shared" si="120"/>
        <v>-1418901.8433412148</v>
      </c>
      <c r="W305" s="2">
        <f t="shared" si="120"/>
        <v>-1448698.7820513803</v>
      </c>
      <c r="X305" s="2">
        <f t="shared" si="120"/>
        <v>-1479121.456474459</v>
      </c>
      <c r="Y305" s="2">
        <f t="shared" si="120"/>
        <v>-1510183.0070604226</v>
      </c>
      <c r="Z305" s="2">
        <f t="shared" si="120"/>
        <v>-1541896.8502086913</v>
      </c>
      <c r="AA305" s="2">
        <f t="shared" si="120"/>
        <v>-1574276.6840630737</v>
      </c>
      <c r="AB305" s="2">
        <f t="shared" si="121"/>
        <v>-52475889.46876923</v>
      </c>
    </row>
    <row r="306" spans="1:28" x14ac:dyDescent="0.25">
      <c r="E306" t="s">
        <v>48</v>
      </c>
      <c r="F306" t="s">
        <v>7</v>
      </c>
      <c r="G306" s="2">
        <f t="shared" si="120"/>
        <v>0</v>
      </c>
      <c r="H306" s="2">
        <f t="shared" si="120"/>
        <v>0</v>
      </c>
      <c r="I306" s="2">
        <f t="shared" si="120"/>
        <v>0</v>
      </c>
      <c r="J306" s="2">
        <f t="shared" si="120"/>
        <v>0</v>
      </c>
      <c r="K306" s="2">
        <f t="shared" si="120"/>
        <v>0</v>
      </c>
      <c r="L306" s="2">
        <f t="shared" si="120"/>
        <v>0</v>
      </c>
      <c r="M306" s="2">
        <f t="shared" si="120"/>
        <v>0</v>
      </c>
      <c r="N306" s="2">
        <f t="shared" si="120"/>
        <v>0</v>
      </c>
      <c r="O306" s="2">
        <f t="shared" si="120"/>
        <v>0</v>
      </c>
      <c r="P306" s="2">
        <f t="shared" si="120"/>
        <v>0</v>
      </c>
      <c r="Q306" s="2">
        <f t="shared" si="120"/>
        <v>0</v>
      </c>
      <c r="R306" s="2">
        <f t="shared" si="120"/>
        <v>0</v>
      </c>
      <c r="S306" s="2">
        <f t="shared" si="120"/>
        <v>0</v>
      </c>
      <c r="T306" s="2">
        <f t="shared" si="120"/>
        <v>0</v>
      </c>
      <c r="U306" s="2">
        <f t="shared" si="120"/>
        <v>0</v>
      </c>
      <c r="V306" s="2">
        <f t="shared" si="120"/>
        <v>0</v>
      </c>
      <c r="W306" s="2">
        <f t="shared" si="120"/>
        <v>0</v>
      </c>
      <c r="X306" s="2">
        <f t="shared" si="120"/>
        <v>0</v>
      </c>
      <c r="Y306" s="2">
        <f t="shared" si="120"/>
        <v>0</v>
      </c>
      <c r="Z306" s="2">
        <f t="shared" si="120"/>
        <v>0</v>
      </c>
      <c r="AA306" s="2">
        <f t="shared" si="120"/>
        <v>0</v>
      </c>
      <c r="AB306" s="2">
        <f t="shared" si="121"/>
        <v>0</v>
      </c>
    </row>
    <row r="307" spans="1:28" x14ac:dyDescent="0.25">
      <c r="E307" t="s">
        <v>49</v>
      </c>
      <c r="F307" t="s">
        <v>7</v>
      </c>
      <c r="G307" s="2">
        <f t="shared" si="120"/>
        <v>0</v>
      </c>
      <c r="H307" s="2">
        <f t="shared" si="120"/>
        <v>0</v>
      </c>
      <c r="I307" s="2">
        <f t="shared" si="120"/>
        <v>0</v>
      </c>
      <c r="J307" s="2">
        <f t="shared" si="120"/>
        <v>0</v>
      </c>
      <c r="K307" s="2">
        <f t="shared" si="120"/>
        <v>0</v>
      </c>
      <c r="L307" s="2">
        <f t="shared" si="120"/>
        <v>0</v>
      </c>
      <c r="M307" s="2">
        <f t="shared" si="120"/>
        <v>0</v>
      </c>
      <c r="N307" s="2">
        <f t="shared" si="120"/>
        <v>0</v>
      </c>
      <c r="O307" s="2">
        <f t="shared" si="120"/>
        <v>0</v>
      </c>
      <c r="P307" s="2">
        <f t="shared" si="120"/>
        <v>0</v>
      </c>
      <c r="Q307" s="2">
        <f t="shared" si="120"/>
        <v>0</v>
      </c>
      <c r="R307" s="2">
        <f t="shared" si="120"/>
        <v>0</v>
      </c>
      <c r="S307" s="2">
        <f t="shared" si="120"/>
        <v>0</v>
      </c>
      <c r="T307" s="2">
        <f t="shared" si="120"/>
        <v>0</v>
      </c>
      <c r="U307" s="2">
        <f t="shared" si="120"/>
        <v>0</v>
      </c>
      <c r="V307" s="2">
        <f t="shared" si="120"/>
        <v>0</v>
      </c>
      <c r="W307" s="2">
        <f t="shared" si="120"/>
        <v>0</v>
      </c>
      <c r="X307" s="2">
        <f t="shared" si="120"/>
        <v>0</v>
      </c>
      <c r="Y307" s="2">
        <f t="shared" si="120"/>
        <v>0</v>
      </c>
      <c r="Z307" s="2">
        <f t="shared" si="120"/>
        <v>0</v>
      </c>
      <c r="AA307" s="2">
        <f t="shared" si="120"/>
        <v>0</v>
      </c>
      <c r="AB307" s="2">
        <f t="shared" si="121"/>
        <v>0</v>
      </c>
    </row>
    <row r="308" spans="1:28" x14ac:dyDescent="0.25">
      <c r="E308" t="s">
        <v>20</v>
      </c>
      <c r="F308" t="s">
        <v>7</v>
      </c>
      <c r="G308" s="2" t="e">
        <f t="shared" ref="G308:AA308" ca="1" si="122">G297</f>
        <v>#DIV/0!</v>
      </c>
      <c r="H308" s="2" t="e">
        <f t="shared" ca="1" si="122"/>
        <v>#DIV/0!</v>
      </c>
      <c r="I308" s="2" t="e">
        <f t="shared" ca="1" si="122"/>
        <v>#DIV/0!</v>
      </c>
      <c r="J308" s="2" t="e">
        <f t="shared" ca="1" si="122"/>
        <v>#DIV/0!</v>
      </c>
      <c r="K308" s="2" t="e">
        <f t="shared" ca="1" si="122"/>
        <v>#DIV/0!</v>
      </c>
      <c r="L308" s="2" t="e">
        <f t="shared" ca="1" si="122"/>
        <v>#DIV/0!</v>
      </c>
      <c r="M308" s="2" t="e">
        <f t="shared" ca="1" si="122"/>
        <v>#DIV/0!</v>
      </c>
      <c r="N308" s="2" t="e">
        <f t="shared" ca="1" si="122"/>
        <v>#DIV/0!</v>
      </c>
      <c r="O308" s="2" t="e">
        <f t="shared" ca="1" si="122"/>
        <v>#DIV/0!</v>
      </c>
      <c r="P308" s="2" t="e">
        <f t="shared" ca="1" si="122"/>
        <v>#DIV/0!</v>
      </c>
      <c r="Q308" s="2" t="e">
        <f t="shared" ca="1" si="122"/>
        <v>#DIV/0!</v>
      </c>
      <c r="R308" s="2" t="e">
        <f t="shared" ca="1" si="122"/>
        <v>#DIV/0!</v>
      </c>
      <c r="S308" s="2" t="e">
        <f t="shared" ca="1" si="122"/>
        <v>#DIV/0!</v>
      </c>
      <c r="T308" s="2" t="e">
        <f t="shared" ca="1" si="122"/>
        <v>#DIV/0!</v>
      </c>
      <c r="U308" s="2" t="e">
        <f t="shared" ca="1" si="122"/>
        <v>#DIV/0!</v>
      </c>
      <c r="V308" s="2" t="e">
        <f t="shared" ca="1" si="122"/>
        <v>#DIV/0!</v>
      </c>
      <c r="W308" s="2" t="e">
        <f t="shared" ca="1" si="122"/>
        <v>#DIV/0!</v>
      </c>
      <c r="X308" s="2" t="e">
        <f t="shared" ca="1" si="122"/>
        <v>#DIV/0!</v>
      </c>
      <c r="Y308" s="2" t="e">
        <f t="shared" ca="1" si="122"/>
        <v>#DIV/0!</v>
      </c>
      <c r="Z308" s="2" t="e">
        <f t="shared" ca="1" si="122"/>
        <v>#DIV/0!</v>
      </c>
      <c r="AA308" s="2" t="e">
        <f t="shared" ca="1" si="122"/>
        <v>#DIV/0!</v>
      </c>
      <c r="AB308" s="2" t="e">
        <f ca="1">IF(V308=0,0,IF($G$15&gt;(AA308/V308)^(1/5)-1+2%,AA308*(AA308/V308)^(1/5)/($G$15-((AA308/V308)^(1/5)-1)),AA308*(1+$G$14)/$G$16))</f>
        <v>#DIV/0!</v>
      </c>
    </row>
    <row r="309" spans="1:28" x14ac:dyDescent="0.25">
      <c r="E309" t="s">
        <v>173</v>
      </c>
      <c r="F309" t="s">
        <v>7</v>
      </c>
      <c r="G309" s="2" t="e">
        <f ca="1">-$G$17*G308</f>
        <v>#DIV/0!</v>
      </c>
      <c r="H309" s="2" t="e">
        <f t="shared" ref="H309:AA309" ca="1" si="123">-$G$17*H308</f>
        <v>#DIV/0!</v>
      </c>
      <c r="I309" s="2" t="e">
        <f t="shared" ca="1" si="123"/>
        <v>#DIV/0!</v>
      </c>
      <c r="J309" s="2" t="e">
        <f t="shared" ca="1" si="123"/>
        <v>#DIV/0!</v>
      </c>
      <c r="K309" s="2" t="e">
        <f t="shared" ca="1" si="123"/>
        <v>#DIV/0!</v>
      </c>
      <c r="L309" s="2" t="e">
        <f t="shared" ca="1" si="123"/>
        <v>#DIV/0!</v>
      </c>
      <c r="M309" s="2" t="e">
        <f t="shared" ca="1" si="123"/>
        <v>#DIV/0!</v>
      </c>
      <c r="N309" s="2" t="e">
        <f t="shared" ca="1" si="123"/>
        <v>#DIV/0!</v>
      </c>
      <c r="O309" s="2" t="e">
        <f t="shared" ca="1" si="123"/>
        <v>#DIV/0!</v>
      </c>
      <c r="P309" s="2" t="e">
        <f t="shared" ca="1" si="123"/>
        <v>#DIV/0!</v>
      </c>
      <c r="Q309" s="2" t="e">
        <f t="shared" ca="1" si="123"/>
        <v>#DIV/0!</v>
      </c>
      <c r="R309" s="2" t="e">
        <f t="shared" ca="1" si="123"/>
        <v>#DIV/0!</v>
      </c>
      <c r="S309" s="2" t="e">
        <f t="shared" ca="1" si="123"/>
        <v>#DIV/0!</v>
      </c>
      <c r="T309" s="2" t="e">
        <f t="shared" ca="1" si="123"/>
        <v>#DIV/0!</v>
      </c>
      <c r="U309" s="2" t="e">
        <f t="shared" ca="1" si="123"/>
        <v>#DIV/0!</v>
      </c>
      <c r="V309" s="2" t="e">
        <f t="shared" ca="1" si="123"/>
        <v>#DIV/0!</v>
      </c>
      <c r="W309" s="2" t="e">
        <f t="shared" ca="1" si="123"/>
        <v>#DIV/0!</v>
      </c>
      <c r="X309" s="2" t="e">
        <f t="shared" ca="1" si="123"/>
        <v>#DIV/0!</v>
      </c>
      <c r="Y309" s="2" t="e">
        <f t="shared" ca="1" si="123"/>
        <v>#DIV/0!</v>
      </c>
      <c r="Z309" s="2" t="e">
        <f t="shared" ca="1" si="123"/>
        <v>#DIV/0!</v>
      </c>
      <c r="AA309" s="2" t="e">
        <f t="shared" ca="1" si="123"/>
        <v>#DIV/0!</v>
      </c>
      <c r="AB309" s="2" t="e">
        <f t="shared" ref="AB309" ca="1" si="124">IF(V309=0,0,IF($G$15&gt;(AA309/V309)^(1/5)-1+2%,AA309*(AA309/V309)^(1/5)/($G$15-((AA309/V309)^(1/5)-1)),AA309*(1+$G$14)/$G$16))</f>
        <v>#DIV/0!</v>
      </c>
    </row>
    <row r="310" spans="1:28" x14ac:dyDescent="0.25">
      <c r="E310" t="s">
        <v>23</v>
      </c>
      <c r="F310" t="s">
        <v>7</v>
      </c>
      <c r="G310" s="2" t="e">
        <f t="shared" ref="G310:AB310" ca="1" si="125">SUM(G300:G309)</f>
        <v>#DIV/0!</v>
      </c>
      <c r="H310" s="2" t="e">
        <f t="shared" ca="1" si="125"/>
        <v>#DIV/0!</v>
      </c>
      <c r="I310" s="2" t="e">
        <f t="shared" ca="1" si="125"/>
        <v>#DIV/0!</v>
      </c>
      <c r="J310" s="2" t="e">
        <f t="shared" ca="1" si="125"/>
        <v>#DIV/0!</v>
      </c>
      <c r="K310" s="2" t="e">
        <f t="shared" ca="1" si="125"/>
        <v>#DIV/0!</v>
      </c>
      <c r="L310" s="2" t="e">
        <f t="shared" ca="1" si="125"/>
        <v>#DIV/0!</v>
      </c>
      <c r="M310" s="2" t="e">
        <f t="shared" ca="1" si="125"/>
        <v>#DIV/0!</v>
      </c>
      <c r="N310" s="2" t="e">
        <f t="shared" ca="1" si="125"/>
        <v>#DIV/0!</v>
      </c>
      <c r="O310" s="2" t="e">
        <f t="shared" ca="1" si="125"/>
        <v>#DIV/0!</v>
      </c>
      <c r="P310" s="2" t="e">
        <f t="shared" ca="1" si="125"/>
        <v>#DIV/0!</v>
      </c>
      <c r="Q310" s="2" t="e">
        <f t="shared" ca="1" si="125"/>
        <v>#DIV/0!</v>
      </c>
      <c r="R310" s="2" t="e">
        <f t="shared" ca="1" si="125"/>
        <v>#DIV/0!</v>
      </c>
      <c r="S310" s="2" t="e">
        <f t="shared" ca="1" si="125"/>
        <v>#DIV/0!</v>
      </c>
      <c r="T310" s="2" t="e">
        <f t="shared" ca="1" si="125"/>
        <v>#DIV/0!</v>
      </c>
      <c r="U310" s="2" t="e">
        <f t="shared" ca="1" si="125"/>
        <v>#DIV/0!</v>
      </c>
      <c r="V310" s="2" t="e">
        <f t="shared" ca="1" si="125"/>
        <v>#DIV/0!</v>
      </c>
      <c r="W310" s="2" t="e">
        <f t="shared" ca="1" si="125"/>
        <v>#DIV/0!</v>
      </c>
      <c r="X310" s="2" t="e">
        <f t="shared" ca="1" si="125"/>
        <v>#DIV/0!</v>
      </c>
      <c r="Y310" s="2" t="e">
        <f t="shared" ca="1" si="125"/>
        <v>#DIV/0!</v>
      </c>
      <c r="Z310" s="2" t="e">
        <f t="shared" ca="1" si="125"/>
        <v>#DIV/0!</v>
      </c>
      <c r="AA310" s="2" t="e">
        <f t="shared" ca="1" si="125"/>
        <v>#DIV/0!</v>
      </c>
      <c r="AB310" s="2" t="e">
        <f t="shared" ca="1" si="125"/>
        <v>#DIV/0!</v>
      </c>
    </row>
    <row r="311" spans="1:28" x14ac:dyDescent="0.25">
      <c r="E311" t="s">
        <v>31</v>
      </c>
      <c r="F311" t="s">
        <v>7</v>
      </c>
      <c r="G311" s="2" t="e">
        <f ca="1">NPV($G$15,H310:AB310)+G310</f>
        <v>#DIV/0!</v>
      </c>
    </row>
    <row r="313" spans="1:28" x14ac:dyDescent="0.25">
      <c r="E313" t="s">
        <v>13</v>
      </c>
      <c r="F313" t="s">
        <v>7</v>
      </c>
      <c r="G313" s="2" t="e">
        <f t="shared" ref="G313:AA313" ca="1" si="126">G285</f>
        <v>#DIV/0!</v>
      </c>
      <c r="H313" s="2" t="e">
        <f t="shared" ca="1" si="126"/>
        <v>#DIV/0!</v>
      </c>
      <c r="I313" s="2" t="e">
        <f t="shared" ca="1" si="126"/>
        <v>#DIV/0!</v>
      </c>
      <c r="J313" s="2" t="e">
        <f t="shared" ca="1" si="126"/>
        <v>#DIV/0!</v>
      </c>
      <c r="K313" s="2" t="e">
        <f t="shared" ca="1" si="126"/>
        <v>#DIV/0!</v>
      </c>
      <c r="L313" s="2" t="e">
        <f t="shared" ca="1" si="126"/>
        <v>#DIV/0!</v>
      </c>
      <c r="M313" s="2" t="e">
        <f t="shared" ca="1" si="126"/>
        <v>#DIV/0!</v>
      </c>
      <c r="N313" s="2" t="e">
        <f t="shared" ca="1" si="126"/>
        <v>#DIV/0!</v>
      </c>
      <c r="O313" s="2" t="e">
        <f t="shared" ca="1" si="126"/>
        <v>#DIV/0!</v>
      </c>
      <c r="P313" s="2" t="e">
        <f t="shared" ca="1" si="126"/>
        <v>#DIV/0!</v>
      </c>
      <c r="Q313" s="2" t="e">
        <f t="shared" ca="1" si="126"/>
        <v>#DIV/0!</v>
      </c>
      <c r="R313" s="2" t="e">
        <f t="shared" ca="1" si="126"/>
        <v>#DIV/0!</v>
      </c>
      <c r="S313" s="2" t="e">
        <f t="shared" ca="1" si="126"/>
        <v>#DIV/0!</v>
      </c>
      <c r="T313" s="2" t="e">
        <f t="shared" ca="1" si="126"/>
        <v>#DIV/0!</v>
      </c>
      <c r="U313" s="2" t="e">
        <f t="shared" ca="1" si="126"/>
        <v>#DIV/0!</v>
      </c>
      <c r="V313" s="2" t="e">
        <f t="shared" ca="1" si="126"/>
        <v>#DIV/0!</v>
      </c>
      <c r="W313" s="2" t="e">
        <f t="shared" ca="1" si="126"/>
        <v>#DIV/0!</v>
      </c>
      <c r="X313" s="2" t="e">
        <f t="shared" ca="1" si="126"/>
        <v>#DIV/0!</v>
      </c>
      <c r="Y313" s="2" t="e">
        <f t="shared" ca="1" si="126"/>
        <v>#DIV/0!</v>
      </c>
      <c r="Z313" s="2" t="e">
        <f t="shared" ca="1" si="126"/>
        <v>#DIV/0!</v>
      </c>
      <c r="AA313" s="2" t="e">
        <f t="shared" ca="1" si="126"/>
        <v>#DIV/0!</v>
      </c>
    </row>
    <row r="314" spans="1:28" x14ac:dyDescent="0.25">
      <c r="E314" t="s">
        <v>24</v>
      </c>
      <c r="F314" t="s">
        <v>7</v>
      </c>
      <c r="G314" s="2" t="e">
        <f ca="1">NPV($G$15,H313:AA313)+G313</f>
        <v>#DIV/0!</v>
      </c>
    </row>
    <row r="315" spans="1:28" x14ac:dyDescent="0.25">
      <c r="E315" s="3" t="s">
        <v>34</v>
      </c>
      <c r="F315" s="3"/>
      <c r="G315" s="4" t="e">
        <f ca="1">IF(G311&gt;0,"N/A",IF(ABS(G311+G314)&gt;1,"Error","OK"))</f>
        <v>#DIV/0!</v>
      </c>
    </row>
    <row r="318" spans="1:28" x14ac:dyDescent="0.25">
      <c r="C318" s="1" t="s">
        <v>110</v>
      </c>
    </row>
    <row r="319" spans="1:28" x14ac:dyDescent="0.25">
      <c r="E319" t="s">
        <v>116</v>
      </c>
      <c r="F319" t="s">
        <v>117</v>
      </c>
    </row>
    <row r="320" spans="1:28" x14ac:dyDescent="0.25">
      <c r="A320" s="14">
        <f>'Notes &amp; Assumptions'!A68</f>
        <v>55</v>
      </c>
      <c r="E320" s="19" t="s">
        <v>111</v>
      </c>
      <c r="F320" s="19" t="s">
        <v>119</v>
      </c>
    </row>
    <row r="321" spans="5:6" customFormat="1" x14ac:dyDescent="0.25">
      <c r="E321" s="19" t="s">
        <v>112</v>
      </c>
      <c r="F321" s="19" t="s">
        <v>120</v>
      </c>
    </row>
    <row r="322" spans="5:6" customFormat="1" x14ac:dyDescent="0.25">
      <c r="E322" s="19" t="s">
        <v>113</v>
      </c>
      <c r="F322" s="19" t="s">
        <v>121</v>
      </c>
    </row>
  </sheetData>
  <mergeCells count="1">
    <mergeCell ref="G4:H4"/>
  </mergeCells>
  <dataValidations count="1">
    <dataValidation type="list" showInputMessage="1" showErrorMessage="1" sqref="G4" xr:uid="{00000000-0002-0000-1200-000000000000}">
      <formula1>$E$320:$E$322</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2:AC322"/>
  <sheetViews>
    <sheetView topLeftCell="A10" zoomScale="90" zoomScaleNormal="90" workbookViewId="0">
      <selection activeCell="G21" sqref="G21"/>
    </sheetView>
  </sheetViews>
  <sheetFormatPr defaultColWidth="11" defaultRowHeight="15.75" x14ac:dyDescent="0.25"/>
  <cols>
    <col min="1" max="1" width="7.625" style="14" customWidth="1"/>
    <col min="2" max="2" width="3.125" customWidth="1"/>
    <col min="3" max="3" width="3.375" customWidth="1"/>
    <col min="4" max="4" width="2.875" customWidth="1"/>
    <col min="5" max="5" width="36.5" bestFit="1" customWidth="1"/>
    <col min="6" max="6" width="17.5" customWidth="1"/>
    <col min="7" max="27" width="15.625" customWidth="1"/>
    <col min="28" max="28" width="11.125" customWidth="1"/>
  </cols>
  <sheetData>
    <row r="2" spans="1:27" x14ac:dyDescent="0.25">
      <c r="C2" s="1" t="s">
        <v>0</v>
      </c>
      <c r="D2" s="1"/>
      <c r="G2">
        <v>0</v>
      </c>
      <c r="H2">
        <v>1</v>
      </c>
      <c r="I2">
        <v>2</v>
      </c>
      <c r="J2">
        <v>3</v>
      </c>
      <c r="K2">
        <v>4</v>
      </c>
      <c r="L2">
        <v>5</v>
      </c>
      <c r="M2">
        <v>6</v>
      </c>
      <c r="N2">
        <v>7</v>
      </c>
      <c r="O2">
        <v>8</v>
      </c>
      <c r="P2">
        <v>9</v>
      </c>
      <c r="Q2">
        <v>10</v>
      </c>
      <c r="R2">
        <v>11</v>
      </c>
      <c r="S2">
        <v>12</v>
      </c>
      <c r="T2">
        <v>13</v>
      </c>
      <c r="U2">
        <v>14</v>
      </c>
      <c r="V2">
        <v>15</v>
      </c>
      <c r="W2">
        <v>16</v>
      </c>
      <c r="X2">
        <v>17</v>
      </c>
      <c r="Y2">
        <v>18</v>
      </c>
      <c r="Z2">
        <v>19</v>
      </c>
      <c r="AA2">
        <v>20</v>
      </c>
    </row>
    <row r="4" spans="1:27" x14ac:dyDescent="0.25">
      <c r="A4" s="14">
        <f>'Notes &amp; Assumptions'!A14</f>
        <v>1</v>
      </c>
      <c r="C4" s="1" t="s">
        <v>114</v>
      </c>
      <c r="F4" t="s">
        <v>115</v>
      </c>
      <c r="G4" s="368" t="s">
        <v>111</v>
      </c>
      <c r="H4" s="368"/>
    </row>
    <row r="6" spans="1:27" x14ac:dyDescent="0.25">
      <c r="C6" s="1" t="s">
        <v>126</v>
      </c>
    </row>
    <row r="7" spans="1:27" x14ac:dyDescent="0.25">
      <c r="A7" s="14">
        <f>'Notes &amp; Assumptions'!A15</f>
        <v>2</v>
      </c>
      <c r="E7" s="10" t="s">
        <v>128</v>
      </c>
      <c r="F7" t="s">
        <v>145</v>
      </c>
      <c r="G7" s="10">
        <v>80</v>
      </c>
    </row>
    <row r="8" spans="1:27" x14ac:dyDescent="0.25">
      <c r="A8" s="14">
        <f>'Notes &amp; Assumptions'!A16</f>
        <v>3</v>
      </c>
      <c r="E8" s="10" t="s">
        <v>129</v>
      </c>
      <c r="F8" t="s">
        <v>145</v>
      </c>
      <c r="G8" s="10">
        <v>25</v>
      </c>
    </row>
    <row r="9" spans="1:27" x14ac:dyDescent="0.25">
      <c r="A9" s="14">
        <f>'Notes &amp; Assumptions'!A17</f>
        <v>4</v>
      </c>
      <c r="E9" s="10" t="s">
        <v>130</v>
      </c>
      <c r="F9" t="s">
        <v>145</v>
      </c>
      <c r="G9" s="10">
        <v>30</v>
      </c>
    </row>
    <row r="10" spans="1:27" x14ac:dyDescent="0.25">
      <c r="A10" s="14">
        <f>'Notes &amp; Assumptions'!A18</f>
        <v>5</v>
      </c>
      <c r="E10" t="s">
        <v>127</v>
      </c>
      <c r="F10" t="s">
        <v>145</v>
      </c>
      <c r="G10" s="10">
        <v>5</v>
      </c>
    </row>
    <row r="13" spans="1:27" x14ac:dyDescent="0.25">
      <c r="C13" s="1" t="s">
        <v>92</v>
      </c>
    </row>
    <row r="14" spans="1:27" x14ac:dyDescent="0.25">
      <c r="A14" s="14">
        <f>'Notes &amp; Assumptions'!A19</f>
        <v>6</v>
      </c>
      <c r="E14" t="s">
        <v>5</v>
      </c>
      <c r="F14" t="s">
        <v>8</v>
      </c>
      <c r="G14" s="17">
        <f>'20 New UGB Water'!G14</f>
        <v>2.1000000000000001E-2</v>
      </c>
    </row>
    <row r="15" spans="1:27" x14ac:dyDescent="0.25">
      <c r="A15" s="14">
        <f>'Notes &amp; Assumptions'!A20</f>
        <v>7</v>
      </c>
      <c r="E15" t="s">
        <v>32</v>
      </c>
      <c r="F15" t="s">
        <v>8</v>
      </c>
      <c r="G15" s="17">
        <f>'20 New UGB Water'!G15</f>
        <v>5.1629999999999843E-2</v>
      </c>
    </row>
    <row r="16" spans="1:27" x14ac:dyDescent="0.25">
      <c r="E16" t="s">
        <v>30</v>
      </c>
      <c r="F16" t="s">
        <v>8</v>
      </c>
      <c r="G16" s="18">
        <f>(1+G15)/(1+G14)-1</f>
        <v>3.0000000000000027E-2</v>
      </c>
    </row>
    <row r="17" spans="1:27" x14ac:dyDescent="0.25">
      <c r="E17" t="s">
        <v>171</v>
      </c>
      <c r="F17" t="s">
        <v>8</v>
      </c>
      <c r="G17" s="11">
        <v>0.5</v>
      </c>
    </row>
    <row r="18" spans="1:27" x14ac:dyDescent="0.25">
      <c r="A18" s="14">
        <f>'Notes &amp; Assumptions'!A22</f>
        <v>9</v>
      </c>
      <c r="E18" t="s">
        <v>16</v>
      </c>
      <c r="F18" t="s">
        <v>8</v>
      </c>
      <c r="G18" s="11">
        <v>0.3</v>
      </c>
      <c r="H18" s="11">
        <v>0.3</v>
      </c>
      <c r="I18" s="11">
        <v>0.3</v>
      </c>
      <c r="J18" s="11">
        <v>0.3</v>
      </c>
      <c r="K18" s="11">
        <v>0.3</v>
      </c>
      <c r="L18" s="11">
        <v>0.3</v>
      </c>
      <c r="M18" s="11">
        <v>0.3</v>
      </c>
      <c r="N18" s="11">
        <v>0.3</v>
      </c>
      <c r="O18" s="11">
        <v>0.3</v>
      </c>
      <c r="P18" s="11">
        <v>0.3</v>
      </c>
      <c r="Q18" s="11">
        <v>0.3</v>
      </c>
      <c r="R18" s="11">
        <v>0.3</v>
      </c>
      <c r="S18" s="11">
        <v>0.3</v>
      </c>
      <c r="T18" s="11">
        <v>0.3</v>
      </c>
      <c r="U18" s="11">
        <v>0.3</v>
      </c>
      <c r="V18" s="11">
        <v>0.3</v>
      </c>
      <c r="W18" s="11">
        <v>0.3</v>
      </c>
      <c r="X18" s="11">
        <v>0.3</v>
      </c>
      <c r="Y18" s="11">
        <v>0.3</v>
      </c>
      <c r="Z18" s="11">
        <v>0.3</v>
      </c>
      <c r="AA18" s="11">
        <v>0.3</v>
      </c>
    </row>
    <row r="20" spans="1:27" x14ac:dyDescent="0.25">
      <c r="A20" s="14">
        <f>'Notes &amp; Assumptions'!A23</f>
        <v>10</v>
      </c>
      <c r="C20" s="1" t="s">
        <v>1</v>
      </c>
      <c r="D20" s="1"/>
    </row>
    <row r="21" spans="1:27" x14ac:dyDescent="0.25">
      <c r="E21" s="2" t="str">
        <f>E7</f>
        <v>Pipes</v>
      </c>
      <c r="F21" t="s">
        <v>7</v>
      </c>
      <c r="G21" s="43">
        <f>IF('Key assumptions'!B3="yes",SUM('Historical growth capex'!M80:V80),0)</f>
        <v>11356264.585593592</v>
      </c>
      <c r="H21" s="10">
        <f>'Forecast capex'!J74*1000*(1+$G$14)^H2</f>
        <v>143162.38521836654</v>
      </c>
      <c r="I21" s="10">
        <f>'Forecast capex'!K74*1000*(1+$G$14)^I2</f>
        <v>1705879.5834406184</v>
      </c>
      <c r="J21" s="10">
        <f>'Forecast capex'!L74*1000*(1+$G$14)^J2</f>
        <v>2627166.5584972706</v>
      </c>
      <c r="K21" s="10">
        <f>'Forecast capex'!M74*1000*(1+$G$14)^K2</f>
        <v>0</v>
      </c>
      <c r="L21" s="10">
        <f>'Forecast capex'!N74*1000*(1+$G$14)^L2</f>
        <v>0</v>
      </c>
      <c r="M21" s="10">
        <f>'Forecast capex'!O74*1000*(1+$G$14)^M2</f>
        <v>0</v>
      </c>
      <c r="N21" s="10">
        <f>'Forecast capex'!P74*1000*(1+$G$14)^N2</f>
        <v>0</v>
      </c>
      <c r="O21" s="10">
        <f>'Forecast capex'!Q74*1000*(1+$G$14)^O2</f>
        <v>0</v>
      </c>
      <c r="P21" s="10">
        <f>'Forecast capex'!R74*1000*(1+$G$14)^P2</f>
        <v>0</v>
      </c>
      <c r="Q21" s="10">
        <f>'Forecast capex'!S74*1000*(1+$G$14)^Q2</f>
        <v>0</v>
      </c>
      <c r="R21" s="10">
        <f>'[10]potable water'!$X$190/5*(1+$G$14)^R2</f>
        <v>0</v>
      </c>
      <c r="S21" s="10">
        <f>'[10]potable water'!$X$190/5*(1+$G$14)^S2</f>
        <v>0</v>
      </c>
      <c r="T21" s="10">
        <f>'[10]potable water'!$X$190/5*(1+$G$14)^T2</f>
        <v>0</v>
      </c>
      <c r="U21" s="10">
        <f>'[10]potable water'!$X$190/5*(1+$G$14)^U2</f>
        <v>0</v>
      </c>
      <c r="V21" s="10">
        <f>'[10]potable water'!$X$190/5*(1+$G$14)^V2</f>
        <v>0</v>
      </c>
      <c r="W21" s="10"/>
      <c r="X21" s="10"/>
      <c r="Y21" s="10"/>
      <c r="Z21" s="10"/>
      <c r="AA21" s="10"/>
    </row>
    <row r="22" spans="1:27" x14ac:dyDescent="0.25">
      <c r="E22" s="2" t="str">
        <f>E8</f>
        <v>Pumps</v>
      </c>
      <c r="F22" t="s">
        <v>7</v>
      </c>
      <c r="G22" s="10"/>
      <c r="H22" s="10"/>
      <c r="I22" s="10"/>
      <c r="J22" s="10"/>
      <c r="K22" s="10"/>
      <c r="L22" s="10"/>
      <c r="M22" s="10"/>
      <c r="N22" s="10"/>
      <c r="O22" s="10"/>
      <c r="P22" s="10"/>
      <c r="Q22" s="10"/>
      <c r="R22" s="10"/>
      <c r="S22" s="10"/>
      <c r="T22" s="10"/>
      <c r="U22" s="10"/>
      <c r="V22" s="10"/>
      <c r="W22" s="10"/>
      <c r="X22" s="10"/>
      <c r="Y22" s="10"/>
      <c r="Z22" s="10"/>
      <c r="AA22" s="10"/>
    </row>
    <row r="23" spans="1:27" x14ac:dyDescent="0.25">
      <c r="E23" s="2" t="str">
        <f>E9</f>
        <v>Valves and Meters</v>
      </c>
      <c r="F23" t="s">
        <v>7</v>
      </c>
      <c r="G23" s="10"/>
      <c r="H23" s="10"/>
      <c r="I23" s="10"/>
      <c r="J23" s="10"/>
      <c r="K23" s="10"/>
      <c r="L23" s="10"/>
      <c r="M23" s="10"/>
      <c r="N23" s="10"/>
      <c r="O23" s="10"/>
      <c r="P23" s="10"/>
      <c r="Q23" s="10"/>
      <c r="R23" s="10"/>
      <c r="S23" s="10"/>
      <c r="T23" s="10"/>
      <c r="U23" s="10"/>
      <c r="V23" s="10"/>
      <c r="W23" s="10"/>
      <c r="X23" s="10"/>
      <c r="Y23" s="10"/>
      <c r="Z23" s="10"/>
      <c r="AA23" s="10"/>
    </row>
    <row r="24" spans="1:27" x14ac:dyDescent="0.25">
      <c r="E24" t="s">
        <v>127</v>
      </c>
      <c r="F24" t="s">
        <v>7</v>
      </c>
      <c r="G24" s="10"/>
      <c r="H24" s="10"/>
      <c r="I24" s="10"/>
      <c r="J24" s="10"/>
      <c r="K24" s="10"/>
      <c r="L24" s="10"/>
      <c r="M24" s="10"/>
      <c r="N24" s="10"/>
      <c r="O24" s="10"/>
      <c r="P24" s="10"/>
      <c r="Q24" s="10"/>
      <c r="R24" s="10"/>
      <c r="S24" s="10"/>
      <c r="T24" s="10"/>
      <c r="U24" s="10"/>
      <c r="V24" s="10"/>
      <c r="W24" s="10"/>
      <c r="X24" s="10"/>
      <c r="Y24" s="10"/>
      <c r="Z24" s="10"/>
      <c r="AA24" s="10"/>
    </row>
    <row r="25" spans="1:27" x14ac:dyDescent="0.25">
      <c r="E25" t="s">
        <v>131</v>
      </c>
      <c r="F25" t="s">
        <v>7</v>
      </c>
      <c r="G25" s="10"/>
      <c r="H25" s="10"/>
      <c r="I25" s="10"/>
      <c r="J25" s="10"/>
      <c r="K25" s="10"/>
      <c r="L25" s="10"/>
      <c r="M25" s="10"/>
      <c r="N25" s="10"/>
      <c r="O25" s="10"/>
      <c r="P25" s="10"/>
      <c r="Q25" s="10"/>
      <c r="R25" s="10"/>
      <c r="S25" s="10"/>
      <c r="T25" s="10"/>
      <c r="U25" s="10"/>
      <c r="V25" s="10"/>
      <c r="W25" s="10"/>
      <c r="X25" s="10"/>
      <c r="Y25" s="10"/>
      <c r="Z25" s="10"/>
      <c r="AA25" s="10"/>
    </row>
    <row r="26" spans="1:27" x14ac:dyDescent="0.25">
      <c r="G26" s="2">
        <f>SUM(G21:G25)</f>
        <v>11356264.585593592</v>
      </c>
      <c r="H26" s="2">
        <f t="shared" ref="H26:AA26" si="0">SUM(H21:H25)</f>
        <v>143162.38521836654</v>
      </c>
      <c r="I26" s="2">
        <f t="shared" si="0"/>
        <v>1705879.5834406184</v>
      </c>
      <c r="J26" s="2">
        <f t="shared" si="0"/>
        <v>2627166.5584972706</v>
      </c>
      <c r="K26" s="2">
        <f t="shared" si="0"/>
        <v>0</v>
      </c>
      <c r="L26" s="2">
        <f t="shared" si="0"/>
        <v>0</v>
      </c>
      <c r="M26" s="2">
        <f t="shared" si="0"/>
        <v>0</v>
      </c>
      <c r="N26" s="2">
        <f t="shared" si="0"/>
        <v>0</v>
      </c>
      <c r="O26" s="2">
        <f t="shared" si="0"/>
        <v>0</v>
      </c>
      <c r="P26" s="2">
        <f t="shared" si="0"/>
        <v>0</v>
      </c>
      <c r="Q26" s="2">
        <f t="shared" si="0"/>
        <v>0</v>
      </c>
      <c r="R26" s="2">
        <f t="shared" si="0"/>
        <v>0</v>
      </c>
      <c r="S26" s="2">
        <f t="shared" si="0"/>
        <v>0</v>
      </c>
      <c r="T26" s="2">
        <f t="shared" si="0"/>
        <v>0</v>
      </c>
      <c r="U26" s="2">
        <f t="shared" si="0"/>
        <v>0</v>
      </c>
      <c r="V26" s="2">
        <f t="shared" si="0"/>
        <v>0</v>
      </c>
      <c r="W26" s="2">
        <f t="shared" si="0"/>
        <v>0</v>
      </c>
      <c r="X26" s="2">
        <f t="shared" si="0"/>
        <v>0</v>
      </c>
      <c r="Y26" s="2">
        <f t="shared" si="0"/>
        <v>0</v>
      </c>
      <c r="Z26" s="2">
        <f t="shared" si="0"/>
        <v>0</v>
      </c>
      <c r="AA26" s="2">
        <f t="shared" si="0"/>
        <v>0</v>
      </c>
    </row>
    <row r="27" spans="1:27" x14ac:dyDescent="0.25">
      <c r="G27" s="2"/>
      <c r="H27" s="2"/>
      <c r="I27" s="2"/>
      <c r="J27" s="2"/>
      <c r="K27" s="2"/>
      <c r="L27" s="2"/>
      <c r="M27" s="2"/>
      <c r="N27" s="2"/>
      <c r="O27" s="2"/>
      <c r="P27" s="2"/>
      <c r="Q27" s="2"/>
    </row>
    <row r="28" spans="1:27" x14ac:dyDescent="0.25">
      <c r="D28" t="s">
        <v>132</v>
      </c>
      <c r="G28" s="2"/>
      <c r="H28" s="2"/>
      <c r="I28" s="2"/>
      <c r="J28" s="2"/>
      <c r="K28" s="2"/>
      <c r="L28" s="2"/>
      <c r="M28" s="2"/>
      <c r="N28" s="2"/>
      <c r="O28" s="2"/>
      <c r="P28" s="2"/>
      <c r="Q28" s="2"/>
    </row>
    <row r="29" spans="1:27" x14ac:dyDescent="0.25">
      <c r="E29" s="2" t="str">
        <f>E21</f>
        <v>Pipes</v>
      </c>
      <c r="F29" t="s">
        <v>7</v>
      </c>
      <c r="G29" s="2">
        <f t="shared" ref="G29:AA32" si="1">G21/$G7+IF((G$2-$G7+1)&gt;0,-INDEX($G21:$AA21,1,(G$2-$G7+1))/$G7,0)</f>
        <v>141953.3073199199</v>
      </c>
      <c r="H29" s="2">
        <f>H21/$G7+IF((H$2-$G7+1)&gt;0,-INDEX($G21:$AA21,1,(H$2-$G7+1))/$G7,0)</f>
        <v>1789.5298152295818</v>
      </c>
      <c r="I29" s="2">
        <f t="shared" si="1"/>
        <v>21323.494793007729</v>
      </c>
      <c r="J29" s="2">
        <f t="shared" si="1"/>
        <v>32839.581981215881</v>
      </c>
      <c r="K29" s="2">
        <f t="shared" si="1"/>
        <v>0</v>
      </c>
      <c r="L29" s="2">
        <f t="shared" si="1"/>
        <v>0</v>
      </c>
      <c r="M29" s="2">
        <f t="shared" si="1"/>
        <v>0</v>
      </c>
      <c r="N29" s="2">
        <f t="shared" si="1"/>
        <v>0</v>
      </c>
      <c r="O29" s="2">
        <f t="shared" si="1"/>
        <v>0</v>
      </c>
      <c r="P29" s="2">
        <f t="shared" si="1"/>
        <v>0</v>
      </c>
      <c r="Q29" s="2">
        <f t="shared" si="1"/>
        <v>0</v>
      </c>
      <c r="R29" s="2">
        <f t="shared" si="1"/>
        <v>0</v>
      </c>
      <c r="S29" s="2">
        <f t="shared" si="1"/>
        <v>0</v>
      </c>
      <c r="T29" s="2">
        <f t="shared" si="1"/>
        <v>0</v>
      </c>
      <c r="U29" s="2">
        <f t="shared" si="1"/>
        <v>0</v>
      </c>
      <c r="V29" s="2">
        <f t="shared" si="1"/>
        <v>0</v>
      </c>
      <c r="W29" s="2">
        <f t="shared" si="1"/>
        <v>0</v>
      </c>
      <c r="X29" s="2">
        <f t="shared" si="1"/>
        <v>0</v>
      </c>
      <c r="Y29" s="2">
        <f t="shared" si="1"/>
        <v>0</v>
      </c>
      <c r="Z29" s="2">
        <f t="shared" si="1"/>
        <v>0</v>
      </c>
      <c r="AA29" s="2">
        <f t="shared" si="1"/>
        <v>0</v>
      </c>
    </row>
    <row r="30" spans="1:27" x14ac:dyDescent="0.25">
      <c r="E30" s="2" t="str">
        <f t="shared" ref="E30:E32" si="2">E22</f>
        <v>Pumps</v>
      </c>
      <c r="F30" t="s">
        <v>7</v>
      </c>
      <c r="G30" s="2">
        <f t="shared" si="1"/>
        <v>0</v>
      </c>
      <c r="H30" s="2">
        <f t="shared" si="1"/>
        <v>0</v>
      </c>
      <c r="I30" s="2">
        <f t="shared" si="1"/>
        <v>0</v>
      </c>
      <c r="J30" s="2">
        <f t="shared" si="1"/>
        <v>0</v>
      </c>
      <c r="K30" s="2">
        <f t="shared" si="1"/>
        <v>0</v>
      </c>
      <c r="L30" s="2">
        <f t="shared" si="1"/>
        <v>0</v>
      </c>
      <c r="M30" s="2">
        <f t="shared" si="1"/>
        <v>0</v>
      </c>
      <c r="N30" s="2">
        <f t="shared" si="1"/>
        <v>0</v>
      </c>
      <c r="O30" s="2">
        <f t="shared" si="1"/>
        <v>0</v>
      </c>
      <c r="P30" s="2">
        <f t="shared" si="1"/>
        <v>0</v>
      </c>
      <c r="Q30" s="2">
        <f t="shared" si="1"/>
        <v>0</v>
      </c>
      <c r="R30" s="2">
        <f t="shared" si="1"/>
        <v>0</v>
      </c>
      <c r="S30" s="2">
        <f t="shared" si="1"/>
        <v>0</v>
      </c>
      <c r="T30" s="2">
        <f t="shared" si="1"/>
        <v>0</v>
      </c>
      <c r="U30" s="2">
        <f t="shared" si="1"/>
        <v>0</v>
      </c>
      <c r="V30" s="2">
        <f t="shared" si="1"/>
        <v>0</v>
      </c>
      <c r="W30" s="2">
        <f t="shared" si="1"/>
        <v>0</v>
      </c>
      <c r="X30" s="2">
        <f t="shared" si="1"/>
        <v>0</v>
      </c>
      <c r="Y30" s="2">
        <f t="shared" si="1"/>
        <v>0</v>
      </c>
      <c r="Z30" s="2">
        <f t="shared" si="1"/>
        <v>0</v>
      </c>
      <c r="AA30" s="2">
        <f t="shared" si="1"/>
        <v>0</v>
      </c>
    </row>
    <row r="31" spans="1:27" x14ac:dyDescent="0.25">
      <c r="E31" s="2" t="str">
        <f t="shared" si="2"/>
        <v>Valves and Meters</v>
      </c>
      <c r="F31" t="s">
        <v>7</v>
      </c>
      <c r="G31" s="2">
        <f t="shared" si="1"/>
        <v>0</v>
      </c>
      <c r="H31" s="2">
        <f t="shared" si="1"/>
        <v>0</v>
      </c>
      <c r="I31" s="2">
        <f t="shared" si="1"/>
        <v>0</v>
      </c>
      <c r="J31" s="2">
        <f t="shared" si="1"/>
        <v>0</v>
      </c>
      <c r="K31" s="2">
        <f t="shared" si="1"/>
        <v>0</v>
      </c>
      <c r="L31" s="2">
        <f t="shared" si="1"/>
        <v>0</v>
      </c>
      <c r="M31" s="2">
        <f t="shared" si="1"/>
        <v>0</v>
      </c>
      <c r="N31" s="2">
        <f t="shared" si="1"/>
        <v>0</v>
      </c>
      <c r="O31" s="2">
        <f t="shared" si="1"/>
        <v>0</v>
      </c>
      <c r="P31" s="2">
        <f t="shared" si="1"/>
        <v>0</v>
      </c>
      <c r="Q31" s="2">
        <f t="shared" si="1"/>
        <v>0</v>
      </c>
      <c r="R31" s="2">
        <f t="shared" si="1"/>
        <v>0</v>
      </c>
      <c r="S31" s="2">
        <f t="shared" si="1"/>
        <v>0</v>
      </c>
      <c r="T31" s="2">
        <f t="shared" si="1"/>
        <v>0</v>
      </c>
      <c r="U31" s="2">
        <f t="shared" si="1"/>
        <v>0</v>
      </c>
      <c r="V31" s="2">
        <f t="shared" si="1"/>
        <v>0</v>
      </c>
      <c r="W31" s="2">
        <f t="shared" si="1"/>
        <v>0</v>
      </c>
      <c r="X31" s="2">
        <f t="shared" si="1"/>
        <v>0</v>
      </c>
      <c r="Y31" s="2">
        <f t="shared" si="1"/>
        <v>0</v>
      </c>
      <c r="Z31" s="2">
        <f t="shared" si="1"/>
        <v>0</v>
      </c>
      <c r="AA31" s="2">
        <f t="shared" si="1"/>
        <v>0</v>
      </c>
    </row>
    <row r="32" spans="1:27" x14ac:dyDescent="0.25">
      <c r="E32" s="2" t="str">
        <f t="shared" si="2"/>
        <v>Temporary Assets</v>
      </c>
      <c r="F32" t="s">
        <v>7</v>
      </c>
      <c r="G32" s="2">
        <f t="shared" si="1"/>
        <v>0</v>
      </c>
      <c r="H32" s="2">
        <f t="shared" si="1"/>
        <v>0</v>
      </c>
      <c r="I32" s="2">
        <f t="shared" si="1"/>
        <v>0</v>
      </c>
      <c r="J32" s="2">
        <f t="shared" si="1"/>
        <v>0</v>
      </c>
      <c r="K32" s="2">
        <f t="shared" si="1"/>
        <v>0</v>
      </c>
      <c r="L32" s="2">
        <f t="shared" si="1"/>
        <v>0</v>
      </c>
      <c r="M32" s="2">
        <f t="shared" si="1"/>
        <v>0</v>
      </c>
      <c r="N32" s="2">
        <f t="shared" si="1"/>
        <v>0</v>
      </c>
      <c r="O32" s="2">
        <f t="shared" si="1"/>
        <v>0</v>
      </c>
      <c r="P32" s="2">
        <f t="shared" si="1"/>
        <v>0</v>
      </c>
      <c r="Q32" s="2">
        <f t="shared" si="1"/>
        <v>0</v>
      </c>
      <c r="R32" s="2">
        <f t="shared" si="1"/>
        <v>0</v>
      </c>
      <c r="S32" s="2">
        <f t="shared" si="1"/>
        <v>0</v>
      </c>
      <c r="T32" s="2">
        <f t="shared" si="1"/>
        <v>0</v>
      </c>
      <c r="U32" s="2">
        <f t="shared" si="1"/>
        <v>0</v>
      </c>
      <c r="V32" s="2">
        <f t="shared" si="1"/>
        <v>0</v>
      </c>
      <c r="W32" s="2">
        <f t="shared" si="1"/>
        <v>0</v>
      </c>
      <c r="X32" s="2">
        <f t="shared" si="1"/>
        <v>0</v>
      </c>
      <c r="Y32" s="2">
        <f t="shared" si="1"/>
        <v>0</v>
      </c>
      <c r="Z32" s="2">
        <f t="shared" si="1"/>
        <v>0</v>
      </c>
      <c r="AA32" s="2">
        <f t="shared" si="1"/>
        <v>0</v>
      </c>
    </row>
    <row r="33" spans="1:27" x14ac:dyDescent="0.25">
      <c r="G33" s="2"/>
      <c r="H33" s="2"/>
      <c r="I33" s="2"/>
      <c r="J33" s="2"/>
      <c r="K33" s="2"/>
      <c r="L33" s="2"/>
      <c r="M33" s="2"/>
      <c r="N33" s="2"/>
      <c r="O33" s="2"/>
      <c r="P33" s="2"/>
      <c r="Q33" s="2"/>
    </row>
    <row r="34" spans="1:27" x14ac:dyDescent="0.25">
      <c r="D34" t="s">
        <v>133</v>
      </c>
      <c r="F34" t="s">
        <v>7</v>
      </c>
      <c r="G34" s="2">
        <f>SUM($G$29:G32)</f>
        <v>141953.3073199199</v>
      </c>
      <c r="H34" s="2">
        <f>SUM($G$29:H32)</f>
        <v>143742.83713514949</v>
      </c>
      <c r="I34" s="2">
        <f>SUM($G$29:I32)</f>
        <v>165066.33192815722</v>
      </c>
      <c r="J34" s="2">
        <f>SUM($G$29:J32)</f>
        <v>197905.91390937311</v>
      </c>
      <c r="K34" s="2">
        <f>SUM($G$29:K32)</f>
        <v>197905.91390937311</v>
      </c>
      <c r="L34" s="2">
        <f>SUM($G$29:L32)</f>
        <v>197905.91390937311</v>
      </c>
      <c r="M34" s="2">
        <f>SUM($G$29:M32)</f>
        <v>197905.91390937311</v>
      </c>
      <c r="N34" s="2">
        <f>SUM($G$29:N32)</f>
        <v>197905.91390937311</v>
      </c>
      <c r="O34" s="2">
        <f>SUM($G$29:O32)</f>
        <v>197905.91390937311</v>
      </c>
      <c r="P34" s="2">
        <f>SUM($G$29:P32)</f>
        <v>197905.91390937311</v>
      </c>
      <c r="Q34" s="2">
        <f>SUM($G$29:Q32)</f>
        <v>197905.91390937311</v>
      </c>
      <c r="R34" s="2">
        <f>SUM($G$29:R32)</f>
        <v>197905.91390937311</v>
      </c>
      <c r="S34" s="2">
        <f>SUM($G$29:S32)</f>
        <v>197905.91390937311</v>
      </c>
      <c r="T34" s="2">
        <f>SUM($G$29:T32)</f>
        <v>197905.91390937311</v>
      </c>
      <c r="U34" s="2">
        <f>SUM($G$29:U32)</f>
        <v>197905.91390937311</v>
      </c>
      <c r="V34" s="2">
        <f>SUM($G$29:V32)</f>
        <v>197905.91390937311</v>
      </c>
      <c r="W34" s="2">
        <f>SUM($G$29:W32)</f>
        <v>197905.91390937311</v>
      </c>
      <c r="X34" s="2">
        <f>SUM($G$29:X32)</f>
        <v>197905.91390937311</v>
      </c>
      <c r="Y34" s="2">
        <f>SUM($G$29:Y32)</f>
        <v>197905.91390937311</v>
      </c>
      <c r="Z34" s="2">
        <f>SUM($G$29:Z32)</f>
        <v>197905.91390937311</v>
      </c>
      <c r="AA34" s="2">
        <f>SUM($G$29:AA32)</f>
        <v>197905.91390937311</v>
      </c>
    </row>
    <row r="35" spans="1:27" x14ac:dyDescent="0.25">
      <c r="G35" s="2"/>
      <c r="H35" s="2"/>
      <c r="I35" s="2"/>
      <c r="J35" s="2"/>
      <c r="K35" s="2"/>
      <c r="L35" s="2"/>
      <c r="M35" s="2"/>
      <c r="N35" s="2"/>
      <c r="O35" s="2"/>
      <c r="P35" s="2"/>
      <c r="Q35" s="2"/>
      <c r="R35" s="2"/>
      <c r="S35" s="2"/>
      <c r="T35" s="2"/>
      <c r="U35" s="2"/>
      <c r="V35" s="2"/>
      <c r="W35" s="2"/>
      <c r="X35" s="2"/>
      <c r="Y35" s="2"/>
      <c r="Z35" s="2"/>
      <c r="AA35" s="2"/>
    </row>
    <row r="36" spans="1:27" x14ac:dyDescent="0.25">
      <c r="A36" s="14">
        <f>'Notes &amp; Assumptions'!A24</f>
        <v>11</v>
      </c>
      <c r="C36" s="1" t="s">
        <v>107</v>
      </c>
      <c r="D36" s="1"/>
    </row>
    <row r="37" spans="1:27" x14ac:dyDescent="0.25">
      <c r="E37" s="2" t="str">
        <f>E7</f>
        <v>Pipes</v>
      </c>
      <c r="F37" t="s">
        <v>7</v>
      </c>
      <c r="G37" s="10"/>
      <c r="H37" s="10">
        <f>3500*(1+$G$14)^H2*(H90+H111+H132+H153)</f>
        <v>2551478.9999999995</v>
      </c>
      <c r="I37" s="10">
        <f t="shared" ref="I37:V37" si="3">3500*(1+$G$14)^I2*(I90+I111+I132+I153)</f>
        <v>2597762.9719999991</v>
      </c>
      <c r="J37" s="10">
        <f t="shared" si="3"/>
        <v>2695155.3679172494</v>
      </c>
      <c r="K37" s="10">
        <f t="shared" si="3"/>
        <v>2650963.7602743981</v>
      </c>
      <c r="L37" s="10">
        <f t="shared" si="3"/>
        <v>2603727.541593296</v>
      </c>
      <c r="M37" s="10">
        <f t="shared" si="3"/>
        <v>2553338.3267093068</v>
      </c>
      <c r="N37" s="10">
        <f t="shared" si="3"/>
        <v>2503732.5930530592</v>
      </c>
      <c r="O37" s="10">
        <f t="shared" si="3"/>
        <v>2452983.9371875618</v>
      </c>
      <c r="P37" s="10">
        <f t="shared" si="3"/>
        <v>2647972.3949746988</v>
      </c>
      <c r="Q37" s="10">
        <f t="shared" si="3"/>
        <v>2862994.0832611341</v>
      </c>
      <c r="R37" s="10">
        <f t="shared" si="3"/>
        <v>3094676.8708250816</v>
      </c>
      <c r="S37" s="10">
        <f t="shared" si="3"/>
        <v>3350547.4818675988</v>
      </c>
      <c r="T37" s="10">
        <f t="shared" si="3"/>
        <v>3620385.5749465046</v>
      </c>
      <c r="U37" s="10">
        <f t="shared" si="3"/>
        <v>3670662.8484660913</v>
      </c>
      <c r="V37" s="10">
        <f t="shared" si="3"/>
        <v>3723845.3220575782</v>
      </c>
      <c r="W37" s="10">
        <f t="shared" ref="W37:AA37" si="4">1000*(1+$G$14)^W2*(W90+W111+W132+W153)</f>
        <v>0</v>
      </c>
      <c r="X37" s="10">
        <f t="shared" si="4"/>
        <v>0</v>
      </c>
      <c r="Y37" s="10">
        <f t="shared" si="4"/>
        <v>0</v>
      </c>
      <c r="Z37" s="10">
        <f t="shared" si="4"/>
        <v>0</v>
      </c>
      <c r="AA37" s="10">
        <f t="shared" si="4"/>
        <v>0</v>
      </c>
    </row>
    <row r="38" spans="1:27" x14ac:dyDescent="0.25">
      <c r="E38" s="2" t="str">
        <f>E8</f>
        <v>Pumps</v>
      </c>
      <c r="F38" t="s">
        <v>7</v>
      </c>
      <c r="G38" s="10"/>
      <c r="H38" s="10"/>
      <c r="I38" s="10"/>
      <c r="J38" s="10"/>
      <c r="K38" s="10"/>
      <c r="L38" s="10"/>
      <c r="M38" s="10"/>
      <c r="N38" s="10"/>
      <c r="O38" s="10"/>
      <c r="P38" s="10"/>
      <c r="Q38" s="10"/>
      <c r="R38" s="10"/>
      <c r="S38" s="10"/>
      <c r="T38" s="10"/>
      <c r="U38" s="10"/>
      <c r="V38" s="10"/>
      <c r="W38" s="10"/>
      <c r="X38" s="10"/>
      <c r="Y38" s="10"/>
      <c r="Z38" s="10"/>
      <c r="AA38" s="10"/>
    </row>
    <row r="39" spans="1:27" x14ac:dyDescent="0.25">
      <c r="E39" s="2" t="str">
        <f>E9</f>
        <v>Valves and Meters</v>
      </c>
      <c r="F39" t="s">
        <v>7</v>
      </c>
      <c r="G39" s="10"/>
      <c r="H39" s="10"/>
      <c r="I39" s="10"/>
      <c r="J39" s="10"/>
      <c r="K39" s="10"/>
      <c r="L39" s="10"/>
      <c r="M39" s="10"/>
      <c r="N39" s="10"/>
      <c r="O39" s="10"/>
      <c r="P39" s="10"/>
      <c r="Q39" s="10"/>
      <c r="R39" s="10"/>
      <c r="S39" s="10"/>
      <c r="T39" s="10"/>
      <c r="U39" s="10"/>
      <c r="V39" s="10"/>
      <c r="W39" s="10"/>
      <c r="X39" s="10"/>
      <c r="Y39" s="10"/>
      <c r="Z39" s="10"/>
      <c r="AA39" s="10"/>
    </row>
    <row r="40" spans="1:27" x14ac:dyDescent="0.25">
      <c r="E40" s="2" t="str">
        <f>E10</f>
        <v>Temporary Assets</v>
      </c>
      <c r="F40" t="s">
        <v>7</v>
      </c>
      <c r="G40" s="10"/>
      <c r="H40" s="10"/>
      <c r="I40" s="10"/>
      <c r="J40" s="10"/>
      <c r="K40" s="10"/>
      <c r="L40" s="10"/>
      <c r="M40" s="10"/>
      <c r="N40" s="10"/>
      <c r="O40" s="10"/>
      <c r="P40" s="10"/>
      <c r="Q40" s="10"/>
      <c r="R40" s="10"/>
      <c r="S40" s="10"/>
      <c r="T40" s="10"/>
      <c r="U40" s="10"/>
      <c r="V40" s="10"/>
      <c r="W40" s="10"/>
      <c r="X40" s="10"/>
      <c r="Y40" s="10"/>
      <c r="Z40" s="10"/>
      <c r="AA40" s="10"/>
    </row>
    <row r="41" spans="1:27" x14ac:dyDescent="0.25">
      <c r="E41" t="s">
        <v>131</v>
      </c>
      <c r="F41" t="s">
        <v>7</v>
      </c>
      <c r="G41" s="10"/>
      <c r="H41" s="10"/>
      <c r="I41" s="10"/>
      <c r="J41" s="10"/>
      <c r="K41" s="10"/>
      <c r="L41" s="10"/>
      <c r="M41" s="10"/>
      <c r="N41" s="10"/>
      <c r="O41" s="10"/>
      <c r="P41" s="10"/>
      <c r="Q41" s="10"/>
      <c r="R41" s="10"/>
      <c r="S41" s="10"/>
      <c r="T41" s="10"/>
      <c r="U41" s="10"/>
      <c r="V41" s="10"/>
      <c r="W41" s="10"/>
      <c r="X41" s="10"/>
      <c r="Y41" s="10"/>
      <c r="Z41" s="10"/>
      <c r="AA41" s="10"/>
    </row>
    <row r="42" spans="1:27" x14ac:dyDescent="0.25">
      <c r="G42" s="2">
        <f>SUM(G37:G41)</f>
        <v>0</v>
      </c>
      <c r="H42" s="2">
        <f t="shared" ref="H42:AA42" si="5">SUM(H37:H41)</f>
        <v>2551478.9999999995</v>
      </c>
      <c r="I42" s="2">
        <f t="shared" si="5"/>
        <v>2597762.9719999991</v>
      </c>
      <c r="J42" s="2">
        <f t="shared" si="5"/>
        <v>2695155.3679172494</v>
      </c>
      <c r="K42" s="2">
        <f t="shared" si="5"/>
        <v>2650963.7602743981</v>
      </c>
      <c r="L42" s="2">
        <f t="shared" si="5"/>
        <v>2603727.541593296</v>
      </c>
      <c r="M42" s="2">
        <f t="shared" si="5"/>
        <v>2553338.3267093068</v>
      </c>
      <c r="N42" s="2">
        <f t="shared" si="5"/>
        <v>2503732.5930530592</v>
      </c>
      <c r="O42" s="2">
        <f t="shared" si="5"/>
        <v>2452983.9371875618</v>
      </c>
      <c r="P42" s="2">
        <f t="shared" si="5"/>
        <v>2647972.3949746988</v>
      </c>
      <c r="Q42" s="2">
        <f t="shared" si="5"/>
        <v>2862994.0832611341</v>
      </c>
      <c r="R42" s="2">
        <f t="shared" si="5"/>
        <v>3094676.8708250816</v>
      </c>
      <c r="S42" s="2">
        <f t="shared" si="5"/>
        <v>3350547.4818675988</v>
      </c>
      <c r="T42" s="2">
        <f t="shared" si="5"/>
        <v>3620385.5749465046</v>
      </c>
      <c r="U42" s="2">
        <f t="shared" si="5"/>
        <v>3670662.8484660913</v>
      </c>
      <c r="V42" s="2">
        <f t="shared" si="5"/>
        <v>3723845.3220575782</v>
      </c>
      <c r="W42" s="2">
        <f t="shared" si="5"/>
        <v>0</v>
      </c>
      <c r="X42" s="2">
        <f t="shared" si="5"/>
        <v>0</v>
      </c>
      <c r="Y42" s="2">
        <f t="shared" si="5"/>
        <v>0</v>
      </c>
      <c r="Z42" s="2">
        <f t="shared" si="5"/>
        <v>0</v>
      </c>
      <c r="AA42" s="2">
        <f t="shared" si="5"/>
        <v>0</v>
      </c>
    </row>
    <row r="43" spans="1:27" x14ac:dyDescent="0.25">
      <c r="G43" s="2"/>
      <c r="H43" s="2"/>
      <c r="I43" s="2"/>
      <c r="J43" s="2"/>
      <c r="K43" s="2"/>
      <c r="L43" s="2"/>
      <c r="M43" s="2"/>
      <c r="N43" s="2"/>
      <c r="O43" s="2"/>
      <c r="P43" s="2"/>
      <c r="Q43" s="2"/>
    </row>
    <row r="44" spans="1:27" x14ac:dyDescent="0.25">
      <c r="D44" t="s">
        <v>134</v>
      </c>
      <c r="G44" s="2"/>
      <c r="H44" s="2"/>
      <c r="I44" s="2"/>
      <c r="J44" s="2"/>
      <c r="K44" s="2"/>
      <c r="L44" s="2"/>
      <c r="M44" s="2"/>
      <c r="N44" s="2"/>
      <c r="O44" s="2"/>
      <c r="P44" s="2"/>
      <c r="Q44" s="2"/>
    </row>
    <row r="45" spans="1:27" x14ac:dyDescent="0.25">
      <c r="E45" s="2" t="str">
        <f>E37</f>
        <v>Pipes</v>
      </c>
      <c r="F45" t="s">
        <v>7</v>
      </c>
      <c r="G45" s="2">
        <f t="shared" ref="G45:AA48" si="6">G37/$G7+IF((G$2-$G7+1)&gt;0,-INDEX($G37:$AA37,1,(G$2-$G7+1))/$G7,0)</f>
        <v>0</v>
      </c>
      <c r="H45" s="2">
        <f t="shared" si="6"/>
        <v>31893.487499999996</v>
      </c>
      <c r="I45" s="2">
        <f t="shared" si="6"/>
        <v>32472.037149999989</v>
      </c>
      <c r="J45" s="2">
        <f t="shared" si="6"/>
        <v>33689.442098965621</v>
      </c>
      <c r="K45" s="2">
        <f t="shared" si="6"/>
        <v>33137.04700342998</v>
      </c>
      <c r="L45" s="2">
        <f t="shared" si="6"/>
        <v>32546.594269916201</v>
      </c>
      <c r="M45" s="2">
        <f t="shared" si="6"/>
        <v>31916.729083866336</v>
      </c>
      <c r="N45" s="2">
        <f t="shared" si="6"/>
        <v>31296.657413163241</v>
      </c>
      <c r="O45" s="2">
        <f t="shared" si="6"/>
        <v>30662.299214844523</v>
      </c>
      <c r="P45" s="2">
        <f t="shared" si="6"/>
        <v>33099.654937183732</v>
      </c>
      <c r="Q45" s="2">
        <f t="shared" si="6"/>
        <v>35787.426040764178</v>
      </c>
      <c r="R45" s="2">
        <f t="shared" si="6"/>
        <v>38683.460885313521</v>
      </c>
      <c r="S45" s="2">
        <f t="shared" si="6"/>
        <v>41881.843523344985</v>
      </c>
      <c r="T45" s="2">
        <f t="shared" si="6"/>
        <v>45254.81968683131</v>
      </c>
      <c r="U45" s="2">
        <f t="shared" si="6"/>
        <v>45883.285605826139</v>
      </c>
      <c r="V45" s="2">
        <f t="shared" si="6"/>
        <v>46548.066525719725</v>
      </c>
      <c r="W45" s="2">
        <f t="shared" si="6"/>
        <v>0</v>
      </c>
      <c r="X45" s="2">
        <f t="shared" si="6"/>
        <v>0</v>
      </c>
      <c r="Y45" s="2">
        <f t="shared" si="6"/>
        <v>0</v>
      </c>
      <c r="Z45" s="2">
        <f t="shared" si="6"/>
        <v>0</v>
      </c>
      <c r="AA45" s="2">
        <f t="shared" si="6"/>
        <v>0</v>
      </c>
    </row>
    <row r="46" spans="1:27" x14ac:dyDescent="0.25">
      <c r="E46" s="2" t="str">
        <f t="shared" ref="E46:E48" si="7">E38</f>
        <v>Pumps</v>
      </c>
      <c r="F46" t="s">
        <v>7</v>
      </c>
      <c r="G46" s="2">
        <f t="shared" si="6"/>
        <v>0</v>
      </c>
      <c r="H46" s="2">
        <f t="shared" si="6"/>
        <v>0</v>
      </c>
      <c r="I46" s="2">
        <f t="shared" si="6"/>
        <v>0</v>
      </c>
      <c r="J46" s="2">
        <f t="shared" si="6"/>
        <v>0</v>
      </c>
      <c r="K46" s="2">
        <f t="shared" si="6"/>
        <v>0</v>
      </c>
      <c r="L46" s="2">
        <f t="shared" si="6"/>
        <v>0</v>
      </c>
      <c r="M46" s="2">
        <f t="shared" si="6"/>
        <v>0</v>
      </c>
      <c r="N46" s="2">
        <f t="shared" si="6"/>
        <v>0</v>
      </c>
      <c r="O46" s="2">
        <f t="shared" si="6"/>
        <v>0</v>
      </c>
      <c r="P46" s="2">
        <f t="shared" si="6"/>
        <v>0</v>
      </c>
      <c r="Q46" s="2">
        <f t="shared" si="6"/>
        <v>0</v>
      </c>
      <c r="R46" s="2">
        <f t="shared" si="6"/>
        <v>0</v>
      </c>
      <c r="S46" s="2">
        <f t="shared" si="6"/>
        <v>0</v>
      </c>
      <c r="T46" s="2">
        <f t="shared" si="6"/>
        <v>0</v>
      </c>
      <c r="U46" s="2">
        <f t="shared" si="6"/>
        <v>0</v>
      </c>
      <c r="V46" s="2">
        <f t="shared" si="6"/>
        <v>0</v>
      </c>
      <c r="W46" s="2">
        <f t="shared" si="6"/>
        <v>0</v>
      </c>
      <c r="X46" s="2">
        <f t="shared" si="6"/>
        <v>0</v>
      </c>
      <c r="Y46" s="2">
        <f t="shared" si="6"/>
        <v>0</v>
      </c>
      <c r="Z46" s="2">
        <f t="shared" si="6"/>
        <v>0</v>
      </c>
      <c r="AA46" s="2">
        <f t="shared" si="6"/>
        <v>0</v>
      </c>
    </row>
    <row r="47" spans="1:27" x14ac:dyDescent="0.25">
      <c r="E47" s="2" t="str">
        <f t="shared" si="7"/>
        <v>Valves and Meters</v>
      </c>
      <c r="F47" t="s">
        <v>7</v>
      </c>
      <c r="G47" s="2">
        <f t="shared" si="6"/>
        <v>0</v>
      </c>
      <c r="H47" s="2">
        <f t="shared" si="6"/>
        <v>0</v>
      </c>
      <c r="I47" s="2">
        <f t="shared" si="6"/>
        <v>0</v>
      </c>
      <c r="J47" s="2">
        <f t="shared" si="6"/>
        <v>0</v>
      </c>
      <c r="K47" s="2">
        <f t="shared" si="6"/>
        <v>0</v>
      </c>
      <c r="L47" s="2">
        <f t="shared" si="6"/>
        <v>0</v>
      </c>
      <c r="M47" s="2">
        <f t="shared" si="6"/>
        <v>0</v>
      </c>
      <c r="N47" s="2">
        <f t="shared" si="6"/>
        <v>0</v>
      </c>
      <c r="O47" s="2">
        <f t="shared" si="6"/>
        <v>0</v>
      </c>
      <c r="P47" s="2">
        <f t="shared" si="6"/>
        <v>0</v>
      </c>
      <c r="Q47" s="2">
        <f t="shared" si="6"/>
        <v>0</v>
      </c>
      <c r="R47" s="2">
        <f t="shared" si="6"/>
        <v>0</v>
      </c>
      <c r="S47" s="2">
        <f t="shared" si="6"/>
        <v>0</v>
      </c>
      <c r="T47" s="2">
        <f t="shared" si="6"/>
        <v>0</v>
      </c>
      <c r="U47" s="2">
        <f t="shared" si="6"/>
        <v>0</v>
      </c>
      <c r="V47" s="2">
        <f t="shared" si="6"/>
        <v>0</v>
      </c>
      <c r="W47" s="2">
        <f t="shared" si="6"/>
        <v>0</v>
      </c>
      <c r="X47" s="2">
        <f t="shared" si="6"/>
        <v>0</v>
      </c>
      <c r="Y47" s="2">
        <f t="shared" si="6"/>
        <v>0</v>
      </c>
      <c r="Z47" s="2">
        <f t="shared" si="6"/>
        <v>0</v>
      </c>
      <c r="AA47" s="2">
        <f t="shared" si="6"/>
        <v>0</v>
      </c>
    </row>
    <row r="48" spans="1:27" x14ac:dyDescent="0.25">
      <c r="E48" s="2" t="str">
        <f t="shared" si="7"/>
        <v>Temporary Assets</v>
      </c>
      <c r="F48" t="s">
        <v>7</v>
      </c>
      <c r="G48" s="2">
        <f t="shared" si="6"/>
        <v>0</v>
      </c>
      <c r="H48" s="2">
        <f t="shared" si="6"/>
        <v>0</v>
      </c>
      <c r="I48" s="2">
        <f t="shared" si="6"/>
        <v>0</v>
      </c>
      <c r="J48" s="2">
        <f t="shared" si="6"/>
        <v>0</v>
      </c>
      <c r="K48" s="2">
        <f t="shared" si="6"/>
        <v>0</v>
      </c>
      <c r="L48" s="2">
        <f t="shared" si="6"/>
        <v>0</v>
      </c>
      <c r="M48" s="2">
        <f t="shared" si="6"/>
        <v>0</v>
      </c>
      <c r="N48" s="2">
        <f t="shared" si="6"/>
        <v>0</v>
      </c>
      <c r="O48" s="2">
        <f t="shared" si="6"/>
        <v>0</v>
      </c>
      <c r="P48" s="2">
        <f t="shared" si="6"/>
        <v>0</v>
      </c>
      <c r="Q48" s="2">
        <f t="shared" si="6"/>
        <v>0</v>
      </c>
      <c r="R48" s="2">
        <f t="shared" si="6"/>
        <v>0</v>
      </c>
      <c r="S48" s="2">
        <f t="shared" si="6"/>
        <v>0</v>
      </c>
      <c r="T48" s="2">
        <f t="shared" si="6"/>
        <v>0</v>
      </c>
      <c r="U48" s="2">
        <f t="shared" si="6"/>
        <v>0</v>
      </c>
      <c r="V48" s="2">
        <f t="shared" si="6"/>
        <v>0</v>
      </c>
      <c r="W48" s="2">
        <f t="shared" si="6"/>
        <v>0</v>
      </c>
      <c r="X48" s="2">
        <f t="shared" si="6"/>
        <v>0</v>
      </c>
      <c r="Y48" s="2">
        <f t="shared" si="6"/>
        <v>0</v>
      </c>
      <c r="Z48" s="2">
        <f t="shared" si="6"/>
        <v>0</v>
      </c>
      <c r="AA48" s="2">
        <f t="shared" si="6"/>
        <v>0</v>
      </c>
    </row>
    <row r="49" spans="1:27" x14ac:dyDescent="0.25">
      <c r="G49" s="2"/>
      <c r="H49" s="2"/>
      <c r="I49" s="2"/>
      <c r="J49" s="2"/>
      <c r="K49" s="2"/>
      <c r="L49" s="2"/>
      <c r="M49" s="2"/>
      <c r="N49" s="2"/>
      <c r="O49" s="2"/>
      <c r="P49" s="2"/>
      <c r="Q49" s="2"/>
    </row>
    <row r="50" spans="1:27" x14ac:dyDescent="0.25">
      <c r="D50" t="s">
        <v>135</v>
      </c>
      <c r="F50" t="s">
        <v>7</v>
      </c>
      <c r="G50" s="2">
        <f>SUM($G$45:G48)</f>
        <v>0</v>
      </c>
      <c r="H50" s="2">
        <f>SUM($G$45:H48)</f>
        <v>31893.487499999996</v>
      </c>
      <c r="I50" s="2">
        <f>SUM($G$45:I48)</f>
        <v>64365.524649999985</v>
      </c>
      <c r="J50" s="2">
        <f>SUM($G$45:J48)</f>
        <v>98054.966748965613</v>
      </c>
      <c r="K50" s="2">
        <f>SUM($G$45:K48)</f>
        <v>131192.01375239558</v>
      </c>
      <c r="L50" s="2">
        <f>SUM($G$45:L48)</f>
        <v>163738.60802231179</v>
      </c>
      <c r="M50" s="2">
        <f>SUM($G$45:M48)</f>
        <v>195655.33710617814</v>
      </c>
      <c r="N50" s="2">
        <f>SUM($G$45:N48)</f>
        <v>226951.99451934139</v>
      </c>
      <c r="O50" s="2">
        <f>SUM($G$45:O48)</f>
        <v>257614.29373418592</v>
      </c>
      <c r="P50" s="2">
        <f>SUM($G$45:P48)</f>
        <v>290713.94867136964</v>
      </c>
      <c r="Q50" s="2">
        <f>SUM($G$45:Q48)</f>
        <v>326501.37471213384</v>
      </c>
      <c r="R50" s="2">
        <f>SUM($G$45:R48)</f>
        <v>365184.83559744735</v>
      </c>
      <c r="S50" s="2">
        <f>SUM($G$45:S48)</f>
        <v>407066.67912079231</v>
      </c>
      <c r="T50" s="2">
        <f>SUM($G$45:T48)</f>
        <v>452321.49880762363</v>
      </c>
      <c r="U50" s="2">
        <f>SUM($G$45:U48)</f>
        <v>498204.78441344976</v>
      </c>
      <c r="V50" s="2">
        <f>SUM($G$45:V48)</f>
        <v>544752.85093916953</v>
      </c>
      <c r="W50" s="2">
        <f>SUM($G$45:W48)</f>
        <v>544752.85093916953</v>
      </c>
      <c r="X50" s="2">
        <f>SUM($G$45:X48)</f>
        <v>544752.85093916953</v>
      </c>
      <c r="Y50" s="2">
        <f>SUM($G$45:Y48)</f>
        <v>544752.85093916953</v>
      </c>
      <c r="Z50" s="2">
        <f>SUM($G$45:Z48)</f>
        <v>544752.85093916953</v>
      </c>
      <c r="AA50" s="2">
        <f>SUM($G$45:AA48)</f>
        <v>544752.85093916953</v>
      </c>
    </row>
    <row r="51" spans="1:27" x14ac:dyDescent="0.25">
      <c r="G51" s="2"/>
      <c r="H51" s="2"/>
      <c r="I51" s="2"/>
      <c r="J51" s="2"/>
      <c r="K51" s="2"/>
      <c r="L51" s="2"/>
      <c r="M51" s="2"/>
      <c r="N51" s="2"/>
      <c r="O51" s="2"/>
      <c r="P51" s="2"/>
      <c r="Q51" s="2"/>
      <c r="R51" s="2"/>
      <c r="S51" s="2"/>
      <c r="T51" s="2"/>
      <c r="U51" s="2"/>
      <c r="V51" s="2"/>
      <c r="W51" s="2"/>
      <c r="X51" s="2"/>
      <c r="Y51" s="2"/>
      <c r="Z51" s="2"/>
      <c r="AA51" s="2"/>
    </row>
    <row r="52" spans="1:27" x14ac:dyDescent="0.25">
      <c r="A52" s="14">
        <f>'Notes &amp; Assumptions'!A25</f>
        <v>12</v>
      </c>
      <c r="C52" s="1" t="s">
        <v>109</v>
      </c>
      <c r="G52" s="2"/>
      <c r="H52" s="2"/>
      <c r="I52" s="2"/>
      <c r="J52" s="2"/>
      <c r="K52" s="2"/>
      <c r="L52" s="2"/>
      <c r="M52" s="2"/>
      <c r="N52" s="2"/>
      <c r="O52" s="2"/>
      <c r="P52" s="2"/>
      <c r="Q52" s="2"/>
      <c r="R52" s="2"/>
      <c r="S52" s="2"/>
      <c r="T52" s="2"/>
      <c r="U52" s="2"/>
      <c r="V52" s="2"/>
      <c r="W52" s="2"/>
      <c r="X52" s="2"/>
      <c r="Y52" s="2"/>
      <c r="Z52" s="2"/>
      <c r="AA52" s="2"/>
    </row>
    <row r="53" spans="1:27" x14ac:dyDescent="0.25">
      <c r="E53" t="s">
        <v>109</v>
      </c>
      <c r="F53" t="s">
        <v>7</v>
      </c>
      <c r="G53" s="10"/>
      <c r="H53" s="10"/>
      <c r="I53" s="10"/>
      <c r="J53" s="10"/>
      <c r="K53" s="10"/>
      <c r="L53" s="10"/>
      <c r="M53" s="10"/>
      <c r="N53" s="10"/>
      <c r="O53" s="10"/>
      <c r="P53" s="10"/>
      <c r="Q53" s="10"/>
      <c r="R53" s="10"/>
      <c r="S53" s="10"/>
      <c r="T53" s="10"/>
      <c r="U53" s="10"/>
      <c r="V53" s="10"/>
      <c r="W53" s="10"/>
      <c r="X53" s="10"/>
      <c r="Y53" s="10"/>
      <c r="Z53" s="10"/>
      <c r="AA53" s="10"/>
    </row>
    <row r="55" spans="1:27" x14ac:dyDescent="0.25">
      <c r="C55" s="1" t="s">
        <v>25</v>
      </c>
      <c r="D55" s="1"/>
    </row>
    <row r="56" spans="1:27" x14ac:dyDescent="0.25">
      <c r="A56" s="14">
        <f>'Notes &amp; Assumptions'!A26</f>
        <v>13</v>
      </c>
      <c r="D56" t="s">
        <v>2</v>
      </c>
    </row>
    <row r="57" spans="1:27" x14ac:dyDescent="0.25">
      <c r="E57" s="2" t="str">
        <f>E7</f>
        <v>Pipes</v>
      </c>
      <c r="F57" t="s">
        <v>7</v>
      </c>
      <c r="G57" s="10"/>
      <c r="H57" s="10"/>
      <c r="I57" s="10"/>
      <c r="J57" s="10"/>
      <c r="K57" s="10"/>
      <c r="L57" s="10"/>
      <c r="M57" s="10"/>
      <c r="N57" s="10"/>
      <c r="O57" s="10"/>
      <c r="P57" s="10"/>
      <c r="Q57" s="10"/>
      <c r="R57" s="10"/>
      <c r="S57" s="10"/>
      <c r="T57" s="10"/>
      <c r="U57" s="10"/>
      <c r="V57" s="10"/>
      <c r="W57" s="10"/>
      <c r="X57" s="10"/>
      <c r="Y57" s="10"/>
      <c r="Z57" s="10"/>
      <c r="AA57" s="10"/>
    </row>
    <row r="58" spans="1:27" x14ac:dyDescent="0.25">
      <c r="E58" s="2" t="str">
        <f>E8</f>
        <v>Pumps</v>
      </c>
      <c r="F58" t="s">
        <v>7</v>
      </c>
      <c r="G58" s="10"/>
      <c r="H58" s="10"/>
      <c r="I58" s="10"/>
      <c r="J58" s="10"/>
      <c r="K58" s="10"/>
      <c r="L58" s="10"/>
      <c r="M58" s="10"/>
      <c r="N58" s="10"/>
      <c r="O58" s="10"/>
      <c r="P58" s="10"/>
      <c r="Q58" s="10"/>
      <c r="R58" s="10"/>
      <c r="S58" s="10"/>
      <c r="T58" s="10"/>
      <c r="U58" s="10"/>
      <c r="V58" s="10"/>
      <c r="W58" s="10"/>
      <c r="X58" s="10"/>
      <c r="Y58" s="10"/>
      <c r="Z58" s="10"/>
      <c r="AA58" s="10"/>
    </row>
    <row r="59" spans="1:27" x14ac:dyDescent="0.25">
      <c r="E59" s="2" t="str">
        <f>E9</f>
        <v>Valves and Meters</v>
      </c>
      <c r="F59" t="s">
        <v>7</v>
      </c>
      <c r="G59" s="10"/>
      <c r="H59" s="10"/>
      <c r="I59" s="10"/>
      <c r="J59" s="10"/>
      <c r="K59" s="10"/>
      <c r="L59" s="10"/>
      <c r="M59" s="10"/>
      <c r="N59" s="10"/>
      <c r="O59" s="10"/>
      <c r="P59" s="10"/>
      <c r="Q59" s="10"/>
      <c r="R59" s="10"/>
      <c r="S59" s="10"/>
      <c r="T59" s="10"/>
      <c r="U59" s="10"/>
      <c r="V59" s="10"/>
      <c r="W59" s="10"/>
      <c r="X59" s="10"/>
      <c r="Y59" s="10"/>
      <c r="Z59" s="10"/>
      <c r="AA59" s="10"/>
    </row>
    <row r="60" spans="1:27" x14ac:dyDescent="0.25">
      <c r="E60" t="s">
        <v>131</v>
      </c>
      <c r="F60" t="s">
        <v>7</v>
      </c>
      <c r="G60" s="10"/>
      <c r="H60" s="10"/>
      <c r="I60" s="10"/>
      <c r="J60" s="10"/>
      <c r="K60" s="10"/>
      <c r="L60" s="10"/>
      <c r="M60" s="10"/>
      <c r="N60" s="10"/>
      <c r="O60" s="10"/>
      <c r="P60" s="10"/>
      <c r="Q60" s="10"/>
      <c r="R60" s="10"/>
      <c r="S60" s="10"/>
      <c r="T60" s="10"/>
      <c r="U60" s="10"/>
      <c r="V60" s="10"/>
      <c r="W60" s="10"/>
      <c r="X60" s="10"/>
      <c r="Y60" s="10"/>
      <c r="Z60" s="10"/>
      <c r="AA60" s="10"/>
    </row>
    <row r="61" spans="1:27" x14ac:dyDescent="0.25">
      <c r="G61" s="2">
        <f>SUM(G57:G60)</f>
        <v>0</v>
      </c>
      <c r="H61" s="2">
        <f t="shared" ref="H61:AA61" si="8">SUM(H57:H60)</f>
        <v>0</v>
      </c>
      <c r="I61" s="2">
        <f t="shared" si="8"/>
        <v>0</v>
      </c>
      <c r="J61" s="2">
        <f t="shared" si="8"/>
        <v>0</v>
      </c>
      <c r="K61" s="2">
        <f t="shared" si="8"/>
        <v>0</v>
      </c>
      <c r="L61" s="2">
        <f t="shared" si="8"/>
        <v>0</v>
      </c>
      <c r="M61" s="2">
        <f t="shared" si="8"/>
        <v>0</v>
      </c>
      <c r="N61" s="2">
        <f t="shared" si="8"/>
        <v>0</v>
      </c>
      <c r="O61" s="2">
        <f t="shared" si="8"/>
        <v>0</v>
      </c>
      <c r="P61" s="2">
        <f t="shared" si="8"/>
        <v>0</v>
      </c>
      <c r="Q61" s="2">
        <f t="shared" si="8"/>
        <v>0</v>
      </c>
      <c r="R61" s="2">
        <f t="shared" si="8"/>
        <v>0</v>
      </c>
      <c r="S61" s="2">
        <f t="shared" si="8"/>
        <v>0</v>
      </c>
      <c r="T61" s="2">
        <f t="shared" si="8"/>
        <v>0</v>
      </c>
      <c r="U61" s="2">
        <f t="shared" si="8"/>
        <v>0</v>
      </c>
      <c r="V61" s="2">
        <f t="shared" si="8"/>
        <v>0</v>
      </c>
      <c r="W61" s="2">
        <f t="shared" si="8"/>
        <v>0</v>
      </c>
      <c r="X61" s="2">
        <f t="shared" si="8"/>
        <v>0</v>
      </c>
      <c r="Y61" s="2">
        <f t="shared" si="8"/>
        <v>0</v>
      </c>
      <c r="Z61" s="2">
        <f t="shared" si="8"/>
        <v>0</v>
      </c>
      <c r="AA61" s="2">
        <f t="shared" si="8"/>
        <v>0</v>
      </c>
    </row>
    <row r="63" spans="1:27" x14ac:dyDescent="0.25">
      <c r="D63" t="s">
        <v>136</v>
      </c>
      <c r="G63" s="2"/>
      <c r="H63" s="2"/>
      <c r="I63" s="2"/>
      <c r="J63" s="2"/>
      <c r="K63" s="2"/>
      <c r="L63" s="2"/>
      <c r="M63" s="2"/>
      <c r="N63" s="2"/>
      <c r="O63" s="2"/>
      <c r="P63" s="2"/>
      <c r="Q63" s="2"/>
    </row>
    <row r="64" spans="1:27" x14ac:dyDescent="0.25">
      <c r="E64" s="2" t="str">
        <f>E57</f>
        <v>Pipes</v>
      </c>
      <c r="F64" t="s">
        <v>7</v>
      </c>
      <c r="G64" s="2">
        <f t="shared" ref="G64:AA66" si="9">G57/$G7+IF((G$2-$G7+1)&gt;0,-INDEX($G57:$AA57,1,(G$2-$G7+1))/$G7,0)</f>
        <v>0</v>
      </c>
      <c r="H64" s="2">
        <f t="shared" si="9"/>
        <v>0</v>
      </c>
      <c r="I64" s="2">
        <f t="shared" si="9"/>
        <v>0</v>
      </c>
      <c r="J64" s="2">
        <f t="shared" si="9"/>
        <v>0</v>
      </c>
      <c r="K64" s="2">
        <f t="shared" si="9"/>
        <v>0</v>
      </c>
      <c r="L64" s="2">
        <f t="shared" si="9"/>
        <v>0</v>
      </c>
      <c r="M64" s="2">
        <f t="shared" si="9"/>
        <v>0</v>
      </c>
      <c r="N64" s="2">
        <f t="shared" si="9"/>
        <v>0</v>
      </c>
      <c r="O64" s="2">
        <f t="shared" si="9"/>
        <v>0</v>
      </c>
      <c r="P64" s="2">
        <f t="shared" si="9"/>
        <v>0</v>
      </c>
      <c r="Q64" s="2">
        <f t="shared" si="9"/>
        <v>0</v>
      </c>
      <c r="R64" s="2">
        <f t="shared" si="9"/>
        <v>0</v>
      </c>
      <c r="S64" s="2">
        <f t="shared" si="9"/>
        <v>0</v>
      </c>
      <c r="T64" s="2">
        <f t="shared" si="9"/>
        <v>0</v>
      </c>
      <c r="U64" s="2">
        <f t="shared" si="9"/>
        <v>0</v>
      </c>
      <c r="V64" s="2">
        <f t="shared" si="9"/>
        <v>0</v>
      </c>
      <c r="W64" s="2">
        <f t="shared" si="9"/>
        <v>0</v>
      </c>
      <c r="X64" s="2">
        <f t="shared" si="9"/>
        <v>0</v>
      </c>
      <c r="Y64" s="2">
        <f t="shared" si="9"/>
        <v>0</v>
      </c>
      <c r="Z64" s="2">
        <f t="shared" si="9"/>
        <v>0</v>
      </c>
      <c r="AA64" s="2">
        <f t="shared" si="9"/>
        <v>0</v>
      </c>
    </row>
    <row r="65" spans="1:27" x14ac:dyDescent="0.25">
      <c r="E65" s="2" t="str">
        <f t="shared" ref="E65:E66" si="10">E58</f>
        <v>Pumps</v>
      </c>
      <c r="F65" t="s">
        <v>7</v>
      </c>
      <c r="G65" s="2">
        <f t="shared" si="9"/>
        <v>0</v>
      </c>
      <c r="H65" s="2">
        <f t="shared" si="9"/>
        <v>0</v>
      </c>
      <c r="I65" s="2">
        <f t="shared" si="9"/>
        <v>0</v>
      </c>
      <c r="J65" s="2">
        <f t="shared" si="9"/>
        <v>0</v>
      </c>
      <c r="K65" s="2">
        <f t="shared" si="9"/>
        <v>0</v>
      </c>
      <c r="L65" s="2">
        <f t="shared" si="9"/>
        <v>0</v>
      </c>
      <c r="M65" s="2">
        <f t="shared" si="9"/>
        <v>0</v>
      </c>
      <c r="N65" s="2">
        <f t="shared" si="9"/>
        <v>0</v>
      </c>
      <c r="O65" s="2">
        <f t="shared" si="9"/>
        <v>0</v>
      </c>
      <c r="P65" s="2">
        <f t="shared" si="9"/>
        <v>0</v>
      </c>
      <c r="Q65" s="2">
        <f t="shared" si="9"/>
        <v>0</v>
      </c>
      <c r="R65" s="2">
        <f t="shared" si="9"/>
        <v>0</v>
      </c>
      <c r="S65" s="2">
        <f t="shared" si="9"/>
        <v>0</v>
      </c>
      <c r="T65" s="2">
        <f t="shared" si="9"/>
        <v>0</v>
      </c>
      <c r="U65" s="2">
        <f t="shared" si="9"/>
        <v>0</v>
      </c>
      <c r="V65" s="2">
        <f t="shared" si="9"/>
        <v>0</v>
      </c>
      <c r="W65" s="2">
        <f t="shared" si="9"/>
        <v>0</v>
      </c>
      <c r="X65" s="2">
        <f t="shared" si="9"/>
        <v>0</v>
      </c>
      <c r="Y65" s="2">
        <f t="shared" si="9"/>
        <v>0</v>
      </c>
      <c r="Z65" s="2">
        <f t="shared" si="9"/>
        <v>0</v>
      </c>
      <c r="AA65" s="2">
        <f t="shared" si="9"/>
        <v>0</v>
      </c>
    </row>
    <row r="66" spans="1:27" x14ac:dyDescent="0.25">
      <c r="E66" s="2" t="str">
        <f t="shared" si="10"/>
        <v>Valves and Meters</v>
      </c>
      <c r="F66" t="s">
        <v>7</v>
      </c>
      <c r="G66" s="2">
        <f t="shared" si="9"/>
        <v>0</v>
      </c>
      <c r="H66" s="2">
        <f t="shared" si="9"/>
        <v>0</v>
      </c>
      <c r="I66" s="2">
        <f t="shared" si="9"/>
        <v>0</v>
      </c>
      <c r="J66" s="2">
        <f t="shared" si="9"/>
        <v>0</v>
      </c>
      <c r="K66" s="2">
        <f t="shared" si="9"/>
        <v>0</v>
      </c>
      <c r="L66" s="2">
        <f t="shared" si="9"/>
        <v>0</v>
      </c>
      <c r="M66" s="2">
        <f t="shared" si="9"/>
        <v>0</v>
      </c>
      <c r="N66" s="2">
        <f t="shared" si="9"/>
        <v>0</v>
      </c>
      <c r="O66" s="2">
        <f t="shared" si="9"/>
        <v>0</v>
      </c>
      <c r="P66" s="2">
        <f t="shared" si="9"/>
        <v>0</v>
      </c>
      <c r="Q66" s="2">
        <f t="shared" si="9"/>
        <v>0</v>
      </c>
      <c r="R66" s="2">
        <f t="shared" si="9"/>
        <v>0</v>
      </c>
      <c r="S66" s="2">
        <f t="shared" si="9"/>
        <v>0</v>
      </c>
      <c r="T66" s="2">
        <f t="shared" si="9"/>
        <v>0</v>
      </c>
      <c r="U66" s="2">
        <f t="shared" si="9"/>
        <v>0</v>
      </c>
      <c r="V66" s="2">
        <f t="shared" si="9"/>
        <v>0</v>
      </c>
      <c r="W66" s="2">
        <f t="shared" si="9"/>
        <v>0</v>
      </c>
      <c r="X66" s="2">
        <f t="shared" si="9"/>
        <v>0</v>
      </c>
      <c r="Y66" s="2">
        <f t="shared" si="9"/>
        <v>0</v>
      </c>
      <c r="Z66" s="2">
        <f t="shared" si="9"/>
        <v>0</v>
      </c>
      <c r="AA66" s="2">
        <f t="shared" si="9"/>
        <v>0</v>
      </c>
    </row>
    <row r="68" spans="1:27" x14ac:dyDescent="0.25">
      <c r="D68" t="s">
        <v>137</v>
      </c>
      <c r="F68" t="s">
        <v>7</v>
      </c>
      <c r="G68" s="2">
        <f>SUM($G$64:G66)</f>
        <v>0</v>
      </c>
      <c r="H68" s="2">
        <f>SUM($G$64:H66)</f>
        <v>0</v>
      </c>
      <c r="I68" s="2">
        <f>SUM($G$64:I66)</f>
        <v>0</v>
      </c>
      <c r="J68" s="2">
        <f>SUM($G$64:J66)</f>
        <v>0</v>
      </c>
      <c r="K68" s="2">
        <f>SUM($G$64:K66)</f>
        <v>0</v>
      </c>
      <c r="L68" s="2">
        <f>SUM($G$64:L66)</f>
        <v>0</v>
      </c>
      <c r="M68" s="2">
        <f>SUM($G$64:M66)</f>
        <v>0</v>
      </c>
      <c r="N68" s="2">
        <f>SUM($G$64:N66)</f>
        <v>0</v>
      </c>
      <c r="O68" s="2">
        <f>SUM($G$64:O66)</f>
        <v>0</v>
      </c>
      <c r="P68" s="2">
        <f>SUM($G$64:P66)</f>
        <v>0</v>
      </c>
      <c r="Q68" s="2">
        <f>SUM($G$64:Q66)</f>
        <v>0</v>
      </c>
      <c r="R68" s="2">
        <f>SUM($G$64:R66)</f>
        <v>0</v>
      </c>
      <c r="S68" s="2">
        <f>SUM($G$64:S66)</f>
        <v>0</v>
      </c>
      <c r="T68" s="2">
        <f>SUM($G$64:T66)</f>
        <v>0</v>
      </c>
      <c r="U68" s="2">
        <f>SUM($G$64:U66)</f>
        <v>0</v>
      </c>
      <c r="V68" s="2">
        <f>SUM($G$64:V66)</f>
        <v>0</v>
      </c>
      <c r="W68" s="2">
        <f>SUM($G$64:W66)</f>
        <v>0</v>
      </c>
      <c r="X68" s="2">
        <f>SUM($G$64:X66)</f>
        <v>0</v>
      </c>
      <c r="Y68" s="2">
        <f>SUM($G$64:Y66)</f>
        <v>0</v>
      </c>
      <c r="Z68" s="2">
        <f>SUM($G$64:Z66)</f>
        <v>0</v>
      </c>
      <c r="AA68" s="2">
        <f>SUM($G$64:AA66)</f>
        <v>0</v>
      </c>
    </row>
    <row r="70" spans="1:27" x14ac:dyDescent="0.25">
      <c r="A70" s="14">
        <f>'Notes &amp; Assumptions'!A27</f>
        <v>14</v>
      </c>
      <c r="D70" t="s">
        <v>6</v>
      </c>
    </row>
    <row r="71" spans="1:27" x14ac:dyDescent="0.25">
      <c r="E71" s="2" t="str">
        <f>E7</f>
        <v>Pipes</v>
      </c>
      <c r="F71" t="s">
        <v>7</v>
      </c>
      <c r="G71" s="10"/>
      <c r="H71" s="10"/>
      <c r="I71" s="10"/>
      <c r="J71" s="10"/>
      <c r="K71" s="10"/>
      <c r="L71" s="10"/>
      <c r="M71" s="10"/>
      <c r="N71" s="10"/>
      <c r="O71" s="10"/>
      <c r="P71" s="10"/>
      <c r="Q71" s="10"/>
      <c r="R71" s="10"/>
      <c r="S71" s="10"/>
      <c r="T71" s="10"/>
      <c r="U71" s="10"/>
      <c r="V71" s="10"/>
      <c r="W71" s="10"/>
      <c r="X71" s="10"/>
      <c r="Y71" s="10"/>
      <c r="Z71" s="10"/>
      <c r="AA71" s="10"/>
    </row>
    <row r="72" spans="1:27" x14ac:dyDescent="0.25">
      <c r="E72" s="2" t="str">
        <f>E8</f>
        <v>Pumps</v>
      </c>
      <c r="F72" t="s">
        <v>7</v>
      </c>
      <c r="G72" s="10"/>
      <c r="H72" s="10"/>
      <c r="I72" s="10"/>
      <c r="J72" s="10"/>
      <c r="K72" s="10"/>
      <c r="L72" s="10"/>
      <c r="M72" s="10"/>
      <c r="N72" s="10"/>
      <c r="O72" s="10"/>
      <c r="P72" s="10"/>
      <c r="Q72" s="10"/>
      <c r="R72" s="10"/>
      <c r="S72" s="10"/>
      <c r="T72" s="10"/>
      <c r="U72" s="10"/>
      <c r="V72" s="10"/>
      <c r="W72" s="10"/>
      <c r="X72" s="10"/>
      <c r="Y72" s="10"/>
      <c r="Z72" s="10"/>
      <c r="AA72" s="10"/>
    </row>
    <row r="73" spans="1:27" x14ac:dyDescent="0.25">
      <c r="E73" s="2" t="str">
        <f>E9</f>
        <v>Valves and Meters</v>
      </c>
      <c r="F73" t="s">
        <v>7</v>
      </c>
      <c r="G73" s="10"/>
      <c r="H73" s="10"/>
      <c r="I73" s="10"/>
      <c r="J73" s="10"/>
      <c r="K73" s="10"/>
      <c r="L73" s="10"/>
      <c r="M73" s="10"/>
      <c r="N73" s="10"/>
      <c r="O73" s="10"/>
      <c r="P73" s="10"/>
      <c r="Q73" s="10"/>
      <c r="R73" s="10"/>
      <c r="S73" s="10"/>
      <c r="T73" s="10"/>
      <c r="U73" s="10"/>
      <c r="V73" s="10"/>
      <c r="W73" s="10"/>
      <c r="X73" s="10"/>
      <c r="Y73" s="10"/>
      <c r="Z73" s="10"/>
      <c r="AA73" s="10"/>
    </row>
    <row r="74" spans="1:27" x14ac:dyDescent="0.25">
      <c r="E74" t="s">
        <v>131</v>
      </c>
      <c r="F74" t="s">
        <v>7</v>
      </c>
      <c r="G74" s="10"/>
      <c r="H74" s="10"/>
      <c r="I74" s="10"/>
      <c r="J74" s="10"/>
      <c r="K74" s="10"/>
      <c r="L74" s="10"/>
      <c r="M74" s="10"/>
      <c r="N74" s="10"/>
      <c r="O74" s="10"/>
      <c r="P74" s="10"/>
      <c r="Q74" s="10"/>
      <c r="R74" s="10"/>
      <c r="S74" s="10"/>
      <c r="T74" s="10"/>
      <c r="U74" s="10"/>
      <c r="V74" s="10"/>
      <c r="W74" s="10"/>
      <c r="X74" s="10"/>
      <c r="Y74" s="10"/>
      <c r="Z74" s="10"/>
      <c r="AA74" s="10"/>
    </row>
    <row r="75" spans="1:27" x14ac:dyDescent="0.25">
      <c r="G75" s="2">
        <f>SUM(G71:G74)</f>
        <v>0</v>
      </c>
      <c r="H75" s="2">
        <f t="shared" ref="H75:AA75" si="11">SUM(H71:H74)</f>
        <v>0</v>
      </c>
      <c r="I75" s="2">
        <f t="shared" si="11"/>
        <v>0</v>
      </c>
      <c r="J75" s="2">
        <f t="shared" si="11"/>
        <v>0</v>
      </c>
      <c r="K75" s="2">
        <f t="shared" si="11"/>
        <v>0</v>
      </c>
      <c r="L75" s="2">
        <f t="shared" si="11"/>
        <v>0</v>
      </c>
      <c r="M75" s="2">
        <f t="shared" si="11"/>
        <v>0</v>
      </c>
      <c r="N75" s="2">
        <f t="shared" si="11"/>
        <v>0</v>
      </c>
      <c r="O75" s="2">
        <f t="shared" si="11"/>
        <v>0</v>
      </c>
      <c r="P75" s="2">
        <f t="shared" si="11"/>
        <v>0</v>
      </c>
      <c r="Q75" s="2">
        <f t="shared" si="11"/>
        <v>0</v>
      </c>
      <c r="R75" s="2">
        <f t="shared" si="11"/>
        <v>0</v>
      </c>
      <c r="S75" s="2">
        <f t="shared" si="11"/>
        <v>0</v>
      </c>
      <c r="T75" s="2">
        <f t="shared" si="11"/>
        <v>0</v>
      </c>
      <c r="U75" s="2">
        <f t="shared" si="11"/>
        <v>0</v>
      </c>
      <c r="V75" s="2">
        <f t="shared" si="11"/>
        <v>0</v>
      </c>
      <c r="W75" s="2">
        <f t="shared" si="11"/>
        <v>0</v>
      </c>
      <c r="X75" s="2">
        <f t="shared" si="11"/>
        <v>0</v>
      </c>
      <c r="Y75" s="2">
        <f t="shared" si="11"/>
        <v>0</v>
      </c>
      <c r="Z75" s="2">
        <f t="shared" si="11"/>
        <v>0</v>
      </c>
      <c r="AA75" s="2">
        <f t="shared" si="11"/>
        <v>0</v>
      </c>
    </row>
    <row r="76" spans="1:27" x14ac:dyDescent="0.25">
      <c r="G76" s="2"/>
      <c r="H76" s="2"/>
      <c r="I76" s="2"/>
      <c r="J76" s="2"/>
      <c r="K76" s="2"/>
      <c r="L76" s="2"/>
      <c r="M76" s="2"/>
      <c r="N76" s="2"/>
      <c r="O76" s="2"/>
      <c r="P76" s="2"/>
      <c r="Q76" s="2"/>
      <c r="R76" s="2"/>
      <c r="S76" s="2"/>
      <c r="T76" s="2"/>
      <c r="U76" s="2"/>
      <c r="V76" s="2"/>
      <c r="W76" s="2"/>
      <c r="X76" s="2"/>
      <c r="Y76" s="2"/>
      <c r="Z76" s="2"/>
      <c r="AA76" s="2"/>
    </row>
    <row r="77" spans="1:27" x14ac:dyDescent="0.25">
      <c r="D77" t="s">
        <v>136</v>
      </c>
      <c r="G77" s="2"/>
      <c r="H77" s="2"/>
      <c r="I77" s="2"/>
      <c r="J77" s="2"/>
      <c r="K77" s="2"/>
      <c r="L77" s="2"/>
      <c r="M77" s="2"/>
      <c r="N77" s="2"/>
      <c r="O77" s="2"/>
      <c r="P77" s="2"/>
      <c r="Q77" s="2"/>
    </row>
    <row r="78" spans="1:27" x14ac:dyDescent="0.25">
      <c r="E78" s="2" t="str">
        <f>E71</f>
        <v>Pipes</v>
      </c>
      <c r="F78" t="s">
        <v>7</v>
      </c>
      <c r="G78" s="2">
        <f t="shared" ref="G78:AA80" si="12">G71/$G7+IF((G$2-$G7+1)&gt;0,-INDEX($G71:$AA71,1,(G$2-$G7+1))/$G7,0)</f>
        <v>0</v>
      </c>
      <c r="H78" s="2">
        <f t="shared" si="12"/>
        <v>0</v>
      </c>
      <c r="I78" s="2">
        <f t="shared" si="12"/>
        <v>0</v>
      </c>
      <c r="J78" s="2">
        <f t="shared" si="12"/>
        <v>0</v>
      </c>
      <c r="K78" s="2">
        <f t="shared" si="12"/>
        <v>0</v>
      </c>
      <c r="L78" s="2">
        <f t="shared" si="12"/>
        <v>0</v>
      </c>
      <c r="M78" s="2">
        <f t="shared" si="12"/>
        <v>0</v>
      </c>
      <c r="N78" s="2">
        <f t="shared" si="12"/>
        <v>0</v>
      </c>
      <c r="O78" s="2">
        <f t="shared" si="12"/>
        <v>0</v>
      </c>
      <c r="P78" s="2">
        <f t="shared" si="12"/>
        <v>0</v>
      </c>
      <c r="Q78" s="2">
        <f t="shared" si="12"/>
        <v>0</v>
      </c>
      <c r="R78" s="2">
        <f t="shared" si="12"/>
        <v>0</v>
      </c>
      <c r="S78" s="2">
        <f t="shared" si="12"/>
        <v>0</v>
      </c>
      <c r="T78" s="2">
        <f t="shared" si="12"/>
        <v>0</v>
      </c>
      <c r="U78" s="2">
        <f t="shared" si="12"/>
        <v>0</v>
      </c>
      <c r="V78" s="2">
        <f t="shared" si="12"/>
        <v>0</v>
      </c>
      <c r="W78" s="2">
        <f t="shared" si="12"/>
        <v>0</v>
      </c>
      <c r="X78" s="2">
        <f t="shared" si="12"/>
        <v>0</v>
      </c>
      <c r="Y78" s="2">
        <f t="shared" si="12"/>
        <v>0</v>
      </c>
      <c r="Z78" s="2">
        <f t="shared" si="12"/>
        <v>0</v>
      </c>
      <c r="AA78" s="2">
        <f t="shared" si="12"/>
        <v>0</v>
      </c>
    </row>
    <row r="79" spans="1:27" x14ac:dyDescent="0.25">
      <c r="E79" s="2" t="str">
        <f t="shared" ref="E79:E80" si="13">E72</f>
        <v>Pumps</v>
      </c>
      <c r="F79" t="s">
        <v>7</v>
      </c>
      <c r="G79" s="2">
        <f t="shared" si="12"/>
        <v>0</v>
      </c>
      <c r="H79" s="2">
        <f t="shared" si="12"/>
        <v>0</v>
      </c>
      <c r="I79" s="2">
        <f t="shared" si="12"/>
        <v>0</v>
      </c>
      <c r="J79" s="2">
        <f t="shared" si="12"/>
        <v>0</v>
      </c>
      <c r="K79" s="2">
        <f t="shared" si="12"/>
        <v>0</v>
      </c>
      <c r="L79" s="2">
        <f t="shared" si="12"/>
        <v>0</v>
      </c>
      <c r="M79" s="2">
        <f t="shared" si="12"/>
        <v>0</v>
      </c>
      <c r="N79" s="2">
        <f t="shared" si="12"/>
        <v>0</v>
      </c>
      <c r="O79" s="2">
        <f t="shared" si="12"/>
        <v>0</v>
      </c>
      <c r="P79" s="2">
        <f t="shared" si="12"/>
        <v>0</v>
      </c>
      <c r="Q79" s="2">
        <f t="shared" si="12"/>
        <v>0</v>
      </c>
      <c r="R79" s="2">
        <f t="shared" si="12"/>
        <v>0</v>
      </c>
      <c r="S79" s="2">
        <f t="shared" si="12"/>
        <v>0</v>
      </c>
      <c r="T79" s="2">
        <f t="shared" si="12"/>
        <v>0</v>
      </c>
      <c r="U79" s="2">
        <f t="shared" si="12"/>
        <v>0</v>
      </c>
      <c r="V79" s="2">
        <f t="shared" si="12"/>
        <v>0</v>
      </c>
      <c r="W79" s="2">
        <f t="shared" si="12"/>
        <v>0</v>
      </c>
      <c r="X79" s="2">
        <f t="shared" si="12"/>
        <v>0</v>
      </c>
      <c r="Y79" s="2">
        <f t="shared" si="12"/>
        <v>0</v>
      </c>
      <c r="Z79" s="2">
        <f t="shared" si="12"/>
        <v>0</v>
      </c>
      <c r="AA79" s="2">
        <f t="shared" si="12"/>
        <v>0</v>
      </c>
    </row>
    <row r="80" spans="1:27" x14ac:dyDescent="0.25">
      <c r="E80" s="2" t="str">
        <f t="shared" si="13"/>
        <v>Valves and Meters</v>
      </c>
      <c r="F80" t="s">
        <v>7</v>
      </c>
      <c r="G80" s="2">
        <f t="shared" si="12"/>
        <v>0</v>
      </c>
      <c r="H80" s="2">
        <f t="shared" si="12"/>
        <v>0</v>
      </c>
      <c r="I80" s="2">
        <f t="shared" si="12"/>
        <v>0</v>
      </c>
      <c r="J80" s="2">
        <f t="shared" si="12"/>
        <v>0</v>
      </c>
      <c r="K80" s="2">
        <f t="shared" si="12"/>
        <v>0</v>
      </c>
      <c r="L80" s="2">
        <f t="shared" si="12"/>
        <v>0</v>
      </c>
      <c r="M80" s="2">
        <f t="shared" si="12"/>
        <v>0</v>
      </c>
      <c r="N80" s="2">
        <f t="shared" si="12"/>
        <v>0</v>
      </c>
      <c r="O80" s="2">
        <f t="shared" si="12"/>
        <v>0</v>
      </c>
      <c r="P80" s="2">
        <f t="shared" si="12"/>
        <v>0</v>
      </c>
      <c r="Q80" s="2">
        <f t="shared" si="12"/>
        <v>0</v>
      </c>
      <c r="R80" s="2">
        <f t="shared" si="12"/>
        <v>0</v>
      </c>
      <c r="S80" s="2">
        <f t="shared" si="12"/>
        <v>0</v>
      </c>
      <c r="T80" s="2">
        <f t="shared" si="12"/>
        <v>0</v>
      </c>
      <c r="U80" s="2">
        <f t="shared" si="12"/>
        <v>0</v>
      </c>
      <c r="V80" s="2">
        <f t="shared" si="12"/>
        <v>0</v>
      </c>
      <c r="W80" s="2">
        <f t="shared" si="12"/>
        <v>0</v>
      </c>
      <c r="X80" s="2">
        <f t="shared" si="12"/>
        <v>0</v>
      </c>
      <c r="Y80" s="2">
        <f t="shared" si="12"/>
        <v>0</v>
      </c>
      <c r="Z80" s="2">
        <f t="shared" si="12"/>
        <v>0</v>
      </c>
      <c r="AA80" s="2">
        <f t="shared" si="12"/>
        <v>0</v>
      </c>
    </row>
    <row r="82" spans="1:27" x14ac:dyDescent="0.25">
      <c r="D82" t="s">
        <v>137</v>
      </c>
      <c r="F82" t="s">
        <v>7</v>
      </c>
      <c r="G82" s="2">
        <f>SUM($G$77:G80)</f>
        <v>0</v>
      </c>
      <c r="H82" s="2">
        <f>SUM($G$77:H80)</f>
        <v>0</v>
      </c>
      <c r="I82" s="2">
        <f>SUM($G$77:I80)</f>
        <v>0</v>
      </c>
      <c r="J82" s="2">
        <f>SUM($G$77:J80)</f>
        <v>0</v>
      </c>
      <c r="K82" s="2">
        <f>SUM($G$77:K80)</f>
        <v>0</v>
      </c>
      <c r="L82" s="2">
        <f>SUM($G$77:L80)</f>
        <v>0</v>
      </c>
      <c r="M82" s="2">
        <f>SUM($G$77:M80)</f>
        <v>0</v>
      </c>
      <c r="N82" s="2">
        <f>SUM($G$77:N80)</f>
        <v>0</v>
      </c>
      <c r="O82" s="2">
        <f>SUM($G$77:O80)</f>
        <v>0</v>
      </c>
      <c r="P82" s="2">
        <f>SUM($G$77:P80)</f>
        <v>0</v>
      </c>
      <c r="Q82" s="2">
        <f>SUM($G$77:Q80)</f>
        <v>0</v>
      </c>
      <c r="R82" s="2">
        <f>SUM($G$77:R80)</f>
        <v>0</v>
      </c>
      <c r="S82" s="2">
        <f>SUM($G$77:S80)</f>
        <v>0</v>
      </c>
      <c r="T82" s="2">
        <f>SUM($G$77:T80)</f>
        <v>0</v>
      </c>
      <c r="U82" s="2">
        <f>SUM($G$77:U80)</f>
        <v>0</v>
      </c>
      <c r="V82" s="2">
        <f>SUM($G$77:V80)</f>
        <v>0</v>
      </c>
      <c r="W82" s="2">
        <f>SUM($G$77:W80)</f>
        <v>0</v>
      </c>
      <c r="X82" s="2">
        <f>SUM($G$77:X80)</f>
        <v>0</v>
      </c>
      <c r="Y82" s="2">
        <f>SUM($G$77:Y80)</f>
        <v>0</v>
      </c>
      <c r="Z82" s="2">
        <f>SUM($G$77:Z80)</f>
        <v>0</v>
      </c>
      <c r="AA82" s="2">
        <f>SUM($G$77:AA80)</f>
        <v>0</v>
      </c>
    </row>
    <row r="83" spans="1:27" x14ac:dyDescent="0.25">
      <c r="G83" s="2"/>
      <c r="H83" s="2"/>
      <c r="I83" s="2"/>
      <c r="J83" s="2"/>
      <c r="K83" s="2"/>
      <c r="L83" s="2"/>
      <c r="M83" s="2"/>
      <c r="N83" s="2"/>
      <c r="O83" s="2"/>
      <c r="P83" s="2"/>
      <c r="Q83" s="2"/>
      <c r="R83" s="2"/>
      <c r="S83" s="2"/>
      <c r="T83" s="2"/>
      <c r="U83" s="2"/>
      <c r="V83" s="2"/>
      <c r="W83" s="2"/>
      <c r="X83" s="2"/>
      <c r="Y83" s="2"/>
      <c r="Z83" s="2"/>
      <c r="AA83" s="2"/>
    </row>
    <row r="84" spans="1:27" x14ac:dyDescent="0.25">
      <c r="D84" t="s">
        <v>138</v>
      </c>
      <c r="F84" t="s">
        <v>7</v>
      </c>
      <c r="G84" s="2">
        <f t="shared" ref="G84:AA84" si="14">G61-G75</f>
        <v>0</v>
      </c>
      <c r="H84" s="2">
        <f t="shared" si="14"/>
        <v>0</v>
      </c>
      <c r="I84" s="2">
        <f t="shared" si="14"/>
        <v>0</v>
      </c>
      <c r="J84" s="2">
        <f t="shared" si="14"/>
        <v>0</v>
      </c>
      <c r="K84" s="2">
        <f t="shared" si="14"/>
        <v>0</v>
      </c>
      <c r="L84" s="2">
        <f t="shared" si="14"/>
        <v>0</v>
      </c>
      <c r="M84" s="2">
        <f t="shared" si="14"/>
        <v>0</v>
      </c>
      <c r="N84" s="2">
        <f t="shared" si="14"/>
        <v>0</v>
      </c>
      <c r="O84" s="2">
        <f t="shared" si="14"/>
        <v>0</v>
      </c>
      <c r="P84" s="2">
        <f t="shared" si="14"/>
        <v>0</v>
      </c>
      <c r="Q84" s="2">
        <f t="shared" si="14"/>
        <v>0</v>
      </c>
      <c r="R84" s="2">
        <f t="shared" si="14"/>
        <v>0</v>
      </c>
      <c r="S84" s="2">
        <f t="shared" si="14"/>
        <v>0</v>
      </c>
      <c r="T84" s="2">
        <f t="shared" si="14"/>
        <v>0</v>
      </c>
      <c r="U84" s="2">
        <f t="shared" si="14"/>
        <v>0</v>
      </c>
      <c r="V84" s="2">
        <f t="shared" si="14"/>
        <v>0</v>
      </c>
      <c r="W84" s="2">
        <f t="shared" si="14"/>
        <v>0</v>
      </c>
      <c r="X84" s="2">
        <f t="shared" si="14"/>
        <v>0</v>
      </c>
      <c r="Y84" s="2">
        <f t="shared" si="14"/>
        <v>0</v>
      </c>
      <c r="Z84" s="2">
        <f t="shared" si="14"/>
        <v>0</v>
      </c>
      <c r="AA84" s="2">
        <f t="shared" si="14"/>
        <v>0</v>
      </c>
    </row>
    <row r="85" spans="1:27" x14ac:dyDescent="0.25">
      <c r="D85" t="s">
        <v>139</v>
      </c>
      <c r="F85" t="s">
        <v>7</v>
      </c>
      <c r="G85" s="2">
        <f t="shared" ref="G85:AA85" si="15">-G68+G82</f>
        <v>0</v>
      </c>
      <c r="H85" s="2">
        <f t="shared" si="15"/>
        <v>0</v>
      </c>
      <c r="I85" s="2">
        <f t="shared" si="15"/>
        <v>0</v>
      </c>
      <c r="J85" s="2">
        <f t="shared" si="15"/>
        <v>0</v>
      </c>
      <c r="K85" s="2">
        <f t="shared" si="15"/>
        <v>0</v>
      </c>
      <c r="L85" s="2">
        <f t="shared" si="15"/>
        <v>0</v>
      </c>
      <c r="M85" s="2">
        <f t="shared" si="15"/>
        <v>0</v>
      </c>
      <c r="N85" s="2">
        <f t="shared" si="15"/>
        <v>0</v>
      </c>
      <c r="O85" s="2">
        <f t="shared" si="15"/>
        <v>0</v>
      </c>
      <c r="P85" s="2">
        <f t="shared" si="15"/>
        <v>0</v>
      </c>
      <c r="Q85" s="2">
        <f t="shared" si="15"/>
        <v>0</v>
      </c>
      <c r="R85" s="2">
        <f t="shared" si="15"/>
        <v>0</v>
      </c>
      <c r="S85" s="2">
        <f t="shared" si="15"/>
        <v>0</v>
      </c>
      <c r="T85" s="2">
        <f t="shared" si="15"/>
        <v>0</v>
      </c>
      <c r="U85" s="2">
        <f t="shared" si="15"/>
        <v>0</v>
      </c>
      <c r="V85" s="2">
        <f t="shared" si="15"/>
        <v>0</v>
      </c>
      <c r="W85" s="2">
        <f t="shared" si="15"/>
        <v>0</v>
      </c>
      <c r="X85" s="2">
        <f t="shared" si="15"/>
        <v>0</v>
      </c>
      <c r="Y85" s="2">
        <f t="shared" si="15"/>
        <v>0</v>
      </c>
      <c r="Z85" s="2">
        <f t="shared" si="15"/>
        <v>0</v>
      </c>
      <c r="AA85" s="2">
        <f t="shared" si="15"/>
        <v>0</v>
      </c>
    </row>
    <row r="87" spans="1:27" x14ac:dyDescent="0.25">
      <c r="C87" s="1" t="str">
        <f>"Incremental "&amp;G4&amp;" Service Revenue"</f>
        <v>Incremental Water Supply Service Revenue</v>
      </c>
      <c r="D87" s="1"/>
    </row>
    <row r="88" spans="1:27" x14ac:dyDescent="0.25">
      <c r="C88" s="1"/>
      <c r="D88" s="1"/>
    </row>
    <row r="89" spans="1:27" x14ac:dyDescent="0.25">
      <c r="C89" s="1"/>
      <c r="D89" t="s">
        <v>59</v>
      </c>
    </row>
    <row r="90" spans="1:27" x14ac:dyDescent="0.25">
      <c r="A90" s="14">
        <f>'Notes &amp; Assumptions'!A28</f>
        <v>15</v>
      </c>
      <c r="C90" s="1"/>
      <c r="D90" s="1"/>
      <c r="E90" t="s">
        <v>87</v>
      </c>
      <c r="F90" t="s">
        <v>3</v>
      </c>
      <c r="H90" s="10">
        <f>'Customer numbers'!P8</f>
        <v>622</v>
      </c>
      <c r="I90" s="10">
        <f>'Customer numbers'!Q8</f>
        <v>620</v>
      </c>
      <c r="J90" s="10">
        <f>'Customer numbers'!R8</f>
        <v>629.5</v>
      </c>
      <c r="K90" s="10">
        <f>'Customer numbers'!S8</f>
        <v>607</v>
      </c>
      <c r="L90" s="10">
        <f>'Customer numbers'!T8</f>
        <v>583.5</v>
      </c>
      <c r="M90" s="10">
        <f>'Customer numbers'!U8</f>
        <v>561</v>
      </c>
      <c r="N90" s="10">
        <f>'Customer numbers'!V8</f>
        <v>538.5</v>
      </c>
      <c r="O90" s="10">
        <f>'Customer numbers'!W8</f>
        <v>516.5</v>
      </c>
      <c r="P90" s="10">
        <f>'Customer numbers'!X8</f>
        <v>546.5</v>
      </c>
      <c r="Q90" s="10">
        <f>'Customer numbers'!Y8</f>
        <v>578.5</v>
      </c>
      <c r="R90" s="10">
        <f>'Customer numbers'!Z8</f>
        <v>612.5</v>
      </c>
      <c r="S90" s="10">
        <f>'Customer numbers'!AA8</f>
        <v>649</v>
      </c>
      <c r="T90" s="10">
        <f>'Customer numbers'!AB8</f>
        <v>687.5</v>
      </c>
      <c r="U90" s="10">
        <f>'Customer numbers'!AC8</f>
        <v>683</v>
      </c>
      <c r="V90" s="10">
        <f>'Customer numbers'!AD8</f>
        <v>678</v>
      </c>
    </row>
    <row r="91" spans="1:27" x14ac:dyDescent="0.25">
      <c r="C91" s="1"/>
      <c r="D91" s="1"/>
      <c r="E91" t="s">
        <v>60</v>
      </c>
      <c r="F91" t="s">
        <v>3</v>
      </c>
      <c r="G91" s="2">
        <f>IF('Key assumptions'!B4="yes",SUM('Customer numbers'!F8:O8),0)</f>
        <v>0</v>
      </c>
      <c r="H91" s="2">
        <f>G91+H90</f>
        <v>622</v>
      </c>
      <c r="I91" s="2">
        <f t="shared" ref="I91:AA91" si="16">H91+I90</f>
        <v>1242</v>
      </c>
      <c r="J91" s="2">
        <f t="shared" si="16"/>
        <v>1871.5</v>
      </c>
      <c r="K91" s="2">
        <f t="shared" si="16"/>
        <v>2478.5</v>
      </c>
      <c r="L91" s="2">
        <f t="shared" si="16"/>
        <v>3062</v>
      </c>
      <c r="M91" s="2">
        <f t="shared" si="16"/>
        <v>3623</v>
      </c>
      <c r="N91" s="2">
        <f t="shared" si="16"/>
        <v>4161.5</v>
      </c>
      <c r="O91" s="2">
        <f t="shared" si="16"/>
        <v>4678</v>
      </c>
      <c r="P91" s="2">
        <f t="shared" si="16"/>
        <v>5224.5</v>
      </c>
      <c r="Q91" s="2">
        <f t="shared" si="16"/>
        <v>5803</v>
      </c>
      <c r="R91" s="2">
        <f t="shared" si="16"/>
        <v>6415.5</v>
      </c>
      <c r="S91" s="2">
        <f t="shared" si="16"/>
        <v>7064.5</v>
      </c>
      <c r="T91" s="2">
        <f t="shared" si="16"/>
        <v>7752</v>
      </c>
      <c r="U91" s="2">
        <f t="shared" si="16"/>
        <v>8435</v>
      </c>
      <c r="V91" s="2">
        <f t="shared" si="16"/>
        <v>9113</v>
      </c>
      <c r="W91" s="2">
        <f t="shared" si="16"/>
        <v>9113</v>
      </c>
      <c r="X91" s="2">
        <f t="shared" si="16"/>
        <v>9113</v>
      </c>
      <c r="Y91" s="2">
        <f t="shared" si="16"/>
        <v>9113</v>
      </c>
      <c r="Z91" s="2">
        <f t="shared" si="16"/>
        <v>9113</v>
      </c>
      <c r="AA91" s="2">
        <f t="shared" si="16"/>
        <v>9113</v>
      </c>
    </row>
    <row r="92" spans="1:27" x14ac:dyDescent="0.25">
      <c r="A92" s="14">
        <f>'Notes &amp; Assumptions'!A29</f>
        <v>16</v>
      </c>
      <c r="C92" s="1"/>
      <c r="D92" s="1"/>
      <c r="E92" t="s">
        <v>61</v>
      </c>
      <c r="F92" t="s">
        <v>3</v>
      </c>
      <c r="G92" s="10">
        <v>1</v>
      </c>
    </row>
    <row r="93" spans="1:27" x14ac:dyDescent="0.25">
      <c r="C93" s="1"/>
      <c r="D93" s="1"/>
      <c r="E93" t="s">
        <v>88</v>
      </c>
      <c r="F93" t="s">
        <v>3</v>
      </c>
      <c r="H93">
        <f>H90*$G92</f>
        <v>622</v>
      </c>
      <c r="I93">
        <f t="shared" ref="I93:AA93" si="17">I90*$G92</f>
        <v>620</v>
      </c>
      <c r="J93">
        <f t="shared" si="17"/>
        <v>629.5</v>
      </c>
      <c r="K93">
        <f t="shared" si="17"/>
        <v>607</v>
      </c>
      <c r="L93">
        <f t="shared" si="17"/>
        <v>583.5</v>
      </c>
      <c r="M93">
        <f t="shared" si="17"/>
        <v>561</v>
      </c>
      <c r="N93">
        <f t="shared" si="17"/>
        <v>538.5</v>
      </c>
      <c r="O93">
        <f t="shared" si="17"/>
        <v>516.5</v>
      </c>
      <c r="P93">
        <f t="shared" si="17"/>
        <v>546.5</v>
      </c>
      <c r="Q93">
        <f t="shared" si="17"/>
        <v>578.5</v>
      </c>
      <c r="R93">
        <f t="shared" si="17"/>
        <v>612.5</v>
      </c>
      <c r="S93">
        <f t="shared" si="17"/>
        <v>649</v>
      </c>
      <c r="T93">
        <f t="shared" si="17"/>
        <v>687.5</v>
      </c>
      <c r="U93">
        <f t="shared" si="17"/>
        <v>683</v>
      </c>
      <c r="V93">
        <f t="shared" si="17"/>
        <v>678</v>
      </c>
      <c r="W93">
        <f t="shared" si="17"/>
        <v>0</v>
      </c>
      <c r="X93">
        <f t="shared" si="17"/>
        <v>0</v>
      </c>
      <c r="Y93">
        <f t="shared" si="17"/>
        <v>0</v>
      </c>
      <c r="Z93">
        <f t="shared" si="17"/>
        <v>0</v>
      </c>
      <c r="AA93">
        <f t="shared" si="17"/>
        <v>0</v>
      </c>
    </row>
    <row r="94" spans="1:27" x14ac:dyDescent="0.25">
      <c r="C94" s="1"/>
      <c r="D94" s="1"/>
      <c r="E94" t="s">
        <v>89</v>
      </c>
      <c r="F94" t="s">
        <v>3</v>
      </c>
      <c r="H94">
        <f>H91*$G92</f>
        <v>622</v>
      </c>
      <c r="I94">
        <f t="shared" ref="I94:AA94" si="18">I91*$G92</f>
        <v>1242</v>
      </c>
      <c r="J94">
        <f t="shared" si="18"/>
        <v>1871.5</v>
      </c>
      <c r="K94">
        <f t="shared" si="18"/>
        <v>2478.5</v>
      </c>
      <c r="L94">
        <f t="shared" si="18"/>
        <v>3062</v>
      </c>
      <c r="M94">
        <f t="shared" si="18"/>
        <v>3623</v>
      </c>
      <c r="N94">
        <f t="shared" si="18"/>
        <v>4161.5</v>
      </c>
      <c r="O94">
        <f t="shared" si="18"/>
        <v>4678</v>
      </c>
      <c r="P94">
        <f t="shared" si="18"/>
        <v>5224.5</v>
      </c>
      <c r="Q94">
        <f t="shared" si="18"/>
        <v>5803</v>
      </c>
      <c r="R94">
        <f t="shared" si="18"/>
        <v>6415.5</v>
      </c>
      <c r="S94">
        <f t="shared" si="18"/>
        <v>7064.5</v>
      </c>
      <c r="T94">
        <f t="shared" si="18"/>
        <v>7752</v>
      </c>
      <c r="U94">
        <f t="shared" si="18"/>
        <v>8435</v>
      </c>
      <c r="V94">
        <f t="shared" si="18"/>
        <v>9113</v>
      </c>
      <c r="W94">
        <f t="shared" si="18"/>
        <v>9113</v>
      </c>
      <c r="X94">
        <f t="shared" si="18"/>
        <v>9113</v>
      </c>
      <c r="Y94">
        <f t="shared" si="18"/>
        <v>9113</v>
      </c>
      <c r="Z94">
        <f t="shared" si="18"/>
        <v>9113</v>
      </c>
      <c r="AA94">
        <f t="shared" si="18"/>
        <v>9113</v>
      </c>
    </row>
    <row r="95" spans="1:27" x14ac:dyDescent="0.25">
      <c r="A95" s="14">
        <f>'Notes &amp; Assumptions'!A30</f>
        <v>17</v>
      </c>
      <c r="C95" s="1"/>
      <c r="D95" s="1"/>
      <c r="E95" t="s">
        <v>62</v>
      </c>
      <c r="F95" t="s">
        <v>43</v>
      </c>
      <c r="H95" s="10">
        <f>'Key assumptions'!B22</f>
        <v>110</v>
      </c>
      <c r="I95" s="10">
        <f>H95</f>
        <v>110</v>
      </c>
      <c r="J95" s="10">
        <f t="shared" ref="J95:AA95" si="19">I95</f>
        <v>110</v>
      </c>
      <c r="K95" s="10">
        <f t="shared" si="19"/>
        <v>110</v>
      </c>
      <c r="L95" s="10">
        <f t="shared" si="19"/>
        <v>110</v>
      </c>
      <c r="M95" s="10">
        <f t="shared" si="19"/>
        <v>110</v>
      </c>
      <c r="N95" s="10">
        <f t="shared" si="19"/>
        <v>110</v>
      </c>
      <c r="O95" s="10">
        <f t="shared" si="19"/>
        <v>110</v>
      </c>
      <c r="P95" s="10">
        <f t="shared" si="19"/>
        <v>110</v>
      </c>
      <c r="Q95" s="10">
        <f t="shared" si="19"/>
        <v>110</v>
      </c>
      <c r="R95" s="10">
        <f t="shared" si="19"/>
        <v>110</v>
      </c>
      <c r="S95" s="10">
        <f t="shared" si="19"/>
        <v>110</v>
      </c>
      <c r="T95" s="10">
        <f t="shared" si="19"/>
        <v>110</v>
      </c>
      <c r="U95" s="10">
        <f t="shared" si="19"/>
        <v>110</v>
      </c>
      <c r="V95" s="10">
        <f t="shared" si="19"/>
        <v>110</v>
      </c>
      <c r="W95" s="10">
        <f t="shared" si="19"/>
        <v>110</v>
      </c>
      <c r="X95" s="10">
        <f t="shared" si="19"/>
        <v>110</v>
      </c>
      <c r="Y95" s="10">
        <f t="shared" si="19"/>
        <v>110</v>
      </c>
      <c r="Z95" s="10">
        <f t="shared" si="19"/>
        <v>110</v>
      </c>
      <c r="AA95" s="10">
        <f t="shared" si="19"/>
        <v>110</v>
      </c>
    </row>
    <row r="96" spans="1:27" x14ac:dyDescent="0.25">
      <c r="C96" s="1"/>
      <c r="D96" s="1"/>
      <c r="E96" t="s">
        <v>63</v>
      </c>
      <c r="F96" t="s">
        <v>43</v>
      </c>
      <c r="H96" s="10"/>
      <c r="I96" s="10"/>
      <c r="J96" s="10"/>
      <c r="K96" s="10"/>
      <c r="L96" s="10"/>
      <c r="M96" s="10"/>
      <c r="N96" s="10"/>
      <c r="O96" s="10"/>
      <c r="P96" s="10"/>
      <c r="Q96" s="10"/>
      <c r="R96" s="10"/>
      <c r="S96" s="10"/>
      <c r="T96" s="10"/>
      <c r="U96" s="10"/>
      <c r="V96" s="10"/>
      <c r="W96" s="10"/>
      <c r="X96" s="10"/>
      <c r="Y96" s="10"/>
      <c r="Z96" s="10"/>
      <c r="AA96" s="10"/>
    </row>
    <row r="97" spans="1:27" x14ac:dyDescent="0.25">
      <c r="C97" s="1"/>
      <c r="D97" s="1"/>
      <c r="E97" t="s">
        <v>140</v>
      </c>
      <c r="F97" t="s">
        <v>43</v>
      </c>
      <c r="H97" s="10"/>
      <c r="I97" s="10"/>
      <c r="J97" s="10"/>
      <c r="K97" s="10"/>
      <c r="L97" s="10"/>
      <c r="M97" s="10"/>
      <c r="N97" s="10"/>
      <c r="O97" s="10"/>
      <c r="P97" s="10"/>
      <c r="Q97" s="10"/>
      <c r="R97" s="10"/>
      <c r="S97" s="10"/>
      <c r="T97" s="10"/>
      <c r="U97" s="10"/>
      <c r="V97" s="10"/>
      <c r="W97" s="10"/>
      <c r="X97" s="10"/>
      <c r="Y97" s="10"/>
      <c r="Z97" s="10"/>
      <c r="AA97" s="10"/>
    </row>
    <row r="98" spans="1:27" x14ac:dyDescent="0.25">
      <c r="C98" s="1"/>
      <c r="D98" s="1"/>
      <c r="E98" t="s">
        <v>64</v>
      </c>
      <c r="F98" t="s">
        <v>144</v>
      </c>
      <c r="H98" s="2">
        <f>H91*H95</f>
        <v>68420</v>
      </c>
      <c r="I98" s="2">
        <f t="shared" ref="I98:AA98" si="20">I91*I95</f>
        <v>136620</v>
      </c>
      <c r="J98" s="2">
        <f t="shared" si="20"/>
        <v>205865</v>
      </c>
      <c r="K98" s="2">
        <f t="shared" si="20"/>
        <v>272635</v>
      </c>
      <c r="L98" s="2">
        <f t="shared" si="20"/>
        <v>336820</v>
      </c>
      <c r="M98" s="2">
        <f t="shared" si="20"/>
        <v>398530</v>
      </c>
      <c r="N98" s="2">
        <f t="shared" si="20"/>
        <v>457765</v>
      </c>
      <c r="O98" s="2">
        <f t="shared" si="20"/>
        <v>514580</v>
      </c>
      <c r="P98" s="2">
        <f t="shared" si="20"/>
        <v>574695</v>
      </c>
      <c r="Q98" s="2">
        <f t="shared" si="20"/>
        <v>638330</v>
      </c>
      <c r="R98" s="2">
        <f t="shared" si="20"/>
        <v>705705</v>
      </c>
      <c r="S98" s="2">
        <f t="shared" si="20"/>
        <v>777095</v>
      </c>
      <c r="T98" s="2">
        <f t="shared" si="20"/>
        <v>852720</v>
      </c>
      <c r="U98" s="2">
        <f t="shared" si="20"/>
        <v>927850</v>
      </c>
      <c r="V98" s="2">
        <f t="shared" si="20"/>
        <v>1002430</v>
      </c>
      <c r="W98" s="2">
        <f t="shared" si="20"/>
        <v>1002430</v>
      </c>
      <c r="X98" s="2">
        <f t="shared" si="20"/>
        <v>1002430</v>
      </c>
      <c r="Y98" s="2">
        <f t="shared" si="20"/>
        <v>1002430</v>
      </c>
      <c r="Z98" s="2">
        <f t="shared" si="20"/>
        <v>1002430</v>
      </c>
      <c r="AA98" s="2">
        <f t="shared" si="20"/>
        <v>1002430</v>
      </c>
    </row>
    <row r="99" spans="1:27" x14ac:dyDescent="0.25">
      <c r="C99" s="1"/>
      <c r="D99" s="1"/>
      <c r="E99" t="s">
        <v>65</v>
      </c>
      <c r="F99" t="s">
        <v>144</v>
      </c>
      <c r="H99" s="2">
        <f>H91*H96</f>
        <v>0</v>
      </c>
      <c r="I99" s="2">
        <f t="shared" ref="I99:AA99" si="21">I91*I96</f>
        <v>0</v>
      </c>
      <c r="J99" s="2">
        <f t="shared" si="21"/>
        <v>0</v>
      </c>
      <c r="K99" s="2">
        <f t="shared" si="21"/>
        <v>0</v>
      </c>
      <c r="L99" s="2">
        <f t="shared" si="21"/>
        <v>0</v>
      </c>
      <c r="M99" s="2">
        <f t="shared" si="21"/>
        <v>0</v>
      </c>
      <c r="N99" s="2">
        <f t="shared" si="21"/>
        <v>0</v>
      </c>
      <c r="O99" s="2">
        <f t="shared" si="21"/>
        <v>0</v>
      </c>
      <c r="P99" s="2">
        <f t="shared" si="21"/>
        <v>0</v>
      </c>
      <c r="Q99" s="2">
        <f t="shared" si="21"/>
        <v>0</v>
      </c>
      <c r="R99" s="2">
        <f t="shared" si="21"/>
        <v>0</v>
      </c>
      <c r="S99" s="2">
        <f t="shared" si="21"/>
        <v>0</v>
      </c>
      <c r="T99" s="2">
        <f t="shared" si="21"/>
        <v>0</v>
      </c>
      <c r="U99" s="2">
        <f t="shared" si="21"/>
        <v>0</v>
      </c>
      <c r="V99" s="2">
        <f t="shared" si="21"/>
        <v>0</v>
      </c>
      <c r="W99" s="2">
        <f t="shared" si="21"/>
        <v>0</v>
      </c>
      <c r="X99" s="2">
        <f t="shared" si="21"/>
        <v>0</v>
      </c>
      <c r="Y99" s="2">
        <f t="shared" si="21"/>
        <v>0</v>
      </c>
      <c r="Z99" s="2">
        <f t="shared" si="21"/>
        <v>0</v>
      </c>
      <c r="AA99" s="2">
        <f t="shared" si="21"/>
        <v>0</v>
      </c>
    </row>
    <row r="100" spans="1:27" x14ac:dyDescent="0.25">
      <c r="C100" s="1"/>
      <c r="D100" s="1"/>
      <c r="E100" t="s">
        <v>141</v>
      </c>
      <c r="F100" t="s">
        <v>144</v>
      </c>
      <c r="H100" s="2">
        <f>H91*H97</f>
        <v>0</v>
      </c>
      <c r="I100" s="2">
        <f t="shared" ref="I100:AA100" si="22">I91*I97</f>
        <v>0</v>
      </c>
      <c r="J100" s="2">
        <f t="shared" si="22"/>
        <v>0</v>
      </c>
      <c r="K100" s="2">
        <f t="shared" si="22"/>
        <v>0</v>
      </c>
      <c r="L100" s="2">
        <f t="shared" si="22"/>
        <v>0</v>
      </c>
      <c r="M100" s="2">
        <f t="shared" si="22"/>
        <v>0</v>
      </c>
      <c r="N100" s="2">
        <f t="shared" si="22"/>
        <v>0</v>
      </c>
      <c r="O100" s="2">
        <f t="shared" si="22"/>
        <v>0</v>
      </c>
      <c r="P100" s="2">
        <f t="shared" si="22"/>
        <v>0</v>
      </c>
      <c r="Q100" s="2">
        <f t="shared" si="22"/>
        <v>0</v>
      </c>
      <c r="R100" s="2">
        <f t="shared" si="22"/>
        <v>0</v>
      </c>
      <c r="S100" s="2">
        <f t="shared" si="22"/>
        <v>0</v>
      </c>
      <c r="T100" s="2">
        <f t="shared" si="22"/>
        <v>0</v>
      </c>
      <c r="U100" s="2">
        <f t="shared" si="22"/>
        <v>0</v>
      </c>
      <c r="V100" s="2">
        <f t="shared" si="22"/>
        <v>0</v>
      </c>
      <c r="W100" s="2">
        <f t="shared" si="22"/>
        <v>0</v>
      </c>
      <c r="X100" s="2">
        <f t="shared" si="22"/>
        <v>0</v>
      </c>
      <c r="Y100" s="2">
        <f t="shared" si="22"/>
        <v>0</v>
      </c>
      <c r="Z100" s="2">
        <f t="shared" si="22"/>
        <v>0</v>
      </c>
      <c r="AA100" s="2">
        <f t="shared" si="22"/>
        <v>0</v>
      </c>
    </row>
    <row r="101" spans="1:27" x14ac:dyDescent="0.25">
      <c r="A101" s="14">
        <f>'Notes &amp; Assumptions'!A31</f>
        <v>18</v>
      </c>
      <c r="C101" s="1"/>
      <c r="D101" s="1"/>
      <c r="E101" t="s">
        <v>66</v>
      </c>
      <c r="F101" t="s">
        <v>8</v>
      </c>
      <c r="H101" s="11">
        <f>'YVW tariffs'!D25</f>
        <v>-4.24E-2</v>
      </c>
      <c r="I101" s="11">
        <f>'YVW tariffs'!E25</f>
        <v>-2.7400000000000001E-2</v>
      </c>
      <c r="J101" s="11">
        <f>'YVW tariffs'!F25</f>
        <v>0</v>
      </c>
      <c r="K101" s="11">
        <f>'YVW tariffs'!G25</f>
        <v>0</v>
      </c>
      <c r="L101" s="11">
        <v>0</v>
      </c>
      <c r="M101" s="11">
        <v>0</v>
      </c>
      <c r="N101" s="11">
        <v>0</v>
      </c>
      <c r="O101" s="11">
        <v>0</v>
      </c>
      <c r="P101" s="11">
        <v>0</v>
      </c>
      <c r="Q101" s="11">
        <v>0</v>
      </c>
      <c r="R101" s="11">
        <v>0</v>
      </c>
      <c r="S101" s="11">
        <v>0</v>
      </c>
      <c r="T101" s="11">
        <v>0</v>
      </c>
      <c r="U101" s="11">
        <v>0</v>
      </c>
      <c r="V101" s="11">
        <v>0</v>
      </c>
      <c r="W101" s="11">
        <v>0</v>
      </c>
      <c r="X101" s="11">
        <v>0</v>
      </c>
      <c r="Y101" s="11">
        <v>0</v>
      </c>
      <c r="Z101" s="11">
        <v>0</v>
      </c>
      <c r="AA101" s="11">
        <v>0</v>
      </c>
    </row>
    <row r="102" spans="1:27" x14ac:dyDescent="0.25">
      <c r="A102" s="14">
        <f>'Notes &amp; Assumptions'!A32</f>
        <v>19</v>
      </c>
      <c r="C102" s="1"/>
      <c r="D102" s="1"/>
      <c r="E102" t="s">
        <v>40</v>
      </c>
      <c r="F102" t="s">
        <v>41</v>
      </c>
      <c r="G102" s="20">
        <f>'YVW tariffs'!E4</f>
        <v>79.83198999999999</v>
      </c>
      <c r="H102" s="2">
        <f>G102*(1+$G$14)*(1+H101)</f>
        <v>78.05250301010399</v>
      </c>
      <c r="I102" s="2">
        <f t="shared" ref="I102:AA102" si="23">H102*(1+$G$14)*(1+I101)</f>
        <v>77.508055580607305</v>
      </c>
      <c r="J102" s="2">
        <f t="shared" si="23"/>
        <v>79.135724747800055</v>
      </c>
      <c r="K102" s="2">
        <f t="shared" si="23"/>
        <v>80.797574967503849</v>
      </c>
      <c r="L102" s="2">
        <f t="shared" si="23"/>
        <v>82.494324041821429</v>
      </c>
      <c r="M102" s="2">
        <f t="shared" si="23"/>
        <v>84.226704846699675</v>
      </c>
      <c r="N102" s="2">
        <f t="shared" si="23"/>
        <v>85.995465648480362</v>
      </c>
      <c r="O102" s="2">
        <f t="shared" si="23"/>
        <v>87.801370427098448</v>
      </c>
      <c r="P102" s="2">
        <f t="shared" si="23"/>
        <v>89.645199206067502</v>
      </c>
      <c r="Q102" s="2">
        <f t="shared" si="23"/>
        <v>91.527748389394915</v>
      </c>
      <c r="R102" s="2">
        <f t="shared" si="23"/>
        <v>93.449831105572201</v>
      </c>
      <c r="S102" s="2">
        <f t="shared" si="23"/>
        <v>95.412277558789214</v>
      </c>
      <c r="T102" s="2">
        <f t="shared" si="23"/>
        <v>97.415935387523774</v>
      </c>
      <c r="U102" s="2">
        <f t="shared" si="23"/>
        <v>99.461670030661764</v>
      </c>
      <c r="V102" s="2">
        <f t="shared" si="23"/>
        <v>101.55036510130566</v>
      </c>
      <c r="W102" s="2">
        <f t="shared" si="23"/>
        <v>103.68292276843307</v>
      </c>
      <c r="X102" s="2">
        <f t="shared" si="23"/>
        <v>105.86026414657016</v>
      </c>
      <c r="Y102" s="2">
        <f t="shared" si="23"/>
        <v>108.08332969364812</v>
      </c>
      <c r="Z102" s="2">
        <f t="shared" si="23"/>
        <v>110.35307961721473</v>
      </c>
      <c r="AA102" s="2">
        <f t="shared" si="23"/>
        <v>112.67049428917623</v>
      </c>
    </row>
    <row r="103" spans="1:27" x14ac:dyDescent="0.25">
      <c r="C103" s="1"/>
      <c r="D103" s="1"/>
      <c r="E103" t="s">
        <v>67</v>
      </c>
      <c r="F103" t="s">
        <v>143</v>
      </c>
      <c r="G103" s="20">
        <f>'YVW tariffs'!E5</f>
        <v>2.5268728999999999</v>
      </c>
      <c r="H103" s="21">
        <f>G103*(1+$G$14)*(1+'YVW tariffs'!D26)</f>
        <v>3.2883879945051393</v>
      </c>
      <c r="I103" s="21">
        <f t="shared" ref="I103:AA103" si="24">H103*(1+$G$14)*(1+I101)</f>
        <v>3.2654501728882677</v>
      </c>
      <c r="J103" s="21">
        <f t="shared" si="24"/>
        <v>3.3340246265189211</v>
      </c>
      <c r="K103" s="21">
        <f t="shared" si="24"/>
        <v>3.4040391436758179</v>
      </c>
      <c r="L103" s="21">
        <f t="shared" si="24"/>
        <v>3.4755239656930099</v>
      </c>
      <c r="M103" s="21">
        <f t="shared" si="24"/>
        <v>3.5485099689725628</v>
      </c>
      <c r="N103" s="21">
        <f t="shared" si="24"/>
        <v>3.6230286783209862</v>
      </c>
      <c r="O103" s="21">
        <f t="shared" si="24"/>
        <v>3.6991122805657266</v>
      </c>
      <c r="P103" s="21">
        <f t="shared" si="24"/>
        <v>3.7767936384576064</v>
      </c>
      <c r="Q103" s="21">
        <f t="shared" si="24"/>
        <v>3.8561063048652158</v>
      </c>
      <c r="R103" s="21">
        <f t="shared" si="24"/>
        <v>3.9370845372673848</v>
      </c>
      <c r="S103" s="21">
        <f t="shared" si="24"/>
        <v>4.0197633125499994</v>
      </c>
      <c r="T103" s="21">
        <f t="shared" si="24"/>
        <v>4.1041783421135491</v>
      </c>
      <c r="U103" s="21">
        <f t="shared" si="24"/>
        <v>4.1903660872979334</v>
      </c>
      <c r="V103" s="21">
        <f t="shared" si="24"/>
        <v>4.2783637751311892</v>
      </c>
      <c r="W103" s="21">
        <f t="shared" si="24"/>
        <v>4.3682094144089438</v>
      </c>
      <c r="X103" s="21">
        <f t="shared" si="24"/>
        <v>4.4599418121115315</v>
      </c>
      <c r="Y103" s="21">
        <f t="shared" si="24"/>
        <v>4.5536005901658729</v>
      </c>
      <c r="Z103" s="21">
        <f t="shared" si="24"/>
        <v>4.6492262025593556</v>
      </c>
      <c r="AA103" s="21">
        <f t="shared" si="24"/>
        <v>4.7468599528131019</v>
      </c>
    </row>
    <row r="104" spans="1:27" x14ac:dyDescent="0.25">
      <c r="C104" s="1"/>
      <c r="D104" s="1"/>
      <c r="E104" t="s">
        <v>68</v>
      </c>
      <c r="F104" t="s">
        <v>143</v>
      </c>
      <c r="G104" s="20">
        <f>'YVW tariffs'!E6</f>
        <v>3.2042042999999998</v>
      </c>
      <c r="H104" s="21">
        <f>G104*(1+$G$14)*(1+'YVW tariffs'!D27)</f>
        <v>4.3039756517986785</v>
      </c>
      <c r="I104" s="21">
        <f t="shared" ref="I104:AA104" si="25">H104*(1+$G$14)*(1+I101)</f>
        <v>4.2739537000371222</v>
      </c>
      <c r="J104" s="21">
        <f t="shared" si="25"/>
        <v>4.3637067277379016</v>
      </c>
      <c r="K104" s="21">
        <f t="shared" si="25"/>
        <v>4.4553445690203972</v>
      </c>
      <c r="L104" s="21">
        <f t="shared" si="25"/>
        <v>4.5489068049698256</v>
      </c>
      <c r="M104" s="21">
        <f t="shared" si="25"/>
        <v>4.6444338478741916</v>
      </c>
      <c r="N104" s="21">
        <f t="shared" si="25"/>
        <v>4.7419669586795488</v>
      </c>
      <c r="O104" s="21">
        <f t="shared" si="25"/>
        <v>4.8415482648118191</v>
      </c>
      <c r="P104" s="21">
        <f t="shared" si="25"/>
        <v>4.9432207783728668</v>
      </c>
      <c r="Q104" s="21">
        <f t="shared" si="25"/>
        <v>5.0470284147186968</v>
      </c>
      <c r="R104" s="21">
        <f t="shared" si="25"/>
        <v>5.1530160114277885</v>
      </c>
      <c r="S104" s="21">
        <f t="shared" si="25"/>
        <v>5.2612293476677721</v>
      </c>
      <c r="T104" s="21">
        <f t="shared" si="25"/>
        <v>5.371715163968795</v>
      </c>
      <c r="U104" s="21">
        <f t="shared" si="25"/>
        <v>5.4845211824121396</v>
      </c>
      <c r="V104" s="21">
        <f t="shared" si="25"/>
        <v>5.5996961272427939</v>
      </c>
      <c r="W104" s="21">
        <f t="shared" si="25"/>
        <v>5.7172897459148917</v>
      </c>
      <c r="X104" s="21">
        <f t="shared" si="25"/>
        <v>5.8373528305791043</v>
      </c>
      <c r="Y104" s="21">
        <f t="shared" si="25"/>
        <v>5.9599372400212651</v>
      </c>
      <c r="Z104" s="21">
        <f t="shared" si="25"/>
        <v>6.0850959220617113</v>
      </c>
      <c r="AA104" s="21">
        <f t="shared" si="25"/>
        <v>6.2128829364250064</v>
      </c>
    </row>
    <row r="105" spans="1:27" x14ac:dyDescent="0.25">
      <c r="C105" s="1"/>
      <c r="D105" s="1"/>
      <c r="E105" t="s">
        <v>142</v>
      </c>
      <c r="F105" t="s">
        <v>143</v>
      </c>
      <c r="G105" s="20">
        <f>'YVW tariffs'!E7</f>
        <v>4.7208997999999998</v>
      </c>
      <c r="H105" s="21">
        <f>G105*(1+$G$14)*(1+'YVW tariffs'!D28)</f>
        <v>4.9771719572830788</v>
      </c>
      <c r="I105" s="21">
        <f t="shared" ref="I105:AA105" si="26">H105*(1+$G$14)*(1+I101)</f>
        <v>4.9424541920122458</v>
      </c>
      <c r="J105" s="21">
        <f t="shared" si="26"/>
        <v>5.0462457300445021</v>
      </c>
      <c r="K105" s="21">
        <f t="shared" si="26"/>
        <v>5.1522168903754357</v>
      </c>
      <c r="L105" s="21">
        <f t="shared" si="26"/>
        <v>5.2604134450733193</v>
      </c>
      <c r="M105" s="21">
        <f t="shared" si="26"/>
        <v>5.3708821274198586</v>
      </c>
      <c r="N105" s="21">
        <f t="shared" si="26"/>
        <v>5.4836706520956753</v>
      </c>
      <c r="O105" s="21">
        <f t="shared" si="26"/>
        <v>5.5988277357896843</v>
      </c>
      <c r="P105" s="21">
        <f t="shared" si="26"/>
        <v>5.7164031182412671</v>
      </c>
      <c r="Q105" s="21">
        <f t="shared" si="26"/>
        <v>5.8364475837243335</v>
      </c>
      <c r="R105" s="21">
        <f t="shared" si="26"/>
        <v>5.9590129829825438</v>
      </c>
      <c r="S105" s="21">
        <f t="shared" si="26"/>
        <v>6.0841522556251766</v>
      </c>
      <c r="T105" s="21">
        <f t="shared" si="26"/>
        <v>6.2119194529933051</v>
      </c>
      <c r="U105" s="21">
        <f t="shared" si="26"/>
        <v>6.3423697615061636</v>
      </c>
      <c r="V105" s="21">
        <f t="shared" si="26"/>
        <v>6.4755595264977925</v>
      </c>
      <c r="W105" s="21">
        <f t="shared" si="26"/>
        <v>6.6115462765542459</v>
      </c>
      <c r="X105" s="21">
        <f t="shared" si="26"/>
        <v>6.7503887483618845</v>
      </c>
      <c r="Y105" s="21">
        <f t="shared" si="26"/>
        <v>6.8921469120774832</v>
      </c>
      <c r="Z105" s="21">
        <f t="shared" si="26"/>
        <v>7.0368819972311094</v>
      </c>
      <c r="AA105" s="21">
        <f t="shared" si="26"/>
        <v>7.1846565191729619</v>
      </c>
    </row>
    <row r="106" spans="1:27" x14ac:dyDescent="0.25">
      <c r="C106" s="1"/>
      <c r="D106" s="1"/>
    </row>
    <row r="107" spans="1:27" x14ac:dyDescent="0.25">
      <c r="C107" s="1"/>
      <c r="D107" s="1"/>
      <c r="E107" t="s">
        <v>69</v>
      </c>
      <c r="F107" t="s">
        <v>58</v>
      </c>
      <c r="H107" s="2">
        <f>SUM(H98:H100)/1000</f>
        <v>68.42</v>
      </c>
      <c r="I107" s="2">
        <f t="shared" ref="I107:AA107" si="27">SUM(I98:I100)/1000</f>
        <v>136.62</v>
      </c>
      <c r="J107" s="2">
        <f t="shared" si="27"/>
        <v>205.86500000000001</v>
      </c>
      <c r="K107" s="2">
        <f t="shared" si="27"/>
        <v>272.63499999999999</v>
      </c>
      <c r="L107" s="2">
        <f t="shared" si="27"/>
        <v>336.82</v>
      </c>
      <c r="M107" s="2">
        <f t="shared" si="27"/>
        <v>398.53</v>
      </c>
      <c r="N107" s="2">
        <f t="shared" si="27"/>
        <v>457.76499999999999</v>
      </c>
      <c r="O107" s="2">
        <f t="shared" si="27"/>
        <v>514.58000000000004</v>
      </c>
      <c r="P107" s="2">
        <f t="shared" si="27"/>
        <v>574.69500000000005</v>
      </c>
      <c r="Q107" s="2">
        <f t="shared" si="27"/>
        <v>638.33000000000004</v>
      </c>
      <c r="R107" s="2">
        <f t="shared" si="27"/>
        <v>705.70500000000004</v>
      </c>
      <c r="S107" s="2">
        <f t="shared" si="27"/>
        <v>777.09500000000003</v>
      </c>
      <c r="T107" s="2">
        <f t="shared" si="27"/>
        <v>852.72</v>
      </c>
      <c r="U107" s="2">
        <f t="shared" si="27"/>
        <v>927.85</v>
      </c>
      <c r="V107" s="2">
        <f t="shared" si="27"/>
        <v>1002.43</v>
      </c>
      <c r="W107" s="2">
        <f t="shared" si="27"/>
        <v>1002.43</v>
      </c>
      <c r="X107" s="2">
        <f t="shared" si="27"/>
        <v>1002.43</v>
      </c>
      <c r="Y107" s="2">
        <f t="shared" si="27"/>
        <v>1002.43</v>
      </c>
      <c r="Z107" s="2">
        <f t="shared" si="27"/>
        <v>1002.43</v>
      </c>
      <c r="AA107" s="2">
        <f t="shared" si="27"/>
        <v>1002.43</v>
      </c>
    </row>
    <row r="108" spans="1:27" x14ac:dyDescent="0.25">
      <c r="C108" s="1"/>
      <c r="D108" s="1"/>
      <c r="E108" t="s">
        <v>70</v>
      </c>
      <c r="F108" t="s">
        <v>7</v>
      </c>
      <c r="H108" s="2">
        <f>H91*H102+H98*H103+H99*H104+H100*H105</f>
        <v>273540.16345632629</v>
      </c>
      <c r="I108" s="2">
        <f t="shared" ref="I108:AA108" si="28">I91*I102+I98*I103+I99*I104+I100*I105</f>
        <v>542390.80765110941</v>
      </c>
      <c r="J108" s="2">
        <f t="shared" si="28"/>
        <v>834461.48860382545</v>
      </c>
      <c r="K108" s="2">
        <f t="shared" si="28"/>
        <v>1128317.0014930149</v>
      </c>
      <c r="L108" s="2">
        <f t="shared" si="28"/>
        <v>1423223.6023407767</v>
      </c>
      <c r="M108" s="2">
        <f t="shared" si="28"/>
        <v>1719341.0295942284</v>
      </c>
      <c r="N108" s="2">
        <f t="shared" si="28"/>
        <v>2016365.8532277574</v>
      </c>
      <c r="O108" s="2">
        <f t="shared" si="28"/>
        <v>2314224.0081914784</v>
      </c>
      <c r="P108" s="2">
        <f t="shared" si="28"/>
        <v>2638855.7633054936</v>
      </c>
      <c r="Q108" s="2">
        <f t="shared" si="28"/>
        <v>2992603.861488272</v>
      </c>
      <c r="R108" s="2">
        <f t="shared" si="28"/>
        <v>3377947.6348300781</v>
      </c>
      <c r="S108" s="2">
        <f t="shared" si="28"/>
        <v>3797778.0061801081</v>
      </c>
      <c r="T108" s="2">
        <f t="shared" si="28"/>
        <v>4254883.2870111503</v>
      </c>
      <c r="U108" s="2">
        <f t="shared" si="28"/>
        <v>4726990.3608080195</v>
      </c>
      <c r="V108" s="2">
        <f t="shared" si="28"/>
        <v>5214188.6762729567</v>
      </c>
      <c r="W108" s="2">
        <f t="shared" si="28"/>
        <v>5323686.6384746879</v>
      </c>
      <c r="X108" s="2">
        <f t="shared" si="28"/>
        <v>5435484.0578826563</v>
      </c>
      <c r="Y108" s="2">
        <f t="shared" si="28"/>
        <v>5549629.2230981914</v>
      </c>
      <c r="Z108" s="2">
        <f t="shared" si="28"/>
        <v>5666171.4367832523</v>
      </c>
      <c r="AA108" s="2">
        <f t="shared" si="28"/>
        <v>5785161.0369557012</v>
      </c>
    </row>
    <row r="109" spans="1:27" x14ac:dyDescent="0.25">
      <c r="C109" s="1"/>
      <c r="D109" s="1"/>
    </row>
    <row r="110" spans="1:27" x14ac:dyDescent="0.25">
      <c r="C110" s="1"/>
      <c r="D110" t="s">
        <v>71</v>
      </c>
    </row>
    <row r="111" spans="1:27" x14ac:dyDescent="0.25">
      <c r="A111" s="14">
        <f>'Notes &amp; Assumptions'!A33</f>
        <v>20</v>
      </c>
      <c r="C111" s="1"/>
      <c r="D111" s="1"/>
      <c r="E111" t="s">
        <v>87</v>
      </c>
      <c r="F111" t="s">
        <v>3</v>
      </c>
      <c r="H111" s="10">
        <f>'Customer numbers'!P32</f>
        <v>92</v>
      </c>
      <c r="I111" s="10">
        <f>'Customer numbers'!Q32</f>
        <v>92</v>
      </c>
      <c r="J111" s="10">
        <f>'Customer numbers'!R32</f>
        <v>94</v>
      </c>
      <c r="K111" s="10">
        <f>'Customer numbers'!S32</f>
        <v>90</v>
      </c>
      <c r="L111" s="10">
        <f>'Customer numbers'!T32</f>
        <v>87</v>
      </c>
      <c r="M111" s="10">
        <f>'Customer numbers'!U32</f>
        <v>83</v>
      </c>
      <c r="N111" s="10">
        <f>'Customer numbers'!V32</f>
        <v>80</v>
      </c>
      <c r="O111" s="10">
        <f>'Customer numbers'!W32</f>
        <v>77</v>
      </c>
      <c r="P111" s="10">
        <f>'Customer numbers'!X32</f>
        <v>81</v>
      </c>
      <c r="Q111" s="10">
        <f>'Customer numbers'!Y32</f>
        <v>86</v>
      </c>
      <c r="R111" s="10">
        <f>'Customer numbers'!Z32</f>
        <v>91</v>
      </c>
      <c r="S111" s="10">
        <f>'Customer numbers'!AA32</f>
        <v>97</v>
      </c>
      <c r="T111" s="10">
        <f>'Customer numbers'!AB32</f>
        <v>102</v>
      </c>
      <c r="U111" s="10">
        <f>'Customer numbers'!AC32</f>
        <v>101</v>
      </c>
      <c r="V111" s="10">
        <f>'Customer numbers'!AD32</f>
        <v>101</v>
      </c>
    </row>
    <row r="112" spans="1:27" x14ac:dyDescent="0.25">
      <c r="C112" s="1"/>
      <c r="D112" s="1"/>
      <c r="E112" t="s">
        <v>60</v>
      </c>
      <c r="F112" t="s">
        <v>3</v>
      </c>
      <c r="G112">
        <f>IF('Key assumptions'!B4="yes",SUM('Customer numbers'!F32:O32),0)</f>
        <v>0</v>
      </c>
      <c r="H112" s="2">
        <f>G112+H111</f>
        <v>92</v>
      </c>
      <c r="I112" s="2">
        <f t="shared" ref="I112:AA112" si="29">H112+I111</f>
        <v>184</v>
      </c>
      <c r="J112" s="2">
        <f t="shared" si="29"/>
        <v>278</v>
      </c>
      <c r="K112" s="2">
        <f t="shared" si="29"/>
        <v>368</v>
      </c>
      <c r="L112" s="2">
        <f t="shared" si="29"/>
        <v>455</v>
      </c>
      <c r="M112" s="2">
        <f t="shared" si="29"/>
        <v>538</v>
      </c>
      <c r="N112" s="2">
        <f t="shared" si="29"/>
        <v>618</v>
      </c>
      <c r="O112" s="2">
        <f t="shared" si="29"/>
        <v>695</v>
      </c>
      <c r="P112" s="2">
        <f t="shared" si="29"/>
        <v>776</v>
      </c>
      <c r="Q112" s="2">
        <f t="shared" si="29"/>
        <v>862</v>
      </c>
      <c r="R112" s="2">
        <f t="shared" si="29"/>
        <v>953</v>
      </c>
      <c r="S112" s="2">
        <f t="shared" si="29"/>
        <v>1050</v>
      </c>
      <c r="T112" s="2">
        <f t="shared" si="29"/>
        <v>1152</v>
      </c>
      <c r="U112" s="2">
        <f t="shared" si="29"/>
        <v>1253</v>
      </c>
      <c r="V112" s="2">
        <f t="shared" si="29"/>
        <v>1354</v>
      </c>
      <c r="W112" s="2">
        <f t="shared" si="29"/>
        <v>1354</v>
      </c>
      <c r="X112" s="2">
        <f t="shared" si="29"/>
        <v>1354</v>
      </c>
      <c r="Y112" s="2">
        <f t="shared" si="29"/>
        <v>1354</v>
      </c>
      <c r="Z112" s="2">
        <f t="shared" si="29"/>
        <v>1354</v>
      </c>
      <c r="AA112" s="2">
        <f t="shared" si="29"/>
        <v>1354</v>
      </c>
    </row>
    <row r="113" spans="1:27" x14ac:dyDescent="0.25">
      <c r="A113" s="14">
        <f>'Notes &amp; Assumptions'!A34</f>
        <v>21</v>
      </c>
      <c r="C113" s="1"/>
      <c r="D113" s="1"/>
      <c r="E113" t="s">
        <v>61</v>
      </c>
      <c r="F113" t="s">
        <v>3</v>
      </c>
      <c r="G113" s="10">
        <v>1</v>
      </c>
    </row>
    <row r="114" spans="1:27" x14ac:dyDescent="0.25">
      <c r="C114" s="1"/>
      <c r="D114" s="1"/>
      <c r="E114" t="s">
        <v>88</v>
      </c>
      <c r="F114" t="s">
        <v>3</v>
      </c>
      <c r="H114">
        <f>H111*$G113</f>
        <v>92</v>
      </c>
      <c r="I114">
        <f t="shared" ref="I114:AA114" si="30">I111*$G113</f>
        <v>92</v>
      </c>
      <c r="J114">
        <f t="shared" si="30"/>
        <v>94</v>
      </c>
      <c r="K114">
        <f t="shared" si="30"/>
        <v>90</v>
      </c>
      <c r="L114">
        <f t="shared" si="30"/>
        <v>87</v>
      </c>
      <c r="M114">
        <f t="shared" si="30"/>
        <v>83</v>
      </c>
      <c r="N114">
        <f t="shared" si="30"/>
        <v>80</v>
      </c>
      <c r="O114">
        <f t="shared" si="30"/>
        <v>77</v>
      </c>
      <c r="P114">
        <f t="shared" si="30"/>
        <v>81</v>
      </c>
      <c r="Q114">
        <f t="shared" si="30"/>
        <v>86</v>
      </c>
      <c r="R114">
        <f t="shared" si="30"/>
        <v>91</v>
      </c>
      <c r="S114">
        <f t="shared" si="30"/>
        <v>97</v>
      </c>
      <c r="T114">
        <f t="shared" si="30"/>
        <v>102</v>
      </c>
      <c r="U114">
        <f t="shared" si="30"/>
        <v>101</v>
      </c>
      <c r="V114">
        <f t="shared" si="30"/>
        <v>101</v>
      </c>
      <c r="W114">
        <f t="shared" si="30"/>
        <v>0</v>
      </c>
      <c r="X114">
        <f t="shared" si="30"/>
        <v>0</v>
      </c>
      <c r="Y114">
        <f t="shared" si="30"/>
        <v>0</v>
      </c>
      <c r="Z114">
        <f t="shared" si="30"/>
        <v>0</v>
      </c>
      <c r="AA114">
        <f t="shared" si="30"/>
        <v>0</v>
      </c>
    </row>
    <row r="115" spans="1:27" x14ac:dyDescent="0.25">
      <c r="C115" s="1"/>
      <c r="D115" s="1"/>
      <c r="E115" t="s">
        <v>89</v>
      </c>
      <c r="F115" t="s">
        <v>3</v>
      </c>
      <c r="H115">
        <f>H112*$G113</f>
        <v>92</v>
      </c>
      <c r="I115">
        <f t="shared" ref="I115:AA115" si="31">I112*$G113</f>
        <v>184</v>
      </c>
      <c r="J115">
        <f t="shared" si="31"/>
        <v>278</v>
      </c>
      <c r="K115">
        <f t="shared" si="31"/>
        <v>368</v>
      </c>
      <c r="L115">
        <f t="shared" si="31"/>
        <v>455</v>
      </c>
      <c r="M115">
        <f t="shared" si="31"/>
        <v>538</v>
      </c>
      <c r="N115">
        <f t="shared" si="31"/>
        <v>618</v>
      </c>
      <c r="O115">
        <f t="shared" si="31"/>
        <v>695</v>
      </c>
      <c r="P115">
        <f t="shared" si="31"/>
        <v>776</v>
      </c>
      <c r="Q115">
        <f t="shared" si="31"/>
        <v>862</v>
      </c>
      <c r="R115">
        <f t="shared" si="31"/>
        <v>953</v>
      </c>
      <c r="S115">
        <f t="shared" si="31"/>
        <v>1050</v>
      </c>
      <c r="T115">
        <f t="shared" si="31"/>
        <v>1152</v>
      </c>
      <c r="U115">
        <f t="shared" si="31"/>
        <v>1253</v>
      </c>
      <c r="V115">
        <f t="shared" si="31"/>
        <v>1354</v>
      </c>
      <c r="W115">
        <f t="shared" si="31"/>
        <v>1354</v>
      </c>
      <c r="X115">
        <f t="shared" si="31"/>
        <v>1354</v>
      </c>
      <c r="Y115">
        <f t="shared" si="31"/>
        <v>1354</v>
      </c>
      <c r="Z115">
        <f t="shared" si="31"/>
        <v>1354</v>
      </c>
      <c r="AA115">
        <f t="shared" si="31"/>
        <v>1354</v>
      </c>
    </row>
    <row r="116" spans="1:27" x14ac:dyDescent="0.25">
      <c r="A116" s="14">
        <f>'Notes &amp; Assumptions'!A35</f>
        <v>22</v>
      </c>
      <c r="C116" s="1"/>
      <c r="D116" s="1"/>
      <c r="E116" t="s">
        <v>62</v>
      </c>
      <c r="F116" t="s">
        <v>43</v>
      </c>
      <c r="H116" s="10">
        <f>'Key assumptions'!B26</f>
        <v>520</v>
      </c>
      <c r="I116" s="10">
        <f>H116</f>
        <v>520</v>
      </c>
      <c r="J116" s="10">
        <f t="shared" ref="J116:AA116" si="32">I116</f>
        <v>520</v>
      </c>
      <c r="K116" s="10">
        <f t="shared" si="32"/>
        <v>520</v>
      </c>
      <c r="L116" s="10">
        <f t="shared" si="32"/>
        <v>520</v>
      </c>
      <c r="M116" s="10">
        <f t="shared" si="32"/>
        <v>520</v>
      </c>
      <c r="N116" s="10">
        <f t="shared" si="32"/>
        <v>520</v>
      </c>
      <c r="O116" s="10">
        <f t="shared" si="32"/>
        <v>520</v>
      </c>
      <c r="P116" s="10">
        <f t="shared" si="32"/>
        <v>520</v>
      </c>
      <c r="Q116" s="10">
        <f t="shared" si="32"/>
        <v>520</v>
      </c>
      <c r="R116" s="10">
        <f t="shared" si="32"/>
        <v>520</v>
      </c>
      <c r="S116" s="10">
        <f t="shared" si="32"/>
        <v>520</v>
      </c>
      <c r="T116" s="10">
        <f t="shared" si="32"/>
        <v>520</v>
      </c>
      <c r="U116" s="10">
        <f t="shared" si="32"/>
        <v>520</v>
      </c>
      <c r="V116" s="10">
        <f t="shared" si="32"/>
        <v>520</v>
      </c>
      <c r="W116" s="10">
        <f t="shared" si="32"/>
        <v>520</v>
      </c>
      <c r="X116" s="10">
        <f t="shared" si="32"/>
        <v>520</v>
      </c>
      <c r="Y116" s="10">
        <f t="shared" si="32"/>
        <v>520</v>
      </c>
      <c r="Z116" s="10">
        <f t="shared" si="32"/>
        <v>520</v>
      </c>
      <c r="AA116" s="10">
        <f t="shared" si="32"/>
        <v>520</v>
      </c>
    </row>
    <row r="117" spans="1:27" x14ac:dyDescent="0.25">
      <c r="C117" s="1"/>
      <c r="D117" s="1"/>
      <c r="E117" t="s">
        <v>63</v>
      </c>
      <c r="F117" t="s">
        <v>43</v>
      </c>
      <c r="H117" s="10"/>
      <c r="I117" s="10"/>
      <c r="J117" s="10"/>
      <c r="K117" s="10"/>
      <c r="L117" s="10"/>
      <c r="M117" s="10"/>
      <c r="N117" s="10"/>
      <c r="O117" s="10"/>
      <c r="P117" s="10"/>
      <c r="Q117" s="10"/>
      <c r="R117" s="10"/>
      <c r="S117" s="10"/>
      <c r="T117" s="10"/>
      <c r="U117" s="10"/>
      <c r="V117" s="10"/>
      <c r="W117" s="10"/>
      <c r="X117" s="10"/>
      <c r="Y117" s="10"/>
      <c r="Z117" s="10"/>
      <c r="AA117" s="10"/>
    </row>
    <row r="118" spans="1:27" x14ac:dyDescent="0.25">
      <c r="C118" s="1"/>
      <c r="D118" s="1"/>
      <c r="E118" t="s">
        <v>140</v>
      </c>
      <c r="F118" t="s">
        <v>43</v>
      </c>
      <c r="H118" s="10"/>
      <c r="I118" s="10"/>
      <c r="J118" s="10"/>
      <c r="K118" s="10"/>
      <c r="L118" s="10"/>
      <c r="M118" s="10"/>
      <c r="N118" s="10"/>
      <c r="O118" s="10"/>
      <c r="P118" s="10"/>
      <c r="Q118" s="10"/>
      <c r="R118" s="10"/>
      <c r="S118" s="10"/>
      <c r="T118" s="10"/>
      <c r="U118" s="10"/>
      <c r="V118" s="10"/>
      <c r="W118" s="10"/>
      <c r="X118" s="10"/>
      <c r="Y118" s="10"/>
      <c r="Z118" s="10"/>
      <c r="AA118" s="10"/>
    </row>
    <row r="119" spans="1:27" x14ac:dyDescent="0.25">
      <c r="C119" s="1"/>
      <c r="D119" s="1"/>
      <c r="E119" t="s">
        <v>64</v>
      </c>
      <c r="F119" t="s">
        <v>144</v>
      </c>
      <c r="H119" s="2">
        <f>H112*H116</f>
        <v>47840</v>
      </c>
      <c r="I119" s="2">
        <f t="shared" ref="I119:AA119" si="33">I112*I116</f>
        <v>95680</v>
      </c>
      <c r="J119" s="2">
        <f t="shared" si="33"/>
        <v>144560</v>
      </c>
      <c r="K119" s="2">
        <f t="shared" si="33"/>
        <v>191360</v>
      </c>
      <c r="L119" s="2">
        <f t="shared" si="33"/>
        <v>236600</v>
      </c>
      <c r="M119" s="2">
        <f t="shared" si="33"/>
        <v>279760</v>
      </c>
      <c r="N119" s="2">
        <f t="shared" si="33"/>
        <v>321360</v>
      </c>
      <c r="O119" s="2">
        <f t="shared" si="33"/>
        <v>361400</v>
      </c>
      <c r="P119" s="2">
        <f t="shared" si="33"/>
        <v>403520</v>
      </c>
      <c r="Q119" s="2">
        <f t="shared" si="33"/>
        <v>448240</v>
      </c>
      <c r="R119" s="2">
        <f t="shared" si="33"/>
        <v>495560</v>
      </c>
      <c r="S119" s="2">
        <f t="shared" si="33"/>
        <v>546000</v>
      </c>
      <c r="T119" s="2">
        <f t="shared" si="33"/>
        <v>599040</v>
      </c>
      <c r="U119" s="2">
        <f t="shared" si="33"/>
        <v>651560</v>
      </c>
      <c r="V119" s="2">
        <f t="shared" si="33"/>
        <v>704080</v>
      </c>
      <c r="W119" s="2">
        <f t="shared" si="33"/>
        <v>704080</v>
      </c>
      <c r="X119" s="2">
        <f t="shared" si="33"/>
        <v>704080</v>
      </c>
      <c r="Y119" s="2">
        <f t="shared" si="33"/>
        <v>704080</v>
      </c>
      <c r="Z119" s="2">
        <f t="shared" si="33"/>
        <v>704080</v>
      </c>
      <c r="AA119" s="2">
        <f t="shared" si="33"/>
        <v>704080</v>
      </c>
    </row>
    <row r="120" spans="1:27" x14ac:dyDescent="0.25">
      <c r="C120" s="1"/>
      <c r="D120" s="1"/>
      <c r="E120" t="s">
        <v>65</v>
      </c>
      <c r="F120" t="s">
        <v>144</v>
      </c>
      <c r="H120" s="2">
        <f>H112*H117</f>
        <v>0</v>
      </c>
      <c r="I120" s="2">
        <f t="shared" ref="I120:AA120" si="34">I112*I117</f>
        <v>0</v>
      </c>
      <c r="J120" s="2">
        <f t="shared" si="34"/>
        <v>0</v>
      </c>
      <c r="K120" s="2">
        <f t="shared" si="34"/>
        <v>0</v>
      </c>
      <c r="L120" s="2">
        <f t="shared" si="34"/>
        <v>0</v>
      </c>
      <c r="M120" s="2">
        <f t="shared" si="34"/>
        <v>0</v>
      </c>
      <c r="N120" s="2">
        <f t="shared" si="34"/>
        <v>0</v>
      </c>
      <c r="O120" s="2">
        <f t="shared" si="34"/>
        <v>0</v>
      </c>
      <c r="P120" s="2">
        <f t="shared" si="34"/>
        <v>0</v>
      </c>
      <c r="Q120" s="2">
        <f t="shared" si="34"/>
        <v>0</v>
      </c>
      <c r="R120" s="2">
        <f t="shared" si="34"/>
        <v>0</v>
      </c>
      <c r="S120" s="2">
        <f t="shared" si="34"/>
        <v>0</v>
      </c>
      <c r="T120" s="2">
        <f t="shared" si="34"/>
        <v>0</v>
      </c>
      <c r="U120" s="2">
        <f t="shared" si="34"/>
        <v>0</v>
      </c>
      <c r="V120" s="2">
        <f t="shared" si="34"/>
        <v>0</v>
      </c>
      <c r="W120" s="2">
        <f t="shared" si="34"/>
        <v>0</v>
      </c>
      <c r="X120" s="2">
        <f t="shared" si="34"/>
        <v>0</v>
      </c>
      <c r="Y120" s="2">
        <f t="shared" si="34"/>
        <v>0</v>
      </c>
      <c r="Z120" s="2">
        <f t="shared" si="34"/>
        <v>0</v>
      </c>
      <c r="AA120" s="2">
        <f t="shared" si="34"/>
        <v>0</v>
      </c>
    </row>
    <row r="121" spans="1:27" x14ac:dyDescent="0.25">
      <c r="C121" s="1"/>
      <c r="D121" s="1"/>
      <c r="E121" t="s">
        <v>141</v>
      </c>
      <c r="F121" t="s">
        <v>144</v>
      </c>
      <c r="H121" s="2">
        <f>H112*H118</f>
        <v>0</v>
      </c>
      <c r="I121" s="2">
        <f t="shared" ref="I121:AA121" si="35">I112*I118</f>
        <v>0</v>
      </c>
      <c r="J121" s="2">
        <f t="shared" si="35"/>
        <v>0</v>
      </c>
      <c r="K121" s="2">
        <f t="shared" si="35"/>
        <v>0</v>
      </c>
      <c r="L121" s="2">
        <f t="shared" si="35"/>
        <v>0</v>
      </c>
      <c r="M121" s="2">
        <f t="shared" si="35"/>
        <v>0</v>
      </c>
      <c r="N121" s="2">
        <f t="shared" si="35"/>
        <v>0</v>
      </c>
      <c r="O121" s="2">
        <f t="shared" si="35"/>
        <v>0</v>
      </c>
      <c r="P121" s="2">
        <f t="shared" si="35"/>
        <v>0</v>
      </c>
      <c r="Q121" s="2">
        <f t="shared" si="35"/>
        <v>0</v>
      </c>
      <c r="R121" s="2">
        <f t="shared" si="35"/>
        <v>0</v>
      </c>
      <c r="S121" s="2">
        <f t="shared" si="35"/>
        <v>0</v>
      </c>
      <c r="T121" s="2">
        <f t="shared" si="35"/>
        <v>0</v>
      </c>
      <c r="U121" s="2">
        <f t="shared" si="35"/>
        <v>0</v>
      </c>
      <c r="V121" s="2">
        <f t="shared" si="35"/>
        <v>0</v>
      </c>
      <c r="W121" s="2">
        <f t="shared" si="35"/>
        <v>0</v>
      </c>
      <c r="X121" s="2">
        <f t="shared" si="35"/>
        <v>0</v>
      </c>
      <c r="Y121" s="2">
        <f t="shared" si="35"/>
        <v>0</v>
      </c>
      <c r="Z121" s="2">
        <f t="shared" si="35"/>
        <v>0</v>
      </c>
      <c r="AA121" s="2">
        <f t="shared" si="35"/>
        <v>0</v>
      </c>
    </row>
    <row r="122" spans="1:27" x14ac:dyDescent="0.25">
      <c r="A122" s="14">
        <f>'Notes &amp; Assumptions'!A36</f>
        <v>23</v>
      </c>
      <c r="C122" s="1"/>
      <c r="D122" s="1"/>
      <c r="E122" t="s">
        <v>66</v>
      </c>
      <c r="F122" t="s">
        <v>8</v>
      </c>
      <c r="H122" s="11">
        <f>'YVW tariffs'!D34</f>
        <v>-4.24E-2</v>
      </c>
      <c r="I122" s="11">
        <f>'YVW tariffs'!E34</f>
        <v>-2.7400000000000001E-2</v>
      </c>
      <c r="J122" s="11">
        <f>'YVW tariffs'!F34</f>
        <v>0</v>
      </c>
      <c r="K122" s="11">
        <f>'YVW tariffs'!G34</f>
        <v>0</v>
      </c>
      <c r="L122" s="11">
        <f>'YVW tariffs'!H34</f>
        <v>0</v>
      </c>
      <c r="M122" s="11"/>
      <c r="N122" s="11"/>
      <c r="O122" s="11"/>
      <c r="P122" s="11"/>
      <c r="Q122" s="11"/>
      <c r="R122" s="11"/>
      <c r="S122" s="11"/>
      <c r="T122" s="11"/>
      <c r="U122" s="11"/>
      <c r="V122" s="11"/>
      <c r="W122" s="11"/>
      <c r="X122" s="11"/>
      <c r="Y122" s="11"/>
      <c r="Z122" s="11"/>
      <c r="AA122" s="11"/>
    </row>
    <row r="123" spans="1:27" x14ac:dyDescent="0.25">
      <c r="A123" s="14">
        <f>'Notes &amp; Assumptions'!A37</f>
        <v>24</v>
      </c>
      <c r="C123" s="1"/>
      <c r="D123" s="1"/>
      <c r="E123" t="s">
        <v>40</v>
      </c>
      <c r="F123" t="s">
        <v>41</v>
      </c>
      <c r="G123" s="20">
        <f>'YVW tariffs'!D10</f>
        <v>289.95</v>
      </c>
      <c r="H123" s="2">
        <f>G123*(1+$G$14)*(1+H122)</f>
        <v>283.48689851999995</v>
      </c>
      <c r="I123" s="2">
        <f t="shared" ref="I123:AA123" si="36">H123*(1+$G$14)*(1+I122)</f>
        <v>281.5094640080635</v>
      </c>
      <c r="J123" s="2">
        <f t="shared" si="36"/>
        <v>287.42116275223282</v>
      </c>
      <c r="K123" s="2">
        <f t="shared" si="36"/>
        <v>293.45700717002967</v>
      </c>
      <c r="L123" s="2">
        <f t="shared" si="36"/>
        <v>299.61960432060027</v>
      </c>
      <c r="M123" s="2">
        <f t="shared" si="36"/>
        <v>305.91161601133285</v>
      </c>
      <c r="N123" s="2">
        <f t="shared" si="36"/>
        <v>312.33575994757081</v>
      </c>
      <c r="O123" s="2">
        <f t="shared" si="36"/>
        <v>318.89481090646979</v>
      </c>
      <c r="P123" s="2">
        <f t="shared" si="36"/>
        <v>325.59160193550559</v>
      </c>
      <c r="Q123" s="2">
        <f t="shared" si="36"/>
        <v>332.42902557615116</v>
      </c>
      <c r="R123" s="2">
        <f t="shared" si="36"/>
        <v>339.41003511325033</v>
      </c>
      <c r="S123" s="2">
        <f t="shared" si="36"/>
        <v>346.53764585062856</v>
      </c>
      <c r="T123" s="2">
        <f t="shared" si="36"/>
        <v>353.81493641349175</v>
      </c>
      <c r="U123" s="2">
        <f t="shared" si="36"/>
        <v>361.24505007817504</v>
      </c>
      <c r="V123" s="2">
        <f t="shared" si="36"/>
        <v>368.8311961298167</v>
      </c>
      <c r="W123" s="2">
        <f t="shared" si="36"/>
        <v>376.57665124854282</v>
      </c>
      <c r="X123" s="2">
        <f t="shared" si="36"/>
        <v>384.48476092476216</v>
      </c>
      <c r="Y123" s="2">
        <f t="shared" si="36"/>
        <v>392.55894090418212</v>
      </c>
      <c r="Z123" s="2">
        <f t="shared" si="36"/>
        <v>400.8026786631699</v>
      </c>
      <c r="AA123" s="2">
        <f t="shared" si="36"/>
        <v>409.2195349150964</v>
      </c>
    </row>
    <row r="124" spans="1:27" x14ac:dyDescent="0.25">
      <c r="C124" s="1"/>
      <c r="D124" s="1"/>
      <c r="E124" t="s">
        <v>67</v>
      </c>
      <c r="F124" t="s">
        <v>143</v>
      </c>
      <c r="G124" s="20">
        <f>'YVW tariffs'!D11</f>
        <v>2.9171</v>
      </c>
      <c r="H124" s="21">
        <f>G124*(1+$G$14)*(1+H122)</f>
        <v>2.8520766741599997</v>
      </c>
      <c r="I124" s="21">
        <f t="shared" ref="I124:AA124" si="37">H124*(1+$G$14)*(1+I122)</f>
        <v>2.8321822985270639</v>
      </c>
      <c r="J124" s="21">
        <f t="shared" si="37"/>
        <v>2.8916581267961319</v>
      </c>
      <c r="K124" s="21">
        <f t="shared" si="37"/>
        <v>2.9523829474588505</v>
      </c>
      <c r="L124" s="21">
        <f t="shared" si="37"/>
        <v>3.0143829893554863</v>
      </c>
      <c r="M124" s="21">
        <f t="shared" si="37"/>
        <v>3.0776850321319511</v>
      </c>
      <c r="N124" s="21">
        <f t="shared" si="37"/>
        <v>3.1423164178067218</v>
      </c>
      <c r="O124" s="21">
        <f t="shared" si="37"/>
        <v>3.2083050625806626</v>
      </c>
      <c r="P124" s="21">
        <f t="shared" si="37"/>
        <v>3.2756794688948561</v>
      </c>
      <c r="Q124" s="21">
        <f t="shared" si="37"/>
        <v>3.3444687377416478</v>
      </c>
      <c r="R124" s="21">
        <f t="shared" si="37"/>
        <v>3.4147025812342222</v>
      </c>
      <c r="S124" s="21">
        <f t="shared" si="37"/>
        <v>3.4864113354401405</v>
      </c>
      <c r="T124" s="21">
        <f t="shared" si="37"/>
        <v>3.5596259734843829</v>
      </c>
      <c r="U124" s="21">
        <f t="shared" si="37"/>
        <v>3.6343781189275548</v>
      </c>
      <c r="V124" s="21">
        <f t="shared" si="37"/>
        <v>3.710700059425033</v>
      </c>
      <c r="W124" s="21">
        <f t="shared" si="37"/>
        <v>3.7886247606729584</v>
      </c>
      <c r="X124" s="21">
        <f t="shared" si="37"/>
        <v>3.8681858806470903</v>
      </c>
      <c r="Y124" s="21">
        <f t="shared" si="37"/>
        <v>3.949417784140679</v>
      </c>
      <c r="Z124" s="21">
        <f t="shared" si="37"/>
        <v>4.0323555576076329</v>
      </c>
      <c r="AA124" s="21">
        <f t="shared" si="37"/>
        <v>4.117035024317393</v>
      </c>
    </row>
    <row r="125" spans="1:27" x14ac:dyDescent="0.25">
      <c r="C125" s="1"/>
      <c r="D125" s="1"/>
      <c r="E125" t="s">
        <v>68</v>
      </c>
      <c r="F125" t="s">
        <v>143</v>
      </c>
      <c r="G125" s="20"/>
      <c r="H125" s="21">
        <f>G125*(1+$G$14)*(1+H122)</f>
        <v>0</v>
      </c>
      <c r="I125" s="21">
        <f t="shared" ref="I125:AA125" si="38">H125*(1+$G$14)*(1+I122)</f>
        <v>0</v>
      </c>
      <c r="J125" s="21">
        <f t="shared" si="38"/>
        <v>0</v>
      </c>
      <c r="K125" s="21">
        <f t="shared" si="38"/>
        <v>0</v>
      </c>
      <c r="L125" s="21">
        <f t="shared" si="38"/>
        <v>0</v>
      </c>
      <c r="M125" s="21">
        <f t="shared" si="38"/>
        <v>0</v>
      </c>
      <c r="N125" s="21">
        <f t="shared" si="38"/>
        <v>0</v>
      </c>
      <c r="O125" s="21">
        <f t="shared" si="38"/>
        <v>0</v>
      </c>
      <c r="P125" s="21">
        <f t="shared" si="38"/>
        <v>0</v>
      </c>
      <c r="Q125" s="21">
        <f t="shared" si="38"/>
        <v>0</v>
      </c>
      <c r="R125" s="21">
        <f t="shared" si="38"/>
        <v>0</v>
      </c>
      <c r="S125" s="21">
        <f t="shared" si="38"/>
        <v>0</v>
      </c>
      <c r="T125" s="21">
        <f t="shared" si="38"/>
        <v>0</v>
      </c>
      <c r="U125" s="21">
        <f t="shared" si="38"/>
        <v>0</v>
      </c>
      <c r="V125" s="21">
        <f t="shared" si="38"/>
        <v>0</v>
      </c>
      <c r="W125" s="21">
        <f t="shared" si="38"/>
        <v>0</v>
      </c>
      <c r="X125" s="21">
        <f t="shared" si="38"/>
        <v>0</v>
      </c>
      <c r="Y125" s="21">
        <f t="shared" si="38"/>
        <v>0</v>
      </c>
      <c r="Z125" s="21">
        <f t="shared" si="38"/>
        <v>0</v>
      </c>
      <c r="AA125" s="21">
        <f t="shared" si="38"/>
        <v>0</v>
      </c>
    </row>
    <row r="126" spans="1:27" x14ac:dyDescent="0.25">
      <c r="C126" s="1"/>
      <c r="D126" s="1"/>
      <c r="E126" t="s">
        <v>142</v>
      </c>
      <c r="F126" t="s">
        <v>143</v>
      </c>
      <c r="G126" s="20"/>
      <c r="H126" s="21">
        <f>G126*(1+$G$14)*(1+H122)</f>
        <v>0</v>
      </c>
      <c r="I126" s="21">
        <f t="shared" ref="I126:AA126" si="39">H126*(1+$G$14)*(1+I122)</f>
        <v>0</v>
      </c>
      <c r="J126" s="21">
        <f t="shared" si="39"/>
        <v>0</v>
      </c>
      <c r="K126" s="21">
        <f t="shared" si="39"/>
        <v>0</v>
      </c>
      <c r="L126" s="21">
        <f t="shared" si="39"/>
        <v>0</v>
      </c>
      <c r="M126" s="21">
        <f t="shared" si="39"/>
        <v>0</v>
      </c>
      <c r="N126" s="21">
        <f t="shared" si="39"/>
        <v>0</v>
      </c>
      <c r="O126" s="21">
        <f t="shared" si="39"/>
        <v>0</v>
      </c>
      <c r="P126" s="21">
        <f t="shared" si="39"/>
        <v>0</v>
      </c>
      <c r="Q126" s="21">
        <f t="shared" si="39"/>
        <v>0</v>
      </c>
      <c r="R126" s="21">
        <f t="shared" si="39"/>
        <v>0</v>
      </c>
      <c r="S126" s="21">
        <f t="shared" si="39"/>
        <v>0</v>
      </c>
      <c r="T126" s="21">
        <f t="shared" si="39"/>
        <v>0</v>
      </c>
      <c r="U126" s="21">
        <f t="shared" si="39"/>
        <v>0</v>
      </c>
      <c r="V126" s="21">
        <f t="shared" si="39"/>
        <v>0</v>
      </c>
      <c r="W126" s="21">
        <f t="shared" si="39"/>
        <v>0</v>
      </c>
      <c r="X126" s="21">
        <f t="shared" si="39"/>
        <v>0</v>
      </c>
      <c r="Y126" s="21">
        <f t="shared" si="39"/>
        <v>0</v>
      </c>
      <c r="Z126" s="21">
        <f t="shared" si="39"/>
        <v>0</v>
      </c>
      <c r="AA126" s="21">
        <f t="shared" si="39"/>
        <v>0</v>
      </c>
    </row>
    <row r="127" spans="1:27" x14ac:dyDescent="0.25">
      <c r="C127" s="1"/>
      <c r="D127" s="1"/>
    </row>
    <row r="128" spans="1:27" x14ac:dyDescent="0.25">
      <c r="C128" s="1"/>
      <c r="D128" s="1"/>
      <c r="E128" t="s">
        <v>72</v>
      </c>
      <c r="F128" t="s">
        <v>58</v>
      </c>
      <c r="H128" s="2">
        <f>SUM(H119:H121)/1000</f>
        <v>47.84</v>
      </c>
      <c r="I128" s="2">
        <f t="shared" ref="I128:AA128" si="40">SUM(I119:I121)/1000</f>
        <v>95.68</v>
      </c>
      <c r="J128" s="2">
        <f t="shared" si="40"/>
        <v>144.56</v>
      </c>
      <c r="K128" s="2">
        <f t="shared" si="40"/>
        <v>191.36</v>
      </c>
      <c r="L128" s="2">
        <f t="shared" si="40"/>
        <v>236.6</v>
      </c>
      <c r="M128" s="2">
        <f t="shared" si="40"/>
        <v>279.76</v>
      </c>
      <c r="N128" s="2">
        <f t="shared" si="40"/>
        <v>321.36</v>
      </c>
      <c r="O128" s="2">
        <f t="shared" si="40"/>
        <v>361.4</v>
      </c>
      <c r="P128" s="2">
        <f t="shared" si="40"/>
        <v>403.52</v>
      </c>
      <c r="Q128" s="2">
        <f t="shared" si="40"/>
        <v>448.24</v>
      </c>
      <c r="R128" s="2">
        <f t="shared" si="40"/>
        <v>495.56</v>
      </c>
      <c r="S128" s="2">
        <f t="shared" si="40"/>
        <v>546</v>
      </c>
      <c r="T128" s="2">
        <f t="shared" si="40"/>
        <v>599.04</v>
      </c>
      <c r="U128" s="2">
        <f t="shared" si="40"/>
        <v>651.55999999999995</v>
      </c>
      <c r="V128" s="2">
        <f t="shared" si="40"/>
        <v>704.08</v>
      </c>
      <c r="W128" s="2">
        <f t="shared" si="40"/>
        <v>704.08</v>
      </c>
      <c r="X128" s="2">
        <f t="shared" si="40"/>
        <v>704.08</v>
      </c>
      <c r="Y128" s="2">
        <f t="shared" si="40"/>
        <v>704.08</v>
      </c>
      <c r="Z128" s="2">
        <f t="shared" si="40"/>
        <v>704.08</v>
      </c>
      <c r="AA128" s="2">
        <f t="shared" si="40"/>
        <v>704.08</v>
      </c>
    </row>
    <row r="129" spans="1:27" x14ac:dyDescent="0.25">
      <c r="C129" s="1"/>
      <c r="D129" s="1"/>
      <c r="E129" t="s">
        <v>73</v>
      </c>
      <c r="F129" t="s">
        <v>7</v>
      </c>
      <c r="H129" s="2">
        <f>H112*H123+H119*H124+H120*H125+H121*H126</f>
        <v>162524.14275565438</v>
      </c>
      <c r="I129" s="2">
        <f t="shared" ref="I129:AA129" si="41">I112*I123+I119*I124+I120*I125+I121*I126</f>
        <v>322780.94370055321</v>
      </c>
      <c r="J129" s="2">
        <f t="shared" si="41"/>
        <v>497921.18205476954</v>
      </c>
      <c r="K129" s="2">
        <f t="shared" si="41"/>
        <v>672960.17946429655</v>
      </c>
      <c r="L129" s="2">
        <f t="shared" si="41"/>
        <v>849529.93524738122</v>
      </c>
      <c r="M129" s="2">
        <f t="shared" si="41"/>
        <v>1025593.6140033316</v>
      </c>
      <c r="N129" s="2">
        <f t="shared" si="41"/>
        <v>1202838.3036739668</v>
      </c>
      <c r="O129" s="2">
        <f t="shared" si="41"/>
        <v>1381113.3431966479</v>
      </c>
      <c r="P129" s="2">
        <f t="shared" si="41"/>
        <v>1574461.2623904045</v>
      </c>
      <c r="Q129" s="2">
        <f t="shared" si="41"/>
        <v>1785678.4870519585</v>
      </c>
      <c r="R129" s="2">
        <f t="shared" si="41"/>
        <v>2015647.7746193586</v>
      </c>
      <c r="S129" s="2">
        <f t="shared" si="41"/>
        <v>2267445.1172934766</v>
      </c>
      <c r="T129" s="2">
        <f t="shared" si="41"/>
        <v>2539953.1499044271</v>
      </c>
      <c r="U129" s="2">
        <f t="shared" si="41"/>
        <v>2820655.4549163911</v>
      </c>
      <c r="V129" s="2">
        <f t="shared" si="41"/>
        <v>3112027.1373997489</v>
      </c>
      <c r="W129" s="2">
        <f t="shared" si="41"/>
        <v>3177379.7072851434</v>
      </c>
      <c r="X129" s="2">
        <f t="shared" si="41"/>
        <v>3244104.6811381313</v>
      </c>
      <c r="Y129" s="2">
        <f t="shared" si="41"/>
        <v>3312230.8794420315</v>
      </c>
      <c r="Z129" s="2">
        <f t="shared" si="41"/>
        <v>3381787.7279103147</v>
      </c>
      <c r="AA129" s="2">
        <f t="shared" si="41"/>
        <v>3452805.2701964304</v>
      </c>
    </row>
    <row r="130" spans="1:27" x14ac:dyDescent="0.25">
      <c r="C130" s="1"/>
      <c r="D130" s="1"/>
    </row>
    <row r="131" spans="1:27" x14ac:dyDescent="0.25">
      <c r="C131" s="1"/>
      <c r="D131" t="s">
        <v>74</v>
      </c>
    </row>
    <row r="132" spans="1:27" x14ac:dyDescent="0.25">
      <c r="A132" s="14">
        <f>'Notes &amp; Assumptions'!A38</f>
        <v>25</v>
      </c>
      <c r="C132" s="1"/>
      <c r="D132" s="1"/>
      <c r="E132" t="s">
        <v>87</v>
      </c>
      <c r="F132" t="s">
        <v>3</v>
      </c>
      <c r="H132" s="10">
        <v>0</v>
      </c>
      <c r="I132" s="10">
        <v>0</v>
      </c>
      <c r="J132" s="10">
        <v>0</v>
      </c>
      <c r="K132" s="10">
        <v>0</v>
      </c>
      <c r="L132" s="10">
        <v>0</v>
      </c>
      <c r="M132" s="10">
        <v>0</v>
      </c>
      <c r="N132" s="10">
        <v>0</v>
      </c>
      <c r="O132" s="10">
        <v>0</v>
      </c>
      <c r="P132" s="10">
        <v>0</v>
      </c>
      <c r="Q132" s="10">
        <v>0</v>
      </c>
      <c r="R132" s="10">
        <f>AVERAGE($O132:$Q132)</f>
        <v>0</v>
      </c>
      <c r="S132" s="10">
        <f t="shared" ref="S132:V132" si="42">AVERAGE($O132:$Q132)</f>
        <v>0</v>
      </c>
      <c r="T132" s="10">
        <f t="shared" si="42"/>
        <v>0</v>
      </c>
      <c r="U132" s="10">
        <f t="shared" si="42"/>
        <v>0</v>
      </c>
      <c r="V132" s="10">
        <f t="shared" si="42"/>
        <v>0</v>
      </c>
    </row>
    <row r="133" spans="1:27" x14ac:dyDescent="0.25">
      <c r="C133" s="1"/>
      <c r="D133" s="1"/>
      <c r="E133" t="s">
        <v>60</v>
      </c>
      <c r="F133" t="s">
        <v>3</v>
      </c>
      <c r="H133" s="2">
        <f>G133+H132</f>
        <v>0</v>
      </c>
      <c r="I133" s="2">
        <f t="shared" ref="I133:AA133" si="43">H133+I132</f>
        <v>0</v>
      </c>
      <c r="J133" s="2">
        <f t="shared" si="43"/>
        <v>0</v>
      </c>
      <c r="K133" s="2">
        <f t="shared" si="43"/>
        <v>0</v>
      </c>
      <c r="L133" s="2">
        <f t="shared" si="43"/>
        <v>0</v>
      </c>
      <c r="M133" s="2">
        <f t="shared" si="43"/>
        <v>0</v>
      </c>
      <c r="N133" s="2">
        <f t="shared" si="43"/>
        <v>0</v>
      </c>
      <c r="O133" s="2">
        <f t="shared" si="43"/>
        <v>0</v>
      </c>
      <c r="P133" s="2">
        <f t="shared" si="43"/>
        <v>0</v>
      </c>
      <c r="Q133" s="2">
        <f t="shared" si="43"/>
        <v>0</v>
      </c>
      <c r="R133" s="2">
        <f t="shared" si="43"/>
        <v>0</v>
      </c>
      <c r="S133" s="2">
        <f t="shared" si="43"/>
        <v>0</v>
      </c>
      <c r="T133" s="2">
        <f t="shared" si="43"/>
        <v>0</v>
      </c>
      <c r="U133" s="2">
        <f t="shared" si="43"/>
        <v>0</v>
      </c>
      <c r="V133" s="2">
        <f t="shared" si="43"/>
        <v>0</v>
      </c>
      <c r="W133" s="2">
        <f t="shared" si="43"/>
        <v>0</v>
      </c>
      <c r="X133" s="2">
        <f t="shared" si="43"/>
        <v>0</v>
      </c>
      <c r="Y133" s="2">
        <f t="shared" si="43"/>
        <v>0</v>
      </c>
      <c r="Z133" s="2">
        <f t="shared" si="43"/>
        <v>0</v>
      </c>
      <c r="AA133" s="2">
        <f t="shared" si="43"/>
        <v>0</v>
      </c>
    </row>
    <row r="134" spans="1:27" x14ac:dyDescent="0.25">
      <c r="A134" s="14">
        <f>'Notes &amp; Assumptions'!A39</f>
        <v>26</v>
      </c>
      <c r="C134" s="1"/>
      <c r="D134" s="1"/>
      <c r="E134" t="s">
        <v>61</v>
      </c>
      <c r="F134" t="s">
        <v>3</v>
      </c>
      <c r="G134" s="10">
        <v>1</v>
      </c>
    </row>
    <row r="135" spans="1:27" x14ac:dyDescent="0.25">
      <c r="C135" s="1"/>
      <c r="D135" s="1"/>
      <c r="E135" t="s">
        <v>88</v>
      </c>
      <c r="F135" t="s">
        <v>3</v>
      </c>
      <c r="H135">
        <f>H132*$G134</f>
        <v>0</v>
      </c>
      <c r="I135">
        <f t="shared" ref="I135:AA135" si="44">I132*$G134</f>
        <v>0</v>
      </c>
      <c r="J135">
        <f t="shared" si="44"/>
        <v>0</v>
      </c>
      <c r="K135">
        <f t="shared" si="44"/>
        <v>0</v>
      </c>
      <c r="L135">
        <f t="shared" si="44"/>
        <v>0</v>
      </c>
      <c r="M135">
        <f t="shared" si="44"/>
        <v>0</v>
      </c>
      <c r="N135">
        <f t="shared" si="44"/>
        <v>0</v>
      </c>
      <c r="O135">
        <f t="shared" si="44"/>
        <v>0</v>
      </c>
      <c r="P135">
        <f t="shared" si="44"/>
        <v>0</v>
      </c>
      <c r="Q135">
        <f t="shared" si="44"/>
        <v>0</v>
      </c>
      <c r="R135">
        <f t="shared" si="44"/>
        <v>0</v>
      </c>
      <c r="S135">
        <f t="shared" si="44"/>
        <v>0</v>
      </c>
      <c r="T135">
        <f t="shared" si="44"/>
        <v>0</v>
      </c>
      <c r="U135">
        <f t="shared" si="44"/>
        <v>0</v>
      </c>
      <c r="V135">
        <f t="shared" si="44"/>
        <v>0</v>
      </c>
      <c r="W135">
        <f t="shared" si="44"/>
        <v>0</v>
      </c>
      <c r="X135">
        <f t="shared" si="44"/>
        <v>0</v>
      </c>
      <c r="Y135">
        <f t="shared" si="44"/>
        <v>0</v>
      </c>
      <c r="Z135">
        <f t="shared" si="44"/>
        <v>0</v>
      </c>
      <c r="AA135">
        <f t="shared" si="44"/>
        <v>0</v>
      </c>
    </row>
    <row r="136" spans="1:27" x14ac:dyDescent="0.25">
      <c r="C136" s="1"/>
      <c r="D136" s="1"/>
      <c r="E136" t="s">
        <v>89</v>
      </c>
      <c r="F136" t="s">
        <v>3</v>
      </c>
      <c r="H136">
        <f>H133*$G134</f>
        <v>0</v>
      </c>
      <c r="I136">
        <f t="shared" ref="I136:AA136" si="45">I133*$G134</f>
        <v>0</v>
      </c>
      <c r="J136">
        <f t="shared" si="45"/>
        <v>0</v>
      </c>
      <c r="K136">
        <f t="shared" si="45"/>
        <v>0</v>
      </c>
      <c r="L136">
        <f t="shared" si="45"/>
        <v>0</v>
      </c>
      <c r="M136">
        <f t="shared" si="45"/>
        <v>0</v>
      </c>
      <c r="N136">
        <f t="shared" si="45"/>
        <v>0</v>
      </c>
      <c r="O136">
        <f t="shared" si="45"/>
        <v>0</v>
      </c>
      <c r="P136">
        <f t="shared" si="45"/>
        <v>0</v>
      </c>
      <c r="Q136">
        <f t="shared" si="45"/>
        <v>0</v>
      </c>
      <c r="R136">
        <f t="shared" si="45"/>
        <v>0</v>
      </c>
      <c r="S136">
        <f t="shared" si="45"/>
        <v>0</v>
      </c>
      <c r="T136">
        <f t="shared" si="45"/>
        <v>0</v>
      </c>
      <c r="U136">
        <f t="shared" si="45"/>
        <v>0</v>
      </c>
      <c r="V136">
        <f t="shared" si="45"/>
        <v>0</v>
      </c>
      <c r="W136">
        <f t="shared" si="45"/>
        <v>0</v>
      </c>
      <c r="X136">
        <f t="shared" si="45"/>
        <v>0</v>
      </c>
      <c r="Y136">
        <f t="shared" si="45"/>
        <v>0</v>
      </c>
      <c r="Z136">
        <f t="shared" si="45"/>
        <v>0</v>
      </c>
      <c r="AA136">
        <f t="shared" si="45"/>
        <v>0</v>
      </c>
    </row>
    <row r="137" spans="1:27" x14ac:dyDescent="0.25">
      <c r="A137" s="14">
        <f>'Notes &amp; Assumptions'!A40</f>
        <v>27</v>
      </c>
      <c r="C137" s="1"/>
      <c r="D137" s="1"/>
      <c r="E137" t="s">
        <v>62</v>
      </c>
      <c r="F137" t="s">
        <v>43</v>
      </c>
      <c r="H137" s="10"/>
      <c r="I137" s="10"/>
      <c r="J137" s="10"/>
      <c r="K137" s="10"/>
      <c r="L137" s="10"/>
      <c r="M137" s="10"/>
      <c r="N137" s="10"/>
      <c r="O137" s="10"/>
      <c r="P137" s="10"/>
      <c r="Q137" s="10"/>
      <c r="R137" s="10"/>
      <c r="S137" s="10"/>
      <c r="T137" s="10"/>
      <c r="U137" s="10"/>
      <c r="V137" s="10"/>
      <c r="W137" s="10"/>
      <c r="X137" s="10"/>
      <c r="Y137" s="10"/>
      <c r="Z137" s="10"/>
      <c r="AA137" s="10"/>
    </row>
    <row r="138" spans="1:27" x14ac:dyDescent="0.25">
      <c r="C138" s="1"/>
      <c r="D138" s="1"/>
      <c r="E138" t="s">
        <v>63</v>
      </c>
      <c r="F138" t="s">
        <v>43</v>
      </c>
      <c r="H138" s="10"/>
      <c r="I138" s="10"/>
      <c r="J138" s="10"/>
      <c r="K138" s="10"/>
      <c r="L138" s="10"/>
      <c r="M138" s="10"/>
      <c r="N138" s="10"/>
      <c r="O138" s="10"/>
      <c r="P138" s="10"/>
      <c r="Q138" s="10"/>
      <c r="R138" s="10"/>
      <c r="S138" s="10"/>
      <c r="T138" s="10"/>
      <c r="U138" s="10"/>
      <c r="V138" s="10"/>
      <c r="W138" s="10"/>
      <c r="X138" s="10"/>
      <c r="Y138" s="10"/>
      <c r="Z138" s="10"/>
      <c r="AA138" s="10"/>
    </row>
    <row r="139" spans="1:27" x14ac:dyDescent="0.25">
      <c r="A139" s="14">
        <f>'Notes &amp; Assumptions'!A41</f>
        <v>28</v>
      </c>
      <c r="C139" s="1"/>
      <c r="D139" s="1"/>
      <c r="E139" t="s">
        <v>140</v>
      </c>
      <c r="F139" t="s">
        <v>43</v>
      </c>
      <c r="H139" s="10"/>
      <c r="I139" s="10"/>
      <c r="J139" s="10"/>
      <c r="K139" s="10"/>
      <c r="L139" s="10"/>
      <c r="M139" s="10"/>
      <c r="N139" s="10"/>
      <c r="O139" s="10"/>
      <c r="P139" s="10"/>
      <c r="Q139" s="10"/>
      <c r="R139" s="10"/>
      <c r="S139" s="10"/>
      <c r="T139" s="10"/>
      <c r="U139" s="10"/>
      <c r="V139" s="10"/>
      <c r="W139" s="10"/>
      <c r="X139" s="10"/>
      <c r="Y139" s="10"/>
      <c r="Z139" s="10"/>
      <c r="AA139" s="10"/>
    </row>
    <row r="140" spans="1:27" x14ac:dyDescent="0.25">
      <c r="C140" s="1"/>
      <c r="D140" s="1"/>
      <c r="E140" t="s">
        <v>64</v>
      </c>
      <c r="F140" t="s">
        <v>144</v>
      </c>
      <c r="H140" s="2">
        <f>H133*H137</f>
        <v>0</v>
      </c>
      <c r="I140" s="2">
        <f t="shared" ref="I140:AA140" si="46">I133*I137</f>
        <v>0</v>
      </c>
      <c r="J140" s="2">
        <f t="shared" si="46"/>
        <v>0</v>
      </c>
      <c r="K140" s="2">
        <f t="shared" si="46"/>
        <v>0</v>
      </c>
      <c r="L140" s="2">
        <f t="shared" si="46"/>
        <v>0</v>
      </c>
      <c r="M140" s="2">
        <f t="shared" si="46"/>
        <v>0</v>
      </c>
      <c r="N140" s="2">
        <f t="shared" si="46"/>
        <v>0</v>
      </c>
      <c r="O140" s="2">
        <f t="shared" si="46"/>
        <v>0</v>
      </c>
      <c r="P140" s="2">
        <f t="shared" si="46"/>
        <v>0</v>
      </c>
      <c r="Q140" s="2">
        <f t="shared" si="46"/>
        <v>0</v>
      </c>
      <c r="R140" s="2">
        <f t="shared" si="46"/>
        <v>0</v>
      </c>
      <c r="S140" s="2">
        <f t="shared" si="46"/>
        <v>0</v>
      </c>
      <c r="T140" s="2">
        <f t="shared" si="46"/>
        <v>0</v>
      </c>
      <c r="U140" s="2">
        <f t="shared" si="46"/>
        <v>0</v>
      </c>
      <c r="V140" s="2">
        <f t="shared" si="46"/>
        <v>0</v>
      </c>
      <c r="W140" s="2">
        <f t="shared" si="46"/>
        <v>0</v>
      </c>
      <c r="X140" s="2">
        <f t="shared" si="46"/>
        <v>0</v>
      </c>
      <c r="Y140" s="2">
        <f t="shared" si="46"/>
        <v>0</v>
      </c>
      <c r="Z140" s="2">
        <f t="shared" si="46"/>
        <v>0</v>
      </c>
      <c r="AA140" s="2">
        <f t="shared" si="46"/>
        <v>0</v>
      </c>
    </row>
    <row r="141" spans="1:27" x14ac:dyDescent="0.25">
      <c r="C141" s="1"/>
      <c r="D141" s="1"/>
      <c r="E141" t="s">
        <v>65</v>
      </c>
      <c r="F141" t="s">
        <v>144</v>
      </c>
      <c r="H141" s="2">
        <f>H133*H138</f>
        <v>0</v>
      </c>
      <c r="I141" s="2">
        <f t="shared" ref="I141:AA141" si="47">I133*I138</f>
        <v>0</v>
      </c>
      <c r="J141" s="2">
        <f t="shared" si="47"/>
        <v>0</v>
      </c>
      <c r="K141" s="2">
        <f t="shared" si="47"/>
        <v>0</v>
      </c>
      <c r="L141" s="2">
        <f t="shared" si="47"/>
        <v>0</v>
      </c>
      <c r="M141" s="2">
        <f t="shared" si="47"/>
        <v>0</v>
      </c>
      <c r="N141" s="2">
        <f t="shared" si="47"/>
        <v>0</v>
      </c>
      <c r="O141" s="2">
        <f t="shared" si="47"/>
        <v>0</v>
      </c>
      <c r="P141" s="2">
        <f t="shared" si="47"/>
        <v>0</v>
      </c>
      <c r="Q141" s="2">
        <f t="shared" si="47"/>
        <v>0</v>
      </c>
      <c r="R141" s="2">
        <f t="shared" si="47"/>
        <v>0</v>
      </c>
      <c r="S141" s="2">
        <f t="shared" si="47"/>
        <v>0</v>
      </c>
      <c r="T141" s="2">
        <f t="shared" si="47"/>
        <v>0</v>
      </c>
      <c r="U141" s="2">
        <f t="shared" si="47"/>
        <v>0</v>
      </c>
      <c r="V141" s="2">
        <f t="shared" si="47"/>
        <v>0</v>
      </c>
      <c r="W141" s="2">
        <f t="shared" si="47"/>
        <v>0</v>
      </c>
      <c r="X141" s="2">
        <f t="shared" si="47"/>
        <v>0</v>
      </c>
      <c r="Y141" s="2">
        <f t="shared" si="47"/>
        <v>0</v>
      </c>
      <c r="Z141" s="2">
        <f t="shared" si="47"/>
        <v>0</v>
      </c>
      <c r="AA141" s="2">
        <f t="shared" si="47"/>
        <v>0</v>
      </c>
    </row>
    <row r="142" spans="1:27" x14ac:dyDescent="0.25">
      <c r="C142" s="1"/>
      <c r="D142" s="1"/>
      <c r="E142" t="s">
        <v>141</v>
      </c>
      <c r="F142" t="s">
        <v>144</v>
      </c>
      <c r="H142" s="2">
        <f>H133*H139</f>
        <v>0</v>
      </c>
      <c r="I142" s="2">
        <f t="shared" ref="I142:AA142" si="48">I133*I139</f>
        <v>0</v>
      </c>
      <c r="J142" s="2">
        <f t="shared" si="48"/>
        <v>0</v>
      </c>
      <c r="K142" s="2">
        <f t="shared" si="48"/>
        <v>0</v>
      </c>
      <c r="L142" s="2">
        <f t="shared" si="48"/>
        <v>0</v>
      </c>
      <c r="M142" s="2">
        <f t="shared" si="48"/>
        <v>0</v>
      </c>
      <c r="N142" s="2">
        <f t="shared" si="48"/>
        <v>0</v>
      </c>
      <c r="O142" s="2">
        <f t="shared" si="48"/>
        <v>0</v>
      </c>
      <c r="P142" s="2">
        <f t="shared" si="48"/>
        <v>0</v>
      </c>
      <c r="Q142" s="2">
        <f t="shared" si="48"/>
        <v>0</v>
      </c>
      <c r="R142" s="2">
        <f t="shared" si="48"/>
        <v>0</v>
      </c>
      <c r="S142" s="2">
        <f t="shared" si="48"/>
        <v>0</v>
      </c>
      <c r="T142" s="2">
        <f t="shared" si="48"/>
        <v>0</v>
      </c>
      <c r="U142" s="2">
        <f t="shared" si="48"/>
        <v>0</v>
      </c>
      <c r="V142" s="2">
        <f t="shared" si="48"/>
        <v>0</v>
      </c>
      <c r="W142" s="2">
        <f t="shared" si="48"/>
        <v>0</v>
      </c>
      <c r="X142" s="2">
        <f t="shared" si="48"/>
        <v>0</v>
      </c>
      <c r="Y142" s="2">
        <f t="shared" si="48"/>
        <v>0</v>
      </c>
      <c r="Z142" s="2">
        <f t="shared" si="48"/>
        <v>0</v>
      </c>
      <c r="AA142" s="2">
        <f t="shared" si="48"/>
        <v>0</v>
      </c>
    </row>
    <row r="143" spans="1:27" x14ac:dyDescent="0.25">
      <c r="A143" s="14">
        <f>'Notes &amp; Assumptions'!A42</f>
        <v>29</v>
      </c>
      <c r="C143" s="1"/>
      <c r="D143" s="1"/>
      <c r="E143" t="s">
        <v>66</v>
      </c>
      <c r="F143" t="s">
        <v>8</v>
      </c>
      <c r="H143" s="11"/>
      <c r="I143" s="11"/>
      <c r="J143" s="11"/>
      <c r="K143" s="11"/>
      <c r="L143" s="11"/>
      <c r="M143" s="11"/>
      <c r="N143" s="11"/>
      <c r="O143" s="11"/>
      <c r="P143" s="11"/>
      <c r="Q143" s="11"/>
      <c r="R143" s="11"/>
      <c r="S143" s="11"/>
      <c r="T143" s="11"/>
      <c r="U143" s="11"/>
      <c r="V143" s="11"/>
      <c r="W143" s="11"/>
      <c r="X143" s="11"/>
      <c r="Y143" s="11"/>
      <c r="Z143" s="11"/>
      <c r="AA143" s="11"/>
    </row>
    <row r="144" spans="1:27" x14ac:dyDescent="0.25">
      <c r="A144" s="14">
        <f>'Notes &amp; Assumptions'!A43</f>
        <v>30</v>
      </c>
      <c r="C144" s="1"/>
      <c r="D144" s="1"/>
      <c r="E144" t="s">
        <v>40</v>
      </c>
      <c r="F144" t="s">
        <v>41</v>
      </c>
      <c r="G144" s="10"/>
      <c r="H144" s="2">
        <f>G144*(1+$G$14)*(1+H143)</f>
        <v>0</v>
      </c>
      <c r="I144" s="2">
        <f t="shared" ref="I144:AA144" si="49">H144*(1+$G$14)*(1+I143)</f>
        <v>0</v>
      </c>
      <c r="J144" s="2">
        <f t="shared" si="49"/>
        <v>0</v>
      </c>
      <c r="K144" s="2">
        <f t="shared" si="49"/>
        <v>0</v>
      </c>
      <c r="L144" s="2">
        <f t="shared" si="49"/>
        <v>0</v>
      </c>
      <c r="M144" s="2">
        <f t="shared" si="49"/>
        <v>0</v>
      </c>
      <c r="N144" s="2">
        <f t="shared" si="49"/>
        <v>0</v>
      </c>
      <c r="O144" s="2">
        <f t="shared" si="49"/>
        <v>0</v>
      </c>
      <c r="P144" s="2">
        <f t="shared" si="49"/>
        <v>0</v>
      </c>
      <c r="Q144" s="2">
        <f t="shared" si="49"/>
        <v>0</v>
      </c>
      <c r="R144" s="2">
        <f t="shared" si="49"/>
        <v>0</v>
      </c>
      <c r="S144" s="2">
        <f t="shared" si="49"/>
        <v>0</v>
      </c>
      <c r="T144" s="2">
        <f t="shared" si="49"/>
        <v>0</v>
      </c>
      <c r="U144" s="2">
        <f t="shared" si="49"/>
        <v>0</v>
      </c>
      <c r="V144" s="2">
        <f t="shared" si="49"/>
        <v>0</v>
      </c>
      <c r="W144" s="2">
        <f t="shared" si="49"/>
        <v>0</v>
      </c>
      <c r="X144" s="2">
        <f t="shared" si="49"/>
        <v>0</v>
      </c>
      <c r="Y144" s="2">
        <f t="shared" si="49"/>
        <v>0</v>
      </c>
      <c r="Z144" s="2">
        <f t="shared" si="49"/>
        <v>0</v>
      </c>
      <c r="AA144" s="2">
        <f t="shared" si="49"/>
        <v>0</v>
      </c>
    </row>
    <row r="145" spans="1:27" x14ac:dyDescent="0.25">
      <c r="C145" s="1"/>
      <c r="D145" s="1"/>
      <c r="E145" t="s">
        <v>67</v>
      </c>
      <c r="F145" t="s">
        <v>143</v>
      </c>
      <c r="G145" s="20"/>
      <c r="H145" s="21">
        <f>G145*(1+$G$14)*(1+H143)</f>
        <v>0</v>
      </c>
      <c r="I145" s="21">
        <f t="shared" ref="I145:AA145" si="50">H145*(1+$G$14)*(1+I143)</f>
        <v>0</v>
      </c>
      <c r="J145" s="21">
        <f t="shared" si="50"/>
        <v>0</v>
      </c>
      <c r="K145" s="21">
        <f t="shared" si="50"/>
        <v>0</v>
      </c>
      <c r="L145" s="21">
        <f t="shared" si="50"/>
        <v>0</v>
      </c>
      <c r="M145" s="21">
        <f t="shared" si="50"/>
        <v>0</v>
      </c>
      <c r="N145" s="21">
        <f t="shared" si="50"/>
        <v>0</v>
      </c>
      <c r="O145" s="21">
        <f t="shared" si="50"/>
        <v>0</v>
      </c>
      <c r="P145" s="21">
        <f t="shared" si="50"/>
        <v>0</v>
      </c>
      <c r="Q145" s="21">
        <f t="shared" si="50"/>
        <v>0</v>
      </c>
      <c r="R145" s="21">
        <f t="shared" si="50"/>
        <v>0</v>
      </c>
      <c r="S145" s="21">
        <f t="shared" si="50"/>
        <v>0</v>
      </c>
      <c r="T145" s="21">
        <f t="shared" si="50"/>
        <v>0</v>
      </c>
      <c r="U145" s="21">
        <f t="shared" si="50"/>
        <v>0</v>
      </c>
      <c r="V145" s="21">
        <f t="shared" si="50"/>
        <v>0</v>
      </c>
      <c r="W145" s="21">
        <f t="shared" si="50"/>
        <v>0</v>
      </c>
      <c r="X145" s="21">
        <f t="shared" si="50"/>
        <v>0</v>
      </c>
      <c r="Y145" s="21">
        <f t="shared" si="50"/>
        <v>0</v>
      </c>
      <c r="Z145" s="21">
        <f t="shared" si="50"/>
        <v>0</v>
      </c>
      <c r="AA145" s="21">
        <f t="shared" si="50"/>
        <v>0</v>
      </c>
    </row>
    <row r="146" spans="1:27" x14ac:dyDescent="0.25">
      <c r="C146" s="1"/>
      <c r="D146" s="1"/>
      <c r="E146" t="s">
        <v>68</v>
      </c>
      <c r="F146" t="s">
        <v>143</v>
      </c>
      <c r="G146" s="20"/>
      <c r="H146" s="21">
        <f>G146*(1+$G$14)*(1+H143)</f>
        <v>0</v>
      </c>
      <c r="I146" s="21">
        <f t="shared" ref="I146:AA146" si="51">H146*(1+$G$14)*(1+I143)</f>
        <v>0</v>
      </c>
      <c r="J146" s="21">
        <f t="shared" si="51"/>
        <v>0</v>
      </c>
      <c r="K146" s="21">
        <f t="shared" si="51"/>
        <v>0</v>
      </c>
      <c r="L146" s="21">
        <f t="shared" si="51"/>
        <v>0</v>
      </c>
      <c r="M146" s="21">
        <f t="shared" si="51"/>
        <v>0</v>
      </c>
      <c r="N146" s="21">
        <f t="shared" si="51"/>
        <v>0</v>
      </c>
      <c r="O146" s="21">
        <f t="shared" si="51"/>
        <v>0</v>
      </c>
      <c r="P146" s="21">
        <f t="shared" si="51"/>
        <v>0</v>
      </c>
      <c r="Q146" s="21">
        <f t="shared" si="51"/>
        <v>0</v>
      </c>
      <c r="R146" s="21">
        <f t="shared" si="51"/>
        <v>0</v>
      </c>
      <c r="S146" s="21">
        <f t="shared" si="51"/>
        <v>0</v>
      </c>
      <c r="T146" s="21">
        <f t="shared" si="51"/>
        <v>0</v>
      </c>
      <c r="U146" s="21">
        <f t="shared" si="51"/>
        <v>0</v>
      </c>
      <c r="V146" s="21">
        <f t="shared" si="51"/>
        <v>0</v>
      </c>
      <c r="W146" s="21">
        <f t="shared" si="51"/>
        <v>0</v>
      </c>
      <c r="X146" s="21">
        <f t="shared" si="51"/>
        <v>0</v>
      </c>
      <c r="Y146" s="21">
        <f t="shared" si="51"/>
        <v>0</v>
      </c>
      <c r="Z146" s="21">
        <f t="shared" si="51"/>
        <v>0</v>
      </c>
      <c r="AA146" s="21">
        <f t="shared" si="51"/>
        <v>0</v>
      </c>
    </row>
    <row r="147" spans="1:27" x14ac:dyDescent="0.25">
      <c r="C147" s="1"/>
      <c r="D147" s="1"/>
      <c r="E147" t="s">
        <v>142</v>
      </c>
      <c r="F147" t="s">
        <v>143</v>
      </c>
      <c r="G147" s="20"/>
      <c r="H147" s="21">
        <f>G147*(1+$G$14)*(1+H143)</f>
        <v>0</v>
      </c>
      <c r="I147" s="21">
        <f t="shared" ref="I147:AA147" si="52">H147*(1+$G$14)*(1+I143)</f>
        <v>0</v>
      </c>
      <c r="J147" s="21">
        <f t="shared" si="52"/>
        <v>0</v>
      </c>
      <c r="K147" s="21">
        <f t="shared" si="52"/>
        <v>0</v>
      </c>
      <c r="L147" s="21">
        <f t="shared" si="52"/>
        <v>0</v>
      </c>
      <c r="M147" s="21">
        <f t="shared" si="52"/>
        <v>0</v>
      </c>
      <c r="N147" s="21">
        <f t="shared" si="52"/>
        <v>0</v>
      </c>
      <c r="O147" s="21">
        <f t="shared" si="52"/>
        <v>0</v>
      </c>
      <c r="P147" s="21">
        <f t="shared" si="52"/>
        <v>0</v>
      </c>
      <c r="Q147" s="21">
        <f t="shared" si="52"/>
        <v>0</v>
      </c>
      <c r="R147" s="21">
        <f t="shared" si="52"/>
        <v>0</v>
      </c>
      <c r="S147" s="21">
        <f t="shared" si="52"/>
        <v>0</v>
      </c>
      <c r="T147" s="21">
        <f t="shared" si="52"/>
        <v>0</v>
      </c>
      <c r="U147" s="21">
        <f t="shared" si="52"/>
        <v>0</v>
      </c>
      <c r="V147" s="21">
        <f t="shared" si="52"/>
        <v>0</v>
      </c>
      <c r="W147" s="21">
        <f t="shared" si="52"/>
        <v>0</v>
      </c>
      <c r="X147" s="21">
        <f t="shared" si="52"/>
        <v>0</v>
      </c>
      <c r="Y147" s="21">
        <f t="shared" si="52"/>
        <v>0</v>
      </c>
      <c r="Z147" s="21">
        <f t="shared" si="52"/>
        <v>0</v>
      </c>
      <c r="AA147" s="21">
        <f t="shared" si="52"/>
        <v>0</v>
      </c>
    </row>
    <row r="148" spans="1:27" x14ac:dyDescent="0.25">
      <c r="C148" s="1"/>
      <c r="D148" s="1"/>
    </row>
    <row r="149" spans="1:27" x14ac:dyDescent="0.25">
      <c r="C149" s="1"/>
      <c r="D149" s="1"/>
      <c r="E149" t="s">
        <v>75</v>
      </c>
      <c r="F149" t="s">
        <v>58</v>
      </c>
      <c r="H149" s="2">
        <f>SUM(H140:H142)/1000</f>
        <v>0</v>
      </c>
      <c r="I149" s="2">
        <f t="shared" ref="I149:AA149" si="53">SUM(I140:I142)/1000</f>
        <v>0</v>
      </c>
      <c r="J149" s="2">
        <f t="shared" si="53"/>
        <v>0</v>
      </c>
      <c r="K149" s="2">
        <f t="shared" si="53"/>
        <v>0</v>
      </c>
      <c r="L149" s="2">
        <f t="shared" si="53"/>
        <v>0</v>
      </c>
      <c r="M149" s="2">
        <f t="shared" si="53"/>
        <v>0</v>
      </c>
      <c r="N149" s="2">
        <f t="shared" si="53"/>
        <v>0</v>
      </c>
      <c r="O149" s="2">
        <f t="shared" si="53"/>
        <v>0</v>
      </c>
      <c r="P149" s="2">
        <f t="shared" si="53"/>
        <v>0</v>
      </c>
      <c r="Q149" s="2">
        <f t="shared" si="53"/>
        <v>0</v>
      </c>
      <c r="R149" s="2">
        <f t="shared" si="53"/>
        <v>0</v>
      </c>
      <c r="S149" s="2">
        <f t="shared" si="53"/>
        <v>0</v>
      </c>
      <c r="T149" s="2">
        <f t="shared" si="53"/>
        <v>0</v>
      </c>
      <c r="U149" s="2">
        <f t="shared" si="53"/>
        <v>0</v>
      </c>
      <c r="V149" s="2">
        <f t="shared" si="53"/>
        <v>0</v>
      </c>
      <c r="W149" s="2">
        <f t="shared" si="53"/>
        <v>0</v>
      </c>
      <c r="X149" s="2">
        <f t="shared" si="53"/>
        <v>0</v>
      </c>
      <c r="Y149" s="2">
        <f t="shared" si="53"/>
        <v>0</v>
      </c>
      <c r="Z149" s="2">
        <f t="shared" si="53"/>
        <v>0</v>
      </c>
      <c r="AA149" s="2">
        <f t="shared" si="53"/>
        <v>0</v>
      </c>
    </row>
    <row r="150" spans="1:27" x14ac:dyDescent="0.25">
      <c r="C150" s="1"/>
      <c r="D150" s="1"/>
      <c r="E150" t="s">
        <v>76</v>
      </c>
      <c r="F150" t="s">
        <v>7</v>
      </c>
      <c r="H150" s="2">
        <f>H133*H144+H140*H145+H141*H146+H142*H147</f>
        <v>0</v>
      </c>
      <c r="I150" s="2">
        <f t="shared" ref="I150:AA150" si="54">I133*I144+I140*I145+I141*I146+I142*I147</f>
        <v>0</v>
      </c>
      <c r="J150" s="2">
        <f t="shared" si="54"/>
        <v>0</v>
      </c>
      <c r="K150" s="2">
        <f t="shared" si="54"/>
        <v>0</v>
      </c>
      <c r="L150" s="2">
        <f t="shared" si="54"/>
        <v>0</v>
      </c>
      <c r="M150" s="2">
        <f t="shared" si="54"/>
        <v>0</v>
      </c>
      <c r="N150" s="2">
        <f t="shared" si="54"/>
        <v>0</v>
      </c>
      <c r="O150" s="2">
        <f t="shared" si="54"/>
        <v>0</v>
      </c>
      <c r="P150" s="2">
        <f t="shared" si="54"/>
        <v>0</v>
      </c>
      <c r="Q150" s="2">
        <f t="shared" si="54"/>
        <v>0</v>
      </c>
      <c r="R150" s="2">
        <f t="shared" si="54"/>
        <v>0</v>
      </c>
      <c r="S150" s="2">
        <f t="shared" si="54"/>
        <v>0</v>
      </c>
      <c r="T150" s="2">
        <f t="shared" si="54"/>
        <v>0</v>
      </c>
      <c r="U150" s="2">
        <f t="shared" si="54"/>
        <v>0</v>
      </c>
      <c r="V150" s="2">
        <f t="shared" si="54"/>
        <v>0</v>
      </c>
      <c r="W150" s="2">
        <f t="shared" si="54"/>
        <v>0</v>
      </c>
      <c r="X150" s="2">
        <f t="shared" si="54"/>
        <v>0</v>
      </c>
      <c r="Y150" s="2">
        <f t="shared" si="54"/>
        <v>0</v>
      </c>
      <c r="Z150" s="2">
        <f t="shared" si="54"/>
        <v>0</v>
      </c>
      <c r="AA150" s="2">
        <f t="shared" si="54"/>
        <v>0</v>
      </c>
    </row>
    <row r="151" spans="1:27" x14ac:dyDescent="0.25">
      <c r="C151" s="1"/>
      <c r="D151" s="1"/>
    </row>
    <row r="152" spans="1:27" x14ac:dyDescent="0.25">
      <c r="C152" s="1"/>
      <c r="D152" t="s">
        <v>77</v>
      </c>
    </row>
    <row r="153" spans="1:27" x14ac:dyDescent="0.25">
      <c r="A153" s="14">
        <f>'Notes &amp; Assumptions'!A44</f>
        <v>31</v>
      </c>
      <c r="C153" s="1"/>
      <c r="D153" s="1"/>
      <c r="E153" t="s">
        <v>87</v>
      </c>
      <c r="F153" t="s">
        <v>3</v>
      </c>
      <c r="H153" s="10">
        <v>0</v>
      </c>
      <c r="I153" s="10">
        <v>0</v>
      </c>
      <c r="J153" s="10">
        <v>0</v>
      </c>
      <c r="K153" s="10">
        <v>0</v>
      </c>
      <c r="L153" s="10">
        <v>0</v>
      </c>
      <c r="M153" s="10">
        <v>0</v>
      </c>
      <c r="N153" s="10">
        <v>0</v>
      </c>
      <c r="O153" s="10">
        <v>0</v>
      </c>
      <c r="P153" s="10">
        <v>0</v>
      </c>
      <c r="Q153" s="10">
        <v>0</v>
      </c>
      <c r="R153" s="10">
        <f>AVERAGE($O153:$Q153)</f>
        <v>0</v>
      </c>
      <c r="S153" s="10">
        <f t="shared" ref="S153:V153" si="55">AVERAGE($O153:$Q153)</f>
        <v>0</v>
      </c>
      <c r="T153" s="10">
        <f t="shared" si="55"/>
        <v>0</v>
      </c>
      <c r="U153" s="10">
        <f t="shared" si="55"/>
        <v>0</v>
      </c>
      <c r="V153" s="10">
        <f t="shared" si="55"/>
        <v>0</v>
      </c>
    </row>
    <row r="154" spans="1:27" x14ac:dyDescent="0.25">
      <c r="C154" s="1"/>
      <c r="D154" s="1"/>
      <c r="E154" t="s">
        <v>60</v>
      </c>
      <c r="F154" t="s">
        <v>3</v>
      </c>
      <c r="H154" s="2">
        <f>G154+H153</f>
        <v>0</v>
      </c>
      <c r="I154" s="2">
        <f t="shared" ref="I154:AA154" si="56">H154+I153</f>
        <v>0</v>
      </c>
      <c r="J154" s="2">
        <f t="shared" si="56"/>
        <v>0</v>
      </c>
      <c r="K154" s="2">
        <f t="shared" si="56"/>
        <v>0</v>
      </c>
      <c r="L154" s="2">
        <f t="shared" si="56"/>
        <v>0</v>
      </c>
      <c r="M154" s="2">
        <f t="shared" si="56"/>
        <v>0</v>
      </c>
      <c r="N154" s="2">
        <f t="shared" si="56"/>
        <v>0</v>
      </c>
      <c r="O154" s="2">
        <f t="shared" si="56"/>
        <v>0</v>
      </c>
      <c r="P154" s="2">
        <f t="shared" si="56"/>
        <v>0</v>
      </c>
      <c r="Q154" s="2">
        <f t="shared" si="56"/>
        <v>0</v>
      </c>
      <c r="R154" s="2">
        <f t="shared" si="56"/>
        <v>0</v>
      </c>
      <c r="S154" s="2">
        <f t="shared" si="56"/>
        <v>0</v>
      </c>
      <c r="T154" s="2">
        <f t="shared" si="56"/>
        <v>0</v>
      </c>
      <c r="U154" s="2">
        <f t="shared" si="56"/>
        <v>0</v>
      </c>
      <c r="V154" s="2">
        <f t="shared" si="56"/>
        <v>0</v>
      </c>
      <c r="W154" s="2">
        <f t="shared" si="56"/>
        <v>0</v>
      </c>
      <c r="X154" s="2">
        <f t="shared" si="56"/>
        <v>0</v>
      </c>
      <c r="Y154" s="2">
        <f t="shared" si="56"/>
        <v>0</v>
      </c>
      <c r="Z154" s="2">
        <f t="shared" si="56"/>
        <v>0</v>
      </c>
      <c r="AA154" s="2">
        <f t="shared" si="56"/>
        <v>0</v>
      </c>
    </row>
    <row r="155" spans="1:27" x14ac:dyDescent="0.25">
      <c r="A155" s="14">
        <f>'Notes &amp; Assumptions'!A45</f>
        <v>32</v>
      </c>
      <c r="C155" s="1"/>
      <c r="D155" s="1"/>
      <c r="E155" t="s">
        <v>61</v>
      </c>
      <c r="F155" t="s">
        <v>3</v>
      </c>
      <c r="G155" s="10">
        <v>1</v>
      </c>
    </row>
    <row r="156" spans="1:27" x14ac:dyDescent="0.25">
      <c r="C156" s="1"/>
      <c r="D156" s="1"/>
      <c r="E156" t="s">
        <v>88</v>
      </c>
      <c r="F156" t="s">
        <v>3</v>
      </c>
      <c r="H156">
        <f>H153*$G155</f>
        <v>0</v>
      </c>
      <c r="I156">
        <f t="shared" ref="I156:AA156" si="57">I153*$G155</f>
        <v>0</v>
      </c>
      <c r="J156">
        <f t="shared" si="57"/>
        <v>0</v>
      </c>
      <c r="K156">
        <f t="shared" si="57"/>
        <v>0</v>
      </c>
      <c r="L156">
        <f t="shared" si="57"/>
        <v>0</v>
      </c>
      <c r="M156">
        <f t="shared" si="57"/>
        <v>0</v>
      </c>
      <c r="N156">
        <f t="shared" si="57"/>
        <v>0</v>
      </c>
      <c r="O156">
        <f t="shared" si="57"/>
        <v>0</v>
      </c>
      <c r="P156">
        <f t="shared" si="57"/>
        <v>0</v>
      </c>
      <c r="Q156">
        <f t="shared" si="57"/>
        <v>0</v>
      </c>
      <c r="R156">
        <f t="shared" si="57"/>
        <v>0</v>
      </c>
      <c r="S156">
        <f t="shared" si="57"/>
        <v>0</v>
      </c>
      <c r="T156">
        <f t="shared" si="57"/>
        <v>0</v>
      </c>
      <c r="U156">
        <f t="shared" si="57"/>
        <v>0</v>
      </c>
      <c r="V156">
        <f t="shared" si="57"/>
        <v>0</v>
      </c>
      <c r="W156">
        <f t="shared" si="57"/>
        <v>0</v>
      </c>
      <c r="X156">
        <f t="shared" si="57"/>
        <v>0</v>
      </c>
      <c r="Y156">
        <f t="shared" si="57"/>
        <v>0</v>
      </c>
      <c r="Z156">
        <f t="shared" si="57"/>
        <v>0</v>
      </c>
      <c r="AA156">
        <f t="shared" si="57"/>
        <v>0</v>
      </c>
    </row>
    <row r="157" spans="1:27" x14ac:dyDescent="0.25">
      <c r="C157" s="1"/>
      <c r="D157" s="1"/>
      <c r="E157" t="s">
        <v>89</v>
      </c>
      <c r="F157" t="s">
        <v>3</v>
      </c>
      <c r="H157">
        <f>H154*$G155</f>
        <v>0</v>
      </c>
      <c r="I157">
        <f t="shared" ref="I157:AA157" si="58">I154*$G155</f>
        <v>0</v>
      </c>
      <c r="J157">
        <f t="shared" si="58"/>
        <v>0</v>
      </c>
      <c r="K157">
        <f t="shared" si="58"/>
        <v>0</v>
      </c>
      <c r="L157">
        <f t="shared" si="58"/>
        <v>0</v>
      </c>
      <c r="M157">
        <f t="shared" si="58"/>
        <v>0</v>
      </c>
      <c r="N157">
        <f t="shared" si="58"/>
        <v>0</v>
      </c>
      <c r="O157">
        <f t="shared" si="58"/>
        <v>0</v>
      </c>
      <c r="P157">
        <f t="shared" si="58"/>
        <v>0</v>
      </c>
      <c r="Q157">
        <f t="shared" si="58"/>
        <v>0</v>
      </c>
      <c r="R157">
        <f t="shared" si="58"/>
        <v>0</v>
      </c>
      <c r="S157">
        <f t="shared" si="58"/>
        <v>0</v>
      </c>
      <c r="T157">
        <f t="shared" si="58"/>
        <v>0</v>
      </c>
      <c r="U157">
        <f t="shared" si="58"/>
        <v>0</v>
      </c>
      <c r="V157">
        <f t="shared" si="58"/>
        <v>0</v>
      </c>
      <c r="W157">
        <f t="shared" si="58"/>
        <v>0</v>
      </c>
      <c r="X157">
        <f t="shared" si="58"/>
        <v>0</v>
      </c>
      <c r="Y157">
        <f t="shared" si="58"/>
        <v>0</v>
      </c>
      <c r="Z157">
        <f t="shared" si="58"/>
        <v>0</v>
      </c>
      <c r="AA157">
        <f t="shared" si="58"/>
        <v>0</v>
      </c>
    </row>
    <row r="158" spans="1:27" x14ac:dyDescent="0.25">
      <c r="A158" s="14">
        <f>'Notes &amp; Assumptions'!A46</f>
        <v>33</v>
      </c>
      <c r="C158" s="1"/>
      <c r="D158" s="1"/>
      <c r="E158" t="s">
        <v>62</v>
      </c>
      <c r="F158" t="s">
        <v>43</v>
      </c>
      <c r="H158" s="10"/>
      <c r="I158" s="10"/>
      <c r="J158" s="10"/>
      <c r="K158" s="10"/>
      <c r="L158" s="10"/>
      <c r="M158" s="10"/>
      <c r="N158" s="10"/>
      <c r="O158" s="10"/>
      <c r="P158" s="10"/>
      <c r="Q158" s="10"/>
      <c r="R158" s="10"/>
      <c r="S158" s="10"/>
      <c r="T158" s="10"/>
      <c r="U158" s="10"/>
      <c r="V158" s="10"/>
      <c r="W158" s="10"/>
      <c r="X158" s="10"/>
      <c r="Y158" s="10"/>
      <c r="Z158" s="10"/>
      <c r="AA158" s="10"/>
    </row>
    <row r="159" spans="1:27" x14ac:dyDescent="0.25">
      <c r="C159" s="1"/>
      <c r="D159" s="1"/>
      <c r="E159" t="s">
        <v>63</v>
      </c>
      <c r="F159" t="s">
        <v>43</v>
      </c>
      <c r="H159" s="10"/>
      <c r="I159" s="10"/>
      <c r="J159" s="10"/>
      <c r="K159" s="10"/>
      <c r="L159" s="10"/>
      <c r="M159" s="10"/>
      <c r="N159" s="10"/>
      <c r="O159" s="10"/>
      <c r="P159" s="10"/>
      <c r="Q159" s="10"/>
      <c r="R159" s="10"/>
      <c r="S159" s="10"/>
      <c r="T159" s="10"/>
      <c r="U159" s="10"/>
      <c r="V159" s="10"/>
      <c r="W159" s="10"/>
      <c r="X159" s="10"/>
      <c r="Y159" s="10"/>
      <c r="Z159" s="10"/>
      <c r="AA159" s="10"/>
    </row>
    <row r="160" spans="1:27" x14ac:dyDescent="0.25">
      <c r="A160" s="14">
        <f>'Notes &amp; Assumptions'!A47</f>
        <v>34</v>
      </c>
      <c r="C160" s="1"/>
      <c r="D160" s="1"/>
      <c r="E160" t="s">
        <v>140</v>
      </c>
      <c r="F160" t="s">
        <v>43</v>
      </c>
      <c r="H160" s="10"/>
      <c r="I160" s="10"/>
      <c r="J160" s="10"/>
      <c r="K160" s="10"/>
      <c r="L160" s="10"/>
      <c r="M160" s="10"/>
      <c r="N160" s="10"/>
      <c r="O160" s="10"/>
      <c r="P160" s="10"/>
      <c r="Q160" s="10"/>
      <c r="R160" s="10"/>
      <c r="S160" s="10"/>
      <c r="T160" s="10"/>
      <c r="U160" s="10"/>
      <c r="V160" s="10"/>
      <c r="W160" s="10"/>
      <c r="X160" s="10"/>
      <c r="Y160" s="10"/>
      <c r="Z160" s="10"/>
      <c r="AA160" s="10"/>
    </row>
    <row r="161" spans="1:27" x14ac:dyDescent="0.25">
      <c r="C161" s="1"/>
      <c r="D161" s="1"/>
      <c r="E161" t="s">
        <v>64</v>
      </c>
      <c r="F161" t="s">
        <v>144</v>
      </c>
      <c r="H161" s="2">
        <f>H154*H158</f>
        <v>0</v>
      </c>
      <c r="I161" s="2">
        <f t="shared" ref="I161:AA161" si="59">I154*I158</f>
        <v>0</v>
      </c>
      <c r="J161" s="2">
        <f t="shared" si="59"/>
        <v>0</v>
      </c>
      <c r="K161" s="2">
        <f t="shared" si="59"/>
        <v>0</v>
      </c>
      <c r="L161" s="2">
        <f t="shared" si="59"/>
        <v>0</v>
      </c>
      <c r="M161" s="2">
        <f t="shared" si="59"/>
        <v>0</v>
      </c>
      <c r="N161" s="2">
        <f t="shared" si="59"/>
        <v>0</v>
      </c>
      <c r="O161" s="2">
        <f t="shared" si="59"/>
        <v>0</v>
      </c>
      <c r="P161" s="2">
        <f t="shared" si="59"/>
        <v>0</v>
      </c>
      <c r="Q161" s="2">
        <f t="shared" si="59"/>
        <v>0</v>
      </c>
      <c r="R161" s="2">
        <f t="shared" si="59"/>
        <v>0</v>
      </c>
      <c r="S161" s="2">
        <f t="shared" si="59"/>
        <v>0</v>
      </c>
      <c r="T161" s="2">
        <f t="shared" si="59"/>
        <v>0</v>
      </c>
      <c r="U161" s="2">
        <f t="shared" si="59"/>
        <v>0</v>
      </c>
      <c r="V161" s="2">
        <f t="shared" si="59"/>
        <v>0</v>
      </c>
      <c r="W161" s="2">
        <f t="shared" si="59"/>
        <v>0</v>
      </c>
      <c r="X161" s="2">
        <f t="shared" si="59"/>
        <v>0</v>
      </c>
      <c r="Y161" s="2">
        <f t="shared" si="59"/>
        <v>0</v>
      </c>
      <c r="Z161" s="2">
        <f t="shared" si="59"/>
        <v>0</v>
      </c>
      <c r="AA161" s="2">
        <f t="shared" si="59"/>
        <v>0</v>
      </c>
    </row>
    <row r="162" spans="1:27" x14ac:dyDescent="0.25">
      <c r="C162" s="1"/>
      <c r="D162" s="1"/>
      <c r="E162" t="s">
        <v>65</v>
      </c>
      <c r="F162" t="s">
        <v>144</v>
      </c>
      <c r="H162" s="2">
        <f>H154*H159</f>
        <v>0</v>
      </c>
      <c r="I162" s="2">
        <f t="shared" ref="I162:AA162" si="60">I154*I159</f>
        <v>0</v>
      </c>
      <c r="J162" s="2">
        <f t="shared" si="60"/>
        <v>0</v>
      </c>
      <c r="K162" s="2">
        <f t="shared" si="60"/>
        <v>0</v>
      </c>
      <c r="L162" s="2">
        <f t="shared" si="60"/>
        <v>0</v>
      </c>
      <c r="M162" s="2">
        <f t="shared" si="60"/>
        <v>0</v>
      </c>
      <c r="N162" s="2">
        <f t="shared" si="60"/>
        <v>0</v>
      </c>
      <c r="O162" s="2">
        <f t="shared" si="60"/>
        <v>0</v>
      </c>
      <c r="P162" s="2">
        <f t="shared" si="60"/>
        <v>0</v>
      </c>
      <c r="Q162" s="2">
        <f t="shared" si="60"/>
        <v>0</v>
      </c>
      <c r="R162" s="2">
        <f t="shared" si="60"/>
        <v>0</v>
      </c>
      <c r="S162" s="2">
        <f t="shared" si="60"/>
        <v>0</v>
      </c>
      <c r="T162" s="2">
        <f t="shared" si="60"/>
        <v>0</v>
      </c>
      <c r="U162" s="2">
        <f t="shared" si="60"/>
        <v>0</v>
      </c>
      <c r="V162" s="2">
        <f t="shared" si="60"/>
        <v>0</v>
      </c>
      <c r="W162" s="2">
        <f t="shared" si="60"/>
        <v>0</v>
      </c>
      <c r="X162" s="2">
        <f t="shared" si="60"/>
        <v>0</v>
      </c>
      <c r="Y162" s="2">
        <f t="shared" si="60"/>
        <v>0</v>
      </c>
      <c r="Z162" s="2">
        <f t="shared" si="60"/>
        <v>0</v>
      </c>
      <c r="AA162" s="2">
        <f t="shared" si="60"/>
        <v>0</v>
      </c>
    </row>
    <row r="163" spans="1:27" x14ac:dyDescent="0.25">
      <c r="C163" s="1"/>
      <c r="D163" s="1"/>
      <c r="E163" t="s">
        <v>141</v>
      </c>
      <c r="F163" t="s">
        <v>144</v>
      </c>
      <c r="H163" s="2">
        <f>H154*H160</f>
        <v>0</v>
      </c>
      <c r="I163" s="2">
        <f t="shared" ref="I163:AA163" si="61">I154*I160</f>
        <v>0</v>
      </c>
      <c r="J163" s="2">
        <f t="shared" si="61"/>
        <v>0</v>
      </c>
      <c r="K163" s="2">
        <f t="shared" si="61"/>
        <v>0</v>
      </c>
      <c r="L163" s="2">
        <f t="shared" si="61"/>
        <v>0</v>
      </c>
      <c r="M163" s="2">
        <f t="shared" si="61"/>
        <v>0</v>
      </c>
      <c r="N163" s="2">
        <f t="shared" si="61"/>
        <v>0</v>
      </c>
      <c r="O163" s="2">
        <f t="shared" si="61"/>
        <v>0</v>
      </c>
      <c r="P163" s="2">
        <f t="shared" si="61"/>
        <v>0</v>
      </c>
      <c r="Q163" s="2">
        <f t="shared" si="61"/>
        <v>0</v>
      </c>
      <c r="R163" s="2">
        <f t="shared" si="61"/>
        <v>0</v>
      </c>
      <c r="S163" s="2">
        <f t="shared" si="61"/>
        <v>0</v>
      </c>
      <c r="T163" s="2">
        <f t="shared" si="61"/>
        <v>0</v>
      </c>
      <c r="U163" s="2">
        <f t="shared" si="61"/>
        <v>0</v>
      </c>
      <c r="V163" s="2">
        <f t="shared" si="61"/>
        <v>0</v>
      </c>
      <c r="W163" s="2">
        <f t="shared" si="61"/>
        <v>0</v>
      </c>
      <c r="X163" s="2">
        <f t="shared" si="61"/>
        <v>0</v>
      </c>
      <c r="Y163" s="2">
        <f t="shared" si="61"/>
        <v>0</v>
      </c>
      <c r="Z163" s="2">
        <f t="shared" si="61"/>
        <v>0</v>
      </c>
      <c r="AA163" s="2">
        <f t="shared" si="61"/>
        <v>0</v>
      </c>
    </row>
    <row r="164" spans="1:27" x14ac:dyDescent="0.25">
      <c r="A164" s="14">
        <f>'Notes &amp; Assumptions'!A48</f>
        <v>35</v>
      </c>
      <c r="C164" s="1"/>
      <c r="D164" s="1"/>
      <c r="E164" t="s">
        <v>66</v>
      </c>
      <c r="F164" t="s">
        <v>8</v>
      </c>
      <c r="H164" s="11"/>
      <c r="I164" s="11"/>
      <c r="J164" s="11"/>
      <c r="K164" s="11"/>
      <c r="L164" s="11"/>
      <c r="M164" s="11"/>
      <c r="N164" s="11"/>
      <c r="O164" s="11"/>
      <c r="P164" s="11"/>
      <c r="Q164" s="11"/>
      <c r="R164" s="11"/>
      <c r="S164" s="11"/>
      <c r="T164" s="11"/>
      <c r="U164" s="11"/>
      <c r="V164" s="11"/>
      <c r="W164" s="11"/>
      <c r="X164" s="11"/>
      <c r="Y164" s="11"/>
      <c r="Z164" s="11"/>
      <c r="AA164" s="11"/>
    </row>
    <row r="165" spans="1:27" x14ac:dyDescent="0.25">
      <c r="A165" s="14">
        <f>'Notes &amp; Assumptions'!A49</f>
        <v>36</v>
      </c>
      <c r="C165" s="1"/>
      <c r="D165" s="1"/>
      <c r="E165" t="s">
        <v>40</v>
      </c>
      <c r="F165" t="s">
        <v>41</v>
      </c>
      <c r="G165" s="10"/>
      <c r="H165" s="2">
        <f>G165*(1+$G$14)*(1+H164)</f>
        <v>0</v>
      </c>
      <c r="I165" s="2">
        <f t="shared" ref="I165:AA165" si="62">H165*(1+$G$14)*(1+I164)</f>
        <v>0</v>
      </c>
      <c r="J165" s="2">
        <f t="shared" si="62"/>
        <v>0</v>
      </c>
      <c r="K165" s="2">
        <f t="shared" si="62"/>
        <v>0</v>
      </c>
      <c r="L165" s="2">
        <f t="shared" si="62"/>
        <v>0</v>
      </c>
      <c r="M165" s="2">
        <f t="shared" si="62"/>
        <v>0</v>
      </c>
      <c r="N165" s="2">
        <f t="shared" si="62"/>
        <v>0</v>
      </c>
      <c r="O165" s="2">
        <f t="shared" si="62"/>
        <v>0</v>
      </c>
      <c r="P165" s="2">
        <f t="shared" si="62"/>
        <v>0</v>
      </c>
      <c r="Q165" s="2">
        <f t="shared" si="62"/>
        <v>0</v>
      </c>
      <c r="R165" s="2">
        <f t="shared" si="62"/>
        <v>0</v>
      </c>
      <c r="S165" s="2">
        <f t="shared" si="62"/>
        <v>0</v>
      </c>
      <c r="T165" s="2">
        <f t="shared" si="62"/>
        <v>0</v>
      </c>
      <c r="U165" s="2">
        <f t="shared" si="62"/>
        <v>0</v>
      </c>
      <c r="V165" s="2">
        <f t="shared" si="62"/>
        <v>0</v>
      </c>
      <c r="W165" s="2">
        <f t="shared" si="62"/>
        <v>0</v>
      </c>
      <c r="X165" s="2">
        <f t="shared" si="62"/>
        <v>0</v>
      </c>
      <c r="Y165" s="2">
        <f t="shared" si="62"/>
        <v>0</v>
      </c>
      <c r="Z165" s="2">
        <f t="shared" si="62"/>
        <v>0</v>
      </c>
      <c r="AA165" s="2">
        <f t="shared" si="62"/>
        <v>0</v>
      </c>
    </row>
    <row r="166" spans="1:27" x14ac:dyDescent="0.25">
      <c r="C166" s="1"/>
      <c r="D166" s="1"/>
      <c r="E166" t="s">
        <v>67</v>
      </c>
      <c r="F166" t="s">
        <v>143</v>
      </c>
      <c r="G166" s="20"/>
      <c r="H166" s="21">
        <f>G166*(1+$G$14)*(1+H164)</f>
        <v>0</v>
      </c>
      <c r="I166" s="21">
        <f t="shared" ref="I166:AA166" si="63">H166*(1+$G$14)*(1+I164)</f>
        <v>0</v>
      </c>
      <c r="J166" s="21">
        <f t="shared" si="63"/>
        <v>0</v>
      </c>
      <c r="K166" s="21">
        <f t="shared" si="63"/>
        <v>0</v>
      </c>
      <c r="L166" s="21">
        <f t="shared" si="63"/>
        <v>0</v>
      </c>
      <c r="M166" s="21">
        <f t="shared" si="63"/>
        <v>0</v>
      </c>
      <c r="N166" s="21">
        <f t="shared" si="63"/>
        <v>0</v>
      </c>
      <c r="O166" s="21">
        <f t="shared" si="63"/>
        <v>0</v>
      </c>
      <c r="P166" s="21">
        <f t="shared" si="63"/>
        <v>0</v>
      </c>
      <c r="Q166" s="21">
        <f t="shared" si="63"/>
        <v>0</v>
      </c>
      <c r="R166" s="21">
        <f t="shared" si="63"/>
        <v>0</v>
      </c>
      <c r="S166" s="21">
        <f t="shared" si="63"/>
        <v>0</v>
      </c>
      <c r="T166" s="21">
        <f t="shared" si="63"/>
        <v>0</v>
      </c>
      <c r="U166" s="21">
        <f t="shared" si="63"/>
        <v>0</v>
      </c>
      <c r="V166" s="21">
        <f t="shared" si="63"/>
        <v>0</v>
      </c>
      <c r="W166" s="21">
        <f t="shared" si="63"/>
        <v>0</v>
      </c>
      <c r="X166" s="21">
        <f t="shared" si="63"/>
        <v>0</v>
      </c>
      <c r="Y166" s="21">
        <f t="shared" si="63"/>
        <v>0</v>
      </c>
      <c r="Z166" s="21">
        <f t="shared" si="63"/>
        <v>0</v>
      </c>
      <c r="AA166" s="21">
        <f t="shared" si="63"/>
        <v>0</v>
      </c>
    </row>
    <row r="167" spans="1:27" x14ac:dyDescent="0.25">
      <c r="C167" s="1"/>
      <c r="D167" s="1"/>
      <c r="E167" t="s">
        <v>68</v>
      </c>
      <c r="F167" t="s">
        <v>143</v>
      </c>
      <c r="G167" s="20"/>
      <c r="H167" s="21">
        <f>G167*(1+$G$14)*(1+H164)</f>
        <v>0</v>
      </c>
      <c r="I167" s="21">
        <f t="shared" ref="I167:AA167" si="64">H167*(1+$G$14)*(1+I164)</f>
        <v>0</v>
      </c>
      <c r="J167" s="21">
        <f t="shared" si="64"/>
        <v>0</v>
      </c>
      <c r="K167" s="21">
        <f t="shared" si="64"/>
        <v>0</v>
      </c>
      <c r="L167" s="21">
        <f t="shared" si="64"/>
        <v>0</v>
      </c>
      <c r="M167" s="21">
        <f t="shared" si="64"/>
        <v>0</v>
      </c>
      <c r="N167" s="21">
        <f t="shared" si="64"/>
        <v>0</v>
      </c>
      <c r="O167" s="21">
        <f t="shared" si="64"/>
        <v>0</v>
      </c>
      <c r="P167" s="21">
        <f t="shared" si="64"/>
        <v>0</v>
      </c>
      <c r="Q167" s="21">
        <f t="shared" si="64"/>
        <v>0</v>
      </c>
      <c r="R167" s="21">
        <f t="shared" si="64"/>
        <v>0</v>
      </c>
      <c r="S167" s="21">
        <f t="shared" si="64"/>
        <v>0</v>
      </c>
      <c r="T167" s="21">
        <f t="shared" si="64"/>
        <v>0</v>
      </c>
      <c r="U167" s="21">
        <f t="shared" si="64"/>
        <v>0</v>
      </c>
      <c r="V167" s="21">
        <f t="shared" si="64"/>
        <v>0</v>
      </c>
      <c r="W167" s="21">
        <f t="shared" si="64"/>
        <v>0</v>
      </c>
      <c r="X167" s="21">
        <f t="shared" si="64"/>
        <v>0</v>
      </c>
      <c r="Y167" s="21">
        <f t="shared" si="64"/>
        <v>0</v>
      </c>
      <c r="Z167" s="21">
        <f t="shared" si="64"/>
        <v>0</v>
      </c>
      <c r="AA167" s="21">
        <f t="shared" si="64"/>
        <v>0</v>
      </c>
    </row>
    <row r="168" spans="1:27" x14ac:dyDescent="0.25">
      <c r="C168" s="1"/>
      <c r="D168" s="1"/>
      <c r="E168" t="s">
        <v>142</v>
      </c>
      <c r="F168" t="s">
        <v>143</v>
      </c>
      <c r="G168" s="20"/>
      <c r="H168" s="21">
        <f>G168*(1+$G$14)*(1+H164)</f>
        <v>0</v>
      </c>
      <c r="I168" s="21">
        <f t="shared" ref="I168:AA168" si="65">H168*(1+$G$14)*(1+I164)</f>
        <v>0</v>
      </c>
      <c r="J168" s="21">
        <f t="shared" si="65"/>
        <v>0</v>
      </c>
      <c r="K168" s="21">
        <f t="shared" si="65"/>
        <v>0</v>
      </c>
      <c r="L168" s="21">
        <f t="shared" si="65"/>
        <v>0</v>
      </c>
      <c r="M168" s="21">
        <f t="shared" si="65"/>
        <v>0</v>
      </c>
      <c r="N168" s="21">
        <f t="shared" si="65"/>
        <v>0</v>
      </c>
      <c r="O168" s="21">
        <f t="shared" si="65"/>
        <v>0</v>
      </c>
      <c r="P168" s="21">
        <f t="shared" si="65"/>
        <v>0</v>
      </c>
      <c r="Q168" s="21">
        <f t="shared" si="65"/>
        <v>0</v>
      </c>
      <c r="R168" s="21">
        <f t="shared" si="65"/>
        <v>0</v>
      </c>
      <c r="S168" s="21">
        <f t="shared" si="65"/>
        <v>0</v>
      </c>
      <c r="T168" s="21">
        <f t="shared" si="65"/>
        <v>0</v>
      </c>
      <c r="U168" s="21">
        <f t="shared" si="65"/>
        <v>0</v>
      </c>
      <c r="V168" s="21">
        <f t="shared" si="65"/>
        <v>0</v>
      </c>
      <c r="W168" s="21">
        <f t="shared" si="65"/>
        <v>0</v>
      </c>
      <c r="X168" s="21">
        <f t="shared" si="65"/>
        <v>0</v>
      </c>
      <c r="Y168" s="21">
        <f t="shared" si="65"/>
        <v>0</v>
      </c>
      <c r="Z168" s="21">
        <f t="shared" si="65"/>
        <v>0</v>
      </c>
      <c r="AA168" s="21">
        <f t="shared" si="65"/>
        <v>0</v>
      </c>
    </row>
    <row r="169" spans="1:27" x14ac:dyDescent="0.25">
      <c r="C169" s="1"/>
      <c r="D169" s="1"/>
    </row>
    <row r="170" spans="1:27" x14ac:dyDescent="0.25">
      <c r="C170" s="1"/>
      <c r="D170" s="1"/>
      <c r="E170" t="s">
        <v>78</v>
      </c>
      <c r="F170" t="s">
        <v>58</v>
      </c>
      <c r="H170" s="2">
        <f>SUM(H161:H163)/1000</f>
        <v>0</v>
      </c>
      <c r="I170" s="2">
        <f t="shared" ref="I170:AA170" si="66">SUM(I161:I163)/1000</f>
        <v>0</v>
      </c>
      <c r="J170" s="2">
        <f t="shared" si="66"/>
        <v>0</v>
      </c>
      <c r="K170" s="2">
        <f t="shared" si="66"/>
        <v>0</v>
      </c>
      <c r="L170" s="2">
        <f t="shared" si="66"/>
        <v>0</v>
      </c>
      <c r="M170" s="2">
        <f t="shared" si="66"/>
        <v>0</v>
      </c>
      <c r="N170" s="2">
        <f t="shared" si="66"/>
        <v>0</v>
      </c>
      <c r="O170" s="2">
        <f t="shared" si="66"/>
        <v>0</v>
      </c>
      <c r="P170" s="2">
        <f t="shared" si="66"/>
        <v>0</v>
      </c>
      <c r="Q170" s="2">
        <f t="shared" si="66"/>
        <v>0</v>
      </c>
      <c r="R170" s="2">
        <f t="shared" si="66"/>
        <v>0</v>
      </c>
      <c r="S170" s="2">
        <f t="shared" si="66"/>
        <v>0</v>
      </c>
      <c r="T170" s="2">
        <f t="shared" si="66"/>
        <v>0</v>
      </c>
      <c r="U170" s="2">
        <f t="shared" si="66"/>
        <v>0</v>
      </c>
      <c r="V170" s="2">
        <f t="shared" si="66"/>
        <v>0</v>
      </c>
      <c r="W170" s="2">
        <f t="shared" si="66"/>
        <v>0</v>
      </c>
      <c r="X170" s="2">
        <f t="shared" si="66"/>
        <v>0</v>
      </c>
      <c r="Y170" s="2">
        <f t="shared" si="66"/>
        <v>0</v>
      </c>
      <c r="Z170" s="2">
        <f t="shared" si="66"/>
        <v>0</v>
      </c>
      <c r="AA170" s="2">
        <f t="shared" si="66"/>
        <v>0</v>
      </c>
    </row>
    <row r="171" spans="1:27" x14ac:dyDescent="0.25">
      <c r="C171" s="1"/>
      <c r="D171" s="1"/>
      <c r="E171" t="s">
        <v>79</v>
      </c>
      <c r="F171" t="s">
        <v>7</v>
      </c>
      <c r="H171" s="2">
        <f>H154*H165+H161*H166+H162*H167+H163*H168</f>
        <v>0</v>
      </c>
      <c r="I171" s="2">
        <f t="shared" ref="I171:AA171" si="67">I154*I165+I161*I166+I162*I167+I163*I168</f>
        <v>0</v>
      </c>
      <c r="J171" s="2">
        <f t="shared" si="67"/>
        <v>0</v>
      </c>
      <c r="K171" s="2">
        <f t="shared" si="67"/>
        <v>0</v>
      </c>
      <c r="L171" s="2">
        <f t="shared" si="67"/>
        <v>0</v>
      </c>
      <c r="M171" s="2">
        <f t="shared" si="67"/>
        <v>0</v>
      </c>
      <c r="N171" s="2">
        <f t="shared" si="67"/>
        <v>0</v>
      </c>
      <c r="O171" s="2">
        <f t="shared" si="67"/>
        <v>0</v>
      </c>
      <c r="P171" s="2">
        <f t="shared" si="67"/>
        <v>0</v>
      </c>
      <c r="Q171" s="2">
        <f t="shared" si="67"/>
        <v>0</v>
      </c>
      <c r="R171" s="2">
        <f t="shared" si="67"/>
        <v>0</v>
      </c>
      <c r="S171" s="2">
        <f t="shared" si="67"/>
        <v>0</v>
      </c>
      <c r="T171" s="2">
        <f t="shared" si="67"/>
        <v>0</v>
      </c>
      <c r="U171" s="2">
        <f t="shared" si="67"/>
        <v>0</v>
      </c>
      <c r="V171" s="2">
        <f t="shared" si="67"/>
        <v>0</v>
      </c>
      <c r="W171" s="2">
        <f t="shared" si="67"/>
        <v>0</v>
      </c>
      <c r="X171" s="2">
        <f t="shared" si="67"/>
        <v>0</v>
      </c>
      <c r="Y171" s="2">
        <f t="shared" si="67"/>
        <v>0</v>
      </c>
      <c r="Z171" s="2">
        <f t="shared" si="67"/>
        <v>0</v>
      </c>
      <c r="AA171" s="2">
        <f t="shared" si="67"/>
        <v>0</v>
      </c>
    </row>
    <row r="172" spans="1:27" x14ac:dyDescent="0.25">
      <c r="C172" s="1"/>
      <c r="D172" s="1"/>
    </row>
    <row r="173" spans="1:27" x14ac:dyDescent="0.25">
      <c r="C173" s="1"/>
      <c r="D173" t="s">
        <v>80</v>
      </c>
    </row>
    <row r="174" spans="1:27" x14ac:dyDescent="0.25">
      <c r="C174" s="1"/>
      <c r="E174" t="s">
        <v>91</v>
      </c>
      <c r="F174" t="s">
        <v>3</v>
      </c>
      <c r="H174">
        <f t="shared" ref="H174:AA175" si="68">SUM(H93,H114,H135,H156)</f>
        <v>714</v>
      </c>
      <c r="I174">
        <f t="shared" si="68"/>
        <v>712</v>
      </c>
      <c r="J174">
        <f t="shared" si="68"/>
        <v>723.5</v>
      </c>
      <c r="K174">
        <f t="shared" si="68"/>
        <v>697</v>
      </c>
      <c r="L174">
        <f t="shared" si="68"/>
        <v>670.5</v>
      </c>
      <c r="M174">
        <f t="shared" si="68"/>
        <v>644</v>
      </c>
      <c r="N174">
        <f t="shared" si="68"/>
        <v>618.5</v>
      </c>
      <c r="O174">
        <f t="shared" si="68"/>
        <v>593.5</v>
      </c>
      <c r="P174">
        <f t="shared" si="68"/>
        <v>627.5</v>
      </c>
      <c r="Q174">
        <f t="shared" si="68"/>
        <v>664.5</v>
      </c>
      <c r="R174">
        <f t="shared" si="68"/>
        <v>703.5</v>
      </c>
      <c r="S174">
        <f t="shared" si="68"/>
        <v>746</v>
      </c>
      <c r="T174">
        <f t="shared" si="68"/>
        <v>789.5</v>
      </c>
      <c r="U174">
        <f t="shared" si="68"/>
        <v>784</v>
      </c>
      <c r="V174">
        <f t="shared" si="68"/>
        <v>779</v>
      </c>
      <c r="W174">
        <f t="shared" si="68"/>
        <v>0</v>
      </c>
      <c r="X174">
        <f t="shared" si="68"/>
        <v>0</v>
      </c>
      <c r="Y174">
        <f t="shared" si="68"/>
        <v>0</v>
      </c>
      <c r="Z174">
        <f t="shared" si="68"/>
        <v>0</v>
      </c>
      <c r="AA174">
        <f t="shared" si="68"/>
        <v>0</v>
      </c>
    </row>
    <row r="175" spans="1:27" x14ac:dyDescent="0.25">
      <c r="C175" s="1"/>
      <c r="D175" s="1"/>
      <c r="E175" t="s">
        <v>90</v>
      </c>
      <c r="F175" t="s">
        <v>3</v>
      </c>
      <c r="H175">
        <f t="shared" si="68"/>
        <v>714</v>
      </c>
      <c r="I175">
        <f t="shared" si="68"/>
        <v>1426</v>
      </c>
      <c r="J175">
        <f t="shared" si="68"/>
        <v>2149.5</v>
      </c>
      <c r="K175">
        <f t="shared" si="68"/>
        <v>2846.5</v>
      </c>
      <c r="L175">
        <f t="shared" si="68"/>
        <v>3517</v>
      </c>
      <c r="M175">
        <f t="shared" si="68"/>
        <v>4161</v>
      </c>
      <c r="N175">
        <f t="shared" si="68"/>
        <v>4779.5</v>
      </c>
      <c r="O175">
        <f t="shared" si="68"/>
        <v>5373</v>
      </c>
      <c r="P175">
        <f t="shared" si="68"/>
        <v>6000.5</v>
      </c>
      <c r="Q175">
        <f t="shared" si="68"/>
        <v>6665</v>
      </c>
      <c r="R175">
        <f t="shared" si="68"/>
        <v>7368.5</v>
      </c>
      <c r="S175">
        <f t="shared" si="68"/>
        <v>8114.5</v>
      </c>
      <c r="T175">
        <f t="shared" si="68"/>
        <v>8904</v>
      </c>
      <c r="U175">
        <f t="shared" si="68"/>
        <v>9688</v>
      </c>
      <c r="V175">
        <f t="shared" si="68"/>
        <v>10467</v>
      </c>
      <c r="W175">
        <f t="shared" si="68"/>
        <v>10467</v>
      </c>
      <c r="X175">
        <f t="shared" si="68"/>
        <v>10467</v>
      </c>
      <c r="Y175">
        <f t="shared" si="68"/>
        <v>10467</v>
      </c>
      <c r="Z175">
        <f t="shared" si="68"/>
        <v>10467</v>
      </c>
      <c r="AA175">
        <f t="shared" si="68"/>
        <v>10467</v>
      </c>
    </row>
    <row r="176" spans="1:27" x14ac:dyDescent="0.25">
      <c r="C176" s="1"/>
      <c r="D176" s="1"/>
      <c r="E176" t="s">
        <v>81</v>
      </c>
      <c r="F176" t="s">
        <v>58</v>
      </c>
      <c r="H176" s="2">
        <f t="shared" ref="H176:AA177" si="69">SUM(H107,H128,H149,H170)</f>
        <v>116.26</v>
      </c>
      <c r="I176" s="2">
        <f t="shared" si="69"/>
        <v>232.3</v>
      </c>
      <c r="J176" s="2">
        <f t="shared" si="69"/>
        <v>350.42500000000001</v>
      </c>
      <c r="K176" s="2">
        <f t="shared" si="69"/>
        <v>463.995</v>
      </c>
      <c r="L176" s="2">
        <f>SUM(L107,L128,L149,L170)</f>
        <v>573.41999999999996</v>
      </c>
      <c r="M176" s="2">
        <f t="shared" si="69"/>
        <v>678.29</v>
      </c>
      <c r="N176" s="2">
        <f t="shared" si="69"/>
        <v>779.125</v>
      </c>
      <c r="O176" s="2">
        <f t="shared" si="69"/>
        <v>875.98</v>
      </c>
      <c r="P176" s="2">
        <f t="shared" si="69"/>
        <v>978.21500000000003</v>
      </c>
      <c r="Q176" s="2">
        <f t="shared" si="69"/>
        <v>1086.5700000000002</v>
      </c>
      <c r="R176" s="2">
        <f t="shared" si="69"/>
        <v>1201.2650000000001</v>
      </c>
      <c r="S176" s="2">
        <f t="shared" si="69"/>
        <v>1323.095</v>
      </c>
      <c r="T176" s="2">
        <f t="shared" si="69"/>
        <v>1451.76</v>
      </c>
      <c r="U176" s="2">
        <f t="shared" si="69"/>
        <v>1579.4099999999999</v>
      </c>
      <c r="V176" s="2">
        <f t="shared" si="69"/>
        <v>1706.51</v>
      </c>
      <c r="W176" s="2">
        <f t="shared" si="69"/>
        <v>1706.51</v>
      </c>
      <c r="X176" s="2">
        <f t="shared" si="69"/>
        <v>1706.51</v>
      </c>
      <c r="Y176" s="2">
        <f t="shared" si="69"/>
        <v>1706.51</v>
      </c>
      <c r="Z176" s="2">
        <f t="shared" si="69"/>
        <v>1706.51</v>
      </c>
      <c r="AA176" s="2">
        <f t="shared" si="69"/>
        <v>1706.51</v>
      </c>
    </row>
    <row r="177" spans="1:27" x14ac:dyDescent="0.25">
      <c r="C177" s="1"/>
      <c r="D177" s="1"/>
      <c r="E177" t="s">
        <v>82</v>
      </c>
      <c r="F177" t="s">
        <v>7</v>
      </c>
      <c r="H177" s="2">
        <f t="shared" si="69"/>
        <v>436064.30621198064</v>
      </c>
      <c r="I177" s="2">
        <f t="shared" si="69"/>
        <v>865171.75135166268</v>
      </c>
      <c r="J177" s="2">
        <f t="shared" si="69"/>
        <v>1332382.6706585949</v>
      </c>
      <c r="K177" s="2">
        <f t="shared" si="69"/>
        <v>1801277.1809573113</v>
      </c>
      <c r="L177" s="2">
        <f t="shared" si="69"/>
        <v>2272753.5375881577</v>
      </c>
      <c r="M177" s="2">
        <f t="shared" si="69"/>
        <v>2744934.64359756</v>
      </c>
      <c r="N177" s="2">
        <f t="shared" si="69"/>
        <v>3219204.1569017242</v>
      </c>
      <c r="O177" s="2">
        <f t="shared" si="69"/>
        <v>3695337.3513881266</v>
      </c>
      <c r="P177" s="2">
        <f t="shared" si="69"/>
        <v>4213317.0256958976</v>
      </c>
      <c r="Q177" s="2">
        <f t="shared" si="69"/>
        <v>4778282.3485402307</v>
      </c>
      <c r="R177" s="2">
        <f t="shared" si="69"/>
        <v>5393595.4094494367</v>
      </c>
      <c r="S177" s="2">
        <f t="shared" si="69"/>
        <v>6065223.1234735847</v>
      </c>
      <c r="T177" s="2">
        <f t="shared" si="69"/>
        <v>6794836.4369155774</v>
      </c>
      <c r="U177" s="2">
        <f t="shared" si="69"/>
        <v>7547645.8157244101</v>
      </c>
      <c r="V177" s="2">
        <f t="shared" si="69"/>
        <v>8326215.8136727056</v>
      </c>
      <c r="W177" s="2">
        <f t="shared" si="69"/>
        <v>8501066.3457598314</v>
      </c>
      <c r="X177" s="2">
        <f t="shared" si="69"/>
        <v>8679588.7390207872</v>
      </c>
      <c r="Y177" s="2">
        <f t="shared" si="69"/>
        <v>8861860.1025402229</v>
      </c>
      <c r="Z177" s="2">
        <f t="shared" si="69"/>
        <v>9047959.1646935679</v>
      </c>
      <c r="AA177" s="2">
        <f t="shared" si="69"/>
        <v>9237966.3071521316</v>
      </c>
    </row>
    <row r="178" spans="1:27" x14ac:dyDescent="0.25">
      <c r="C178" s="1"/>
      <c r="D178" s="1"/>
    </row>
    <row r="179" spans="1:27" x14ac:dyDescent="0.25">
      <c r="C179" s="1"/>
      <c r="D179" s="1"/>
      <c r="E179" s="3" t="s">
        <v>84</v>
      </c>
      <c r="F179" s="3" t="s">
        <v>85</v>
      </c>
      <c r="G179" s="3"/>
      <c r="H179" s="9">
        <f>H176*1000/H175</f>
        <v>162.82913165266106</v>
      </c>
      <c r="I179" s="9">
        <f t="shared" ref="I179:AA179" si="70">I176*1000/I175</f>
        <v>162.90322580645162</v>
      </c>
      <c r="J179" s="9">
        <f t="shared" si="70"/>
        <v>163.02628518260062</v>
      </c>
      <c r="K179" s="9">
        <f t="shared" si="70"/>
        <v>163.00544528368172</v>
      </c>
      <c r="L179" s="9">
        <f t="shared" si="70"/>
        <v>163.04236565254479</v>
      </c>
      <c r="M179" s="9">
        <f t="shared" si="70"/>
        <v>163.01129536169191</v>
      </c>
      <c r="N179" s="9">
        <f t="shared" si="70"/>
        <v>163.01391358928757</v>
      </c>
      <c r="O179" s="9">
        <f t="shared" si="70"/>
        <v>163.03368695328496</v>
      </c>
      <c r="P179" s="9">
        <f t="shared" si="70"/>
        <v>163.02224814598785</v>
      </c>
      <c r="Q179" s="9">
        <f t="shared" si="70"/>
        <v>163.02625656414108</v>
      </c>
      <c r="R179" s="9">
        <f t="shared" si="70"/>
        <v>163.02707470991382</v>
      </c>
      <c r="S179" s="9">
        <f t="shared" si="70"/>
        <v>163.05317641259475</v>
      </c>
      <c r="T179" s="9">
        <f t="shared" si="70"/>
        <v>163.04582210242589</v>
      </c>
      <c r="U179" s="9">
        <f t="shared" si="70"/>
        <v>163.02745664739882</v>
      </c>
      <c r="V179" s="9">
        <f t="shared" si="70"/>
        <v>163.03716442151523</v>
      </c>
      <c r="W179" s="9">
        <f t="shared" si="70"/>
        <v>163.03716442151523</v>
      </c>
      <c r="X179" s="9">
        <f t="shared" si="70"/>
        <v>163.03716442151523</v>
      </c>
      <c r="Y179" s="9">
        <f t="shared" si="70"/>
        <v>163.03716442151523</v>
      </c>
      <c r="Z179" s="9">
        <f t="shared" si="70"/>
        <v>163.03716442151523</v>
      </c>
      <c r="AA179" s="9">
        <f t="shared" si="70"/>
        <v>163.03716442151523</v>
      </c>
    </row>
    <row r="180" spans="1:27" x14ac:dyDescent="0.25">
      <c r="C180" s="1"/>
      <c r="D180" s="1"/>
      <c r="E180" s="3" t="s">
        <v>83</v>
      </c>
      <c r="F180" s="3" t="s">
        <v>22</v>
      </c>
      <c r="G180" s="3"/>
      <c r="H180" s="9">
        <f>H177/H175</f>
        <v>610.73432242574324</v>
      </c>
      <c r="I180" s="9">
        <f t="shared" ref="I180:AA180" si="71">I177/I175</f>
        <v>606.71230810074519</v>
      </c>
      <c r="J180" s="9">
        <f t="shared" si="71"/>
        <v>619.8570228697813</v>
      </c>
      <c r="K180" s="9">
        <f t="shared" si="71"/>
        <v>632.8042090136347</v>
      </c>
      <c r="L180" s="9">
        <f t="shared" si="71"/>
        <v>646.21937378110829</v>
      </c>
      <c r="M180" s="9">
        <f t="shared" si="71"/>
        <v>659.68148127795246</v>
      </c>
      <c r="N180" s="9">
        <f t="shared" si="71"/>
        <v>673.54412739862414</v>
      </c>
      <c r="O180" s="9">
        <f t="shared" si="71"/>
        <v>687.76053441059491</v>
      </c>
      <c r="P180" s="9">
        <f t="shared" si="71"/>
        <v>702.1609908667441</v>
      </c>
      <c r="Q180" s="9">
        <f t="shared" si="71"/>
        <v>716.92158267670379</v>
      </c>
      <c r="R180" s="9">
        <f t="shared" si="71"/>
        <v>731.98010578129015</v>
      </c>
      <c r="S180" s="9">
        <f t="shared" si="71"/>
        <v>747.45494158279439</v>
      </c>
      <c r="T180" s="9">
        <f t="shared" si="71"/>
        <v>763.12179210642159</v>
      </c>
      <c r="U180" s="9">
        <f t="shared" si="71"/>
        <v>779.0716159913718</v>
      </c>
      <c r="V180" s="9">
        <f t="shared" si="71"/>
        <v>795.47299261227715</v>
      </c>
      <c r="W180" s="9">
        <f t="shared" si="71"/>
        <v>812.17792545713496</v>
      </c>
      <c r="X180" s="9">
        <f t="shared" si="71"/>
        <v>829.23366189173476</v>
      </c>
      <c r="Y180" s="9">
        <f t="shared" si="71"/>
        <v>846.64756879146103</v>
      </c>
      <c r="Z180" s="9">
        <f t="shared" si="71"/>
        <v>864.42716773608174</v>
      </c>
      <c r="AA180" s="9">
        <f t="shared" si="71"/>
        <v>882.58013825853936</v>
      </c>
    </row>
    <row r="181" spans="1:27" x14ac:dyDescent="0.25">
      <c r="C181" s="1"/>
      <c r="D181" s="1"/>
      <c r="E181" s="3" t="s">
        <v>86</v>
      </c>
      <c r="F181" s="3" t="s">
        <v>4</v>
      </c>
      <c r="G181" s="3"/>
      <c r="H181" s="9">
        <f>H177/H176</f>
        <v>3750.7681594011751</v>
      </c>
      <c r="I181" s="9">
        <f t="shared" ref="I181:AA181" si="72">I177/I176</f>
        <v>3724.372584380812</v>
      </c>
      <c r="J181" s="9">
        <f t="shared" si="72"/>
        <v>3802.1906846218017</v>
      </c>
      <c r="K181" s="9">
        <f t="shared" si="72"/>
        <v>3882.104723019238</v>
      </c>
      <c r="L181" s="9">
        <f t="shared" si="72"/>
        <v>3963.5058728125246</v>
      </c>
      <c r="M181" s="9">
        <f t="shared" si="72"/>
        <v>4046.8452190030225</v>
      </c>
      <c r="N181" s="9">
        <f t="shared" si="72"/>
        <v>4131.8198708830087</v>
      </c>
      <c r="O181" s="9">
        <f t="shared" si="72"/>
        <v>4218.5179471998526</v>
      </c>
      <c r="P181" s="9">
        <f t="shared" si="72"/>
        <v>4307.1482503293219</v>
      </c>
      <c r="Q181" s="9">
        <f t="shared" si="72"/>
        <v>4397.5835413643208</v>
      </c>
      <c r="R181" s="9">
        <f t="shared" si="72"/>
        <v>4489.9297069750937</v>
      </c>
      <c r="S181" s="9">
        <f t="shared" si="72"/>
        <v>4584.11763590187</v>
      </c>
      <c r="T181" s="9">
        <f t="shared" si="72"/>
        <v>4680.4130413536514</v>
      </c>
      <c r="U181" s="9">
        <f t="shared" si="72"/>
        <v>4778.7755020700206</v>
      </c>
      <c r="V181" s="9">
        <f t="shared" si="72"/>
        <v>4879.0899635353471</v>
      </c>
      <c r="W181" s="9">
        <f t="shared" si="72"/>
        <v>4981.5508527695893</v>
      </c>
      <c r="X181" s="9">
        <f t="shared" si="72"/>
        <v>5086.1634206777499</v>
      </c>
      <c r="Y181" s="9">
        <f t="shared" si="72"/>
        <v>5192.9728525119826</v>
      </c>
      <c r="Z181" s="9">
        <f t="shared" si="72"/>
        <v>5302.0252824147337</v>
      </c>
      <c r="AA181" s="9">
        <f t="shared" si="72"/>
        <v>5413.3678133454432</v>
      </c>
    </row>
    <row r="182" spans="1:27" x14ac:dyDescent="0.25">
      <c r="C182" s="1"/>
      <c r="D182" s="1"/>
    </row>
    <row r="183" spans="1:27" x14ac:dyDescent="0.25">
      <c r="C183" s="1" t="str">
        <f>"Incremental "&amp;VLOOKUP(G4,E320:F322,2,FALSE)&amp;" Charges"</f>
        <v>Incremental Bulk Water Charges</v>
      </c>
      <c r="H183" s="2"/>
      <c r="I183" s="2"/>
      <c r="J183" s="2"/>
      <c r="K183" s="2"/>
      <c r="L183" s="2"/>
      <c r="M183" s="2"/>
      <c r="N183" s="2"/>
      <c r="O183" s="2"/>
      <c r="P183" s="2"/>
      <c r="Q183" s="2"/>
      <c r="R183" s="2"/>
      <c r="S183" s="2"/>
      <c r="T183" s="2"/>
      <c r="U183" s="2"/>
      <c r="V183" s="2"/>
      <c r="W183" s="2"/>
      <c r="X183" s="2"/>
      <c r="Y183" s="2"/>
      <c r="Z183" s="2"/>
      <c r="AA183" s="2"/>
    </row>
    <row r="184" spans="1:27" x14ac:dyDescent="0.25">
      <c r="A184" s="14">
        <f>'Notes &amp; Assumptions'!A50</f>
        <v>37</v>
      </c>
      <c r="E184" t="s">
        <v>118</v>
      </c>
      <c r="F184" t="s">
        <v>8</v>
      </c>
      <c r="H184" s="11">
        <f>'Bulk charges'!E22</f>
        <v>3.4299999999999997E-2</v>
      </c>
      <c r="I184" s="11">
        <f>'Bulk charges'!F22</f>
        <v>7.0000000000000001E-3</v>
      </c>
      <c r="J184" s="11">
        <f>'Bulk charges'!G22</f>
        <v>1.01E-2</v>
      </c>
      <c r="K184" s="11"/>
      <c r="L184" s="11"/>
      <c r="M184" s="11"/>
      <c r="N184" s="11"/>
      <c r="O184" s="11"/>
      <c r="P184" s="11"/>
      <c r="Q184" s="11"/>
      <c r="R184" s="11"/>
      <c r="S184" s="11"/>
      <c r="T184" s="11"/>
      <c r="U184" s="11"/>
      <c r="V184" s="11"/>
      <c r="W184" s="11"/>
      <c r="X184" s="11"/>
      <c r="Y184" s="11"/>
      <c r="Z184" s="11"/>
      <c r="AA184" s="11"/>
    </row>
    <row r="185" spans="1:27" x14ac:dyDescent="0.25">
      <c r="A185" s="14">
        <f>'Notes &amp; Assumptions'!A51</f>
        <v>38</v>
      </c>
      <c r="E185" t="s">
        <v>122</v>
      </c>
      <c r="F185" t="s">
        <v>4</v>
      </c>
      <c r="G185" s="10">
        <f>'Bulk charges'!D23</f>
        <v>260.27774017446001</v>
      </c>
      <c r="H185" s="2">
        <f>G185*(1+$G$14)*(1+H184)</f>
        <v>274.85857726235525</v>
      </c>
      <c r="I185" s="2">
        <f t="shared" ref="I185:AA185" si="73">H185*(1+$G$14)*(1+I184)</f>
        <v>282.59502163655867</v>
      </c>
      <c r="J185" s="2">
        <f t="shared" si="73"/>
        <v>291.44366521354476</v>
      </c>
      <c r="K185" s="2">
        <f t="shared" si="73"/>
        <v>297.56398218302917</v>
      </c>
      <c r="L185" s="2">
        <f t="shared" si="73"/>
        <v>303.81282580887273</v>
      </c>
      <c r="M185" s="2">
        <f>L185*(1+$G$14)*(1+M184)</f>
        <v>310.19289515085904</v>
      </c>
      <c r="N185" s="2">
        <f t="shared" si="73"/>
        <v>316.70694594902704</v>
      </c>
      <c r="O185" s="2">
        <f t="shared" si="73"/>
        <v>323.35779181395657</v>
      </c>
      <c r="P185" s="2">
        <f t="shared" si="73"/>
        <v>330.1483054420496</v>
      </c>
      <c r="Q185" s="2">
        <f t="shared" si="73"/>
        <v>337.08141985633262</v>
      </c>
      <c r="R185" s="2">
        <f t="shared" si="73"/>
        <v>344.16012967331557</v>
      </c>
      <c r="S185" s="2">
        <f t="shared" si="73"/>
        <v>351.38749239645517</v>
      </c>
      <c r="T185" s="2">
        <f t="shared" si="73"/>
        <v>358.76662973678071</v>
      </c>
      <c r="U185" s="2">
        <f t="shared" si="73"/>
        <v>366.30072896125307</v>
      </c>
      <c r="V185" s="2">
        <f t="shared" si="73"/>
        <v>373.99304426943934</v>
      </c>
      <c r="W185" s="2">
        <f t="shared" si="73"/>
        <v>381.84689819909755</v>
      </c>
      <c r="X185" s="2">
        <f t="shared" si="73"/>
        <v>389.86568306127856</v>
      </c>
      <c r="Y185" s="2">
        <f t="shared" si="73"/>
        <v>398.05286240556535</v>
      </c>
      <c r="Z185" s="2">
        <f t="shared" si="73"/>
        <v>406.41197251608219</v>
      </c>
      <c r="AA185" s="2">
        <f t="shared" si="73"/>
        <v>414.94662393891986</v>
      </c>
    </row>
    <row r="186" spans="1:27" x14ac:dyDescent="0.25">
      <c r="A186" s="14">
        <f>'Notes &amp; Assumptions'!A52</f>
        <v>39</v>
      </c>
      <c r="E186" t="s">
        <v>123</v>
      </c>
      <c r="F186" t="s">
        <v>7</v>
      </c>
      <c r="G186" s="23">
        <f>'20 New UGB Water'!G186</f>
        <v>353.9658908426249</v>
      </c>
      <c r="H186" s="10">
        <f>G186*(1+$G$14)*(1+H184)*(H154+H133+H112+H91)</f>
        <v>266889.7486935007</v>
      </c>
      <c r="I186" s="10">
        <f>H186/(H154+H133+H112+H91)*(1+$G$14)*(1+I184)*(I154+I133+I112+I91)</f>
        <v>548035.15614239033</v>
      </c>
      <c r="J186" s="10">
        <f>I186/(I154+I133+I112+I91)*(1+$G$14)*(1+J184)*(J154+J133+J112+J91)</f>
        <v>851954.60801504261</v>
      </c>
      <c r="K186" s="10">
        <f t="shared" ref="K186:AA186" si="74">J186/(J154+J133+J112+J91)*(1+$G$14)*(1+K184)*(K154+K133+K112+K91)</f>
        <v>1151903.0734314164</v>
      </c>
      <c r="L186" s="10">
        <f>K186/(K154+K133+K112+K91)*(1+$G$14)*(1+L184)*(L154+L133+L112+L91)</f>
        <v>1453124.6142816495</v>
      </c>
      <c r="M186" s="10">
        <f>L186/(L154+L133+L112+L91)*(1+$G$14)*(1+M184)*(M154+M133+M112+M91)</f>
        <v>1755310.4924499539</v>
      </c>
      <c r="N186" s="10">
        <f t="shared" si="74"/>
        <v>2058564.3199078368</v>
      </c>
      <c r="O186" s="10">
        <f t="shared" si="74"/>
        <v>2362786.9188770722</v>
      </c>
      <c r="P186" s="10">
        <f t="shared" si="74"/>
        <v>2694144.5873372471</v>
      </c>
      <c r="Q186" s="10">
        <f t="shared" si="74"/>
        <v>3055338.6587400064</v>
      </c>
      <c r="R186" s="10">
        <f t="shared" si="74"/>
        <v>3448768.4062972502</v>
      </c>
      <c r="S186" s="10">
        <f t="shared" si="74"/>
        <v>3877684.3168609506</v>
      </c>
      <c r="T186" s="10">
        <f t="shared" si="74"/>
        <v>4344317.7129378058</v>
      </c>
      <c r="U186" s="10">
        <f t="shared" si="74"/>
        <v>4826099.815027317</v>
      </c>
      <c r="V186" s="10">
        <f t="shared" si="74"/>
        <v>5323657.8536264077</v>
      </c>
      <c r="W186" s="10">
        <f t="shared" si="74"/>
        <v>5435454.6685525617</v>
      </c>
      <c r="X186" s="10">
        <f t="shared" si="74"/>
        <v>5549599.2165921647</v>
      </c>
      <c r="Y186" s="10">
        <f t="shared" si="74"/>
        <v>5666140.8001405997</v>
      </c>
      <c r="Z186" s="10">
        <f t="shared" si="74"/>
        <v>5785129.7569435518</v>
      </c>
      <c r="AA186" s="10">
        <f t="shared" si="74"/>
        <v>5906617.4818393663</v>
      </c>
    </row>
    <row r="187" spans="1:27" x14ac:dyDescent="0.25">
      <c r="E187" t="s">
        <v>57</v>
      </c>
      <c r="F187" t="s">
        <v>7</v>
      </c>
      <c r="H187" s="2">
        <f>H185*H176+H186</f>
        <v>298844.80688602215</v>
      </c>
      <c r="I187" s="2">
        <f t="shared" ref="I187:AA187" si="75">I185*I176+I186</f>
        <v>613681.97966856288</v>
      </c>
      <c r="J187" s="2">
        <f t="shared" si="75"/>
        <v>954083.75439749903</v>
      </c>
      <c r="K187" s="2">
        <f t="shared" si="75"/>
        <v>1289971.2733444311</v>
      </c>
      <c r="L187" s="2">
        <f>L185*L176+L186</f>
        <v>1627336.9648569734</v>
      </c>
      <c r="M187" s="2">
        <f t="shared" si="75"/>
        <v>1965711.2313018302</v>
      </c>
      <c r="N187" s="2">
        <f t="shared" si="75"/>
        <v>2305318.6191703724</v>
      </c>
      <c r="O187" s="2">
        <f t="shared" si="75"/>
        <v>2646041.8773502619</v>
      </c>
      <c r="P187" s="2">
        <f t="shared" si="75"/>
        <v>3017100.6119452417</v>
      </c>
      <c r="Q187" s="2">
        <f t="shared" si="75"/>
        <v>3421601.2171133016</v>
      </c>
      <c r="R187" s="2">
        <f t="shared" si="75"/>
        <v>3862195.9244692656</v>
      </c>
      <c r="S187" s="2">
        <f t="shared" si="75"/>
        <v>4342603.3511132384</v>
      </c>
      <c r="T187" s="2">
        <f t="shared" si="75"/>
        <v>4865160.7553244745</v>
      </c>
      <c r="U187" s="2">
        <f t="shared" si="75"/>
        <v>5404638.8493560096</v>
      </c>
      <c r="V187" s="2">
        <f t="shared" si="75"/>
        <v>5961880.7236026488</v>
      </c>
      <c r="W187" s="2">
        <f t="shared" si="75"/>
        <v>6087080.218798304</v>
      </c>
      <c r="X187" s="2">
        <f t="shared" si="75"/>
        <v>6214908.9033930674</v>
      </c>
      <c r="Y187" s="2">
        <f t="shared" si="75"/>
        <v>6345421.9903643206</v>
      </c>
      <c r="Z187" s="2">
        <f t="shared" si="75"/>
        <v>6478675.8521619709</v>
      </c>
      <c r="AA187" s="2">
        <f t="shared" si="75"/>
        <v>6614728.0450573722</v>
      </c>
    </row>
    <row r="188" spans="1:27" x14ac:dyDescent="0.25">
      <c r="H188" s="2">
        <f>H187/H175</f>
        <v>418.55014970031112</v>
      </c>
      <c r="I188" s="2">
        <f t="shared" ref="I188:AA188" si="76">I187/I175</f>
        <v>430.35201940291927</v>
      </c>
      <c r="J188" s="2">
        <f t="shared" si="76"/>
        <v>443.86310974528914</v>
      </c>
      <c r="K188" s="2">
        <f t="shared" si="76"/>
        <v>453.17803384662955</v>
      </c>
      <c r="L188" s="2">
        <f t="shared" si="76"/>
        <v>462.70598943900296</v>
      </c>
      <c r="M188" s="2">
        <f t="shared" si="76"/>
        <v>472.41317743374913</v>
      </c>
      <c r="N188" s="2">
        <f t="shared" si="76"/>
        <v>482.33468337072338</v>
      </c>
      <c r="O188" s="2">
        <f t="shared" si="76"/>
        <v>492.47010559282745</v>
      </c>
      <c r="P188" s="2">
        <f t="shared" si="76"/>
        <v>502.80820130743132</v>
      </c>
      <c r="Q188" s="2">
        <f t="shared" si="76"/>
        <v>513.36852469816984</v>
      </c>
      <c r="R188" s="2">
        <f t="shared" si="76"/>
        <v>524.14954528998646</v>
      </c>
      <c r="S188" s="2">
        <f t="shared" si="76"/>
        <v>535.16585755292851</v>
      </c>
      <c r="T188" s="2">
        <f t="shared" si="76"/>
        <v>546.40170208046663</v>
      </c>
      <c r="U188" s="2">
        <f t="shared" si="76"/>
        <v>557.86941054459226</v>
      </c>
      <c r="V188" s="2">
        <f t="shared" si="76"/>
        <v>569.58829880602354</v>
      </c>
      <c r="W188" s="2">
        <f t="shared" si="76"/>
        <v>581.54965308095007</v>
      </c>
      <c r="X188" s="2">
        <f t="shared" si="76"/>
        <v>593.76219579564986</v>
      </c>
      <c r="Y188" s="2">
        <f t="shared" si="76"/>
        <v>606.23120190735847</v>
      </c>
      <c r="Z188" s="2">
        <f t="shared" si="76"/>
        <v>618.96205714741291</v>
      </c>
      <c r="AA188" s="2">
        <f t="shared" si="76"/>
        <v>631.96026034750855</v>
      </c>
    </row>
    <row r="189" spans="1:27" x14ac:dyDescent="0.25">
      <c r="C189" s="1" t="s">
        <v>10</v>
      </c>
      <c r="G189" s="2"/>
    </row>
    <row r="190" spans="1:27" x14ac:dyDescent="0.25">
      <c r="C190" s="1"/>
      <c r="D190" t="s">
        <v>149</v>
      </c>
      <c r="G190" s="2"/>
    </row>
    <row r="191" spans="1:27" x14ac:dyDescent="0.25">
      <c r="A191" s="14">
        <f>'Notes &amp; Assumptions'!A53</f>
        <v>40</v>
      </c>
      <c r="C191" s="1"/>
      <c r="E191" t="s">
        <v>125</v>
      </c>
      <c r="G191" s="2"/>
      <c r="H191" s="11"/>
      <c r="I191" s="11"/>
      <c r="J191" s="11"/>
      <c r="K191" s="11"/>
      <c r="L191" s="11"/>
      <c r="M191" s="11"/>
      <c r="N191" s="11"/>
      <c r="O191" s="11"/>
      <c r="P191" s="11"/>
      <c r="Q191" s="11"/>
      <c r="R191" s="11"/>
      <c r="S191" s="11"/>
      <c r="T191" s="11"/>
      <c r="U191" s="11"/>
      <c r="V191" s="11"/>
      <c r="W191" s="11"/>
      <c r="X191" s="11"/>
      <c r="Y191" s="11"/>
      <c r="Z191" s="11"/>
      <c r="AA191" s="11"/>
    </row>
    <row r="192" spans="1:27" x14ac:dyDescent="0.25">
      <c r="A192" s="14">
        <f>'Notes &amp; Assumptions'!A54</f>
        <v>41</v>
      </c>
      <c r="E192" t="s">
        <v>26</v>
      </c>
      <c r="F192" t="s">
        <v>22</v>
      </c>
      <c r="G192" s="10">
        <f>'Key assumptions'!B12</f>
        <v>114</v>
      </c>
      <c r="H192" s="2">
        <f t="shared" ref="H192:W193" si="77">G192*(1+$G$14)*(1+H$191)</f>
        <v>116.39399999999999</v>
      </c>
      <c r="I192" s="2">
        <f t="shared" si="77"/>
        <v>118.83827399999998</v>
      </c>
      <c r="J192" s="2">
        <f t="shared" si="77"/>
        <v>121.33387775399997</v>
      </c>
      <c r="K192" s="2">
        <f t="shared" si="77"/>
        <v>123.88188918683396</v>
      </c>
      <c r="L192" s="2">
        <f t="shared" si="77"/>
        <v>126.48340885975746</v>
      </c>
      <c r="M192" s="2">
        <f t="shared" si="77"/>
        <v>129.13956044581235</v>
      </c>
      <c r="N192" s="2">
        <f t="shared" si="77"/>
        <v>131.85149121517441</v>
      </c>
      <c r="O192" s="2">
        <f t="shared" si="77"/>
        <v>134.62037253069306</v>
      </c>
      <c r="P192" s="2">
        <f t="shared" si="77"/>
        <v>137.44740035383759</v>
      </c>
      <c r="Q192" s="2">
        <f t="shared" si="77"/>
        <v>140.33379576126816</v>
      </c>
      <c r="R192" s="2">
        <f t="shared" si="77"/>
        <v>143.28080547225477</v>
      </c>
      <c r="S192" s="2">
        <f t="shared" si="77"/>
        <v>146.2897023871721</v>
      </c>
      <c r="T192" s="2">
        <f t="shared" si="77"/>
        <v>149.36178613730269</v>
      </c>
      <c r="U192" s="2">
        <f t="shared" si="77"/>
        <v>152.49838364618603</v>
      </c>
      <c r="V192" s="2">
        <f t="shared" si="77"/>
        <v>155.70084970275593</v>
      </c>
      <c r="W192" s="2">
        <f t="shared" si="77"/>
        <v>158.97056754651379</v>
      </c>
      <c r="X192" s="2">
        <f t="shared" ref="X192:AA193" si="78">W192*(1+$G$14)*(1+X$191)</f>
        <v>162.30894946499058</v>
      </c>
      <c r="Y192" s="2">
        <f t="shared" si="78"/>
        <v>165.71743740375535</v>
      </c>
      <c r="Z192" s="2">
        <f t="shared" si="78"/>
        <v>169.1975035892342</v>
      </c>
      <c r="AA192" s="2">
        <f t="shared" si="78"/>
        <v>172.75065116460812</v>
      </c>
    </row>
    <row r="193" spans="1:29" x14ac:dyDescent="0.25">
      <c r="A193" s="14">
        <f>'Notes &amp; Assumptions'!A55</f>
        <v>42</v>
      </c>
      <c r="E193" t="s">
        <v>27</v>
      </c>
      <c r="F193" t="s">
        <v>4</v>
      </c>
      <c r="G193" s="10"/>
      <c r="H193" s="2">
        <f t="shared" si="77"/>
        <v>0</v>
      </c>
      <c r="I193" s="2">
        <f t="shared" si="77"/>
        <v>0</v>
      </c>
      <c r="J193" s="2">
        <f t="shared" si="77"/>
        <v>0</v>
      </c>
      <c r="K193" s="2">
        <f t="shared" si="77"/>
        <v>0</v>
      </c>
      <c r="L193" s="2">
        <f t="shared" si="77"/>
        <v>0</v>
      </c>
      <c r="M193" s="2">
        <f t="shared" si="77"/>
        <v>0</v>
      </c>
      <c r="N193" s="2">
        <f t="shared" si="77"/>
        <v>0</v>
      </c>
      <c r="O193" s="2">
        <f t="shared" si="77"/>
        <v>0</v>
      </c>
      <c r="P193" s="2">
        <f t="shared" si="77"/>
        <v>0</v>
      </c>
      <c r="Q193" s="2">
        <f t="shared" si="77"/>
        <v>0</v>
      </c>
      <c r="R193" s="2">
        <f t="shared" si="77"/>
        <v>0</v>
      </c>
      <c r="S193" s="2">
        <f t="shared" si="77"/>
        <v>0</v>
      </c>
      <c r="T193" s="2">
        <f t="shared" si="77"/>
        <v>0</v>
      </c>
      <c r="U193" s="2">
        <f t="shared" si="77"/>
        <v>0</v>
      </c>
      <c r="V193" s="2">
        <f t="shared" si="77"/>
        <v>0</v>
      </c>
      <c r="W193" s="2">
        <f t="shared" si="77"/>
        <v>0</v>
      </c>
      <c r="X193" s="2">
        <f t="shared" si="78"/>
        <v>0</v>
      </c>
      <c r="Y193" s="2">
        <f t="shared" si="78"/>
        <v>0</v>
      </c>
      <c r="Z193" s="2">
        <f t="shared" si="78"/>
        <v>0</v>
      </c>
      <c r="AA193" s="2">
        <f t="shared" si="78"/>
        <v>0</v>
      </c>
    </row>
    <row r="194" spans="1:29" x14ac:dyDescent="0.25">
      <c r="A194" s="14">
        <f>'Notes &amp; Assumptions'!A56</f>
        <v>43</v>
      </c>
      <c r="E194" t="s">
        <v>39</v>
      </c>
      <c r="F194" t="s">
        <v>7</v>
      </c>
      <c r="G194" s="2"/>
      <c r="H194" s="10"/>
      <c r="I194" s="10"/>
      <c r="J194" s="10"/>
      <c r="K194" s="10"/>
      <c r="L194" s="10"/>
      <c r="M194" s="10"/>
      <c r="N194" s="10"/>
      <c r="O194" s="10"/>
      <c r="P194" s="10"/>
      <c r="Q194" s="10"/>
      <c r="R194" s="10"/>
      <c r="S194" s="10"/>
      <c r="T194" s="10"/>
      <c r="U194" s="10"/>
      <c r="V194" s="10"/>
      <c r="W194" s="10"/>
      <c r="X194" s="10"/>
      <c r="Y194" s="10"/>
      <c r="Z194" s="10"/>
      <c r="AA194" s="10"/>
    </row>
    <row r="195" spans="1:29" x14ac:dyDescent="0.25">
      <c r="B195" s="14"/>
      <c r="C195" s="14"/>
      <c r="D195" s="14"/>
      <c r="E195" s="14"/>
      <c r="F195" s="14"/>
      <c r="G195" s="14"/>
      <c r="H195" s="14"/>
      <c r="I195" s="14"/>
      <c r="J195" s="14"/>
      <c r="K195" s="14"/>
      <c r="L195" s="14"/>
      <c r="M195" s="14"/>
      <c r="N195" s="14"/>
      <c r="O195" s="14"/>
      <c r="P195" s="14"/>
      <c r="Q195" s="14"/>
      <c r="R195" s="14"/>
      <c r="S195" s="14"/>
      <c r="T195" s="14"/>
      <c r="U195" s="14"/>
      <c r="V195" s="14"/>
      <c r="W195" s="14"/>
      <c r="X195" s="14"/>
      <c r="Y195" s="14"/>
      <c r="Z195" s="14"/>
      <c r="AA195" s="14"/>
      <c r="AB195" s="14"/>
      <c r="AC195" s="14"/>
    </row>
    <row r="196" spans="1:29" x14ac:dyDescent="0.25">
      <c r="D196" t="s">
        <v>124</v>
      </c>
      <c r="G196" s="14"/>
      <c r="H196" s="14"/>
      <c r="I196" s="14"/>
      <c r="J196" s="14"/>
      <c r="K196" s="14"/>
      <c r="L196" s="14"/>
      <c r="M196" s="14"/>
      <c r="N196" s="14"/>
      <c r="O196" s="14"/>
      <c r="P196" s="14"/>
      <c r="Q196" s="14"/>
      <c r="R196" s="14"/>
      <c r="S196" s="14"/>
      <c r="T196" s="14"/>
      <c r="U196" s="14"/>
      <c r="V196" s="14"/>
      <c r="W196" s="14"/>
      <c r="X196" s="14"/>
      <c r="Y196" s="14"/>
      <c r="Z196" s="14"/>
      <c r="AA196" s="14"/>
    </row>
    <row r="197" spans="1:29" x14ac:dyDescent="0.25">
      <c r="A197" s="14">
        <f>'Notes &amp; Assumptions'!A57</f>
        <v>44</v>
      </c>
      <c r="E197" t="s">
        <v>27</v>
      </c>
      <c r="F197" t="s">
        <v>4</v>
      </c>
      <c r="G197" s="14"/>
      <c r="H197" s="10"/>
      <c r="I197" s="10"/>
      <c r="J197" s="10"/>
      <c r="K197" s="10"/>
      <c r="L197" s="10"/>
      <c r="M197" s="10"/>
      <c r="N197" s="10"/>
      <c r="O197" s="10"/>
      <c r="P197" s="10"/>
      <c r="Q197" s="10"/>
      <c r="R197" s="10"/>
      <c r="S197" s="10"/>
      <c r="T197" s="10"/>
      <c r="U197" s="10"/>
      <c r="V197" s="10"/>
      <c r="W197" s="10"/>
      <c r="X197" s="10"/>
      <c r="Y197" s="10"/>
      <c r="Z197" s="10"/>
      <c r="AA197" s="10"/>
    </row>
    <row r="198" spans="1:29" x14ac:dyDescent="0.25">
      <c r="A198" s="14">
        <f>'Notes &amp; Assumptions'!A58</f>
        <v>45</v>
      </c>
      <c r="E198" t="s">
        <v>39</v>
      </c>
      <c r="F198" t="s">
        <v>7</v>
      </c>
      <c r="G198" s="2"/>
      <c r="H198" s="10"/>
      <c r="I198" s="10"/>
      <c r="J198" s="10"/>
      <c r="K198" s="10"/>
      <c r="L198" s="10"/>
      <c r="M198" s="10"/>
      <c r="N198" s="10"/>
      <c r="O198" s="10"/>
      <c r="P198" s="10"/>
      <c r="Q198" s="10"/>
      <c r="R198" s="10"/>
      <c r="S198" s="10"/>
      <c r="T198" s="10"/>
      <c r="U198" s="10"/>
      <c r="V198" s="10"/>
      <c r="W198" s="10"/>
      <c r="X198" s="10"/>
      <c r="Y198" s="10"/>
      <c r="Z198" s="10"/>
      <c r="AA198" s="10"/>
    </row>
    <row r="199" spans="1:29" x14ac:dyDescent="0.25">
      <c r="G199" s="2"/>
    </row>
    <row r="200" spans="1:29" x14ac:dyDescent="0.25">
      <c r="E200" t="s">
        <v>10</v>
      </c>
      <c r="F200" t="s">
        <v>7</v>
      </c>
      <c r="G200" s="2"/>
      <c r="H200" s="2">
        <f>H192*H175+(H193+H197)*H176+H194+H198</f>
        <v>83105.315999999992</v>
      </c>
      <c r="I200" s="2">
        <f t="shared" ref="I200:AA200" si="79">I192*I175+(I193+I197)*I176+I194+I198</f>
        <v>169463.37872399998</v>
      </c>
      <c r="J200" s="2">
        <f t="shared" si="79"/>
        <v>260807.17023222294</v>
      </c>
      <c r="K200" s="2">
        <f t="shared" si="79"/>
        <v>352629.79757032287</v>
      </c>
      <c r="L200" s="2">
        <f t="shared" si="79"/>
        <v>444842.14895976702</v>
      </c>
      <c r="M200" s="2">
        <f t="shared" si="79"/>
        <v>537349.71101502515</v>
      </c>
      <c r="N200" s="2">
        <f t="shared" si="79"/>
        <v>630184.20226292603</v>
      </c>
      <c r="O200" s="2">
        <f t="shared" si="79"/>
        <v>723315.26160741376</v>
      </c>
      <c r="P200" s="2">
        <f t="shared" si="79"/>
        <v>824753.12582320243</v>
      </c>
      <c r="Q200" s="2">
        <f t="shared" si="79"/>
        <v>935324.74874885229</v>
      </c>
      <c r="R200" s="2">
        <f t="shared" si="79"/>
        <v>1055764.6151223092</v>
      </c>
      <c r="S200" s="2">
        <f t="shared" si="79"/>
        <v>1187067.790020708</v>
      </c>
      <c r="T200" s="2">
        <f t="shared" si="79"/>
        <v>1329917.3437665431</v>
      </c>
      <c r="U200" s="2">
        <f t="shared" si="79"/>
        <v>1477404.3407642501</v>
      </c>
      <c r="V200" s="2">
        <f t="shared" si="79"/>
        <v>1629720.7938387464</v>
      </c>
      <c r="W200" s="2">
        <f t="shared" si="79"/>
        <v>1663944.9305093598</v>
      </c>
      <c r="X200" s="2">
        <f t="shared" si="79"/>
        <v>1698887.7740500565</v>
      </c>
      <c r="Y200" s="2">
        <f t="shared" si="79"/>
        <v>1734564.4173051072</v>
      </c>
      <c r="Z200" s="2">
        <f t="shared" si="79"/>
        <v>1770990.2700685144</v>
      </c>
      <c r="AA200" s="2">
        <f t="shared" si="79"/>
        <v>1808181.0657399532</v>
      </c>
    </row>
    <row r="201" spans="1:29" x14ac:dyDescent="0.25">
      <c r="G201" s="2"/>
      <c r="H201" s="2"/>
      <c r="I201" s="2"/>
      <c r="J201" s="2"/>
      <c r="K201" s="2"/>
      <c r="L201" s="2"/>
      <c r="M201" s="2"/>
      <c r="N201" s="2"/>
      <c r="O201" s="2"/>
      <c r="P201" s="2"/>
      <c r="Q201" s="2"/>
      <c r="R201" s="2"/>
      <c r="S201" s="2"/>
      <c r="T201" s="2"/>
      <c r="U201" s="2"/>
      <c r="V201" s="2"/>
      <c r="W201" s="2"/>
      <c r="X201" s="2"/>
      <c r="Y201" s="2"/>
      <c r="Z201" s="2"/>
      <c r="AA201" s="2"/>
    </row>
    <row r="202" spans="1:29" x14ac:dyDescent="0.25">
      <c r="C202" s="1" t="s">
        <v>48</v>
      </c>
      <c r="G202" s="2"/>
      <c r="H202" s="2"/>
      <c r="I202" s="2"/>
      <c r="J202" s="2"/>
      <c r="K202" s="2"/>
      <c r="L202" s="2"/>
      <c r="M202" s="2"/>
      <c r="N202" s="2"/>
      <c r="O202" s="2"/>
      <c r="P202" s="2"/>
      <c r="Q202" s="2"/>
      <c r="R202" s="2"/>
      <c r="S202" s="2"/>
      <c r="T202" s="2"/>
      <c r="U202" s="2"/>
      <c r="V202" s="2"/>
      <c r="W202" s="2"/>
      <c r="X202" s="2"/>
      <c r="Y202" s="2"/>
      <c r="Z202" s="2"/>
      <c r="AA202" s="2"/>
    </row>
    <row r="203" spans="1:29" x14ac:dyDescent="0.25">
      <c r="A203" s="14">
        <f>'Notes &amp; Assumptions'!A59</f>
        <v>46</v>
      </c>
      <c r="E203" s="10" t="s">
        <v>44</v>
      </c>
      <c r="F203" t="s">
        <v>7</v>
      </c>
      <c r="G203" s="2"/>
      <c r="H203" s="10"/>
      <c r="I203" s="10"/>
      <c r="J203" s="10"/>
      <c r="K203" s="10"/>
      <c r="L203" s="10"/>
      <c r="M203" s="10"/>
      <c r="N203" s="10"/>
      <c r="O203" s="10"/>
      <c r="P203" s="10"/>
      <c r="Q203" s="10"/>
      <c r="R203" s="10"/>
      <c r="S203" s="10"/>
      <c r="T203" s="10"/>
      <c r="U203" s="10"/>
      <c r="V203" s="10"/>
      <c r="W203" s="10"/>
      <c r="X203" s="10"/>
      <c r="Y203" s="10"/>
      <c r="Z203" s="10"/>
      <c r="AA203" s="10"/>
    </row>
    <row r="204" spans="1:29" x14ac:dyDescent="0.25">
      <c r="A204" s="14">
        <f>'Notes &amp; Assumptions'!A60</f>
        <v>47</v>
      </c>
      <c r="E204" s="10" t="s">
        <v>45</v>
      </c>
      <c r="F204" t="s">
        <v>7</v>
      </c>
      <c r="G204" s="2"/>
      <c r="H204" s="10"/>
      <c r="I204" s="10"/>
      <c r="J204" s="10"/>
      <c r="K204" s="10"/>
      <c r="L204" s="10"/>
      <c r="M204" s="10"/>
      <c r="N204" s="10"/>
      <c r="O204" s="10"/>
      <c r="P204" s="10"/>
      <c r="Q204" s="10"/>
      <c r="R204" s="10"/>
      <c r="S204" s="10"/>
      <c r="T204" s="10"/>
      <c r="U204" s="10"/>
      <c r="V204" s="10"/>
      <c r="W204" s="10"/>
      <c r="X204" s="10"/>
      <c r="Y204" s="10"/>
      <c r="Z204" s="10"/>
      <c r="AA204" s="10"/>
    </row>
    <row r="205" spans="1:29" x14ac:dyDescent="0.25">
      <c r="A205" s="14">
        <f>'Notes &amp; Assumptions'!A61</f>
        <v>48</v>
      </c>
      <c r="E205" s="10" t="s">
        <v>46</v>
      </c>
      <c r="F205" t="s">
        <v>7</v>
      </c>
      <c r="G205" s="2"/>
      <c r="H205" s="10"/>
      <c r="I205" s="10"/>
      <c r="J205" s="10"/>
      <c r="K205" s="10"/>
      <c r="L205" s="10"/>
      <c r="M205" s="10"/>
      <c r="N205" s="10"/>
      <c r="O205" s="10"/>
      <c r="P205" s="10"/>
      <c r="Q205" s="10"/>
      <c r="R205" s="10"/>
      <c r="S205" s="10"/>
      <c r="T205" s="10"/>
      <c r="U205" s="10"/>
      <c r="V205" s="10"/>
      <c r="W205" s="10"/>
      <c r="X205" s="10"/>
      <c r="Y205" s="10"/>
      <c r="Z205" s="10"/>
      <c r="AA205" s="10"/>
    </row>
    <row r="206" spans="1:29" x14ac:dyDescent="0.25">
      <c r="A206" s="14">
        <f>'Notes &amp; Assumptions'!A62</f>
        <v>49</v>
      </c>
      <c r="E206" s="10" t="s">
        <v>47</v>
      </c>
      <c r="F206" t="s">
        <v>7</v>
      </c>
      <c r="G206" s="2"/>
      <c r="H206" s="10"/>
      <c r="I206" s="10"/>
      <c r="J206" s="10"/>
      <c r="K206" s="10"/>
      <c r="L206" s="10"/>
      <c r="M206" s="10"/>
      <c r="N206" s="10"/>
      <c r="O206" s="10"/>
      <c r="P206" s="10"/>
      <c r="Q206" s="10"/>
      <c r="R206" s="10"/>
      <c r="S206" s="10"/>
      <c r="T206" s="10"/>
      <c r="U206" s="10"/>
      <c r="V206" s="10"/>
      <c r="W206" s="10"/>
      <c r="X206" s="10"/>
      <c r="Y206" s="10"/>
      <c r="Z206" s="10"/>
      <c r="AA206" s="10"/>
    </row>
    <row r="207" spans="1:29" x14ac:dyDescent="0.25">
      <c r="E207" t="s">
        <v>17</v>
      </c>
      <c r="G207" s="2"/>
      <c r="H207" s="2">
        <f>SUM(H203:H206)</f>
        <v>0</v>
      </c>
      <c r="I207" s="2">
        <f t="shared" ref="I207:AA207" si="80">SUM(I203:I206)</f>
        <v>0</v>
      </c>
      <c r="J207" s="2">
        <f t="shared" si="80"/>
        <v>0</v>
      </c>
      <c r="K207" s="2">
        <f t="shared" si="80"/>
        <v>0</v>
      </c>
      <c r="L207" s="2">
        <f t="shared" si="80"/>
        <v>0</v>
      </c>
      <c r="M207" s="2">
        <f t="shared" si="80"/>
        <v>0</v>
      </c>
      <c r="N207" s="2">
        <f t="shared" si="80"/>
        <v>0</v>
      </c>
      <c r="O207" s="2">
        <f t="shared" si="80"/>
        <v>0</v>
      </c>
      <c r="P207" s="2">
        <f t="shared" si="80"/>
        <v>0</v>
      </c>
      <c r="Q207" s="2">
        <f t="shared" si="80"/>
        <v>0</v>
      </c>
      <c r="R207" s="2">
        <f t="shared" si="80"/>
        <v>0</v>
      </c>
      <c r="S207" s="2">
        <f t="shared" si="80"/>
        <v>0</v>
      </c>
      <c r="T207" s="2">
        <f t="shared" si="80"/>
        <v>0</v>
      </c>
      <c r="U207" s="2">
        <f t="shared" si="80"/>
        <v>0</v>
      </c>
      <c r="V207" s="2">
        <f t="shared" si="80"/>
        <v>0</v>
      </c>
      <c r="W207" s="2">
        <f t="shared" si="80"/>
        <v>0</v>
      </c>
      <c r="X207" s="2">
        <f t="shared" si="80"/>
        <v>0</v>
      </c>
      <c r="Y207" s="2">
        <f t="shared" si="80"/>
        <v>0</v>
      </c>
      <c r="Z207" s="2">
        <f t="shared" si="80"/>
        <v>0</v>
      </c>
      <c r="AA207" s="2">
        <f t="shared" si="80"/>
        <v>0</v>
      </c>
    </row>
    <row r="208" spans="1:29" x14ac:dyDescent="0.25">
      <c r="G208" s="2"/>
      <c r="H208" s="2"/>
      <c r="I208" s="2"/>
      <c r="J208" s="2"/>
      <c r="K208" s="2"/>
      <c r="L208" s="2"/>
      <c r="M208" s="2"/>
      <c r="N208" s="2"/>
      <c r="O208" s="2"/>
      <c r="P208" s="2"/>
      <c r="Q208" s="2"/>
      <c r="R208" s="2"/>
      <c r="S208" s="2"/>
      <c r="T208" s="2"/>
      <c r="U208" s="2"/>
      <c r="V208" s="2"/>
      <c r="W208" s="2"/>
      <c r="X208" s="2"/>
      <c r="Y208" s="2"/>
      <c r="Z208" s="2"/>
      <c r="AA208" s="2"/>
    </row>
    <row r="209" spans="1:27" x14ac:dyDescent="0.25">
      <c r="C209" s="1" t="s">
        <v>49</v>
      </c>
      <c r="G209" s="2"/>
      <c r="H209" s="2"/>
      <c r="I209" s="2"/>
      <c r="J209" s="2"/>
      <c r="K209" s="2"/>
      <c r="L209" s="2"/>
      <c r="M209" s="2"/>
      <c r="N209" s="2"/>
      <c r="O209" s="2"/>
      <c r="P209" s="2"/>
      <c r="Q209" s="2"/>
      <c r="R209" s="2"/>
      <c r="S209" s="2"/>
      <c r="T209" s="2"/>
      <c r="U209" s="2"/>
      <c r="V209" s="2"/>
      <c r="W209" s="2"/>
      <c r="X209" s="2"/>
      <c r="Y209" s="2"/>
      <c r="Z209" s="2"/>
      <c r="AA209" s="2"/>
    </row>
    <row r="210" spans="1:27" x14ac:dyDescent="0.25">
      <c r="A210" s="14">
        <f>'Notes &amp; Assumptions'!A63</f>
        <v>50</v>
      </c>
      <c r="E210" s="10" t="s">
        <v>174</v>
      </c>
      <c r="F210" t="s">
        <v>7</v>
      </c>
      <c r="G210" s="24">
        <v>0</v>
      </c>
      <c r="H210" s="10">
        <f>H107*($G$210*(1+$G$14)^(H2))</f>
        <v>0</v>
      </c>
      <c r="I210" s="10">
        <f>I107*($G$210*(1+$G$14)^(I2))</f>
        <v>0</v>
      </c>
      <c r="J210" s="10">
        <f t="shared" ref="J210:AA210" si="81">J107*($G$210*(1+$G$14)^(J2))</f>
        <v>0</v>
      </c>
      <c r="K210" s="10">
        <f t="shared" si="81"/>
        <v>0</v>
      </c>
      <c r="L210" s="10">
        <f t="shared" si="81"/>
        <v>0</v>
      </c>
      <c r="M210" s="10">
        <f t="shared" si="81"/>
        <v>0</v>
      </c>
      <c r="N210" s="10">
        <f t="shared" si="81"/>
        <v>0</v>
      </c>
      <c r="O210" s="10">
        <f t="shared" si="81"/>
        <v>0</v>
      </c>
      <c r="P210" s="10">
        <f t="shared" si="81"/>
        <v>0</v>
      </c>
      <c r="Q210" s="10">
        <f t="shared" si="81"/>
        <v>0</v>
      </c>
      <c r="R210" s="10">
        <f t="shared" si="81"/>
        <v>0</v>
      </c>
      <c r="S210" s="10">
        <f t="shared" si="81"/>
        <v>0</v>
      </c>
      <c r="T210" s="10">
        <f t="shared" si="81"/>
        <v>0</v>
      </c>
      <c r="U210" s="10">
        <f t="shared" si="81"/>
        <v>0</v>
      </c>
      <c r="V210" s="10">
        <f t="shared" si="81"/>
        <v>0</v>
      </c>
      <c r="W210" s="10">
        <f t="shared" si="81"/>
        <v>0</v>
      </c>
      <c r="X210" s="10">
        <f t="shared" si="81"/>
        <v>0</v>
      </c>
      <c r="Y210" s="10">
        <f t="shared" si="81"/>
        <v>0</v>
      </c>
      <c r="Z210" s="10">
        <f t="shared" si="81"/>
        <v>0</v>
      </c>
      <c r="AA210" s="10">
        <f t="shared" si="81"/>
        <v>0</v>
      </c>
    </row>
    <row r="211" spans="1:27" x14ac:dyDescent="0.25">
      <c r="A211" s="14">
        <f>'Notes &amp; Assumptions'!A64</f>
        <v>51</v>
      </c>
      <c r="E211" s="10" t="s">
        <v>50</v>
      </c>
      <c r="F211" t="s">
        <v>7</v>
      </c>
      <c r="G211" s="2"/>
      <c r="H211" s="10"/>
      <c r="I211" s="10"/>
      <c r="J211" s="10"/>
      <c r="K211" s="10"/>
      <c r="L211" s="10"/>
      <c r="M211" s="10"/>
      <c r="N211" s="10"/>
      <c r="O211" s="10"/>
      <c r="P211" s="10"/>
      <c r="Q211" s="10"/>
      <c r="R211" s="10"/>
      <c r="S211" s="10"/>
      <c r="T211" s="10"/>
      <c r="U211" s="10"/>
      <c r="V211" s="10"/>
      <c r="W211" s="10"/>
      <c r="X211" s="10"/>
      <c r="Y211" s="10"/>
      <c r="Z211" s="10"/>
      <c r="AA211" s="10"/>
    </row>
    <row r="212" spans="1:27" x14ac:dyDescent="0.25">
      <c r="A212" s="14">
        <f>'Notes &amp; Assumptions'!A65</f>
        <v>52</v>
      </c>
      <c r="E212" s="10" t="s">
        <v>51</v>
      </c>
      <c r="F212" t="s">
        <v>7</v>
      </c>
      <c r="G212" s="2"/>
      <c r="H212" s="10"/>
      <c r="I212" s="10"/>
      <c r="J212" s="10"/>
      <c r="K212" s="10"/>
      <c r="L212" s="10"/>
      <c r="M212" s="10"/>
      <c r="N212" s="10"/>
      <c r="O212" s="10"/>
      <c r="P212" s="10"/>
      <c r="Q212" s="10"/>
      <c r="R212" s="10"/>
      <c r="S212" s="10"/>
      <c r="T212" s="10"/>
      <c r="U212" s="10"/>
      <c r="V212" s="10"/>
      <c r="W212" s="10"/>
      <c r="X212" s="10"/>
      <c r="Y212" s="10"/>
      <c r="Z212" s="10"/>
      <c r="AA212" s="10"/>
    </row>
    <row r="213" spans="1:27" x14ac:dyDescent="0.25">
      <c r="A213" s="14">
        <f>'Notes &amp; Assumptions'!A66</f>
        <v>53</v>
      </c>
      <c r="E213" s="10" t="s">
        <v>52</v>
      </c>
      <c r="F213" t="s">
        <v>7</v>
      </c>
      <c r="G213" s="2"/>
      <c r="H213" s="10"/>
      <c r="I213" s="10"/>
      <c r="J213" s="10"/>
      <c r="K213" s="10"/>
      <c r="L213" s="10"/>
      <c r="M213" s="10"/>
      <c r="N213" s="10"/>
      <c r="O213" s="10"/>
      <c r="P213" s="10"/>
      <c r="Q213" s="10"/>
      <c r="R213" s="10"/>
      <c r="S213" s="10"/>
      <c r="T213" s="10"/>
      <c r="U213" s="10"/>
      <c r="V213" s="10"/>
      <c r="W213" s="10"/>
      <c r="X213" s="10"/>
      <c r="Y213" s="10"/>
      <c r="Z213" s="10"/>
      <c r="AA213" s="10"/>
    </row>
    <row r="214" spans="1:27" x14ac:dyDescent="0.25">
      <c r="E214" t="s">
        <v>17</v>
      </c>
      <c r="G214" s="2"/>
      <c r="H214" s="2">
        <f>SUM(H210:H213)</f>
        <v>0</v>
      </c>
      <c r="I214" s="2">
        <f t="shared" ref="I214:AA214" si="82">SUM(I210:I213)</f>
        <v>0</v>
      </c>
      <c r="J214" s="2">
        <f t="shared" si="82"/>
        <v>0</v>
      </c>
      <c r="K214" s="2">
        <f t="shared" si="82"/>
        <v>0</v>
      </c>
      <c r="L214" s="2">
        <f t="shared" si="82"/>
        <v>0</v>
      </c>
      <c r="M214" s="2">
        <f t="shared" si="82"/>
        <v>0</v>
      </c>
      <c r="N214" s="2">
        <f t="shared" si="82"/>
        <v>0</v>
      </c>
      <c r="O214" s="2">
        <f t="shared" si="82"/>
        <v>0</v>
      </c>
      <c r="P214" s="2">
        <f t="shared" si="82"/>
        <v>0</v>
      </c>
      <c r="Q214" s="2">
        <f t="shared" si="82"/>
        <v>0</v>
      </c>
      <c r="R214" s="2">
        <f t="shared" si="82"/>
        <v>0</v>
      </c>
      <c r="S214" s="2">
        <f t="shared" si="82"/>
        <v>0</v>
      </c>
      <c r="T214" s="2">
        <f t="shared" si="82"/>
        <v>0</v>
      </c>
      <c r="U214" s="2">
        <f t="shared" si="82"/>
        <v>0</v>
      </c>
      <c r="V214" s="2">
        <f t="shared" si="82"/>
        <v>0</v>
      </c>
      <c r="W214" s="2">
        <f t="shared" si="82"/>
        <v>0</v>
      </c>
      <c r="X214" s="2">
        <f t="shared" si="82"/>
        <v>0</v>
      </c>
      <c r="Y214" s="2">
        <f t="shared" si="82"/>
        <v>0</v>
      </c>
      <c r="Z214" s="2">
        <f t="shared" si="82"/>
        <v>0</v>
      </c>
      <c r="AA214" s="2">
        <f t="shared" si="82"/>
        <v>0</v>
      </c>
    </row>
    <row r="215" spans="1:27" x14ac:dyDescent="0.25">
      <c r="G215" s="2"/>
      <c r="H215" s="2"/>
      <c r="I215" s="2"/>
      <c r="J215" s="2"/>
      <c r="K215" s="2"/>
      <c r="L215" s="2"/>
      <c r="M215" s="2"/>
      <c r="N215" s="2"/>
      <c r="O215" s="2"/>
      <c r="P215" s="2"/>
      <c r="Q215" s="2"/>
      <c r="R215" s="2"/>
      <c r="S215" s="2"/>
      <c r="T215" s="2"/>
      <c r="U215" s="2"/>
      <c r="V215" s="2"/>
      <c r="W215" s="2"/>
      <c r="X215" s="2"/>
      <c r="Y215" s="2"/>
      <c r="Z215" s="2"/>
      <c r="AA215" s="2"/>
    </row>
    <row r="216" spans="1:27" x14ac:dyDescent="0.25">
      <c r="C216" s="1" t="s">
        <v>33</v>
      </c>
      <c r="G216" s="2"/>
      <c r="H216" s="2"/>
      <c r="I216" s="2"/>
      <c r="J216" s="2"/>
      <c r="K216" s="2"/>
      <c r="L216" s="2"/>
      <c r="M216" s="2"/>
      <c r="N216" s="2"/>
      <c r="O216" s="2"/>
      <c r="P216" s="2"/>
      <c r="Q216" s="2"/>
      <c r="R216" s="2"/>
      <c r="S216" s="2"/>
      <c r="T216" s="2"/>
      <c r="U216" s="2"/>
      <c r="V216" s="2"/>
      <c r="W216" s="2"/>
      <c r="X216" s="2"/>
      <c r="Y216" s="2"/>
      <c r="Z216" s="2"/>
      <c r="AA216" s="2"/>
    </row>
    <row r="217" spans="1:27" x14ac:dyDescent="0.25">
      <c r="C217" s="1"/>
      <c r="D217" s="1"/>
      <c r="E217" t="s">
        <v>29</v>
      </c>
      <c r="F217" t="s">
        <v>3</v>
      </c>
      <c r="G217" s="44"/>
      <c r="H217" s="2">
        <f t="shared" ref="H217:AA217" si="83">H174</f>
        <v>714</v>
      </c>
      <c r="I217" s="2">
        <f t="shared" si="83"/>
        <v>712</v>
      </c>
      <c r="J217" s="2">
        <f t="shared" si="83"/>
        <v>723.5</v>
      </c>
      <c r="K217" s="2">
        <f t="shared" si="83"/>
        <v>697</v>
      </c>
      <c r="L217" s="2">
        <f t="shared" si="83"/>
        <v>670.5</v>
      </c>
      <c r="M217" s="2">
        <f t="shared" si="83"/>
        <v>644</v>
      </c>
      <c r="N217" s="2">
        <f t="shared" si="83"/>
        <v>618.5</v>
      </c>
      <c r="O217" s="2">
        <f t="shared" si="83"/>
        <v>593.5</v>
      </c>
      <c r="P217" s="2">
        <f t="shared" si="83"/>
        <v>627.5</v>
      </c>
      <c r="Q217" s="2">
        <f t="shared" si="83"/>
        <v>664.5</v>
      </c>
      <c r="R217" s="2">
        <f t="shared" si="83"/>
        <v>703.5</v>
      </c>
      <c r="S217" s="2">
        <f t="shared" si="83"/>
        <v>746</v>
      </c>
      <c r="T217" s="2">
        <f t="shared" si="83"/>
        <v>789.5</v>
      </c>
      <c r="U217" s="2">
        <f t="shared" si="83"/>
        <v>784</v>
      </c>
      <c r="V217" s="2">
        <f t="shared" si="83"/>
        <v>779</v>
      </c>
      <c r="W217" s="2">
        <f t="shared" si="83"/>
        <v>0</v>
      </c>
      <c r="X217" s="2">
        <f t="shared" si="83"/>
        <v>0</v>
      </c>
      <c r="Y217" s="2">
        <f t="shared" si="83"/>
        <v>0</v>
      </c>
      <c r="Z217" s="2">
        <f t="shared" si="83"/>
        <v>0</v>
      </c>
      <c r="AA217" s="2">
        <f t="shared" si="83"/>
        <v>0</v>
      </c>
    </row>
    <row r="218" spans="1:27" x14ac:dyDescent="0.25">
      <c r="E218" t="s">
        <v>18</v>
      </c>
      <c r="F218" t="s">
        <v>22</v>
      </c>
      <c r="G218" s="8">
        <f ca="1">MAX(0,-G245/(NPV($G$16,H217:AA217)))</f>
        <v>749.45902339193378</v>
      </c>
      <c r="H218" s="2">
        <f t="shared" ref="H218:AA218" ca="1" si="84">G218*(1+$G$14)</f>
        <v>765.1976628831643</v>
      </c>
      <c r="I218" s="2">
        <f t="shared" ca="1" si="84"/>
        <v>781.26681380371065</v>
      </c>
      <c r="J218" s="2">
        <f t="shared" ca="1" si="84"/>
        <v>797.67341689358852</v>
      </c>
      <c r="K218" s="2">
        <f t="shared" ca="1" si="84"/>
        <v>814.42455864835381</v>
      </c>
      <c r="L218" s="2">
        <f t="shared" ca="1" si="84"/>
        <v>831.52747437996914</v>
      </c>
      <c r="M218" s="2">
        <f t="shared" ca="1" si="84"/>
        <v>848.98955134194841</v>
      </c>
      <c r="N218" s="2">
        <f t="shared" ca="1" si="84"/>
        <v>866.81833192012925</v>
      </c>
      <c r="O218" s="2">
        <f t="shared" ca="1" si="84"/>
        <v>885.02151689045184</v>
      </c>
      <c r="P218" s="2">
        <f t="shared" ca="1" si="84"/>
        <v>903.60696874515122</v>
      </c>
      <c r="Q218" s="2">
        <f t="shared" ca="1" si="84"/>
        <v>922.58271508879932</v>
      </c>
      <c r="R218" s="2">
        <f t="shared" ca="1" si="84"/>
        <v>941.95695210566407</v>
      </c>
      <c r="S218" s="2">
        <f t="shared" ca="1" si="84"/>
        <v>961.73804809988292</v>
      </c>
      <c r="T218" s="2">
        <f t="shared" ca="1" si="84"/>
        <v>981.93454710998037</v>
      </c>
      <c r="U218" s="2">
        <f t="shared" ca="1" si="84"/>
        <v>1002.5551725992899</v>
      </c>
      <c r="V218" s="2">
        <f t="shared" ca="1" si="84"/>
        <v>1023.6088312238749</v>
      </c>
      <c r="W218" s="2">
        <f t="shared" ca="1" si="84"/>
        <v>1045.1046166795761</v>
      </c>
      <c r="X218" s="2">
        <f t="shared" ca="1" si="84"/>
        <v>1067.0518136298472</v>
      </c>
      <c r="Y218" s="2">
        <f t="shared" ca="1" si="84"/>
        <v>1089.4599017160738</v>
      </c>
      <c r="Z218" s="2">
        <f t="shared" ca="1" si="84"/>
        <v>1112.3385596521111</v>
      </c>
      <c r="AA218" s="2">
        <f t="shared" ca="1" si="84"/>
        <v>1135.6976694048053</v>
      </c>
    </row>
    <row r="219" spans="1:27" x14ac:dyDescent="0.25">
      <c r="E219" t="s">
        <v>21</v>
      </c>
      <c r="F219" t="s">
        <v>7</v>
      </c>
      <c r="H219" s="2">
        <f ca="1">H218*H217</f>
        <v>546351.13129857928</v>
      </c>
      <c r="I219" s="2">
        <f t="shared" ref="I219:AA219" ca="1" si="85">I218*I217</f>
        <v>556261.97142824193</v>
      </c>
      <c r="J219" s="2">
        <f t="shared" ca="1" si="85"/>
        <v>577116.71712251124</v>
      </c>
      <c r="K219" s="2">
        <f t="shared" ca="1" si="85"/>
        <v>567653.91737790266</v>
      </c>
      <c r="L219" s="2">
        <f t="shared" ca="1" si="85"/>
        <v>557539.17157176929</v>
      </c>
      <c r="M219" s="2">
        <f t="shared" ca="1" si="85"/>
        <v>546749.27106421476</v>
      </c>
      <c r="N219" s="2">
        <f t="shared" ca="1" si="85"/>
        <v>536127.13829259994</v>
      </c>
      <c r="O219" s="2">
        <f t="shared" ca="1" si="85"/>
        <v>525260.27027448313</v>
      </c>
      <c r="P219" s="2">
        <f t="shared" ca="1" si="85"/>
        <v>567013.3728875824</v>
      </c>
      <c r="Q219" s="2">
        <f t="shared" ca="1" si="85"/>
        <v>613056.2141765072</v>
      </c>
      <c r="R219" s="2">
        <f t="shared" ca="1" si="85"/>
        <v>662666.71580633463</v>
      </c>
      <c r="S219" s="2">
        <f t="shared" ca="1" si="85"/>
        <v>717456.58388251264</v>
      </c>
      <c r="T219" s="2">
        <f t="shared" ca="1" si="85"/>
        <v>775237.32494332956</v>
      </c>
      <c r="U219" s="2">
        <f t="shared" ca="1" si="85"/>
        <v>786003.25531784329</v>
      </c>
      <c r="V219" s="2">
        <f t="shared" ca="1" si="85"/>
        <v>797391.27952339849</v>
      </c>
      <c r="W219" s="2">
        <f t="shared" ca="1" si="85"/>
        <v>0</v>
      </c>
      <c r="X219" s="2">
        <f t="shared" ca="1" si="85"/>
        <v>0</v>
      </c>
      <c r="Y219" s="2">
        <f t="shared" ca="1" si="85"/>
        <v>0</v>
      </c>
      <c r="Z219" s="2">
        <f t="shared" ca="1" si="85"/>
        <v>0</v>
      </c>
      <c r="AA219" s="2">
        <f t="shared" ca="1" si="85"/>
        <v>0</v>
      </c>
    </row>
    <row r="220" spans="1:27" x14ac:dyDescent="0.25">
      <c r="G220" s="8">
        <f ca="1">-G245/(NPV($G$16,H217:AA217))</f>
        <v>749.45902339193378</v>
      </c>
    </row>
    <row r="221" spans="1:27" x14ac:dyDescent="0.25">
      <c r="D221" t="s">
        <v>9</v>
      </c>
    </row>
    <row r="222" spans="1:27" x14ac:dyDescent="0.25">
      <c r="E222" t="s">
        <v>107</v>
      </c>
      <c r="F222" t="s">
        <v>7</v>
      </c>
      <c r="G222" s="2">
        <f t="shared" ref="G222:AA222" si="86">G42</f>
        <v>0</v>
      </c>
      <c r="H222" s="2">
        <f t="shared" si="86"/>
        <v>2551478.9999999995</v>
      </c>
      <c r="I222" s="2">
        <f t="shared" si="86"/>
        <v>2597762.9719999991</v>
      </c>
      <c r="J222" s="2">
        <f t="shared" si="86"/>
        <v>2695155.3679172494</v>
      </c>
      <c r="K222" s="2">
        <f t="shared" si="86"/>
        <v>2650963.7602743981</v>
      </c>
      <c r="L222" s="2">
        <f t="shared" si="86"/>
        <v>2603727.541593296</v>
      </c>
      <c r="M222" s="2">
        <f t="shared" si="86"/>
        <v>2553338.3267093068</v>
      </c>
      <c r="N222" s="2">
        <f t="shared" si="86"/>
        <v>2503732.5930530592</v>
      </c>
      <c r="O222" s="2">
        <f t="shared" si="86"/>
        <v>2452983.9371875618</v>
      </c>
      <c r="P222" s="2">
        <f t="shared" si="86"/>
        <v>2647972.3949746988</v>
      </c>
      <c r="Q222" s="2">
        <f t="shared" si="86"/>
        <v>2862994.0832611341</v>
      </c>
      <c r="R222" s="2">
        <f t="shared" si="86"/>
        <v>3094676.8708250816</v>
      </c>
      <c r="S222" s="2">
        <f t="shared" si="86"/>
        <v>3350547.4818675988</v>
      </c>
      <c r="T222" s="2">
        <f t="shared" si="86"/>
        <v>3620385.5749465046</v>
      </c>
      <c r="U222" s="2">
        <f t="shared" si="86"/>
        <v>3670662.8484660913</v>
      </c>
      <c r="V222" s="2">
        <f t="shared" si="86"/>
        <v>3723845.3220575782</v>
      </c>
      <c r="W222" s="2">
        <f t="shared" si="86"/>
        <v>0</v>
      </c>
      <c r="X222" s="2">
        <f t="shared" si="86"/>
        <v>0</v>
      </c>
      <c r="Y222" s="2">
        <f t="shared" si="86"/>
        <v>0</v>
      </c>
      <c r="Z222" s="2">
        <f t="shared" si="86"/>
        <v>0</v>
      </c>
      <c r="AA222" s="2">
        <f t="shared" si="86"/>
        <v>0</v>
      </c>
    </row>
    <row r="223" spans="1:27" x14ac:dyDescent="0.25">
      <c r="E223" t="s">
        <v>11</v>
      </c>
      <c r="F223" t="s">
        <v>7</v>
      </c>
      <c r="G223" s="2">
        <f t="shared" ref="G223:AA223" si="87">G177</f>
        <v>0</v>
      </c>
      <c r="H223" s="2">
        <f t="shared" si="87"/>
        <v>436064.30621198064</v>
      </c>
      <c r="I223" s="2">
        <f t="shared" si="87"/>
        <v>865171.75135166268</v>
      </c>
      <c r="J223" s="2">
        <f t="shared" si="87"/>
        <v>1332382.6706585949</v>
      </c>
      <c r="K223" s="2">
        <f t="shared" si="87"/>
        <v>1801277.1809573113</v>
      </c>
      <c r="L223" s="2">
        <f t="shared" si="87"/>
        <v>2272753.5375881577</v>
      </c>
      <c r="M223" s="2">
        <f t="shared" si="87"/>
        <v>2744934.64359756</v>
      </c>
      <c r="N223" s="2">
        <f t="shared" si="87"/>
        <v>3219204.1569017242</v>
      </c>
      <c r="O223" s="2">
        <f t="shared" si="87"/>
        <v>3695337.3513881266</v>
      </c>
      <c r="P223" s="2">
        <f t="shared" si="87"/>
        <v>4213317.0256958976</v>
      </c>
      <c r="Q223" s="2">
        <f t="shared" si="87"/>
        <v>4778282.3485402307</v>
      </c>
      <c r="R223" s="2">
        <f t="shared" si="87"/>
        <v>5393595.4094494367</v>
      </c>
      <c r="S223" s="2">
        <f t="shared" si="87"/>
        <v>6065223.1234735847</v>
      </c>
      <c r="T223" s="2">
        <f t="shared" si="87"/>
        <v>6794836.4369155774</v>
      </c>
      <c r="U223" s="2">
        <f t="shared" si="87"/>
        <v>7547645.8157244101</v>
      </c>
      <c r="V223" s="2">
        <f t="shared" si="87"/>
        <v>8326215.8136727056</v>
      </c>
      <c r="W223" s="2">
        <f t="shared" si="87"/>
        <v>8501066.3457598314</v>
      </c>
      <c r="X223" s="2">
        <f t="shared" si="87"/>
        <v>8679588.7390207872</v>
      </c>
      <c r="Y223" s="2">
        <f t="shared" si="87"/>
        <v>8861860.1025402229</v>
      </c>
      <c r="Z223" s="2">
        <f t="shared" si="87"/>
        <v>9047959.1646935679</v>
      </c>
      <c r="AA223" s="2">
        <f t="shared" si="87"/>
        <v>9237966.3071521316</v>
      </c>
    </row>
    <row r="224" spans="1:27" x14ac:dyDescent="0.25">
      <c r="E224" t="s">
        <v>57</v>
      </c>
      <c r="F224" t="s">
        <v>7</v>
      </c>
      <c r="G224" s="2">
        <f t="shared" ref="G224:AA224" si="88">-G187</f>
        <v>0</v>
      </c>
      <c r="H224" s="2">
        <f t="shared" si="88"/>
        <v>-298844.80688602215</v>
      </c>
      <c r="I224" s="2">
        <f t="shared" si="88"/>
        <v>-613681.97966856288</v>
      </c>
      <c r="J224" s="2">
        <f t="shared" si="88"/>
        <v>-954083.75439749903</v>
      </c>
      <c r="K224" s="2">
        <f t="shared" si="88"/>
        <v>-1289971.2733444311</v>
      </c>
      <c r="L224" s="2">
        <f t="shared" si="88"/>
        <v>-1627336.9648569734</v>
      </c>
      <c r="M224" s="2">
        <f t="shared" si="88"/>
        <v>-1965711.2313018302</v>
      </c>
      <c r="N224" s="2">
        <f t="shared" si="88"/>
        <v>-2305318.6191703724</v>
      </c>
      <c r="O224" s="2">
        <f t="shared" si="88"/>
        <v>-2646041.8773502619</v>
      </c>
      <c r="P224" s="2">
        <f t="shared" si="88"/>
        <v>-3017100.6119452417</v>
      </c>
      <c r="Q224" s="2">
        <f t="shared" si="88"/>
        <v>-3421601.2171133016</v>
      </c>
      <c r="R224" s="2">
        <f t="shared" si="88"/>
        <v>-3862195.9244692656</v>
      </c>
      <c r="S224" s="2">
        <f t="shared" si="88"/>
        <v>-4342603.3511132384</v>
      </c>
      <c r="T224" s="2">
        <f t="shared" si="88"/>
        <v>-4865160.7553244745</v>
      </c>
      <c r="U224" s="2">
        <f t="shared" si="88"/>
        <v>-5404638.8493560096</v>
      </c>
      <c r="V224" s="2">
        <f t="shared" si="88"/>
        <v>-5961880.7236026488</v>
      </c>
      <c r="W224" s="2">
        <f t="shared" si="88"/>
        <v>-6087080.218798304</v>
      </c>
      <c r="X224" s="2">
        <f t="shared" si="88"/>
        <v>-6214908.9033930674</v>
      </c>
      <c r="Y224" s="2">
        <f t="shared" si="88"/>
        <v>-6345421.9903643206</v>
      </c>
      <c r="Z224" s="2">
        <f t="shared" si="88"/>
        <v>-6478675.8521619709</v>
      </c>
      <c r="AA224" s="2">
        <f t="shared" si="88"/>
        <v>-6614728.0450573722</v>
      </c>
    </row>
    <row r="225" spans="4:28" customFormat="1" x14ac:dyDescent="0.25">
      <c r="E225" t="s">
        <v>10</v>
      </c>
      <c r="F225" t="s">
        <v>7</v>
      </c>
      <c r="G225" s="2">
        <f t="shared" ref="G225:AA225" si="89">-G200</f>
        <v>0</v>
      </c>
      <c r="H225" s="2">
        <f t="shared" si="89"/>
        <v>-83105.315999999992</v>
      </c>
      <c r="I225" s="2">
        <f t="shared" si="89"/>
        <v>-169463.37872399998</v>
      </c>
      <c r="J225" s="2">
        <f t="shared" si="89"/>
        <v>-260807.17023222294</v>
      </c>
      <c r="K225" s="2">
        <f t="shared" si="89"/>
        <v>-352629.79757032287</v>
      </c>
      <c r="L225" s="2">
        <f t="shared" si="89"/>
        <v>-444842.14895976702</v>
      </c>
      <c r="M225" s="2">
        <f t="shared" si="89"/>
        <v>-537349.71101502515</v>
      </c>
      <c r="N225" s="2">
        <f t="shared" si="89"/>
        <v>-630184.20226292603</v>
      </c>
      <c r="O225" s="2">
        <f t="shared" si="89"/>
        <v>-723315.26160741376</v>
      </c>
      <c r="P225" s="2">
        <f t="shared" si="89"/>
        <v>-824753.12582320243</v>
      </c>
      <c r="Q225" s="2">
        <f t="shared" si="89"/>
        <v>-935324.74874885229</v>
      </c>
      <c r="R225" s="2">
        <f t="shared" si="89"/>
        <v>-1055764.6151223092</v>
      </c>
      <c r="S225" s="2">
        <f t="shared" si="89"/>
        <v>-1187067.790020708</v>
      </c>
      <c r="T225" s="2">
        <f t="shared" si="89"/>
        <v>-1329917.3437665431</v>
      </c>
      <c r="U225" s="2">
        <f t="shared" si="89"/>
        <v>-1477404.3407642501</v>
      </c>
      <c r="V225" s="2">
        <f t="shared" si="89"/>
        <v>-1629720.7938387464</v>
      </c>
      <c r="W225" s="2">
        <f t="shared" si="89"/>
        <v>-1663944.9305093598</v>
      </c>
      <c r="X225" s="2">
        <f t="shared" si="89"/>
        <v>-1698887.7740500565</v>
      </c>
      <c r="Y225" s="2">
        <f t="shared" si="89"/>
        <v>-1734564.4173051072</v>
      </c>
      <c r="Z225" s="2">
        <f t="shared" si="89"/>
        <v>-1770990.2700685144</v>
      </c>
      <c r="AA225" s="2">
        <f t="shared" si="89"/>
        <v>-1808181.0657399532</v>
      </c>
    </row>
    <row r="226" spans="4:28" customFormat="1" x14ac:dyDescent="0.25">
      <c r="E226" t="s">
        <v>12</v>
      </c>
      <c r="F226" t="s">
        <v>7</v>
      </c>
      <c r="G226" s="2">
        <f t="shared" ref="G226:AA226" si="90">-G34-G50-G85</f>
        <v>-141953.3073199199</v>
      </c>
      <c r="H226" s="2">
        <f>-H34-H50-H85</f>
        <v>-175636.32463514947</v>
      </c>
      <c r="I226" s="2">
        <f t="shared" si="90"/>
        <v>-229431.8565781572</v>
      </c>
      <c r="J226" s="2">
        <f t="shared" si="90"/>
        <v>-295960.88065833872</v>
      </c>
      <c r="K226" s="2">
        <f t="shared" si="90"/>
        <v>-329097.92766176868</v>
      </c>
      <c r="L226" s="2">
        <f t="shared" si="90"/>
        <v>-361644.52193168493</v>
      </c>
      <c r="M226" s="2">
        <f t="shared" si="90"/>
        <v>-393561.25101555127</v>
      </c>
      <c r="N226" s="2">
        <f t="shared" si="90"/>
        <v>-424857.90842871449</v>
      </c>
      <c r="O226" s="2">
        <f t="shared" si="90"/>
        <v>-455520.20764355903</v>
      </c>
      <c r="P226" s="2">
        <f t="shared" si="90"/>
        <v>-488619.86258074275</v>
      </c>
      <c r="Q226" s="2">
        <f t="shared" si="90"/>
        <v>-524407.28862150689</v>
      </c>
      <c r="R226" s="2">
        <f t="shared" si="90"/>
        <v>-563090.74950682046</v>
      </c>
      <c r="S226" s="2">
        <f t="shared" si="90"/>
        <v>-604972.59303016542</v>
      </c>
      <c r="T226" s="2">
        <f t="shared" si="90"/>
        <v>-650227.41271699674</v>
      </c>
      <c r="U226" s="2">
        <f t="shared" si="90"/>
        <v>-696110.69832282281</v>
      </c>
      <c r="V226" s="2">
        <f t="shared" si="90"/>
        <v>-742658.76484854263</v>
      </c>
      <c r="W226" s="2">
        <f t="shared" si="90"/>
        <v>-742658.76484854263</v>
      </c>
      <c r="X226" s="2">
        <f t="shared" si="90"/>
        <v>-742658.76484854263</v>
      </c>
      <c r="Y226" s="2">
        <f t="shared" si="90"/>
        <v>-742658.76484854263</v>
      </c>
      <c r="Z226" s="2">
        <f t="shared" si="90"/>
        <v>-742658.76484854263</v>
      </c>
      <c r="AA226" s="2">
        <f t="shared" si="90"/>
        <v>-742658.76484854263</v>
      </c>
    </row>
    <row r="227" spans="4:28" customFormat="1" x14ac:dyDescent="0.25">
      <c r="E227" t="s">
        <v>48</v>
      </c>
      <c r="F227" t="s">
        <v>7</v>
      </c>
      <c r="G227" s="2">
        <f t="shared" ref="G227:AA227" si="91">G207</f>
        <v>0</v>
      </c>
      <c r="H227" s="2">
        <f t="shared" si="91"/>
        <v>0</v>
      </c>
      <c r="I227" s="2">
        <f t="shared" si="91"/>
        <v>0</v>
      </c>
      <c r="J227" s="2">
        <f t="shared" si="91"/>
        <v>0</v>
      </c>
      <c r="K227" s="2">
        <f t="shared" si="91"/>
        <v>0</v>
      </c>
      <c r="L227" s="2">
        <f t="shared" si="91"/>
        <v>0</v>
      </c>
      <c r="M227" s="2">
        <f t="shared" si="91"/>
        <v>0</v>
      </c>
      <c r="N227" s="2">
        <f t="shared" si="91"/>
        <v>0</v>
      </c>
      <c r="O227" s="2">
        <f t="shared" si="91"/>
        <v>0</v>
      </c>
      <c r="P227" s="2">
        <f t="shared" si="91"/>
        <v>0</v>
      </c>
      <c r="Q227" s="2">
        <f t="shared" si="91"/>
        <v>0</v>
      </c>
      <c r="R227" s="2">
        <f t="shared" si="91"/>
        <v>0</v>
      </c>
      <c r="S227" s="2">
        <f t="shared" si="91"/>
        <v>0</v>
      </c>
      <c r="T227" s="2">
        <f t="shared" si="91"/>
        <v>0</v>
      </c>
      <c r="U227" s="2">
        <f t="shared" si="91"/>
        <v>0</v>
      </c>
      <c r="V227" s="2">
        <f t="shared" si="91"/>
        <v>0</v>
      </c>
      <c r="W227" s="2">
        <f t="shared" si="91"/>
        <v>0</v>
      </c>
      <c r="X227" s="2">
        <f t="shared" si="91"/>
        <v>0</v>
      </c>
      <c r="Y227" s="2">
        <f t="shared" si="91"/>
        <v>0</v>
      </c>
      <c r="Z227" s="2">
        <f t="shared" si="91"/>
        <v>0</v>
      </c>
      <c r="AA227" s="2">
        <f t="shared" si="91"/>
        <v>0</v>
      </c>
    </row>
    <row r="228" spans="4:28" customFormat="1" x14ac:dyDescent="0.25">
      <c r="E228" t="s">
        <v>13</v>
      </c>
      <c r="F228" t="s">
        <v>7</v>
      </c>
      <c r="H228" s="2">
        <f t="shared" ref="H228:AA228" ca="1" si="92">H219</f>
        <v>546351.13129857928</v>
      </c>
      <c r="I228" s="2">
        <f t="shared" ca="1" si="92"/>
        <v>556261.97142824193</v>
      </c>
      <c r="J228" s="2">
        <f t="shared" ca="1" si="92"/>
        <v>577116.71712251124</v>
      </c>
      <c r="K228" s="2">
        <f t="shared" ca="1" si="92"/>
        <v>567653.91737790266</v>
      </c>
      <c r="L228" s="2">
        <f t="shared" ca="1" si="92"/>
        <v>557539.17157176929</v>
      </c>
      <c r="M228" s="2">
        <f t="shared" ca="1" si="92"/>
        <v>546749.27106421476</v>
      </c>
      <c r="N228" s="2">
        <f t="shared" ca="1" si="92"/>
        <v>536127.13829259994</v>
      </c>
      <c r="O228" s="2">
        <f t="shared" ca="1" si="92"/>
        <v>525260.27027448313</v>
      </c>
      <c r="P228" s="2">
        <f t="shared" ca="1" si="92"/>
        <v>567013.3728875824</v>
      </c>
      <c r="Q228" s="2">
        <f t="shared" ca="1" si="92"/>
        <v>613056.2141765072</v>
      </c>
      <c r="R228" s="2">
        <f t="shared" ca="1" si="92"/>
        <v>662666.71580633463</v>
      </c>
      <c r="S228" s="2">
        <f t="shared" ca="1" si="92"/>
        <v>717456.58388251264</v>
      </c>
      <c r="T228" s="2">
        <f t="shared" ca="1" si="92"/>
        <v>775237.32494332956</v>
      </c>
      <c r="U228" s="2">
        <f t="shared" ca="1" si="92"/>
        <v>786003.25531784329</v>
      </c>
      <c r="V228" s="2">
        <f t="shared" ca="1" si="92"/>
        <v>797391.27952339849</v>
      </c>
      <c r="W228" s="2">
        <f t="shared" ca="1" si="92"/>
        <v>0</v>
      </c>
      <c r="X228" s="2">
        <f t="shared" ca="1" si="92"/>
        <v>0</v>
      </c>
      <c r="Y228" s="2">
        <f t="shared" ca="1" si="92"/>
        <v>0</v>
      </c>
      <c r="Z228" s="2">
        <f t="shared" ca="1" si="92"/>
        <v>0</v>
      </c>
      <c r="AA228" s="2">
        <f t="shared" ca="1" si="92"/>
        <v>0</v>
      </c>
    </row>
    <row r="229" spans="4:28" customFormat="1" x14ac:dyDescent="0.25"/>
    <row r="230" spans="4:28" customFormat="1" x14ac:dyDescent="0.25">
      <c r="E230" t="s">
        <v>14</v>
      </c>
      <c r="F230" t="s">
        <v>7</v>
      </c>
      <c r="G230" s="2">
        <f t="shared" ref="G230:AA230" si="93">SUM(G222:G228)</f>
        <v>-141953.3073199199</v>
      </c>
      <c r="H230" s="2">
        <f t="shared" ca="1" si="93"/>
        <v>2976307.9899893878</v>
      </c>
      <c r="I230" s="2">
        <f t="shared" ca="1" si="93"/>
        <v>3006619.4798091841</v>
      </c>
      <c r="J230" s="2">
        <f t="shared" ca="1" si="93"/>
        <v>3093802.9504102953</v>
      </c>
      <c r="K230" s="2">
        <f t="shared" ca="1" si="93"/>
        <v>3048195.8600330893</v>
      </c>
      <c r="L230" s="2">
        <f t="shared" ca="1" si="93"/>
        <v>3000196.615004797</v>
      </c>
      <c r="M230" s="2">
        <f t="shared" ca="1" si="93"/>
        <v>2948400.048038675</v>
      </c>
      <c r="N230" s="2">
        <f t="shared" ca="1" si="93"/>
        <v>2898703.1583853704</v>
      </c>
      <c r="O230" s="2">
        <f t="shared" ca="1" si="93"/>
        <v>2848704.2122489368</v>
      </c>
      <c r="P230" s="2">
        <f t="shared" ca="1" si="93"/>
        <v>3097829.1932089925</v>
      </c>
      <c r="Q230" s="2">
        <f t="shared" ca="1" si="93"/>
        <v>3372999.3914942103</v>
      </c>
      <c r="R230" s="2">
        <f t="shared" ca="1" si="93"/>
        <v>3669887.7069824571</v>
      </c>
      <c r="S230" s="2">
        <f t="shared" ca="1" si="93"/>
        <v>3998583.4550595838</v>
      </c>
      <c r="T230" s="2">
        <f t="shared" ca="1" si="93"/>
        <v>4345153.8249973971</v>
      </c>
      <c r="U230" s="2">
        <f t="shared" ca="1" si="93"/>
        <v>4426158.0310652619</v>
      </c>
      <c r="V230" s="2">
        <f t="shared" ca="1" si="93"/>
        <v>4513192.132963744</v>
      </c>
      <c r="W230" s="2">
        <f t="shared" ca="1" si="93"/>
        <v>7382.4316036249511</v>
      </c>
      <c r="X230" s="2">
        <f t="shared" ca="1" si="93"/>
        <v>23133.296729120659</v>
      </c>
      <c r="Y230" s="2">
        <f t="shared" ca="1" si="93"/>
        <v>39214.930022252491</v>
      </c>
      <c r="Z230" s="2">
        <f t="shared" ca="1" si="93"/>
        <v>55634.277614539955</v>
      </c>
      <c r="AA230" s="2">
        <f t="shared" ca="1" si="93"/>
        <v>72398.431506263558</v>
      </c>
    </row>
    <row r="231" spans="4:28" customFormat="1" x14ac:dyDescent="0.25">
      <c r="E231" t="s">
        <v>15</v>
      </c>
      <c r="F231" t="s">
        <v>7</v>
      </c>
      <c r="G231" s="2">
        <f>-G230*G$18</f>
        <v>42585.992195975967</v>
      </c>
      <c r="H231" s="2">
        <f t="shared" ref="H231:AA231" ca="1" si="94">-H230*H$18</f>
        <v>-892892.39699681627</v>
      </c>
      <c r="I231" s="2">
        <f t="shared" ca="1" si="94"/>
        <v>-901985.84394275525</v>
      </c>
      <c r="J231" s="2">
        <f t="shared" ca="1" si="94"/>
        <v>-928140.88512308861</v>
      </c>
      <c r="K231" s="2">
        <f t="shared" ca="1" si="94"/>
        <v>-914458.75800992677</v>
      </c>
      <c r="L231" s="2">
        <f t="shared" ca="1" si="94"/>
        <v>-900058.98450143903</v>
      </c>
      <c r="M231" s="2">
        <f t="shared" ca="1" si="94"/>
        <v>-884520.01441160252</v>
      </c>
      <c r="N231" s="2">
        <f t="shared" ca="1" si="94"/>
        <v>-869610.94751561107</v>
      </c>
      <c r="O231" s="2">
        <f t="shared" ca="1" si="94"/>
        <v>-854611.26367468096</v>
      </c>
      <c r="P231" s="2">
        <f t="shared" ca="1" si="94"/>
        <v>-929348.75796269777</v>
      </c>
      <c r="Q231" s="2">
        <f t="shared" ca="1" si="94"/>
        <v>-1011899.8174482631</v>
      </c>
      <c r="R231" s="2">
        <f t="shared" ca="1" si="94"/>
        <v>-1100966.3120947371</v>
      </c>
      <c r="S231" s="2">
        <f t="shared" ca="1" si="94"/>
        <v>-1199575.036517875</v>
      </c>
      <c r="T231" s="2">
        <f t="shared" ca="1" si="94"/>
        <v>-1303546.147499219</v>
      </c>
      <c r="U231" s="2">
        <f t="shared" ca="1" si="94"/>
        <v>-1327847.4093195784</v>
      </c>
      <c r="V231" s="2">
        <f t="shared" ca="1" si="94"/>
        <v>-1353957.6398891232</v>
      </c>
      <c r="W231" s="2">
        <f t="shared" ca="1" si="94"/>
        <v>-2214.7294810874851</v>
      </c>
      <c r="X231" s="2">
        <f t="shared" ca="1" si="94"/>
        <v>-6939.9890187361971</v>
      </c>
      <c r="Y231" s="2">
        <f t="shared" ca="1" si="94"/>
        <v>-11764.479006675747</v>
      </c>
      <c r="Z231" s="2">
        <f t="shared" ca="1" si="94"/>
        <v>-16690.283284361987</v>
      </c>
      <c r="AA231" s="2">
        <f t="shared" ca="1" si="94"/>
        <v>-21719.529451879065</v>
      </c>
    </row>
    <row r="232" spans="4:28" customFormat="1" x14ac:dyDescent="0.25"/>
    <row r="233" spans="4:28" customFormat="1" x14ac:dyDescent="0.25">
      <c r="D233" t="s">
        <v>28</v>
      </c>
    </row>
    <row r="234" spans="4:28" customFormat="1" x14ac:dyDescent="0.25">
      <c r="E234" t="s">
        <v>1</v>
      </c>
      <c r="F234" t="s">
        <v>7</v>
      </c>
      <c r="G234" s="2">
        <f t="shared" ref="G234:AA234" si="95">-G26</f>
        <v>-11356264.585593592</v>
      </c>
      <c r="H234" s="2">
        <f t="shared" si="95"/>
        <v>-143162.38521836654</v>
      </c>
      <c r="I234" s="2">
        <f t="shared" si="95"/>
        <v>-1705879.5834406184</v>
      </c>
      <c r="J234" s="2">
        <f t="shared" si="95"/>
        <v>-2627166.5584972706</v>
      </c>
      <c r="K234" s="2">
        <f t="shared" si="95"/>
        <v>0</v>
      </c>
      <c r="L234" s="2">
        <f t="shared" si="95"/>
        <v>0</v>
      </c>
      <c r="M234" s="2">
        <f t="shared" si="95"/>
        <v>0</v>
      </c>
      <c r="N234" s="2">
        <f t="shared" si="95"/>
        <v>0</v>
      </c>
      <c r="O234" s="2">
        <f t="shared" si="95"/>
        <v>0</v>
      </c>
      <c r="P234" s="2">
        <f t="shared" si="95"/>
        <v>0</v>
      </c>
      <c r="Q234" s="2">
        <f t="shared" si="95"/>
        <v>0</v>
      </c>
      <c r="R234" s="2">
        <f t="shared" si="95"/>
        <v>0</v>
      </c>
      <c r="S234" s="2">
        <f t="shared" si="95"/>
        <v>0</v>
      </c>
      <c r="T234" s="2">
        <f t="shared" si="95"/>
        <v>0</v>
      </c>
      <c r="U234" s="2">
        <f t="shared" si="95"/>
        <v>0</v>
      </c>
      <c r="V234" s="2">
        <f t="shared" si="95"/>
        <v>0</v>
      </c>
      <c r="W234" s="2">
        <f t="shared" si="95"/>
        <v>0</v>
      </c>
      <c r="X234" s="2">
        <f t="shared" si="95"/>
        <v>0</v>
      </c>
      <c r="Y234" s="2">
        <f t="shared" si="95"/>
        <v>0</v>
      </c>
      <c r="Z234" s="2">
        <f t="shared" si="95"/>
        <v>0</v>
      </c>
      <c r="AA234" s="2">
        <f t="shared" si="95"/>
        <v>0</v>
      </c>
    </row>
    <row r="235" spans="4:28" customFormat="1" x14ac:dyDescent="0.25">
      <c r="E235" t="s">
        <v>19</v>
      </c>
      <c r="F235" t="s">
        <v>7</v>
      </c>
      <c r="G235" s="2">
        <f t="shared" ref="G235:AA235" si="96">G84</f>
        <v>0</v>
      </c>
      <c r="H235" s="2">
        <f t="shared" si="96"/>
        <v>0</v>
      </c>
      <c r="I235" s="2">
        <f t="shared" si="96"/>
        <v>0</v>
      </c>
      <c r="J235" s="2">
        <f t="shared" si="96"/>
        <v>0</v>
      </c>
      <c r="K235" s="2">
        <f t="shared" si="96"/>
        <v>0</v>
      </c>
      <c r="L235" s="2">
        <f t="shared" si="96"/>
        <v>0</v>
      </c>
      <c r="M235" s="2">
        <f t="shared" si="96"/>
        <v>0</v>
      </c>
      <c r="N235" s="2">
        <f t="shared" si="96"/>
        <v>0</v>
      </c>
      <c r="O235" s="2">
        <f t="shared" si="96"/>
        <v>0</v>
      </c>
      <c r="P235" s="2">
        <f t="shared" si="96"/>
        <v>0</v>
      </c>
      <c r="Q235" s="2">
        <f t="shared" si="96"/>
        <v>0</v>
      </c>
      <c r="R235" s="2">
        <f t="shared" si="96"/>
        <v>0</v>
      </c>
      <c r="S235" s="2">
        <f t="shared" si="96"/>
        <v>0</v>
      </c>
      <c r="T235" s="2">
        <f t="shared" si="96"/>
        <v>0</v>
      </c>
      <c r="U235" s="2">
        <f t="shared" si="96"/>
        <v>0</v>
      </c>
      <c r="V235" s="2">
        <f t="shared" si="96"/>
        <v>0</v>
      </c>
      <c r="W235" s="2">
        <f t="shared" si="96"/>
        <v>0</v>
      </c>
      <c r="X235" s="2">
        <f t="shared" si="96"/>
        <v>0</v>
      </c>
      <c r="Y235" s="2">
        <f t="shared" si="96"/>
        <v>0</v>
      </c>
      <c r="Z235" s="2">
        <f t="shared" si="96"/>
        <v>0</v>
      </c>
      <c r="AA235" s="2">
        <f t="shared" si="96"/>
        <v>0</v>
      </c>
    </row>
    <row r="236" spans="4:28" customFormat="1" x14ac:dyDescent="0.25">
      <c r="E236" t="s">
        <v>109</v>
      </c>
      <c r="F236" t="s">
        <v>7</v>
      </c>
      <c r="G236" s="2">
        <f t="shared" ref="G236:AA236" si="97">G53</f>
        <v>0</v>
      </c>
      <c r="H236" s="2">
        <f t="shared" si="97"/>
        <v>0</v>
      </c>
      <c r="I236" s="2">
        <f t="shared" si="97"/>
        <v>0</v>
      </c>
      <c r="J236" s="2">
        <f t="shared" si="97"/>
        <v>0</v>
      </c>
      <c r="K236" s="2">
        <f t="shared" si="97"/>
        <v>0</v>
      </c>
      <c r="L236" s="2">
        <f t="shared" si="97"/>
        <v>0</v>
      </c>
      <c r="M236" s="2">
        <f t="shared" si="97"/>
        <v>0</v>
      </c>
      <c r="N236" s="2">
        <f t="shared" si="97"/>
        <v>0</v>
      </c>
      <c r="O236" s="2">
        <f t="shared" si="97"/>
        <v>0</v>
      </c>
      <c r="P236" s="2">
        <f t="shared" si="97"/>
        <v>0</v>
      </c>
      <c r="Q236" s="2">
        <f t="shared" si="97"/>
        <v>0</v>
      </c>
      <c r="R236" s="2">
        <f t="shared" si="97"/>
        <v>0</v>
      </c>
      <c r="S236" s="2">
        <f t="shared" si="97"/>
        <v>0</v>
      </c>
      <c r="T236" s="2">
        <f t="shared" si="97"/>
        <v>0</v>
      </c>
      <c r="U236" s="2">
        <f t="shared" si="97"/>
        <v>0</v>
      </c>
      <c r="V236" s="2">
        <f t="shared" si="97"/>
        <v>0</v>
      </c>
      <c r="W236" s="2">
        <f t="shared" si="97"/>
        <v>0</v>
      </c>
      <c r="X236" s="2">
        <f t="shared" si="97"/>
        <v>0</v>
      </c>
      <c r="Y236" s="2">
        <f t="shared" si="97"/>
        <v>0</v>
      </c>
      <c r="Z236" s="2">
        <f t="shared" si="97"/>
        <v>0</v>
      </c>
      <c r="AA236" s="2">
        <f t="shared" si="97"/>
        <v>0</v>
      </c>
    </row>
    <row r="237" spans="4:28" customFormat="1" x14ac:dyDescent="0.25">
      <c r="E237" t="s">
        <v>11</v>
      </c>
      <c r="F237" t="s">
        <v>7</v>
      </c>
      <c r="G237" s="2">
        <f t="shared" ref="G237:AA237" si="98">G177</f>
        <v>0</v>
      </c>
      <c r="H237" s="2">
        <f t="shared" si="98"/>
        <v>436064.30621198064</v>
      </c>
      <c r="I237" s="2">
        <f t="shared" si="98"/>
        <v>865171.75135166268</v>
      </c>
      <c r="J237" s="2">
        <f t="shared" si="98"/>
        <v>1332382.6706585949</v>
      </c>
      <c r="K237" s="2">
        <f t="shared" si="98"/>
        <v>1801277.1809573113</v>
      </c>
      <c r="L237" s="2">
        <f t="shared" si="98"/>
        <v>2272753.5375881577</v>
      </c>
      <c r="M237" s="2">
        <f t="shared" si="98"/>
        <v>2744934.64359756</v>
      </c>
      <c r="N237" s="2">
        <f t="shared" si="98"/>
        <v>3219204.1569017242</v>
      </c>
      <c r="O237" s="2">
        <f t="shared" si="98"/>
        <v>3695337.3513881266</v>
      </c>
      <c r="P237" s="2">
        <f t="shared" si="98"/>
        <v>4213317.0256958976</v>
      </c>
      <c r="Q237" s="2">
        <f t="shared" si="98"/>
        <v>4778282.3485402307</v>
      </c>
      <c r="R237" s="2">
        <f t="shared" si="98"/>
        <v>5393595.4094494367</v>
      </c>
      <c r="S237" s="2">
        <f t="shared" si="98"/>
        <v>6065223.1234735847</v>
      </c>
      <c r="T237" s="2">
        <f t="shared" si="98"/>
        <v>6794836.4369155774</v>
      </c>
      <c r="U237" s="2">
        <f t="shared" si="98"/>
        <v>7547645.8157244101</v>
      </c>
      <c r="V237" s="2">
        <f t="shared" si="98"/>
        <v>8326215.8136727056</v>
      </c>
      <c r="W237" s="2">
        <f t="shared" si="98"/>
        <v>8501066.3457598314</v>
      </c>
      <c r="X237" s="2">
        <f t="shared" si="98"/>
        <v>8679588.7390207872</v>
      </c>
      <c r="Y237" s="2">
        <f t="shared" si="98"/>
        <v>8861860.1025402229</v>
      </c>
      <c r="Z237" s="2">
        <f t="shared" si="98"/>
        <v>9047959.1646935679</v>
      </c>
      <c r="AA237" s="2">
        <f t="shared" si="98"/>
        <v>9237966.3071521316</v>
      </c>
      <c r="AB237" s="2">
        <f t="shared" ref="AB237:AB241" si="99">IF(V237=0,0,IF($G$15&gt;(AA237/V237)^(1/5)-1+2%,AA237*(AA237/V237)^(1/5)/($G$15-((AA237/V237)^(1/5)-1)),AA237*(1+$G$14)/$G$16))</f>
        <v>307932210.23840499</v>
      </c>
    </row>
    <row r="238" spans="4:28" customFormat="1" x14ac:dyDescent="0.25">
      <c r="E238" t="s">
        <v>57</v>
      </c>
      <c r="F238" t="s">
        <v>7</v>
      </c>
      <c r="G238" s="2">
        <f t="shared" ref="G238:AA238" si="100">G224</f>
        <v>0</v>
      </c>
      <c r="H238" s="2">
        <f t="shared" si="100"/>
        <v>-298844.80688602215</v>
      </c>
      <c r="I238" s="2">
        <f t="shared" si="100"/>
        <v>-613681.97966856288</v>
      </c>
      <c r="J238" s="2">
        <f t="shared" si="100"/>
        <v>-954083.75439749903</v>
      </c>
      <c r="K238" s="2">
        <f t="shared" si="100"/>
        <v>-1289971.2733444311</v>
      </c>
      <c r="L238" s="2">
        <f t="shared" si="100"/>
        <v>-1627336.9648569734</v>
      </c>
      <c r="M238" s="2">
        <f t="shared" si="100"/>
        <v>-1965711.2313018302</v>
      </c>
      <c r="N238" s="2">
        <f t="shared" si="100"/>
        <v>-2305318.6191703724</v>
      </c>
      <c r="O238" s="2">
        <f t="shared" si="100"/>
        <v>-2646041.8773502619</v>
      </c>
      <c r="P238" s="2">
        <f t="shared" si="100"/>
        <v>-3017100.6119452417</v>
      </c>
      <c r="Q238" s="2">
        <f t="shared" si="100"/>
        <v>-3421601.2171133016</v>
      </c>
      <c r="R238" s="2">
        <f t="shared" si="100"/>
        <v>-3862195.9244692656</v>
      </c>
      <c r="S238" s="2">
        <f t="shared" si="100"/>
        <v>-4342603.3511132384</v>
      </c>
      <c r="T238" s="2">
        <f t="shared" si="100"/>
        <v>-4865160.7553244745</v>
      </c>
      <c r="U238" s="2">
        <f t="shared" si="100"/>
        <v>-5404638.8493560096</v>
      </c>
      <c r="V238" s="2">
        <f t="shared" si="100"/>
        <v>-5961880.7236026488</v>
      </c>
      <c r="W238" s="2">
        <f t="shared" si="100"/>
        <v>-6087080.218798304</v>
      </c>
      <c r="X238" s="2">
        <f t="shared" si="100"/>
        <v>-6214908.9033930674</v>
      </c>
      <c r="Y238" s="2">
        <f t="shared" si="100"/>
        <v>-6345421.9903643206</v>
      </c>
      <c r="Z238" s="2">
        <f t="shared" si="100"/>
        <v>-6478675.8521619709</v>
      </c>
      <c r="AA238" s="2">
        <f t="shared" si="100"/>
        <v>-6614728.0450573722</v>
      </c>
      <c r="AB238" s="2">
        <f t="shared" si="99"/>
        <v>-220490934.83524618</v>
      </c>
    </row>
    <row r="239" spans="4:28" customFormat="1" x14ac:dyDescent="0.25">
      <c r="E239" t="s">
        <v>10</v>
      </c>
      <c r="F239" t="s">
        <v>7</v>
      </c>
      <c r="G239" s="2">
        <f t="shared" ref="G239:AA239" si="101">-G200</f>
        <v>0</v>
      </c>
      <c r="H239" s="2">
        <f t="shared" si="101"/>
        <v>-83105.315999999992</v>
      </c>
      <c r="I239" s="2">
        <f t="shared" si="101"/>
        <v>-169463.37872399998</v>
      </c>
      <c r="J239" s="2">
        <f t="shared" si="101"/>
        <v>-260807.17023222294</v>
      </c>
      <c r="K239" s="2">
        <f t="shared" si="101"/>
        <v>-352629.79757032287</v>
      </c>
      <c r="L239" s="2">
        <f t="shared" si="101"/>
        <v>-444842.14895976702</v>
      </c>
      <c r="M239" s="2">
        <f t="shared" si="101"/>
        <v>-537349.71101502515</v>
      </c>
      <c r="N239" s="2">
        <f t="shared" si="101"/>
        <v>-630184.20226292603</v>
      </c>
      <c r="O239" s="2">
        <f t="shared" si="101"/>
        <v>-723315.26160741376</v>
      </c>
      <c r="P239" s="2">
        <f t="shared" si="101"/>
        <v>-824753.12582320243</v>
      </c>
      <c r="Q239" s="2">
        <f t="shared" si="101"/>
        <v>-935324.74874885229</v>
      </c>
      <c r="R239" s="2">
        <f t="shared" si="101"/>
        <v>-1055764.6151223092</v>
      </c>
      <c r="S239" s="2">
        <f t="shared" si="101"/>
        <v>-1187067.790020708</v>
      </c>
      <c r="T239" s="2">
        <f t="shared" si="101"/>
        <v>-1329917.3437665431</v>
      </c>
      <c r="U239" s="2">
        <f t="shared" si="101"/>
        <v>-1477404.3407642501</v>
      </c>
      <c r="V239" s="2">
        <f t="shared" si="101"/>
        <v>-1629720.7938387464</v>
      </c>
      <c r="W239" s="2">
        <f t="shared" si="101"/>
        <v>-1663944.9305093598</v>
      </c>
      <c r="X239" s="2">
        <f t="shared" si="101"/>
        <v>-1698887.7740500565</v>
      </c>
      <c r="Y239" s="2">
        <f t="shared" si="101"/>
        <v>-1734564.4173051072</v>
      </c>
      <c r="Z239" s="2">
        <f t="shared" si="101"/>
        <v>-1770990.2700685144</v>
      </c>
      <c r="AA239" s="2">
        <f t="shared" si="101"/>
        <v>-1808181.0657399532</v>
      </c>
      <c r="AB239" s="2">
        <f t="shared" si="99"/>
        <v>-60272702.191331893</v>
      </c>
    </row>
    <row r="240" spans="4:28" customFormat="1" x14ac:dyDescent="0.25">
      <c r="E240" t="s">
        <v>48</v>
      </c>
      <c r="F240" t="s">
        <v>7</v>
      </c>
      <c r="G240" s="2">
        <f t="shared" ref="G240:AA240" si="102">G207</f>
        <v>0</v>
      </c>
      <c r="H240" s="2">
        <f t="shared" si="102"/>
        <v>0</v>
      </c>
      <c r="I240" s="2">
        <f t="shared" si="102"/>
        <v>0</v>
      </c>
      <c r="J240" s="2">
        <f t="shared" si="102"/>
        <v>0</v>
      </c>
      <c r="K240" s="2">
        <f t="shared" si="102"/>
        <v>0</v>
      </c>
      <c r="L240" s="2">
        <f t="shared" si="102"/>
        <v>0</v>
      </c>
      <c r="M240" s="2">
        <f t="shared" si="102"/>
        <v>0</v>
      </c>
      <c r="N240" s="2">
        <f t="shared" si="102"/>
        <v>0</v>
      </c>
      <c r="O240" s="2">
        <f t="shared" si="102"/>
        <v>0</v>
      </c>
      <c r="P240" s="2">
        <f t="shared" si="102"/>
        <v>0</v>
      </c>
      <c r="Q240" s="2">
        <f t="shared" si="102"/>
        <v>0</v>
      </c>
      <c r="R240" s="2">
        <f t="shared" si="102"/>
        <v>0</v>
      </c>
      <c r="S240" s="2">
        <f t="shared" si="102"/>
        <v>0</v>
      </c>
      <c r="T240" s="2">
        <f t="shared" si="102"/>
        <v>0</v>
      </c>
      <c r="U240" s="2">
        <f t="shared" si="102"/>
        <v>0</v>
      </c>
      <c r="V240" s="2">
        <f t="shared" si="102"/>
        <v>0</v>
      </c>
      <c r="W240" s="2">
        <f t="shared" si="102"/>
        <v>0</v>
      </c>
      <c r="X240" s="2">
        <f t="shared" si="102"/>
        <v>0</v>
      </c>
      <c r="Y240" s="2">
        <f t="shared" si="102"/>
        <v>0</v>
      </c>
      <c r="Z240" s="2">
        <f t="shared" si="102"/>
        <v>0</v>
      </c>
      <c r="AA240" s="2">
        <f t="shared" si="102"/>
        <v>0</v>
      </c>
      <c r="AB240" s="2">
        <f t="shared" si="99"/>
        <v>0</v>
      </c>
    </row>
    <row r="241" spans="3:28" customFormat="1" x14ac:dyDescent="0.25">
      <c r="E241" t="s">
        <v>49</v>
      </c>
      <c r="F241" t="s">
        <v>7</v>
      </c>
      <c r="G241" s="2">
        <f t="shared" ref="G241:AA241" si="103">G214</f>
        <v>0</v>
      </c>
      <c r="H241" s="2">
        <f t="shared" si="103"/>
        <v>0</v>
      </c>
      <c r="I241" s="2">
        <f t="shared" si="103"/>
        <v>0</v>
      </c>
      <c r="J241" s="2">
        <f t="shared" si="103"/>
        <v>0</v>
      </c>
      <c r="K241" s="2">
        <f t="shared" si="103"/>
        <v>0</v>
      </c>
      <c r="L241" s="2">
        <f t="shared" si="103"/>
        <v>0</v>
      </c>
      <c r="M241" s="2">
        <f t="shared" si="103"/>
        <v>0</v>
      </c>
      <c r="N241" s="2">
        <f t="shared" si="103"/>
        <v>0</v>
      </c>
      <c r="O241" s="2">
        <f t="shared" si="103"/>
        <v>0</v>
      </c>
      <c r="P241" s="2">
        <f t="shared" si="103"/>
        <v>0</v>
      </c>
      <c r="Q241" s="2">
        <f t="shared" si="103"/>
        <v>0</v>
      </c>
      <c r="R241" s="2">
        <f t="shared" si="103"/>
        <v>0</v>
      </c>
      <c r="S241" s="2">
        <f t="shared" si="103"/>
        <v>0</v>
      </c>
      <c r="T241" s="2">
        <f t="shared" si="103"/>
        <v>0</v>
      </c>
      <c r="U241" s="2">
        <f t="shared" si="103"/>
        <v>0</v>
      </c>
      <c r="V241" s="2">
        <f t="shared" si="103"/>
        <v>0</v>
      </c>
      <c r="W241" s="2">
        <f t="shared" si="103"/>
        <v>0</v>
      </c>
      <c r="X241" s="2">
        <f t="shared" si="103"/>
        <v>0</v>
      </c>
      <c r="Y241" s="2">
        <f t="shared" si="103"/>
        <v>0</v>
      </c>
      <c r="Z241" s="2">
        <f t="shared" si="103"/>
        <v>0</v>
      </c>
      <c r="AA241" s="2">
        <f t="shared" si="103"/>
        <v>0</v>
      </c>
      <c r="AB241" s="2">
        <f t="shared" si="99"/>
        <v>0</v>
      </c>
    </row>
    <row r="242" spans="3:28" customFormat="1" x14ac:dyDescent="0.25">
      <c r="E242" t="s">
        <v>20</v>
      </c>
      <c r="F242" t="s">
        <v>7</v>
      </c>
      <c r="G242" s="2">
        <f t="shared" ref="G242:AA242" si="104">G231</f>
        <v>42585.992195975967</v>
      </c>
      <c r="H242" s="2">
        <f t="shared" ca="1" si="104"/>
        <v>-892892.39699681627</v>
      </c>
      <c r="I242" s="2">
        <f t="shared" ca="1" si="104"/>
        <v>-901985.84394275525</v>
      </c>
      <c r="J242" s="2">
        <f t="shared" ca="1" si="104"/>
        <v>-928140.88512308861</v>
      </c>
      <c r="K242" s="2">
        <f t="shared" ca="1" si="104"/>
        <v>-914458.75800992677</v>
      </c>
      <c r="L242" s="2">
        <f t="shared" ca="1" si="104"/>
        <v>-900058.98450143903</v>
      </c>
      <c r="M242" s="2">
        <f t="shared" ca="1" si="104"/>
        <v>-884520.01441160252</v>
      </c>
      <c r="N242" s="2">
        <f t="shared" ca="1" si="104"/>
        <v>-869610.94751561107</v>
      </c>
      <c r="O242" s="2">
        <f t="shared" ca="1" si="104"/>
        <v>-854611.26367468096</v>
      </c>
      <c r="P242" s="2">
        <f t="shared" ca="1" si="104"/>
        <v>-929348.75796269777</v>
      </c>
      <c r="Q242" s="2">
        <f t="shared" ca="1" si="104"/>
        <v>-1011899.8174482631</v>
      </c>
      <c r="R242" s="2">
        <f t="shared" ca="1" si="104"/>
        <v>-1100966.3120947371</v>
      </c>
      <c r="S242" s="2">
        <f t="shared" ca="1" si="104"/>
        <v>-1199575.036517875</v>
      </c>
      <c r="T242" s="2">
        <f t="shared" ca="1" si="104"/>
        <v>-1303546.147499219</v>
      </c>
      <c r="U242" s="2">
        <f t="shared" ca="1" si="104"/>
        <v>-1327847.4093195784</v>
      </c>
      <c r="V242" s="2">
        <f t="shared" ca="1" si="104"/>
        <v>-1353957.6398891232</v>
      </c>
      <c r="W242" s="2">
        <f t="shared" ca="1" si="104"/>
        <v>-2214.7294810874851</v>
      </c>
      <c r="X242" s="2">
        <f t="shared" ca="1" si="104"/>
        <v>-6939.9890187361971</v>
      </c>
      <c r="Y242" s="2">
        <f t="shared" ca="1" si="104"/>
        <v>-11764.479006675747</v>
      </c>
      <c r="Z242" s="2">
        <f t="shared" ca="1" si="104"/>
        <v>-16690.283284361987</v>
      </c>
      <c r="AA242" s="2">
        <f t="shared" ca="1" si="104"/>
        <v>-21719.529451879065</v>
      </c>
      <c r="AB242" s="2">
        <f ca="1">IF(V242=0,0,IF($G$15&gt;(AA242/V242)^(1/5)-1+2%,AA242*(AA242/V242)^(1/5)/($G$15-((AA242/V242)^(1/5)-1)),AA242*(1+$G$14)/$G$16))</f>
        <v>-15477.106097797407</v>
      </c>
    </row>
    <row r="243" spans="3:28" customFormat="1" x14ac:dyDescent="0.25">
      <c r="E243" t="s">
        <v>173</v>
      </c>
      <c r="F243" t="s">
        <v>7</v>
      </c>
      <c r="G243" s="2">
        <f>-$G$17*G242</f>
        <v>-21292.996097987983</v>
      </c>
      <c r="H243" s="2">
        <f t="shared" ref="H243:AA243" ca="1" si="105">-$G$17*H242</f>
        <v>446446.19849840814</v>
      </c>
      <c r="I243" s="2">
        <f t="shared" ca="1" si="105"/>
        <v>450992.92197137763</v>
      </c>
      <c r="J243" s="2">
        <f t="shared" ca="1" si="105"/>
        <v>464070.4425615443</v>
      </c>
      <c r="K243" s="2">
        <f t="shared" ca="1" si="105"/>
        <v>457229.37900496338</v>
      </c>
      <c r="L243" s="2">
        <f t="shared" ca="1" si="105"/>
        <v>450029.49225071952</v>
      </c>
      <c r="M243" s="2">
        <f t="shared" ca="1" si="105"/>
        <v>442260.00720580126</v>
      </c>
      <c r="N243" s="2">
        <f t="shared" ca="1" si="105"/>
        <v>434805.47375780554</v>
      </c>
      <c r="O243" s="2">
        <f t="shared" ca="1" si="105"/>
        <v>427305.63183734048</v>
      </c>
      <c r="P243" s="2">
        <f t="shared" ca="1" si="105"/>
        <v>464674.37898134888</v>
      </c>
      <c r="Q243" s="2">
        <f t="shared" ca="1" si="105"/>
        <v>505949.90872413153</v>
      </c>
      <c r="R243" s="2">
        <f t="shared" ca="1" si="105"/>
        <v>550483.15604736854</v>
      </c>
      <c r="S243" s="2">
        <f t="shared" ca="1" si="105"/>
        <v>599787.51825893752</v>
      </c>
      <c r="T243" s="2">
        <f t="shared" ca="1" si="105"/>
        <v>651773.07374960952</v>
      </c>
      <c r="U243" s="2">
        <f t="shared" ca="1" si="105"/>
        <v>663923.70465978922</v>
      </c>
      <c r="V243" s="2">
        <f t="shared" ca="1" si="105"/>
        <v>676978.81994456158</v>
      </c>
      <c r="W243" s="2">
        <f t="shared" ca="1" si="105"/>
        <v>1107.3647405437425</v>
      </c>
      <c r="X243" s="2">
        <f t="shared" ca="1" si="105"/>
        <v>3469.9945093680985</v>
      </c>
      <c r="Y243" s="2">
        <f t="shared" ca="1" si="105"/>
        <v>5882.2395033378734</v>
      </c>
      <c r="Z243" s="2">
        <f t="shared" ca="1" si="105"/>
        <v>8345.1416421809936</v>
      </c>
      <c r="AA243" s="2">
        <f t="shared" ca="1" si="105"/>
        <v>10859.764725939533</v>
      </c>
      <c r="AB243" s="2">
        <f t="shared" ref="AB243" ca="1" si="106">IF(V243=0,0,IF($G$15&gt;(AA243/V243)^(1/5)-1+2%,AA243*(AA243/V243)^(1/5)/($G$15-((AA243/V243)^(1/5)-1)),AA243*(1+$G$14)/$G$16))</f>
        <v>7738.5530488987033</v>
      </c>
    </row>
    <row r="244" spans="3:28" customFormat="1" x14ac:dyDescent="0.25">
      <c r="E244" t="s">
        <v>23</v>
      </c>
      <c r="F244" t="s">
        <v>7</v>
      </c>
      <c r="G244" s="2">
        <f>SUM(G234:G243)</f>
        <v>-11334971.589495605</v>
      </c>
      <c r="H244" s="2">
        <f t="shared" ref="H244:AB244" ca="1" si="107">SUM(H234:H243)</f>
        <v>-535494.40039081615</v>
      </c>
      <c r="I244" s="2">
        <f t="shared" ca="1" si="107"/>
        <v>-2074846.1124528961</v>
      </c>
      <c r="J244" s="2">
        <f t="shared" ca="1" si="107"/>
        <v>-2973745.2550299414</v>
      </c>
      <c r="K244" s="2">
        <f t="shared" ca="1" si="107"/>
        <v>-298553.26896240603</v>
      </c>
      <c r="L244" s="2">
        <f t="shared" ca="1" si="107"/>
        <v>-249455.06847930216</v>
      </c>
      <c r="M244" s="2">
        <f t="shared" ca="1" si="107"/>
        <v>-200386.30592509656</v>
      </c>
      <c r="N244" s="2">
        <f t="shared" ca="1" si="107"/>
        <v>-151104.13828937977</v>
      </c>
      <c r="O244" s="2">
        <f t="shared" ca="1" si="107"/>
        <v>-101325.41940688953</v>
      </c>
      <c r="P244" s="2">
        <f t="shared" ca="1" si="107"/>
        <v>-93211.091053895361</v>
      </c>
      <c r="Q244" s="2">
        <f t="shared" ca="1" si="107"/>
        <v>-84593.526046054787</v>
      </c>
      <c r="R244" s="2">
        <f t="shared" ca="1" si="107"/>
        <v>-74848.286189506645</v>
      </c>
      <c r="S244" s="2">
        <f t="shared" ca="1" si="107"/>
        <v>-64235.535919299233</v>
      </c>
      <c r="T244" s="2">
        <f t="shared" ca="1" si="107"/>
        <v>-52014.735925049754</v>
      </c>
      <c r="U244" s="2">
        <f t="shared" ca="1" si="107"/>
        <v>1678.9209443611326</v>
      </c>
      <c r="V244" s="2">
        <f t="shared" ca="1" si="107"/>
        <v>57635.476286748773</v>
      </c>
      <c r="W244" s="2">
        <f t="shared" ca="1" si="107"/>
        <v>748933.83171162382</v>
      </c>
      <c r="X244" s="2">
        <f t="shared" ca="1" si="107"/>
        <v>762322.0670682952</v>
      </c>
      <c r="Y244" s="2">
        <f t="shared" ca="1" si="107"/>
        <v>775991.45536745724</v>
      </c>
      <c r="Z244" s="2">
        <f t="shared" ca="1" si="107"/>
        <v>789947.90082090162</v>
      </c>
      <c r="AA244" s="2">
        <f t="shared" ca="1" si="107"/>
        <v>804197.43162886659</v>
      </c>
      <c r="AB244" s="2">
        <f t="shared" ca="1" si="107"/>
        <v>27160834.658778019</v>
      </c>
    </row>
    <row r="245" spans="3:28" customFormat="1" x14ac:dyDescent="0.25">
      <c r="E245" t="s">
        <v>31</v>
      </c>
      <c r="F245" t="s">
        <v>7</v>
      </c>
      <c r="G245" s="2">
        <f ca="1">NPV($G$15,H244:AB244)+G244</f>
        <v>-6218719.233979987</v>
      </c>
    </row>
    <row r="247" spans="3:28" customFormat="1" x14ac:dyDescent="0.25">
      <c r="E247" t="s">
        <v>13</v>
      </c>
      <c r="F247" t="s">
        <v>7</v>
      </c>
      <c r="H247" s="2">
        <f t="shared" ref="H247:AA247" ca="1" si="108">H219</f>
        <v>546351.13129857928</v>
      </c>
      <c r="I247" s="2">
        <f t="shared" ca="1" si="108"/>
        <v>556261.97142824193</v>
      </c>
      <c r="J247" s="2">
        <f t="shared" ca="1" si="108"/>
        <v>577116.71712251124</v>
      </c>
      <c r="K247" s="2">
        <f t="shared" ca="1" si="108"/>
        <v>567653.91737790266</v>
      </c>
      <c r="L247" s="2">
        <f t="shared" ca="1" si="108"/>
        <v>557539.17157176929</v>
      </c>
      <c r="M247" s="2">
        <f t="shared" ca="1" si="108"/>
        <v>546749.27106421476</v>
      </c>
      <c r="N247" s="2">
        <f t="shared" ca="1" si="108"/>
        <v>536127.13829259994</v>
      </c>
      <c r="O247" s="2">
        <f t="shared" ca="1" si="108"/>
        <v>525260.27027448313</v>
      </c>
      <c r="P247" s="2">
        <f t="shared" ca="1" si="108"/>
        <v>567013.3728875824</v>
      </c>
      <c r="Q247" s="2">
        <f t="shared" ca="1" si="108"/>
        <v>613056.2141765072</v>
      </c>
      <c r="R247" s="2">
        <f t="shared" ca="1" si="108"/>
        <v>662666.71580633463</v>
      </c>
      <c r="S247" s="2">
        <f t="shared" ca="1" si="108"/>
        <v>717456.58388251264</v>
      </c>
      <c r="T247" s="2">
        <f t="shared" ca="1" si="108"/>
        <v>775237.32494332956</v>
      </c>
      <c r="U247" s="2">
        <f t="shared" ca="1" si="108"/>
        <v>786003.25531784329</v>
      </c>
      <c r="V247" s="2">
        <f t="shared" ca="1" si="108"/>
        <v>797391.27952339849</v>
      </c>
      <c r="W247" s="2">
        <f t="shared" ca="1" si="108"/>
        <v>0</v>
      </c>
      <c r="X247" s="2">
        <f t="shared" ca="1" si="108"/>
        <v>0</v>
      </c>
      <c r="Y247" s="2">
        <f t="shared" ca="1" si="108"/>
        <v>0</v>
      </c>
      <c r="Z247" s="2">
        <f t="shared" ca="1" si="108"/>
        <v>0</v>
      </c>
      <c r="AA247" s="2">
        <f t="shared" ca="1" si="108"/>
        <v>0</v>
      </c>
    </row>
    <row r="248" spans="3:28" customFormat="1" x14ac:dyDescent="0.25">
      <c r="E248" t="s">
        <v>24</v>
      </c>
      <c r="F248" t="s">
        <v>7</v>
      </c>
      <c r="G248" s="2">
        <f ca="1">NPV($G$15,H247:AA247)+G247</f>
        <v>6218719.2339799898</v>
      </c>
    </row>
    <row r="249" spans="3:28" customFormat="1" x14ac:dyDescent="0.25">
      <c r="E249" s="3" t="s">
        <v>34</v>
      </c>
      <c r="F249" s="3"/>
      <c r="G249" s="4" t="str">
        <f ca="1">IF(G245&gt;0,"N/A",IF(ABS(G245+G248)&gt;1,"Error","OK"))</f>
        <v>OK</v>
      </c>
    </row>
    <row r="251" spans="3:28" customFormat="1" x14ac:dyDescent="0.25">
      <c r="C251" s="1" t="s">
        <v>35</v>
      </c>
      <c r="D251" s="1"/>
    </row>
    <row r="252" spans="3:28" customFormat="1" x14ac:dyDescent="0.25">
      <c r="C252" s="1"/>
      <c r="D252" s="1"/>
      <c r="G252" s="44"/>
    </row>
    <row r="253" spans="3:28" customFormat="1" x14ac:dyDescent="0.25">
      <c r="C253" s="1"/>
      <c r="D253" t="s">
        <v>35</v>
      </c>
      <c r="F253" t="s">
        <v>7</v>
      </c>
      <c r="G253" s="8">
        <f ca="1">MAX(0,-G279)</f>
        <v>6218940.2575340513</v>
      </c>
    </row>
    <row r="255" spans="3:28" customFormat="1" x14ac:dyDescent="0.25">
      <c r="D255" t="s">
        <v>9</v>
      </c>
    </row>
    <row r="256" spans="3:28" customFormat="1" x14ac:dyDescent="0.25">
      <c r="E256" t="s">
        <v>107</v>
      </c>
      <c r="F256" t="s">
        <v>7</v>
      </c>
      <c r="G256" s="2">
        <f t="shared" ref="G256:AA261" si="109">G222</f>
        <v>0</v>
      </c>
      <c r="H256" s="2">
        <f t="shared" si="109"/>
        <v>2551478.9999999995</v>
      </c>
      <c r="I256" s="2">
        <f t="shared" si="109"/>
        <v>2597762.9719999991</v>
      </c>
      <c r="J256" s="2">
        <f t="shared" si="109"/>
        <v>2695155.3679172494</v>
      </c>
      <c r="K256" s="2">
        <f t="shared" si="109"/>
        <v>2650963.7602743981</v>
      </c>
      <c r="L256" s="2">
        <f t="shared" si="109"/>
        <v>2603727.541593296</v>
      </c>
      <c r="M256" s="2">
        <f t="shared" si="109"/>
        <v>2553338.3267093068</v>
      </c>
      <c r="N256" s="2">
        <f t="shared" si="109"/>
        <v>2503732.5930530592</v>
      </c>
      <c r="O256" s="2">
        <f t="shared" si="109"/>
        <v>2452983.9371875618</v>
      </c>
      <c r="P256" s="2">
        <f t="shared" si="109"/>
        <v>2647972.3949746988</v>
      </c>
      <c r="Q256" s="2">
        <f t="shared" si="109"/>
        <v>2862994.0832611341</v>
      </c>
      <c r="R256" s="2">
        <f t="shared" si="109"/>
        <v>3094676.8708250816</v>
      </c>
      <c r="S256" s="2">
        <f t="shared" si="109"/>
        <v>3350547.4818675988</v>
      </c>
      <c r="T256" s="2">
        <f t="shared" si="109"/>
        <v>3620385.5749465046</v>
      </c>
      <c r="U256" s="2">
        <f t="shared" si="109"/>
        <v>3670662.8484660913</v>
      </c>
      <c r="V256" s="2">
        <f t="shared" si="109"/>
        <v>3723845.3220575782</v>
      </c>
      <c r="W256" s="2">
        <f t="shared" si="109"/>
        <v>0</v>
      </c>
      <c r="X256" s="2">
        <f t="shared" si="109"/>
        <v>0</v>
      </c>
      <c r="Y256" s="2">
        <f t="shared" si="109"/>
        <v>0</v>
      </c>
      <c r="Z256" s="2">
        <f t="shared" si="109"/>
        <v>0</v>
      </c>
      <c r="AA256" s="2">
        <f t="shared" si="109"/>
        <v>0</v>
      </c>
    </row>
    <row r="257" spans="4:28" customFormat="1" x14ac:dyDescent="0.25">
      <c r="E257" t="s">
        <v>11</v>
      </c>
      <c r="F257" t="s">
        <v>7</v>
      </c>
      <c r="G257" s="2">
        <f t="shared" si="109"/>
        <v>0</v>
      </c>
      <c r="H257" s="2">
        <f t="shared" si="109"/>
        <v>436064.30621198064</v>
      </c>
      <c r="I257" s="2">
        <f t="shared" si="109"/>
        <v>865171.75135166268</v>
      </c>
      <c r="J257" s="2">
        <f t="shared" si="109"/>
        <v>1332382.6706585949</v>
      </c>
      <c r="K257" s="2">
        <f t="shared" si="109"/>
        <v>1801277.1809573113</v>
      </c>
      <c r="L257" s="2">
        <f t="shared" si="109"/>
        <v>2272753.5375881577</v>
      </c>
      <c r="M257" s="2">
        <f t="shared" si="109"/>
        <v>2744934.64359756</v>
      </c>
      <c r="N257" s="2">
        <f t="shared" si="109"/>
        <v>3219204.1569017242</v>
      </c>
      <c r="O257" s="2">
        <f t="shared" si="109"/>
        <v>3695337.3513881266</v>
      </c>
      <c r="P257" s="2">
        <f t="shared" si="109"/>
        <v>4213317.0256958976</v>
      </c>
      <c r="Q257" s="2">
        <f t="shared" si="109"/>
        <v>4778282.3485402307</v>
      </c>
      <c r="R257" s="2">
        <f t="shared" si="109"/>
        <v>5393595.4094494367</v>
      </c>
      <c r="S257" s="2">
        <f t="shared" si="109"/>
        <v>6065223.1234735847</v>
      </c>
      <c r="T257" s="2">
        <f t="shared" si="109"/>
        <v>6794836.4369155774</v>
      </c>
      <c r="U257" s="2">
        <f t="shared" si="109"/>
        <v>7547645.8157244101</v>
      </c>
      <c r="V257" s="2">
        <f t="shared" si="109"/>
        <v>8326215.8136727056</v>
      </c>
      <c r="W257" s="2">
        <f t="shared" si="109"/>
        <v>8501066.3457598314</v>
      </c>
      <c r="X257" s="2">
        <f t="shared" si="109"/>
        <v>8679588.7390207872</v>
      </c>
      <c r="Y257" s="2">
        <f t="shared" si="109"/>
        <v>8861860.1025402229</v>
      </c>
      <c r="Z257" s="2">
        <f t="shared" si="109"/>
        <v>9047959.1646935679</v>
      </c>
      <c r="AA257" s="2">
        <f t="shared" si="109"/>
        <v>9237966.3071521316</v>
      </c>
    </row>
    <row r="258" spans="4:28" customFormat="1" x14ac:dyDescent="0.25">
      <c r="E258" t="s">
        <v>57</v>
      </c>
      <c r="F258" t="s">
        <v>7</v>
      </c>
      <c r="G258" s="2">
        <f t="shared" si="109"/>
        <v>0</v>
      </c>
      <c r="H258" s="2">
        <f t="shared" si="109"/>
        <v>-298844.80688602215</v>
      </c>
      <c r="I258" s="2">
        <f t="shared" si="109"/>
        <v>-613681.97966856288</v>
      </c>
      <c r="J258" s="2">
        <f t="shared" si="109"/>
        <v>-954083.75439749903</v>
      </c>
      <c r="K258" s="2">
        <f t="shared" si="109"/>
        <v>-1289971.2733444311</v>
      </c>
      <c r="L258" s="2">
        <f t="shared" si="109"/>
        <v>-1627336.9648569734</v>
      </c>
      <c r="M258" s="2">
        <f t="shared" si="109"/>
        <v>-1965711.2313018302</v>
      </c>
      <c r="N258" s="2">
        <f t="shared" si="109"/>
        <v>-2305318.6191703724</v>
      </c>
      <c r="O258" s="2">
        <f t="shared" si="109"/>
        <v>-2646041.8773502619</v>
      </c>
      <c r="P258" s="2">
        <f t="shared" si="109"/>
        <v>-3017100.6119452417</v>
      </c>
      <c r="Q258" s="2">
        <f t="shared" si="109"/>
        <v>-3421601.2171133016</v>
      </c>
      <c r="R258" s="2">
        <f t="shared" si="109"/>
        <v>-3862195.9244692656</v>
      </c>
      <c r="S258" s="2">
        <f t="shared" si="109"/>
        <v>-4342603.3511132384</v>
      </c>
      <c r="T258" s="2">
        <f t="shared" si="109"/>
        <v>-4865160.7553244745</v>
      </c>
      <c r="U258" s="2">
        <f t="shared" si="109"/>
        <v>-5404638.8493560096</v>
      </c>
      <c r="V258" s="2">
        <f t="shared" si="109"/>
        <v>-5961880.7236026488</v>
      </c>
      <c r="W258" s="2">
        <f t="shared" si="109"/>
        <v>-6087080.218798304</v>
      </c>
      <c r="X258" s="2">
        <f t="shared" si="109"/>
        <v>-6214908.9033930674</v>
      </c>
      <c r="Y258" s="2">
        <f t="shared" si="109"/>
        <v>-6345421.9903643206</v>
      </c>
      <c r="Z258" s="2">
        <f t="shared" si="109"/>
        <v>-6478675.8521619709</v>
      </c>
      <c r="AA258" s="2">
        <f t="shared" si="109"/>
        <v>-6614728.0450573722</v>
      </c>
    </row>
    <row r="259" spans="4:28" customFormat="1" x14ac:dyDescent="0.25">
      <c r="E259" t="s">
        <v>10</v>
      </c>
      <c r="F259" t="s">
        <v>7</v>
      </c>
      <c r="G259" s="2">
        <f t="shared" si="109"/>
        <v>0</v>
      </c>
      <c r="H259" s="2">
        <f t="shared" si="109"/>
        <v>-83105.315999999992</v>
      </c>
      <c r="I259" s="2">
        <f t="shared" si="109"/>
        <v>-169463.37872399998</v>
      </c>
      <c r="J259" s="2">
        <f t="shared" si="109"/>
        <v>-260807.17023222294</v>
      </c>
      <c r="K259" s="2">
        <f t="shared" si="109"/>
        <v>-352629.79757032287</v>
      </c>
      <c r="L259" s="2">
        <f t="shared" si="109"/>
        <v>-444842.14895976702</v>
      </c>
      <c r="M259" s="2">
        <f t="shared" si="109"/>
        <v>-537349.71101502515</v>
      </c>
      <c r="N259" s="2">
        <f t="shared" si="109"/>
        <v>-630184.20226292603</v>
      </c>
      <c r="O259" s="2">
        <f t="shared" si="109"/>
        <v>-723315.26160741376</v>
      </c>
      <c r="P259" s="2">
        <f t="shared" si="109"/>
        <v>-824753.12582320243</v>
      </c>
      <c r="Q259" s="2">
        <f t="shared" si="109"/>
        <v>-935324.74874885229</v>
      </c>
      <c r="R259" s="2">
        <f t="shared" si="109"/>
        <v>-1055764.6151223092</v>
      </c>
      <c r="S259" s="2">
        <f t="shared" si="109"/>
        <v>-1187067.790020708</v>
      </c>
      <c r="T259" s="2">
        <f t="shared" si="109"/>
        <v>-1329917.3437665431</v>
      </c>
      <c r="U259" s="2">
        <f t="shared" si="109"/>
        <v>-1477404.3407642501</v>
      </c>
      <c r="V259" s="2">
        <f t="shared" si="109"/>
        <v>-1629720.7938387464</v>
      </c>
      <c r="W259" s="2">
        <f t="shared" si="109"/>
        <v>-1663944.9305093598</v>
      </c>
      <c r="X259" s="2">
        <f t="shared" si="109"/>
        <v>-1698887.7740500565</v>
      </c>
      <c r="Y259" s="2">
        <f t="shared" si="109"/>
        <v>-1734564.4173051072</v>
      </c>
      <c r="Z259" s="2">
        <f t="shared" si="109"/>
        <v>-1770990.2700685144</v>
      </c>
      <c r="AA259" s="2">
        <f t="shared" si="109"/>
        <v>-1808181.0657399532</v>
      </c>
    </row>
    <row r="260" spans="4:28" customFormat="1" x14ac:dyDescent="0.25">
      <c r="E260" t="s">
        <v>12</v>
      </c>
      <c r="F260" t="s">
        <v>7</v>
      </c>
      <c r="G260" s="2">
        <f t="shared" si="109"/>
        <v>-141953.3073199199</v>
      </c>
      <c r="H260" s="2">
        <f t="shared" si="109"/>
        <v>-175636.32463514947</v>
      </c>
      <c r="I260" s="2">
        <f t="shared" si="109"/>
        <v>-229431.8565781572</v>
      </c>
      <c r="J260" s="2">
        <f t="shared" si="109"/>
        <v>-295960.88065833872</v>
      </c>
      <c r="K260" s="2">
        <f t="shared" si="109"/>
        <v>-329097.92766176868</v>
      </c>
      <c r="L260" s="2">
        <f t="shared" si="109"/>
        <v>-361644.52193168493</v>
      </c>
      <c r="M260" s="2">
        <f t="shared" si="109"/>
        <v>-393561.25101555127</v>
      </c>
      <c r="N260" s="2">
        <f t="shared" si="109"/>
        <v>-424857.90842871449</v>
      </c>
      <c r="O260" s="2">
        <f t="shared" si="109"/>
        <v>-455520.20764355903</v>
      </c>
      <c r="P260" s="2">
        <f t="shared" si="109"/>
        <v>-488619.86258074275</v>
      </c>
      <c r="Q260" s="2">
        <f t="shared" si="109"/>
        <v>-524407.28862150689</v>
      </c>
      <c r="R260" s="2">
        <f t="shared" si="109"/>
        <v>-563090.74950682046</v>
      </c>
      <c r="S260" s="2">
        <f t="shared" si="109"/>
        <v>-604972.59303016542</v>
      </c>
      <c r="T260" s="2">
        <f t="shared" si="109"/>
        <v>-650227.41271699674</v>
      </c>
      <c r="U260" s="2">
        <f t="shared" si="109"/>
        <v>-696110.69832282281</v>
      </c>
      <c r="V260" s="2">
        <f t="shared" si="109"/>
        <v>-742658.76484854263</v>
      </c>
      <c r="W260" s="2">
        <f t="shared" si="109"/>
        <v>-742658.76484854263</v>
      </c>
      <c r="X260" s="2">
        <f t="shared" si="109"/>
        <v>-742658.76484854263</v>
      </c>
      <c r="Y260" s="2">
        <f t="shared" si="109"/>
        <v>-742658.76484854263</v>
      </c>
      <c r="Z260" s="2">
        <f t="shared" si="109"/>
        <v>-742658.76484854263</v>
      </c>
      <c r="AA260" s="2">
        <f t="shared" si="109"/>
        <v>-742658.76484854263</v>
      </c>
    </row>
    <row r="261" spans="4:28" customFormat="1" x14ac:dyDescent="0.25">
      <c r="E261" t="s">
        <v>48</v>
      </c>
      <c r="F261" t="s">
        <v>7</v>
      </c>
      <c r="G261" s="2">
        <f t="shared" si="109"/>
        <v>0</v>
      </c>
      <c r="H261" s="2">
        <f t="shared" si="109"/>
        <v>0</v>
      </c>
      <c r="I261" s="2">
        <f t="shared" si="109"/>
        <v>0</v>
      </c>
      <c r="J261" s="2">
        <f t="shared" si="109"/>
        <v>0</v>
      </c>
      <c r="K261" s="2">
        <f t="shared" si="109"/>
        <v>0</v>
      </c>
      <c r="L261" s="2">
        <f t="shared" si="109"/>
        <v>0</v>
      </c>
      <c r="M261" s="2">
        <f t="shared" si="109"/>
        <v>0</v>
      </c>
      <c r="N261" s="2">
        <f t="shared" si="109"/>
        <v>0</v>
      </c>
      <c r="O261" s="2">
        <f t="shared" si="109"/>
        <v>0</v>
      </c>
      <c r="P261" s="2">
        <f t="shared" si="109"/>
        <v>0</v>
      </c>
      <c r="Q261" s="2">
        <f t="shared" si="109"/>
        <v>0</v>
      </c>
      <c r="R261" s="2">
        <f t="shared" si="109"/>
        <v>0</v>
      </c>
      <c r="S261" s="2">
        <f t="shared" si="109"/>
        <v>0</v>
      </c>
      <c r="T261" s="2">
        <f t="shared" si="109"/>
        <v>0</v>
      </c>
      <c r="U261" s="2">
        <f t="shared" si="109"/>
        <v>0</v>
      </c>
      <c r="V261" s="2">
        <f t="shared" si="109"/>
        <v>0</v>
      </c>
      <c r="W261" s="2">
        <f t="shared" si="109"/>
        <v>0</v>
      </c>
      <c r="X261" s="2">
        <f t="shared" si="109"/>
        <v>0</v>
      </c>
      <c r="Y261" s="2">
        <f t="shared" si="109"/>
        <v>0</v>
      </c>
      <c r="Z261" s="2">
        <f t="shared" si="109"/>
        <v>0</v>
      </c>
      <c r="AA261" s="2">
        <f t="shared" si="109"/>
        <v>0</v>
      </c>
    </row>
    <row r="262" spans="4:28" customFormat="1" x14ac:dyDescent="0.25">
      <c r="E262" t="s">
        <v>13</v>
      </c>
      <c r="F262" t="s">
        <v>7</v>
      </c>
      <c r="G262" s="2">
        <f ca="1">G253</f>
        <v>6218940.2575340513</v>
      </c>
      <c r="H262" s="2"/>
      <c r="I262" s="2"/>
      <c r="J262" s="2"/>
      <c r="K262" s="2"/>
      <c r="L262" s="2"/>
      <c r="M262" s="2"/>
      <c r="N262" s="2"/>
      <c r="O262" s="2"/>
      <c r="P262" s="2"/>
      <c r="Q262" s="2"/>
      <c r="R262" s="2"/>
      <c r="S262" s="2"/>
      <c r="T262" s="2"/>
      <c r="U262" s="2"/>
      <c r="V262" s="2"/>
      <c r="W262" s="2"/>
      <c r="X262" s="2"/>
      <c r="Y262" s="2"/>
      <c r="Z262" s="2"/>
      <c r="AA262" s="2"/>
    </row>
    <row r="263" spans="4:28" customFormat="1" x14ac:dyDescent="0.25"/>
    <row r="264" spans="4:28" customFormat="1" x14ac:dyDescent="0.25">
      <c r="E264" t="s">
        <v>14</v>
      </c>
      <c r="F264" t="s">
        <v>7</v>
      </c>
      <c r="G264" s="2">
        <f t="shared" ref="G264:AA264" ca="1" si="110">SUM(G256:G262)</f>
        <v>6076986.9502141317</v>
      </c>
      <c r="H264" s="2">
        <f t="shared" si="110"/>
        <v>2429956.8586908085</v>
      </c>
      <c r="I264" s="2">
        <f t="shared" si="110"/>
        <v>2450357.508380942</v>
      </c>
      <c r="J264" s="2">
        <f t="shared" si="110"/>
        <v>2516686.2332877838</v>
      </c>
      <c r="K264" s="2">
        <f t="shared" si="110"/>
        <v>2480541.9426551866</v>
      </c>
      <c r="L264" s="2">
        <f t="shared" si="110"/>
        <v>2442657.4434330277</v>
      </c>
      <c r="M264" s="2">
        <f t="shared" si="110"/>
        <v>2401650.7769744601</v>
      </c>
      <c r="N264" s="2">
        <f t="shared" si="110"/>
        <v>2362576.0200927705</v>
      </c>
      <c r="O264" s="2">
        <f t="shared" si="110"/>
        <v>2323443.9419744536</v>
      </c>
      <c r="P264" s="2">
        <f t="shared" si="110"/>
        <v>2530815.82032141</v>
      </c>
      <c r="Q264" s="2">
        <f t="shared" si="110"/>
        <v>2759943.1773177031</v>
      </c>
      <c r="R264" s="2">
        <f t="shared" si="110"/>
        <v>3007220.9911761223</v>
      </c>
      <c r="S264" s="2">
        <f t="shared" si="110"/>
        <v>3281126.8711770712</v>
      </c>
      <c r="T264" s="2">
        <f t="shared" si="110"/>
        <v>3569916.5000540679</v>
      </c>
      <c r="U264" s="2">
        <f t="shared" si="110"/>
        <v>3640154.7757474189</v>
      </c>
      <c r="V264" s="2">
        <f t="shared" si="110"/>
        <v>3715800.8534403453</v>
      </c>
      <c r="W264" s="2">
        <f t="shared" si="110"/>
        <v>7382.4316036249511</v>
      </c>
      <c r="X264" s="2">
        <f t="shared" si="110"/>
        <v>23133.296729120659</v>
      </c>
      <c r="Y264" s="2">
        <f t="shared" si="110"/>
        <v>39214.930022252491</v>
      </c>
      <c r="Z264" s="2">
        <f t="shared" si="110"/>
        <v>55634.277614539955</v>
      </c>
      <c r="AA264" s="2">
        <f t="shared" si="110"/>
        <v>72398.431506263558</v>
      </c>
    </row>
    <row r="265" spans="4:28" customFormat="1" x14ac:dyDescent="0.25">
      <c r="E265" t="s">
        <v>15</v>
      </c>
      <c r="F265" t="s">
        <v>7</v>
      </c>
      <c r="G265" s="2">
        <f ca="1">-G264*G$18</f>
        <v>-1823096.0850642396</v>
      </c>
      <c r="H265" s="2">
        <f t="shared" ref="H265:AA265" si="111">-H264*H$18</f>
        <v>-728987.05760724249</v>
      </c>
      <c r="I265" s="2">
        <f t="shared" si="111"/>
        <v>-735107.25251428259</v>
      </c>
      <c r="J265" s="2">
        <f t="shared" si="111"/>
        <v>-755005.86998633516</v>
      </c>
      <c r="K265" s="2">
        <f t="shared" si="111"/>
        <v>-744162.58279655594</v>
      </c>
      <c r="L265" s="2">
        <f t="shared" si="111"/>
        <v>-732797.23302990827</v>
      </c>
      <c r="M265" s="2">
        <f t="shared" si="111"/>
        <v>-720495.23309233796</v>
      </c>
      <c r="N265" s="2">
        <f t="shared" si="111"/>
        <v>-708772.80602783116</v>
      </c>
      <c r="O265" s="2">
        <f t="shared" si="111"/>
        <v>-697033.18259233609</v>
      </c>
      <c r="P265" s="2">
        <f t="shared" si="111"/>
        <v>-759244.74609642301</v>
      </c>
      <c r="Q265" s="2">
        <f t="shared" si="111"/>
        <v>-827982.9531953109</v>
      </c>
      <c r="R265" s="2">
        <f t="shared" si="111"/>
        <v>-902166.2973528367</v>
      </c>
      <c r="S265" s="2">
        <f t="shared" si="111"/>
        <v>-984338.0613531213</v>
      </c>
      <c r="T265" s="2">
        <f t="shared" si="111"/>
        <v>-1070974.9500162203</v>
      </c>
      <c r="U265" s="2">
        <f t="shared" si="111"/>
        <v>-1092046.4327242256</v>
      </c>
      <c r="V265" s="2">
        <f t="shared" si="111"/>
        <v>-1114740.2560321034</v>
      </c>
      <c r="W265" s="2">
        <f t="shared" si="111"/>
        <v>-2214.7294810874851</v>
      </c>
      <c r="X265" s="2">
        <f t="shared" si="111"/>
        <v>-6939.9890187361971</v>
      </c>
      <c r="Y265" s="2">
        <f t="shared" si="111"/>
        <v>-11764.479006675747</v>
      </c>
      <c r="Z265" s="2">
        <f t="shared" si="111"/>
        <v>-16690.283284361987</v>
      </c>
      <c r="AA265" s="2">
        <f t="shared" si="111"/>
        <v>-21719.529451879065</v>
      </c>
    </row>
    <row r="266" spans="4:28" customFormat="1" x14ac:dyDescent="0.25"/>
    <row r="267" spans="4:28" customFormat="1" x14ac:dyDescent="0.25">
      <c r="D267" t="s">
        <v>28</v>
      </c>
    </row>
    <row r="268" spans="4:28" customFormat="1" x14ac:dyDescent="0.25">
      <c r="E268" t="s">
        <v>1</v>
      </c>
      <c r="F268" t="s">
        <v>7</v>
      </c>
      <c r="G268" s="2">
        <f t="shared" ref="G268:AA275" si="112">G234</f>
        <v>-11356264.585593592</v>
      </c>
      <c r="H268" s="2">
        <f t="shared" si="112"/>
        <v>-143162.38521836654</v>
      </c>
      <c r="I268" s="2">
        <f t="shared" si="112"/>
        <v>-1705879.5834406184</v>
      </c>
      <c r="J268" s="2">
        <f t="shared" si="112"/>
        <v>-2627166.5584972706</v>
      </c>
      <c r="K268" s="2">
        <f t="shared" si="112"/>
        <v>0</v>
      </c>
      <c r="L268" s="2">
        <f t="shared" si="112"/>
        <v>0</v>
      </c>
      <c r="M268" s="2">
        <f t="shared" si="112"/>
        <v>0</v>
      </c>
      <c r="N268" s="2">
        <f t="shared" si="112"/>
        <v>0</v>
      </c>
      <c r="O268" s="2">
        <f t="shared" si="112"/>
        <v>0</v>
      </c>
      <c r="P268" s="2">
        <f t="shared" si="112"/>
        <v>0</v>
      </c>
      <c r="Q268" s="2">
        <f t="shared" si="112"/>
        <v>0</v>
      </c>
      <c r="R268" s="2">
        <f t="shared" si="112"/>
        <v>0</v>
      </c>
      <c r="S268" s="2">
        <f t="shared" si="112"/>
        <v>0</v>
      </c>
      <c r="T268" s="2">
        <f t="shared" si="112"/>
        <v>0</v>
      </c>
      <c r="U268" s="2">
        <f t="shared" si="112"/>
        <v>0</v>
      </c>
      <c r="V268" s="2">
        <f t="shared" si="112"/>
        <v>0</v>
      </c>
      <c r="W268" s="2">
        <f t="shared" si="112"/>
        <v>0</v>
      </c>
      <c r="X268" s="2">
        <f t="shared" si="112"/>
        <v>0</v>
      </c>
      <c r="Y268" s="2">
        <f t="shared" si="112"/>
        <v>0</v>
      </c>
      <c r="Z268" s="2">
        <f t="shared" si="112"/>
        <v>0</v>
      </c>
      <c r="AA268" s="2">
        <f t="shared" si="112"/>
        <v>0</v>
      </c>
    </row>
    <row r="269" spans="4:28" customFormat="1" x14ac:dyDescent="0.25">
      <c r="E269" t="s">
        <v>19</v>
      </c>
      <c r="F269" t="s">
        <v>7</v>
      </c>
      <c r="G269" s="2">
        <f t="shared" si="112"/>
        <v>0</v>
      </c>
      <c r="H269" s="2">
        <f t="shared" si="112"/>
        <v>0</v>
      </c>
      <c r="I269" s="2">
        <f t="shared" si="112"/>
        <v>0</v>
      </c>
      <c r="J269" s="2">
        <f t="shared" si="112"/>
        <v>0</v>
      </c>
      <c r="K269" s="2">
        <f t="shared" si="112"/>
        <v>0</v>
      </c>
      <c r="L269" s="2">
        <f t="shared" si="112"/>
        <v>0</v>
      </c>
      <c r="M269" s="2">
        <f t="shared" si="112"/>
        <v>0</v>
      </c>
      <c r="N269" s="2">
        <f t="shared" si="112"/>
        <v>0</v>
      </c>
      <c r="O269" s="2">
        <f t="shared" si="112"/>
        <v>0</v>
      </c>
      <c r="P269" s="2">
        <f t="shared" si="112"/>
        <v>0</v>
      </c>
      <c r="Q269" s="2">
        <f t="shared" si="112"/>
        <v>0</v>
      </c>
      <c r="R269" s="2">
        <f t="shared" si="112"/>
        <v>0</v>
      </c>
      <c r="S269" s="2">
        <f t="shared" si="112"/>
        <v>0</v>
      </c>
      <c r="T269" s="2">
        <f t="shared" si="112"/>
        <v>0</v>
      </c>
      <c r="U269" s="2">
        <f t="shared" si="112"/>
        <v>0</v>
      </c>
      <c r="V269" s="2">
        <f t="shared" si="112"/>
        <v>0</v>
      </c>
      <c r="W269" s="2">
        <f t="shared" si="112"/>
        <v>0</v>
      </c>
      <c r="X269" s="2">
        <f t="shared" si="112"/>
        <v>0</v>
      </c>
      <c r="Y269" s="2">
        <f t="shared" si="112"/>
        <v>0</v>
      </c>
      <c r="Z269" s="2">
        <f t="shared" si="112"/>
        <v>0</v>
      </c>
      <c r="AA269" s="2">
        <f t="shared" si="112"/>
        <v>0</v>
      </c>
    </row>
    <row r="270" spans="4:28" customFormat="1" x14ac:dyDescent="0.25">
      <c r="E270" t="s">
        <v>109</v>
      </c>
      <c r="F270" t="s">
        <v>7</v>
      </c>
      <c r="G270" s="2">
        <f t="shared" si="112"/>
        <v>0</v>
      </c>
      <c r="H270" s="2">
        <f t="shared" si="112"/>
        <v>0</v>
      </c>
      <c r="I270" s="2">
        <f t="shared" si="112"/>
        <v>0</v>
      </c>
      <c r="J270" s="2">
        <f t="shared" si="112"/>
        <v>0</v>
      </c>
      <c r="K270" s="2">
        <f t="shared" si="112"/>
        <v>0</v>
      </c>
      <c r="L270" s="2">
        <f t="shared" si="112"/>
        <v>0</v>
      </c>
      <c r="M270" s="2">
        <f t="shared" si="112"/>
        <v>0</v>
      </c>
      <c r="N270" s="2">
        <f t="shared" si="112"/>
        <v>0</v>
      </c>
      <c r="O270" s="2">
        <f t="shared" si="112"/>
        <v>0</v>
      </c>
      <c r="P270" s="2">
        <f t="shared" si="112"/>
        <v>0</v>
      </c>
      <c r="Q270" s="2">
        <f t="shared" si="112"/>
        <v>0</v>
      </c>
      <c r="R270" s="2">
        <f t="shared" si="112"/>
        <v>0</v>
      </c>
      <c r="S270" s="2">
        <f t="shared" si="112"/>
        <v>0</v>
      </c>
      <c r="T270" s="2">
        <f t="shared" si="112"/>
        <v>0</v>
      </c>
      <c r="U270" s="2">
        <f t="shared" si="112"/>
        <v>0</v>
      </c>
      <c r="V270" s="2">
        <f t="shared" si="112"/>
        <v>0</v>
      </c>
      <c r="W270" s="2">
        <f t="shared" si="112"/>
        <v>0</v>
      </c>
      <c r="X270" s="2">
        <f t="shared" si="112"/>
        <v>0</v>
      </c>
      <c r="Y270" s="2">
        <f t="shared" si="112"/>
        <v>0</v>
      </c>
      <c r="Z270" s="2">
        <f t="shared" si="112"/>
        <v>0</v>
      </c>
      <c r="AA270" s="2">
        <f t="shared" si="112"/>
        <v>0</v>
      </c>
    </row>
    <row r="271" spans="4:28" customFormat="1" x14ac:dyDescent="0.25">
      <c r="E271" t="s">
        <v>11</v>
      </c>
      <c r="F271" t="s">
        <v>7</v>
      </c>
      <c r="G271" s="2">
        <f t="shared" si="112"/>
        <v>0</v>
      </c>
      <c r="H271" s="2">
        <f t="shared" si="112"/>
        <v>436064.30621198064</v>
      </c>
      <c r="I271" s="2">
        <f t="shared" si="112"/>
        <v>865171.75135166268</v>
      </c>
      <c r="J271" s="2">
        <f t="shared" si="112"/>
        <v>1332382.6706585949</v>
      </c>
      <c r="K271" s="2">
        <f t="shared" si="112"/>
        <v>1801277.1809573113</v>
      </c>
      <c r="L271" s="2">
        <f t="shared" si="112"/>
        <v>2272753.5375881577</v>
      </c>
      <c r="M271" s="2">
        <f t="shared" si="112"/>
        <v>2744934.64359756</v>
      </c>
      <c r="N271" s="2">
        <f t="shared" si="112"/>
        <v>3219204.1569017242</v>
      </c>
      <c r="O271" s="2">
        <f t="shared" si="112"/>
        <v>3695337.3513881266</v>
      </c>
      <c r="P271" s="2">
        <f t="shared" si="112"/>
        <v>4213317.0256958976</v>
      </c>
      <c r="Q271" s="2">
        <f t="shared" si="112"/>
        <v>4778282.3485402307</v>
      </c>
      <c r="R271" s="2">
        <f t="shared" si="112"/>
        <v>5393595.4094494367</v>
      </c>
      <c r="S271" s="2">
        <f t="shared" si="112"/>
        <v>6065223.1234735847</v>
      </c>
      <c r="T271" s="2">
        <f t="shared" si="112"/>
        <v>6794836.4369155774</v>
      </c>
      <c r="U271" s="2">
        <f t="shared" si="112"/>
        <v>7547645.8157244101</v>
      </c>
      <c r="V271" s="2">
        <f t="shared" si="112"/>
        <v>8326215.8136727056</v>
      </c>
      <c r="W271" s="2">
        <f t="shared" si="112"/>
        <v>8501066.3457598314</v>
      </c>
      <c r="X271" s="2">
        <f t="shared" si="112"/>
        <v>8679588.7390207872</v>
      </c>
      <c r="Y271" s="2">
        <f t="shared" si="112"/>
        <v>8861860.1025402229</v>
      </c>
      <c r="Z271" s="2">
        <f t="shared" si="112"/>
        <v>9047959.1646935679</v>
      </c>
      <c r="AA271" s="2">
        <f t="shared" si="112"/>
        <v>9237966.3071521316</v>
      </c>
      <c r="AB271" s="2">
        <f t="shared" ref="AB271:AB275" si="113">IF(V271=0,0,IF($G$15&gt;(AA271/V271)^(1/5)-1+2%,AA271*(AA271/V271)^(1/5)/($G$15-((AA271/V271)^(1/5)-1)),AA271*(1+$G$14)/$G$16))</f>
        <v>307932210.23840499</v>
      </c>
    </row>
    <row r="272" spans="4:28" customFormat="1" x14ac:dyDescent="0.25">
      <c r="E272" t="s">
        <v>57</v>
      </c>
      <c r="F272" t="s">
        <v>7</v>
      </c>
      <c r="G272" s="2">
        <f t="shared" si="112"/>
        <v>0</v>
      </c>
      <c r="H272" s="2">
        <f t="shared" si="112"/>
        <v>-298844.80688602215</v>
      </c>
      <c r="I272" s="2">
        <f t="shared" si="112"/>
        <v>-613681.97966856288</v>
      </c>
      <c r="J272" s="2">
        <f t="shared" si="112"/>
        <v>-954083.75439749903</v>
      </c>
      <c r="K272" s="2">
        <f t="shared" si="112"/>
        <v>-1289971.2733444311</v>
      </c>
      <c r="L272" s="2">
        <f t="shared" si="112"/>
        <v>-1627336.9648569734</v>
      </c>
      <c r="M272" s="2">
        <f t="shared" si="112"/>
        <v>-1965711.2313018302</v>
      </c>
      <c r="N272" s="2">
        <f t="shared" si="112"/>
        <v>-2305318.6191703724</v>
      </c>
      <c r="O272" s="2">
        <f t="shared" si="112"/>
        <v>-2646041.8773502619</v>
      </c>
      <c r="P272" s="2">
        <f t="shared" si="112"/>
        <v>-3017100.6119452417</v>
      </c>
      <c r="Q272" s="2">
        <f t="shared" si="112"/>
        <v>-3421601.2171133016</v>
      </c>
      <c r="R272" s="2">
        <f t="shared" si="112"/>
        <v>-3862195.9244692656</v>
      </c>
      <c r="S272" s="2">
        <f t="shared" si="112"/>
        <v>-4342603.3511132384</v>
      </c>
      <c r="T272" s="2">
        <f t="shared" si="112"/>
        <v>-4865160.7553244745</v>
      </c>
      <c r="U272" s="2">
        <f t="shared" si="112"/>
        <v>-5404638.8493560096</v>
      </c>
      <c r="V272" s="2">
        <f t="shared" si="112"/>
        <v>-5961880.7236026488</v>
      </c>
      <c r="W272" s="2">
        <f t="shared" si="112"/>
        <v>-6087080.218798304</v>
      </c>
      <c r="X272" s="2">
        <f t="shared" si="112"/>
        <v>-6214908.9033930674</v>
      </c>
      <c r="Y272" s="2">
        <f t="shared" si="112"/>
        <v>-6345421.9903643206</v>
      </c>
      <c r="Z272" s="2">
        <f t="shared" si="112"/>
        <v>-6478675.8521619709</v>
      </c>
      <c r="AA272" s="2">
        <f t="shared" si="112"/>
        <v>-6614728.0450573722</v>
      </c>
      <c r="AB272" s="2">
        <f t="shared" si="113"/>
        <v>-220490934.83524618</v>
      </c>
    </row>
    <row r="273" spans="1:28" x14ac:dyDescent="0.25">
      <c r="E273" t="s">
        <v>10</v>
      </c>
      <c r="F273" t="s">
        <v>7</v>
      </c>
      <c r="G273" s="2">
        <f t="shared" si="112"/>
        <v>0</v>
      </c>
      <c r="H273" s="2">
        <f t="shared" si="112"/>
        <v>-83105.315999999992</v>
      </c>
      <c r="I273" s="2">
        <f t="shared" si="112"/>
        <v>-169463.37872399998</v>
      </c>
      <c r="J273" s="2">
        <f t="shared" si="112"/>
        <v>-260807.17023222294</v>
      </c>
      <c r="K273" s="2">
        <f t="shared" si="112"/>
        <v>-352629.79757032287</v>
      </c>
      <c r="L273" s="2">
        <f t="shared" si="112"/>
        <v>-444842.14895976702</v>
      </c>
      <c r="M273" s="2">
        <f t="shared" si="112"/>
        <v>-537349.71101502515</v>
      </c>
      <c r="N273" s="2">
        <f t="shared" si="112"/>
        <v>-630184.20226292603</v>
      </c>
      <c r="O273" s="2">
        <f t="shared" si="112"/>
        <v>-723315.26160741376</v>
      </c>
      <c r="P273" s="2">
        <f t="shared" si="112"/>
        <v>-824753.12582320243</v>
      </c>
      <c r="Q273" s="2">
        <f t="shared" si="112"/>
        <v>-935324.74874885229</v>
      </c>
      <c r="R273" s="2">
        <f t="shared" si="112"/>
        <v>-1055764.6151223092</v>
      </c>
      <c r="S273" s="2">
        <f t="shared" si="112"/>
        <v>-1187067.790020708</v>
      </c>
      <c r="T273" s="2">
        <f t="shared" si="112"/>
        <v>-1329917.3437665431</v>
      </c>
      <c r="U273" s="2">
        <f t="shared" si="112"/>
        <v>-1477404.3407642501</v>
      </c>
      <c r="V273" s="2">
        <f t="shared" si="112"/>
        <v>-1629720.7938387464</v>
      </c>
      <c r="W273" s="2">
        <f t="shared" si="112"/>
        <v>-1663944.9305093598</v>
      </c>
      <c r="X273" s="2">
        <f t="shared" si="112"/>
        <v>-1698887.7740500565</v>
      </c>
      <c r="Y273" s="2">
        <f t="shared" si="112"/>
        <v>-1734564.4173051072</v>
      </c>
      <c r="Z273" s="2">
        <f t="shared" si="112"/>
        <v>-1770990.2700685144</v>
      </c>
      <c r="AA273" s="2">
        <f t="shared" si="112"/>
        <v>-1808181.0657399532</v>
      </c>
      <c r="AB273" s="2">
        <f t="shared" si="113"/>
        <v>-60272702.191331893</v>
      </c>
    </row>
    <row r="274" spans="1:28" x14ac:dyDescent="0.25">
      <c r="E274" t="s">
        <v>48</v>
      </c>
      <c r="F274" t="s">
        <v>7</v>
      </c>
      <c r="G274" s="2">
        <f t="shared" si="112"/>
        <v>0</v>
      </c>
      <c r="H274" s="2">
        <f t="shared" si="112"/>
        <v>0</v>
      </c>
      <c r="I274" s="2">
        <f t="shared" si="112"/>
        <v>0</v>
      </c>
      <c r="J274" s="2">
        <f t="shared" si="112"/>
        <v>0</v>
      </c>
      <c r="K274" s="2">
        <f t="shared" si="112"/>
        <v>0</v>
      </c>
      <c r="L274" s="2">
        <f t="shared" si="112"/>
        <v>0</v>
      </c>
      <c r="M274" s="2">
        <f t="shared" si="112"/>
        <v>0</v>
      </c>
      <c r="N274" s="2">
        <f t="shared" si="112"/>
        <v>0</v>
      </c>
      <c r="O274" s="2">
        <f t="shared" si="112"/>
        <v>0</v>
      </c>
      <c r="P274" s="2">
        <f t="shared" si="112"/>
        <v>0</v>
      </c>
      <c r="Q274" s="2">
        <f t="shared" si="112"/>
        <v>0</v>
      </c>
      <c r="R274" s="2">
        <f t="shared" si="112"/>
        <v>0</v>
      </c>
      <c r="S274" s="2">
        <f t="shared" si="112"/>
        <v>0</v>
      </c>
      <c r="T274" s="2">
        <f t="shared" si="112"/>
        <v>0</v>
      </c>
      <c r="U274" s="2">
        <f t="shared" si="112"/>
        <v>0</v>
      </c>
      <c r="V274" s="2">
        <f t="shared" si="112"/>
        <v>0</v>
      </c>
      <c r="W274" s="2">
        <f t="shared" si="112"/>
        <v>0</v>
      </c>
      <c r="X274" s="2">
        <f t="shared" si="112"/>
        <v>0</v>
      </c>
      <c r="Y274" s="2">
        <f t="shared" si="112"/>
        <v>0</v>
      </c>
      <c r="Z274" s="2">
        <f t="shared" si="112"/>
        <v>0</v>
      </c>
      <c r="AA274" s="2">
        <f t="shared" si="112"/>
        <v>0</v>
      </c>
      <c r="AB274" s="2">
        <f t="shared" si="113"/>
        <v>0</v>
      </c>
    </row>
    <row r="275" spans="1:28" x14ac:dyDescent="0.25">
      <c r="E275" t="s">
        <v>49</v>
      </c>
      <c r="F275" t="s">
        <v>7</v>
      </c>
      <c r="G275" s="2">
        <f t="shared" si="112"/>
        <v>0</v>
      </c>
      <c r="H275" s="2">
        <f t="shared" si="112"/>
        <v>0</v>
      </c>
      <c r="I275" s="2">
        <f t="shared" si="112"/>
        <v>0</v>
      </c>
      <c r="J275" s="2">
        <f t="shared" si="112"/>
        <v>0</v>
      </c>
      <c r="K275" s="2">
        <f t="shared" si="112"/>
        <v>0</v>
      </c>
      <c r="L275" s="2">
        <f t="shared" si="112"/>
        <v>0</v>
      </c>
      <c r="M275" s="2">
        <f t="shared" si="112"/>
        <v>0</v>
      </c>
      <c r="N275" s="2">
        <f t="shared" si="112"/>
        <v>0</v>
      </c>
      <c r="O275" s="2">
        <f t="shared" si="112"/>
        <v>0</v>
      </c>
      <c r="P275" s="2">
        <f t="shared" si="112"/>
        <v>0</v>
      </c>
      <c r="Q275" s="2">
        <f t="shared" si="112"/>
        <v>0</v>
      </c>
      <c r="R275" s="2">
        <f t="shared" si="112"/>
        <v>0</v>
      </c>
      <c r="S275" s="2">
        <f t="shared" si="112"/>
        <v>0</v>
      </c>
      <c r="T275" s="2">
        <f t="shared" si="112"/>
        <v>0</v>
      </c>
      <c r="U275" s="2">
        <f t="shared" si="112"/>
        <v>0</v>
      </c>
      <c r="V275" s="2">
        <f t="shared" si="112"/>
        <v>0</v>
      </c>
      <c r="W275" s="2">
        <f t="shared" si="112"/>
        <v>0</v>
      </c>
      <c r="X275" s="2">
        <f t="shared" si="112"/>
        <v>0</v>
      </c>
      <c r="Y275" s="2">
        <f t="shared" si="112"/>
        <v>0</v>
      </c>
      <c r="Z275" s="2">
        <f t="shared" si="112"/>
        <v>0</v>
      </c>
      <c r="AA275" s="2">
        <f t="shared" si="112"/>
        <v>0</v>
      </c>
      <c r="AB275" s="2">
        <f t="shared" si="113"/>
        <v>0</v>
      </c>
    </row>
    <row r="276" spans="1:28" x14ac:dyDescent="0.25">
      <c r="E276" t="s">
        <v>20</v>
      </c>
      <c r="F276" t="s">
        <v>7</v>
      </c>
      <c r="G276" s="2">
        <f t="shared" ref="G276:AA276" ca="1" si="114">G265</f>
        <v>-1823096.0850642396</v>
      </c>
      <c r="H276" s="2">
        <f t="shared" si="114"/>
        <v>-728987.05760724249</v>
      </c>
      <c r="I276" s="2">
        <f t="shared" si="114"/>
        <v>-735107.25251428259</v>
      </c>
      <c r="J276" s="2">
        <f t="shared" si="114"/>
        <v>-755005.86998633516</v>
      </c>
      <c r="K276" s="2">
        <f t="shared" si="114"/>
        <v>-744162.58279655594</v>
      </c>
      <c r="L276" s="2">
        <f t="shared" si="114"/>
        <v>-732797.23302990827</v>
      </c>
      <c r="M276" s="2">
        <f t="shared" si="114"/>
        <v>-720495.23309233796</v>
      </c>
      <c r="N276" s="2">
        <f t="shared" si="114"/>
        <v>-708772.80602783116</v>
      </c>
      <c r="O276" s="2">
        <f t="shared" si="114"/>
        <v>-697033.18259233609</v>
      </c>
      <c r="P276" s="2">
        <f t="shared" si="114"/>
        <v>-759244.74609642301</v>
      </c>
      <c r="Q276" s="2">
        <f t="shared" si="114"/>
        <v>-827982.9531953109</v>
      </c>
      <c r="R276" s="2">
        <f t="shared" si="114"/>
        <v>-902166.2973528367</v>
      </c>
      <c r="S276" s="2">
        <f t="shared" si="114"/>
        <v>-984338.0613531213</v>
      </c>
      <c r="T276" s="2">
        <f t="shared" si="114"/>
        <v>-1070974.9500162203</v>
      </c>
      <c r="U276" s="2">
        <f t="shared" si="114"/>
        <v>-1092046.4327242256</v>
      </c>
      <c r="V276" s="2">
        <f t="shared" si="114"/>
        <v>-1114740.2560321034</v>
      </c>
      <c r="W276" s="2">
        <f t="shared" si="114"/>
        <v>-2214.7294810874851</v>
      </c>
      <c r="X276" s="2">
        <f t="shared" si="114"/>
        <v>-6939.9890187361971</v>
      </c>
      <c r="Y276" s="2">
        <f t="shared" si="114"/>
        <v>-11764.479006675747</v>
      </c>
      <c r="Z276" s="2">
        <f t="shared" si="114"/>
        <v>-16690.283284361987</v>
      </c>
      <c r="AA276" s="2">
        <f t="shared" si="114"/>
        <v>-21719.529451879065</v>
      </c>
      <c r="AB276" s="2">
        <f>IF(V276=0,0,IF($G$15&gt;(AA276/V276)^(1/5)-1+2%,AA276*(AA276/V276)^(1/5)/($G$15-((AA276/V276)^(1/5)-1)),AA276*(1+$G$14)/$G$16))</f>
        <v>-16558.564407748065</v>
      </c>
    </row>
    <row r="277" spans="1:28" x14ac:dyDescent="0.25">
      <c r="E277" t="s">
        <v>173</v>
      </c>
      <c r="F277" t="s">
        <v>7</v>
      </c>
      <c r="G277" s="2">
        <f ca="1">-$G$17*G276</f>
        <v>911548.04253211978</v>
      </c>
      <c r="H277" s="2">
        <f t="shared" ref="H277:AA277" si="115">-$G$17*H276</f>
        <v>364493.52880362124</v>
      </c>
      <c r="I277" s="2">
        <f t="shared" si="115"/>
        <v>367553.6262571413</v>
      </c>
      <c r="J277" s="2">
        <f t="shared" si="115"/>
        <v>377502.93499316758</v>
      </c>
      <c r="K277" s="2">
        <f t="shared" si="115"/>
        <v>372081.29139827797</v>
      </c>
      <c r="L277" s="2">
        <f t="shared" si="115"/>
        <v>366398.61651495413</v>
      </c>
      <c r="M277" s="2">
        <f t="shared" si="115"/>
        <v>360247.61654616898</v>
      </c>
      <c r="N277" s="2">
        <f t="shared" si="115"/>
        <v>354386.40301391558</v>
      </c>
      <c r="O277" s="2">
        <f t="shared" si="115"/>
        <v>348516.59129616804</v>
      </c>
      <c r="P277" s="2">
        <f t="shared" si="115"/>
        <v>379622.37304821151</v>
      </c>
      <c r="Q277" s="2">
        <f t="shared" si="115"/>
        <v>413991.47659765545</v>
      </c>
      <c r="R277" s="2">
        <f t="shared" si="115"/>
        <v>451083.14867641835</v>
      </c>
      <c r="S277" s="2">
        <f t="shared" si="115"/>
        <v>492169.03067656065</v>
      </c>
      <c r="T277" s="2">
        <f t="shared" si="115"/>
        <v>535487.47500811017</v>
      </c>
      <c r="U277" s="2">
        <f t="shared" si="115"/>
        <v>546023.21636211278</v>
      </c>
      <c r="V277" s="2">
        <f t="shared" si="115"/>
        <v>557370.12801605172</v>
      </c>
      <c r="W277" s="2">
        <f t="shared" si="115"/>
        <v>1107.3647405437425</v>
      </c>
      <c r="X277" s="2">
        <f t="shared" si="115"/>
        <v>3469.9945093680985</v>
      </c>
      <c r="Y277" s="2">
        <f t="shared" si="115"/>
        <v>5882.2395033378734</v>
      </c>
      <c r="Z277" s="2">
        <f t="shared" si="115"/>
        <v>8345.1416421809936</v>
      </c>
      <c r="AA277" s="2">
        <f t="shared" si="115"/>
        <v>10859.764725939533</v>
      </c>
      <c r="AB277" s="2">
        <f t="shared" ref="AB277" si="116">IF(V277=0,0,IF($G$15&gt;(AA277/V277)^(1/5)-1+2%,AA277*(AA277/V277)^(1/5)/($G$15-((AA277/V277)^(1/5)-1)),AA277*(1+$G$14)/$G$16))</f>
        <v>8279.2822038740323</v>
      </c>
    </row>
    <row r="278" spans="1:28" x14ac:dyDescent="0.25">
      <c r="E278" t="s">
        <v>23</v>
      </c>
      <c r="F278" t="s">
        <v>7</v>
      </c>
      <c r="G278" s="2">
        <f t="shared" ref="G278:AB278" ca="1" si="117">SUM(G268:G277)</f>
        <v>-12267812.628125712</v>
      </c>
      <c r="H278" s="2">
        <f t="shared" si="117"/>
        <v>-453541.7306960292</v>
      </c>
      <c r="I278" s="2">
        <f t="shared" si="117"/>
        <v>-1991406.8167386597</v>
      </c>
      <c r="J278" s="2">
        <f t="shared" si="117"/>
        <v>-2887177.7474615653</v>
      </c>
      <c r="K278" s="2">
        <f t="shared" si="117"/>
        <v>-213405.18135572062</v>
      </c>
      <c r="L278" s="2">
        <f t="shared" si="117"/>
        <v>-165824.1927435369</v>
      </c>
      <c r="M278" s="2">
        <f t="shared" si="117"/>
        <v>-118373.91526546428</v>
      </c>
      <c r="N278" s="2">
        <f t="shared" si="117"/>
        <v>-70685.067545489816</v>
      </c>
      <c r="O278" s="2">
        <f t="shared" si="117"/>
        <v>-22536.378865717095</v>
      </c>
      <c r="P278" s="2">
        <f t="shared" si="117"/>
        <v>-8159.0851207579835</v>
      </c>
      <c r="Q278" s="2">
        <f t="shared" si="117"/>
        <v>7364.9060804212932</v>
      </c>
      <c r="R278" s="2">
        <f t="shared" si="117"/>
        <v>24551.721181443543</v>
      </c>
      <c r="S278" s="2">
        <f t="shared" si="117"/>
        <v>43382.951663077634</v>
      </c>
      <c r="T278" s="2">
        <f t="shared" si="117"/>
        <v>64270.862816449604</v>
      </c>
      <c r="U278" s="2">
        <f t="shared" si="117"/>
        <v>119579.40924203757</v>
      </c>
      <c r="V278" s="2">
        <f t="shared" si="117"/>
        <v>177244.16821525863</v>
      </c>
      <c r="W278" s="2">
        <f t="shared" si="117"/>
        <v>748933.83171162382</v>
      </c>
      <c r="X278" s="2">
        <f t="shared" si="117"/>
        <v>762322.0670682952</v>
      </c>
      <c r="Y278" s="2">
        <f t="shared" si="117"/>
        <v>775991.45536745724</v>
      </c>
      <c r="Z278" s="2">
        <f t="shared" si="117"/>
        <v>789947.90082090162</v>
      </c>
      <c r="AA278" s="2">
        <f t="shared" si="117"/>
        <v>804197.43162886659</v>
      </c>
      <c r="AB278" s="2">
        <f t="shared" si="117"/>
        <v>27160293.929623049</v>
      </c>
    </row>
    <row r="279" spans="1:28" x14ac:dyDescent="0.25">
      <c r="E279" t="s">
        <v>31</v>
      </c>
      <c r="F279" t="s">
        <v>7</v>
      </c>
      <c r="G279" s="2">
        <f ca="1">NPV($G$15,H278:AB278)+G278</f>
        <v>-6218940.2575340513</v>
      </c>
    </row>
    <row r="280" spans="1:28" x14ac:dyDescent="0.25">
      <c r="E280" s="3" t="s">
        <v>34</v>
      </c>
      <c r="F280" s="3"/>
      <c r="G280" s="4" t="str">
        <f ca="1">IF(G279&gt;0,"N/A",IF(ABS(G279+G253)&gt;1,"Error","OK"))</f>
        <v>OK</v>
      </c>
    </row>
    <row r="282" spans="1:28" x14ac:dyDescent="0.25">
      <c r="C282" s="1" t="s">
        <v>36</v>
      </c>
      <c r="D282" s="1"/>
      <c r="G282" s="44"/>
    </row>
    <row r="283" spans="1:28" x14ac:dyDescent="0.25">
      <c r="A283" s="14">
        <f>'Notes &amp; Assumptions'!A67</f>
        <v>54</v>
      </c>
      <c r="C283" s="1"/>
      <c r="D283" s="1"/>
      <c r="E283" t="s">
        <v>42</v>
      </c>
      <c r="F283" t="s">
        <v>3</v>
      </c>
      <c r="G283" s="10"/>
      <c r="H283" s="10">
        <v>1</v>
      </c>
      <c r="I283" s="10">
        <v>1</v>
      </c>
      <c r="J283" s="10">
        <v>1</v>
      </c>
      <c r="K283" s="10">
        <v>1</v>
      </c>
      <c r="L283" s="10">
        <v>1</v>
      </c>
      <c r="M283" s="10">
        <v>1</v>
      </c>
      <c r="N283" s="10">
        <v>1</v>
      </c>
      <c r="O283" s="10">
        <v>1</v>
      </c>
      <c r="P283" s="10">
        <v>1</v>
      </c>
      <c r="Q283" s="10">
        <v>1</v>
      </c>
      <c r="R283" s="10">
        <v>1</v>
      </c>
      <c r="S283" s="10">
        <v>1</v>
      </c>
      <c r="T283" s="10">
        <v>1</v>
      </c>
      <c r="U283" s="10">
        <v>1</v>
      </c>
      <c r="V283" s="10">
        <v>1</v>
      </c>
      <c r="W283" s="10">
        <v>0</v>
      </c>
      <c r="X283" s="10">
        <v>0</v>
      </c>
      <c r="Y283" s="10">
        <v>0</v>
      </c>
      <c r="Z283" s="10">
        <v>0</v>
      </c>
      <c r="AA283" s="10">
        <v>0</v>
      </c>
    </row>
    <row r="284" spans="1:28" x14ac:dyDescent="0.25">
      <c r="E284" t="s">
        <v>37</v>
      </c>
      <c r="F284" t="s">
        <v>38</v>
      </c>
      <c r="G284" s="8">
        <f ca="1">MAX(0,-G311/(NPV($G$16,H283:AA283)+G283))</f>
        <v>520922.59760297375</v>
      </c>
      <c r="H284" s="2">
        <f t="shared" ref="H284:AA284" ca="1" si="118">G284*(1+$G$14)</f>
        <v>531861.97215263615</v>
      </c>
      <c r="I284" s="2">
        <f t="shared" ca="1" si="118"/>
        <v>543031.07356784143</v>
      </c>
      <c r="J284" s="2">
        <f t="shared" ca="1" si="118"/>
        <v>554434.72611276607</v>
      </c>
      <c r="K284" s="2">
        <f t="shared" ca="1" si="118"/>
        <v>566077.85536113416</v>
      </c>
      <c r="L284" s="2">
        <f t="shared" ca="1" si="118"/>
        <v>577965.49032371794</v>
      </c>
      <c r="M284" s="2">
        <f t="shared" ca="1" si="118"/>
        <v>590102.76562051591</v>
      </c>
      <c r="N284" s="2">
        <f t="shared" ca="1" si="118"/>
        <v>602494.92369854671</v>
      </c>
      <c r="O284" s="2">
        <f t="shared" ca="1" si="118"/>
        <v>615147.31709621614</v>
      </c>
      <c r="P284" s="2">
        <f t="shared" ca="1" si="118"/>
        <v>628065.41075523663</v>
      </c>
      <c r="Q284" s="2">
        <f t="shared" ca="1" si="118"/>
        <v>641254.7843810966</v>
      </c>
      <c r="R284" s="2">
        <f t="shared" ca="1" si="118"/>
        <v>654721.13485309959</v>
      </c>
      <c r="S284" s="2">
        <f t="shared" ca="1" si="118"/>
        <v>668470.27868501458</v>
      </c>
      <c r="T284" s="2">
        <f t="shared" ca="1" si="118"/>
        <v>682508.15453739977</v>
      </c>
      <c r="U284" s="2">
        <f t="shared" ca="1" si="118"/>
        <v>696840.82578268507</v>
      </c>
      <c r="V284" s="2">
        <f t="shared" ca="1" si="118"/>
        <v>711474.48312412144</v>
      </c>
      <c r="W284" s="2">
        <f t="shared" ca="1" si="118"/>
        <v>726415.44726972794</v>
      </c>
      <c r="X284" s="2">
        <f t="shared" ca="1" si="118"/>
        <v>741670.17166239221</v>
      </c>
      <c r="Y284" s="2">
        <f t="shared" ca="1" si="118"/>
        <v>757245.24526730238</v>
      </c>
      <c r="Z284" s="2">
        <f t="shared" ca="1" si="118"/>
        <v>773147.39541791566</v>
      </c>
      <c r="AA284" s="2">
        <f t="shared" ca="1" si="118"/>
        <v>789383.49072169187</v>
      </c>
    </row>
    <row r="285" spans="1:28" x14ac:dyDescent="0.25">
      <c r="E285" t="s">
        <v>21</v>
      </c>
      <c r="F285" t="s">
        <v>7</v>
      </c>
      <c r="G285" s="2">
        <f ca="1">G283*G284</f>
        <v>0</v>
      </c>
      <c r="H285" s="2">
        <f t="shared" ref="H285:AA285" ca="1" si="119">H283*H284</f>
        <v>531861.97215263615</v>
      </c>
      <c r="I285" s="2">
        <f t="shared" ca="1" si="119"/>
        <v>543031.07356784143</v>
      </c>
      <c r="J285" s="2">
        <f t="shared" ca="1" si="119"/>
        <v>554434.72611276607</v>
      </c>
      <c r="K285" s="2">
        <f t="shared" ca="1" si="119"/>
        <v>566077.85536113416</v>
      </c>
      <c r="L285" s="2">
        <f t="shared" ca="1" si="119"/>
        <v>577965.49032371794</v>
      </c>
      <c r="M285" s="2">
        <f t="shared" ca="1" si="119"/>
        <v>590102.76562051591</v>
      </c>
      <c r="N285" s="2">
        <f t="shared" ca="1" si="119"/>
        <v>602494.92369854671</v>
      </c>
      <c r="O285" s="2">
        <f t="shared" ca="1" si="119"/>
        <v>615147.31709621614</v>
      </c>
      <c r="P285" s="2">
        <f t="shared" ca="1" si="119"/>
        <v>628065.41075523663</v>
      </c>
      <c r="Q285" s="2">
        <f t="shared" ca="1" si="119"/>
        <v>641254.7843810966</v>
      </c>
      <c r="R285" s="2">
        <f t="shared" ca="1" si="119"/>
        <v>654721.13485309959</v>
      </c>
      <c r="S285" s="2">
        <f t="shared" ca="1" si="119"/>
        <v>668470.27868501458</v>
      </c>
      <c r="T285" s="2">
        <f t="shared" ca="1" si="119"/>
        <v>682508.15453739977</v>
      </c>
      <c r="U285" s="2">
        <f t="shared" ca="1" si="119"/>
        <v>696840.82578268507</v>
      </c>
      <c r="V285" s="2">
        <f t="shared" ca="1" si="119"/>
        <v>711474.48312412144</v>
      </c>
      <c r="W285" s="2">
        <f t="shared" ca="1" si="119"/>
        <v>0</v>
      </c>
      <c r="X285" s="2">
        <f t="shared" ca="1" si="119"/>
        <v>0</v>
      </c>
      <c r="Y285" s="2">
        <f t="shared" ca="1" si="119"/>
        <v>0</v>
      </c>
      <c r="Z285" s="2">
        <f t="shared" ca="1" si="119"/>
        <v>0</v>
      </c>
      <c r="AA285" s="2">
        <f t="shared" ca="1" si="119"/>
        <v>0</v>
      </c>
    </row>
    <row r="286" spans="1:28" x14ac:dyDescent="0.25">
      <c r="G286" s="8">
        <f ca="1">-G311/(NPV($G$16,H283:AA283)+G283)</f>
        <v>520922.59760297375</v>
      </c>
    </row>
    <row r="287" spans="1:28" x14ac:dyDescent="0.25">
      <c r="D287" t="s">
        <v>9</v>
      </c>
    </row>
    <row r="288" spans="1:28" x14ac:dyDescent="0.25">
      <c r="E288" t="s">
        <v>107</v>
      </c>
      <c r="F288" t="s">
        <v>7</v>
      </c>
      <c r="G288" s="2">
        <f t="shared" ref="G288:AA293" si="120">G222</f>
        <v>0</v>
      </c>
      <c r="H288" s="2">
        <f t="shared" si="120"/>
        <v>2551478.9999999995</v>
      </c>
      <c r="I288" s="2">
        <f t="shared" si="120"/>
        <v>2597762.9719999991</v>
      </c>
      <c r="J288" s="2">
        <f t="shared" si="120"/>
        <v>2695155.3679172494</v>
      </c>
      <c r="K288" s="2">
        <f t="shared" si="120"/>
        <v>2650963.7602743981</v>
      </c>
      <c r="L288" s="2">
        <f t="shared" si="120"/>
        <v>2603727.541593296</v>
      </c>
      <c r="M288" s="2">
        <f t="shared" si="120"/>
        <v>2553338.3267093068</v>
      </c>
      <c r="N288" s="2">
        <f t="shared" si="120"/>
        <v>2503732.5930530592</v>
      </c>
      <c r="O288" s="2">
        <f t="shared" si="120"/>
        <v>2452983.9371875618</v>
      </c>
      <c r="P288" s="2">
        <f t="shared" si="120"/>
        <v>2647972.3949746988</v>
      </c>
      <c r="Q288" s="2">
        <f t="shared" si="120"/>
        <v>2862994.0832611341</v>
      </c>
      <c r="R288" s="2">
        <f t="shared" si="120"/>
        <v>3094676.8708250816</v>
      </c>
      <c r="S288" s="2">
        <f t="shared" si="120"/>
        <v>3350547.4818675988</v>
      </c>
      <c r="T288" s="2">
        <f t="shared" si="120"/>
        <v>3620385.5749465046</v>
      </c>
      <c r="U288" s="2">
        <f t="shared" si="120"/>
        <v>3670662.8484660913</v>
      </c>
      <c r="V288" s="2">
        <f t="shared" si="120"/>
        <v>3723845.3220575782</v>
      </c>
      <c r="W288" s="2">
        <f t="shared" si="120"/>
        <v>0</v>
      </c>
      <c r="X288" s="2">
        <f t="shared" si="120"/>
        <v>0</v>
      </c>
      <c r="Y288" s="2">
        <f t="shared" si="120"/>
        <v>0</v>
      </c>
      <c r="Z288" s="2">
        <f t="shared" si="120"/>
        <v>0</v>
      </c>
      <c r="AA288" s="2">
        <f t="shared" si="120"/>
        <v>0</v>
      </c>
    </row>
    <row r="289" spans="4:28" customFormat="1" x14ac:dyDescent="0.25">
      <c r="E289" t="s">
        <v>11</v>
      </c>
      <c r="F289" t="s">
        <v>7</v>
      </c>
      <c r="G289" s="2">
        <f t="shared" si="120"/>
        <v>0</v>
      </c>
      <c r="H289" s="2">
        <f t="shared" si="120"/>
        <v>436064.30621198064</v>
      </c>
      <c r="I289" s="2">
        <f t="shared" si="120"/>
        <v>865171.75135166268</v>
      </c>
      <c r="J289" s="2">
        <f t="shared" si="120"/>
        <v>1332382.6706585949</v>
      </c>
      <c r="K289" s="2">
        <f t="shared" si="120"/>
        <v>1801277.1809573113</v>
      </c>
      <c r="L289" s="2">
        <f t="shared" si="120"/>
        <v>2272753.5375881577</v>
      </c>
      <c r="M289" s="2">
        <f t="shared" si="120"/>
        <v>2744934.64359756</v>
      </c>
      <c r="N289" s="2">
        <f t="shared" si="120"/>
        <v>3219204.1569017242</v>
      </c>
      <c r="O289" s="2">
        <f t="shared" si="120"/>
        <v>3695337.3513881266</v>
      </c>
      <c r="P289" s="2">
        <f t="shared" si="120"/>
        <v>4213317.0256958976</v>
      </c>
      <c r="Q289" s="2">
        <f t="shared" si="120"/>
        <v>4778282.3485402307</v>
      </c>
      <c r="R289" s="2">
        <f t="shared" si="120"/>
        <v>5393595.4094494367</v>
      </c>
      <c r="S289" s="2">
        <f t="shared" si="120"/>
        <v>6065223.1234735847</v>
      </c>
      <c r="T289" s="2">
        <f t="shared" si="120"/>
        <v>6794836.4369155774</v>
      </c>
      <c r="U289" s="2">
        <f t="shared" si="120"/>
        <v>7547645.8157244101</v>
      </c>
      <c r="V289" s="2">
        <f t="shared" si="120"/>
        <v>8326215.8136727056</v>
      </c>
      <c r="W289" s="2">
        <f t="shared" si="120"/>
        <v>8501066.3457598314</v>
      </c>
      <c r="X289" s="2">
        <f t="shared" si="120"/>
        <v>8679588.7390207872</v>
      </c>
      <c r="Y289" s="2">
        <f t="shared" si="120"/>
        <v>8861860.1025402229</v>
      </c>
      <c r="Z289" s="2">
        <f t="shared" si="120"/>
        <v>9047959.1646935679</v>
      </c>
      <c r="AA289" s="2">
        <f t="shared" si="120"/>
        <v>9237966.3071521316</v>
      </c>
    </row>
    <row r="290" spans="4:28" customFormat="1" x14ac:dyDescent="0.25">
      <c r="E290" t="s">
        <v>57</v>
      </c>
      <c r="F290" t="s">
        <v>7</v>
      </c>
      <c r="G290" s="2">
        <f t="shared" si="120"/>
        <v>0</v>
      </c>
      <c r="H290" s="2">
        <f t="shared" si="120"/>
        <v>-298844.80688602215</v>
      </c>
      <c r="I290" s="2">
        <f t="shared" si="120"/>
        <v>-613681.97966856288</v>
      </c>
      <c r="J290" s="2">
        <f t="shared" si="120"/>
        <v>-954083.75439749903</v>
      </c>
      <c r="K290" s="2">
        <f t="shared" si="120"/>
        <v>-1289971.2733444311</v>
      </c>
      <c r="L290" s="2">
        <f t="shared" si="120"/>
        <v>-1627336.9648569734</v>
      </c>
      <c r="M290" s="2">
        <f t="shared" si="120"/>
        <v>-1965711.2313018302</v>
      </c>
      <c r="N290" s="2">
        <f t="shared" si="120"/>
        <v>-2305318.6191703724</v>
      </c>
      <c r="O290" s="2">
        <f t="shared" si="120"/>
        <v>-2646041.8773502619</v>
      </c>
      <c r="P290" s="2">
        <f t="shared" si="120"/>
        <v>-3017100.6119452417</v>
      </c>
      <c r="Q290" s="2">
        <f t="shared" si="120"/>
        <v>-3421601.2171133016</v>
      </c>
      <c r="R290" s="2">
        <f t="shared" si="120"/>
        <v>-3862195.9244692656</v>
      </c>
      <c r="S290" s="2">
        <f t="shared" si="120"/>
        <v>-4342603.3511132384</v>
      </c>
      <c r="T290" s="2">
        <f t="shared" si="120"/>
        <v>-4865160.7553244745</v>
      </c>
      <c r="U290" s="2">
        <f t="shared" si="120"/>
        <v>-5404638.8493560096</v>
      </c>
      <c r="V290" s="2">
        <f t="shared" si="120"/>
        <v>-5961880.7236026488</v>
      </c>
      <c r="W290" s="2">
        <f t="shared" si="120"/>
        <v>-6087080.218798304</v>
      </c>
      <c r="X290" s="2">
        <f t="shared" si="120"/>
        <v>-6214908.9033930674</v>
      </c>
      <c r="Y290" s="2">
        <f t="shared" si="120"/>
        <v>-6345421.9903643206</v>
      </c>
      <c r="Z290" s="2">
        <f t="shared" si="120"/>
        <v>-6478675.8521619709</v>
      </c>
      <c r="AA290" s="2">
        <f t="shared" si="120"/>
        <v>-6614728.0450573722</v>
      </c>
    </row>
    <row r="291" spans="4:28" customFormat="1" x14ac:dyDescent="0.25">
      <c r="E291" t="s">
        <v>10</v>
      </c>
      <c r="F291" t="s">
        <v>7</v>
      </c>
      <c r="G291" s="2">
        <f t="shared" si="120"/>
        <v>0</v>
      </c>
      <c r="H291" s="2">
        <f t="shared" si="120"/>
        <v>-83105.315999999992</v>
      </c>
      <c r="I291" s="2">
        <f t="shared" si="120"/>
        <v>-169463.37872399998</v>
      </c>
      <c r="J291" s="2">
        <f t="shared" si="120"/>
        <v>-260807.17023222294</v>
      </c>
      <c r="K291" s="2">
        <f t="shared" si="120"/>
        <v>-352629.79757032287</v>
      </c>
      <c r="L291" s="2">
        <f t="shared" si="120"/>
        <v>-444842.14895976702</v>
      </c>
      <c r="M291" s="2">
        <f t="shared" si="120"/>
        <v>-537349.71101502515</v>
      </c>
      <c r="N291" s="2">
        <f t="shared" si="120"/>
        <v>-630184.20226292603</v>
      </c>
      <c r="O291" s="2">
        <f t="shared" si="120"/>
        <v>-723315.26160741376</v>
      </c>
      <c r="P291" s="2">
        <f t="shared" si="120"/>
        <v>-824753.12582320243</v>
      </c>
      <c r="Q291" s="2">
        <f t="shared" si="120"/>
        <v>-935324.74874885229</v>
      </c>
      <c r="R291" s="2">
        <f t="shared" si="120"/>
        <v>-1055764.6151223092</v>
      </c>
      <c r="S291" s="2">
        <f t="shared" si="120"/>
        <v>-1187067.790020708</v>
      </c>
      <c r="T291" s="2">
        <f t="shared" si="120"/>
        <v>-1329917.3437665431</v>
      </c>
      <c r="U291" s="2">
        <f t="shared" si="120"/>
        <v>-1477404.3407642501</v>
      </c>
      <c r="V291" s="2">
        <f t="shared" si="120"/>
        <v>-1629720.7938387464</v>
      </c>
      <c r="W291" s="2">
        <f t="shared" si="120"/>
        <v>-1663944.9305093598</v>
      </c>
      <c r="X291" s="2">
        <f t="shared" si="120"/>
        <v>-1698887.7740500565</v>
      </c>
      <c r="Y291" s="2">
        <f t="shared" si="120"/>
        <v>-1734564.4173051072</v>
      </c>
      <c r="Z291" s="2">
        <f t="shared" si="120"/>
        <v>-1770990.2700685144</v>
      </c>
      <c r="AA291" s="2">
        <f t="shared" si="120"/>
        <v>-1808181.0657399532</v>
      </c>
    </row>
    <row r="292" spans="4:28" customFormat="1" x14ac:dyDescent="0.25">
      <c r="E292" t="s">
        <v>12</v>
      </c>
      <c r="F292" t="s">
        <v>7</v>
      </c>
      <c r="G292" s="2">
        <f t="shared" si="120"/>
        <v>-141953.3073199199</v>
      </c>
      <c r="H292" s="2">
        <f t="shared" si="120"/>
        <v>-175636.32463514947</v>
      </c>
      <c r="I292" s="2">
        <f t="shared" si="120"/>
        <v>-229431.8565781572</v>
      </c>
      <c r="J292" s="2">
        <f t="shared" si="120"/>
        <v>-295960.88065833872</v>
      </c>
      <c r="K292" s="2">
        <f t="shared" si="120"/>
        <v>-329097.92766176868</v>
      </c>
      <c r="L292" s="2">
        <f t="shared" si="120"/>
        <v>-361644.52193168493</v>
      </c>
      <c r="M292" s="2">
        <f t="shared" si="120"/>
        <v>-393561.25101555127</v>
      </c>
      <c r="N292" s="2">
        <f t="shared" si="120"/>
        <v>-424857.90842871449</v>
      </c>
      <c r="O292" s="2">
        <f t="shared" si="120"/>
        <v>-455520.20764355903</v>
      </c>
      <c r="P292" s="2">
        <f t="shared" si="120"/>
        <v>-488619.86258074275</v>
      </c>
      <c r="Q292" s="2">
        <f t="shared" si="120"/>
        <v>-524407.28862150689</v>
      </c>
      <c r="R292" s="2">
        <f t="shared" si="120"/>
        <v>-563090.74950682046</v>
      </c>
      <c r="S292" s="2">
        <f t="shared" si="120"/>
        <v>-604972.59303016542</v>
      </c>
      <c r="T292" s="2">
        <f t="shared" si="120"/>
        <v>-650227.41271699674</v>
      </c>
      <c r="U292" s="2">
        <f t="shared" si="120"/>
        <v>-696110.69832282281</v>
      </c>
      <c r="V292" s="2">
        <f t="shared" si="120"/>
        <v>-742658.76484854263</v>
      </c>
      <c r="W292" s="2">
        <f t="shared" si="120"/>
        <v>-742658.76484854263</v>
      </c>
      <c r="X292" s="2">
        <f t="shared" si="120"/>
        <v>-742658.76484854263</v>
      </c>
      <c r="Y292" s="2">
        <f t="shared" si="120"/>
        <v>-742658.76484854263</v>
      </c>
      <c r="Z292" s="2">
        <f t="shared" si="120"/>
        <v>-742658.76484854263</v>
      </c>
      <c r="AA292" s="2">
        <f t="shared" si="120"/>
        <v>-742658.76484854263</v>
      </c>
    </row>
    <row r="293" spans="4:28" customFormat="1" x14ac:dyDescent="0.25">
      <c r="E293" t="s">
        <v>48</v>
      </c>
      <c r="F293" t="s">
        <v>7</v>
      </c>
      <c r="G293" s="2">
        <f t="shared" si="120"/>
        <v>0</v>
      </c>
      <c r="H293" s="2">
        <f t="shared" si="120"/>
        <v>0</v>
      </c>
      <c r="I293" s="2">
        <f t="shared" si="120"/>
        <v>0</v>
      </c>
      <c r="J293" s="2">
        <f t="shared" si="120"/>
        <v>0</v>
      </c>
      <c r="K293" s="2">
        <f t="shared" si="120"/>
        <v>0</v>
      </c>
      <c r="L293" s="2">
        <f t="shared" si="120"/>
        <v>0</v>
      </c>
      <c r="M293" s="2">
        <f t="shared" si="120"/>
        <v>0</v>
      </c>
      <c r="N293" s="2">
        <f t="shared" si="120"/>
        <v>0</v>
      </c>
      <c r="O293" s="2">
        <f t="shared" si="120"/>
        <v>0</v>
      </c>
      <c r="P293" s="2">
        <f t="shared" si="120"/>
        <v>0</v>
      </c>
      <c r="Q293" s="2">
        <f t="shared" si="120"/>
        <v>0</v>
      </c>
      <c r="R293" s="2">
        <f t="shared" si="120"/>
        <v>0</v>
      </c>
      <c r="S293" s="2">
        <f t="shared" si="120"/>
        <v>0</v>
      </c>
      <c r="T293" s="2">
        <f t="shared" si="120"/>
        <v>0</v>
      </c>
      <c r="U293" s="2">
        <f t="shared" si="120"/>
        <v>0</v>
      </c>
      <c r="V293" s="2">
        <f t="shared" si="120"/>
        <v>0</v>
      </c>
      <c r="W293" s="2">
        <f t="shared" si="120"/>
        <v>0</v>
      </c>
      <c r="X293" s="2">
        <f t="shared" si="120"/>
        <v>0</v>
      </c>
      <c r="Y293" s="2">
        <f t="shared" si="120"/>
        <v>0</v>
      </c>
      <c r="Z293" s="2">
        <f t="shared" si="120"/>
        <v>0</v>
      </c>
      <c r="AA293" s="2">
        <f t="shared" si="120"/>
        <v>0</v>
      </c>
    </row>
    <row r="294" spans="4:28" customFormat="1" x14ac:dyDescent="0.25">
      <c r="E294" t="s">
        <v>13</v>
      </c>
      <c r="F294" t="s">
        <v>7</v>
      </c>
      <c r="G294" s="2">
        <f t="shared" ref="G294:AA294" ca="1" si="121">G285</f>
        <v>0</v>
      </c>
      <c r="H294" s="2">
        <f t="shared" ca="1" si="121"/>
        <v>531861.97215263615</v>
      </c>
      <c r="I294" s="2">
        <f t="shared" ca="1" si="121"/>
        <v>543031.07356784143</v>
      </c>
      <c r="J294" s="2">
        <f t="shared" ca="1" si="121"/>
        <v>554434.72611276607</v>
      </c>
      <c r="K294" s="2">
        <f t="shared" ca="1" si="121"/>
        <v>566077.85536113416</v>
      </c>
      <c r="L294" s="2">
        <f t="shared" ca="1" si="121"/>
        <v>577965.49032371794</v>
      </c>
      <c r="M294" s="2">
        <f t="shared" ca="1" si="121"/>
        <v>590102.76562051591</v>
      </c>
      <c r="N294" s="2">
        <f t="shared" ca="1" si="121"/>
        <v>602494.92369854671</v>
      </c>
      <c r="O294" s="2">
        <f t="shared" ca="1" si="121"/>
        <v>615147.31709621614</v>
      </c>
      <c r="P294" s="2">
        <f t="shared" ca="1" si="121"/>
        <v>628065.41075523663</v>
      </c>
      <c r="Q294" s="2">
        <f t="shared" ca="1" si="121"/>
        <v>641254.7843810966</v>
      </c>
      <c r="R294" s="2">
        <f t="shared" ca="1" si="121"/>
        <v>654721.13485309959</v>
      </c>
      <c r="S294" s="2">
        <f t="shared" ca="1" si="121"/>
        <v>668470.27868501458</v>
      </c>
      <c r="T294" s="2">
        <f t="shared" ca="1" si="121"/>
        <v>682508.15453739977</v>
      </c>
      <c r="U294" s="2">
        <f t="shared" ca="1" si="121"/>
        <v>696840.82578268507</v>
      </c>
      <c r="V294" s="2">
        <f t="shared" ca="1" si="121"/>
        <v>711474.48312412144</v>
      </c>
      <c r="W294" s="2">
        <f t="shared" ca="1" si="121"/>
        <v>0</v>
      </c>
      <c r="X294" s="2">
        <f t="shared" ca="1" si="121"/>
        <v>0</v>
      </c>
      <c r="Y294" s="2">
        <f t="shared" ca="1" si="121"/>
        <v>0</v>
      </c>
      <c r="Z294" s="2">
        <f t="shared" ca="1" si="121"/>
        <v>0</v>
      </c>
      <c r="AA294" s="2">
        <f t="shared" ca="1" si="121"/>
        <v>0</v>
      </c>
    </row>
    <row r="295" spans="4:28" customFormat="1" x14ac:dyDescent="0.25"/>
    <row r="296" spans="4:28" customFormat="1" x14ac:dyDescent="0.25">
      <c r="E296" t="s">
        <v>14</v>
      </c>
      <c r="F296" t="s">
        <v>7</v>
      </c>
      <c r="G296" s="2">
        <f t="shared" ref="G296:AA296" ca="1" si="122">SUM(G288:G294)</f>
        <v>-141953.3073199199</v>
      </c>
      <c r="H296" s="2">
        <f t="shared" ca="1" si="122"/>
        <v>2961818.8308434449</v>
      </c>
      <c r="I296" s="2">
        <f t="shared" ca="1" si="122"/>
        <v>2993388.5819487832</v>
      </c>
      <c r="J296" s="2">
        <f t="shared" ca="1" si="122"/>
        <v>3071120.95940055</v>
      </c>
      <c r="K296" s="2">
        <f t="shared" ca="1" si="122"/>
        <v>3046619.7980163209</v>
      </c>
      <c r="L296" s="2">
        <f t="shared" ca="1" si="122"/>
        <v>3020622.9337567454</v>
      </c>
      <c r="M296" s="2">
        <f t="shared" ca="1" si="122"/>
        <v>2991753.5425949758</v>
      </c>
      <c r="N296" s="2">
        <f t="shared" ca="1" si="122"/>
        <v>2965070.9437913173</v>
      </c>
      <c r="O296" s="2">
        <f t="shared" ca="1" si="122"/>
        <v>2938591.2590706698</v>
      </c>
      <c r="P296" s="2">
        <f t="shared" ca="1" si="122"/>
        <v>3158881.2310766466</v>
      </c>
      <c r="Q296" s="2">
        <f t="shared" ca="1" si="122"/>
        <v>3401197.9616987999</v>
      </c>
      <c r="R296" s="2">
        <f t="shared" ca="1" si="122"/>
        <v>3661942.1260292218</v>
      </c>
      <c r="S296" s="2">
        <f t="shared" ca="1" si="122"/>
        <v>3949597.1498620859</v>
      </c>
      <c r="T296" s="2">
        <f t="shared" ca="1" si="122"/>
        <v>4252424.6545914672</v>
      </c>
      <c r="U296" s="2">
        <f t="shared" ca="1" si="122"/>
        <v>4336995.6015301039</v>
      </c>
      <c r="V296" s="2">
        <f t="shared" ca="1" si="122"/>
        <v>4427275.3365644664</v>
      </c>
      <c r="W296" s="2">
        <f t="shared" ca="1" si="122"/>
        <v>7382.4316036249511</v>
      </c>
      <c r="X296" s="2">
        <f t="shared" ca="1" si="122"/>
        <v>23133.296729120659</v>
      </c>
      <c r="Y296" s="2">
        <f t="shared" ca="1" si="122"/>
        <v>39214.930022252491</v>
      </c>
      <c r="Z296" s="2">
        <f t="shared" ca="1" si="122"/>
        <v>55634.277614539955</v>
      </c>
      <c r="AA296" s="2">
        <f t="shared" ca="1" si="122"/>
        <v>72398.431506263558</v>
      </c>
    </row>
    <row r="297" spans="4:28" customFormat="1" x14ac:dyDescent="0.25">
      <c r="E297" t="s">
        <v>15</v>
      </c>
      <c r="F297" t="s">
        <v>7</v>
      </c>
      <c r="G297" s="2">
        <f t="shared" ref="G297:AA297" ca="1" si="123">-G296*G$18</f>
        <v>42585.992195975967</v>
      </c>
      <c r="H297" s="2">
        <f t="shared" ca="1" si="123"/>
        <v>-888545.64925303345</v>
      </c>
      <c r="I297" s="2">
        <f t="shared" ca="1" si="123"/>
        <v>-898016.57458463497</v>
      </c>
      <c r="J297" s="2">
        <f t="shared" ca="1" si="123"/>
        <v>-921336.28782016493</v>
      </c>
      <c r="K297" s="2">
        <f t="shared" ca="1" si="123"/>
        <v>-913985.93940489623</v>
      </c>
      <c r="L297" s="2">
        <f t="shared" ca="1" si="123"/>
        <v>-906186.88012702356</v>
      </c>
      <c r="M297" s="2">
        <f t="shared" ca="1" si="123"/>
        <v>-897526.06277849269</v>
      </c>
      <c r="N297" s="2">
        <f t="shared" ca="1" si="123"/>
        <v>-889521.28313739516</v>
      </c>
      <c r="O297" s="2">
        <f t="shared" ca="1" si="123"/>
        <v>-881577.37772120093</v>
      </c>
      <c r="P297" s="2">
        <f t="shared" ca="1" si="123"/>
        <v>-947664.36932299391</v>
      </c>
      <c r="Q297" s="2">
        <f t="shared" ca="1" si="123"/>
        <v>-1020359.3885096399</v>
      </c>
      <c r="R297" s="2">
        <f t="shared" ca="1" si="123"/>
        <v>-1098582.6378087664</v>
      </c>
      <c r="S297" s="2">
        <f t="shared" ca="1" si="123"/>
        <v>-1184879.1449586258</v>
      </c>
      <c r="T297" s="2">
        <f t="shared" ca="1" si="123"/>
        <v>-1275727.3963774401</v>
      </c>
      <c r="U297" s="2">
        <f t="shared" ca="1" si="123"/>
        <v>-1301098.6804590311</v>
      </c>
      <c r="V297" s="2">
        <f t="shared" ca="1" si="123"/>
        <v>-1328182.60096934</v>
      </c>
      <c r="W297" s="2">
        <f t="shared" ca="1" si="123"/>
        <v>-2214.7294810874851</v>
      </c>
      <c r="X297" s="2">
        <f t="shared" ca="1" si="123"/>
        <v>-6939.9890187361971</v>
      </c>
      <c r="Y297" s="2">
        <f t="shared" ca="1" si="123"/>
        <v>-11764.479006675747</v>
      </c>
      <c r="Z297" s="2">
        <f t="shared" ca="1" si="123"/>
        <v>-16690.283284361987</v>
      </c>
      <c r="AA297" s="2">
        <f t="shared" ca="1" si="123"/>
        <v>-21719.529451879065</v>
      </c>
    </row>
    <row r="298" spans="4:28" customFormat="1" x14ac:dyDescent="0.25"/>
    <row r="299" spans="4:28" customFormat="1" x14ac:dyDescent="0.25">
      <c r="D299" t="s">
        <v>28</v>
      </c>
    </row>
    <row r="300" spans="4:28" customFormat="1" x14ac:dyDescent="0.25">
      <c r="E300" t="s">
        <v>1</v>
      </c>
      <c r="F300" t="s">
        <v>7</v>
      </c>
      <c r="G300" s="2">
        <f t="shared" ref="G300:AA307" si="124">G234</f>
        <v>-11356264.585593592</v>
      </c>
      <c r="H300" s="2">
        <f t="shared" si="124"/>
        <v>-143162.38521836654</v>
      </c>
      <c r="I300" s="2">
        <f t="shared" si="124"/>
        <v>-1705879.5834406184</v>
      </c>
      <c r="J300" s="2">
        <f t="shared" si="124"/>
        <v>-2627166.5584972706</v>
      </c>
      <c r="K300" s="2">
        <f t="shared" si="124"/>
        <v>0</v>
      </c>
      <c r="L300" s="2">
        <f t="shared" si="124"/>
        <v>0</v>
      </c>
      <c r="M300" s="2">
        <f t="shared" si="124"/>
        <v>0</v>
      </c>
      <c r="N300" s="2">
        <f t="shared" si="124"/>
        <v>0</v>
      </c>
      <c r="O300" s="2">
        <f t="shared" si="124"/>
        <v>0</v>
      </c>
      <c r="P300" s="2">
        <f t="shared" si="124"/>
        <v>0</v>
      </c>
      <c r="Q300" s="2">
        <f t="shared" si="124"/>
        <v>0</v>
      </c>
      <c r="R300" s="2">
        <f t="shared" si="124"/>
        <v>0</v>
      </c>
      <c r="S300" s="2">
        <f t="shared" si="124"/>
        <v>0</v>
      </c>
      <c r="T300" s="2">
        <f t="shared" si="124"/>
        <v>0</v>
      </c>
      <c r="U300" s="2">
        <f t="shared" si="124"/>
        <v>0</v>
      </c>
      <c r="V300" s="2">
        <f t="shared" si="124"/>
        <v>0</v>
      </c>
      <c r="W300" s="2">
        <f t="shared" si="124"/>
        <v>0</v>
      </c>
      <c r="X300" s="2">
        <f t="shared" si="124"/>
        <v>0</v>
      </c>
      <c r="Y300" s="2">
        <f t="shared" si="124"/>
        <v>0</v>
      </c>
      <c r="Z300" s="2">
        <f t="shared" si="124"/>
        <v>0</v>
      </c>
      <c r="AA300" s="2">
        <f t="shared" si="124"/>
        <v>0</v>
      </c>
    </row>
    <row r="301" spans="4:28" customFormat="1" x14ac:dyDescent="0.25">
      <c r="E301" t="s">
        <v>19</v>
      </c>
      <c r="F301" t="s">
        <v>7</v>
      </c>
      <c r="G301" s="2">
        <f t="shared" si="124"/>
        <v>0</v>
      </c>
      <c r="H301" s="2">
        <f t="shared" si="124"/>
        <v>0</v>
      </c>
      <c r="I301" s="2">
        <f t="shared" si="124"/>
        <v>0</v>
      </c>
      <c r="J301" s="2">
        <f t="shared" si="124"/>
        <v>0</v>
      </c>
      <c r="K301" s="2">
        <f t="shared" si="124"/>
        <v>0</v>
      </c>
      <c r="L301" s="2">
        <f t="shared" si="124"/>
        <v>0</v>
      </c>
      <c r="M301" s="2">
        <f t="shared" si="124"/>
        <v>0</v>
      </c>
      <c r="N301" s="2">
        <f t="shared" si="124"/>
        <v>0</v>
      </c>
      <c r="O301" s="2">
        <f t="shared" si="124"/>
        <v>0</v>
      </c>
      <c r="P301" s="2">
        <f t="shared" si="124"/>
        <v>0</v>
      </c>
      <c r="Q301" s="2">
        <f t="shared" si="124"/>
        <v>0</v>
      </c>
      <c r="R301" s="2">
        <f t="shared" si="124"/>
        <v>0</v>
      </c>
      <c r="S301" s="2">
        <f t="shared" si="124"/>
        <v>0</v>
      </c>
      <c r="T301" s="2">
        <f t="shared" si="124"/>
        <v>0</v>
      </c>
      <c r="U301" s="2">
        <f t="shared" si="124"/>
        <v>0</v>
      </c>
      <c r="V301" s="2">
        <f t="shared" si="124"/>
        <v>0</v>
      </c>
      <c r="W301" s="2">
        <f t="shared" si="124"/>
        <v>0</v>
      </c>
      <c r="X301" s="2">
        <f t="shared" si="124"/>
        <v>0</v>
      </c>
      <c r="Y301" s="2">
        <f t="shared" si="124"/>
        <v>0</v>
      </c>
      <c r="Z301" s="2">
        <f t="shared" si="124"/>
        <v>0</v>
      </c>
      <c r="AA301" s="2">
        <f t="shared" si="124"/>
        <v>0</v>
      </c>
    </row>
    <row r="302" spans="4:28" customFormat="1" x14ac:dyDescent="0.25">
      <c r="E302" t="s">
        <v>109</v>
      </c>
      <c r="F302" t="s">
        <v>7</v>
      </c>
      <c r="G302" s="2">
        <f t="shared" si="124"/>
        <v>0</v>
      </c>
      <c r="H302" s="2">
        <f t="shared" si="124"/>
        <v>0</v>
      </c>
      <c r="I302" s="2">
        <f t="shared" si="124"/>
        <v>0</v>
      </c>
      <c r="J302" s="2">
        <f t="shared" si="124"/>
        <v>0</v>
      </c>
      <c r="K302" s="2">
        <f t="shared" si="124"/>
        <v>0</v>
      </c>
      <c r="L302" s="2">
        <f t="shared" si="124"/>
        <v>0</v>
      </c>
      <c r="M302" s="2">
        <f t="shared" si="124"/>
        <v>0</v>
      </c>
      <c r="N302" s="2">
        <f t="shared" si="124"/>
        <v>0</v>
      </c>
      <c r="O302" s="2">
        <f t="shared" si="124"/>
        <v>0</v>
      </c>
      <c r="P302" s="2">
        <f t="shared" si="124"/>
        <v>0</v>
      </c>
      <c r="Q302" s="2">
        <f t="shared" si="124"/>
        <v>0</v>
      </c>
      <c r="R302" s="2">
        <f t="shared" si="124"/>
        <v>0</v>
      </c>
      <c r="S302" s="2">
        <f t="shared" si="124"/>
        <v>0</v>
      </c>
      <c r="T302" s="2">
        <f t="shared" si="124"/>
        <v>0</v>
      </c>
      <c r="U302" s="2">
        <f t="shared" si="124"/>
        <v>0</v>
      </c>
      <c r="V302" s="2">
        <f t="shared" si="124"/>
        <v>0</v>
      </c>
      <c r="W302" s="2">
        <f t="shared" si="124"/>
        <v>0</v>
      </c>
      <c r="X302" s="2">
        <f t="shared" si="124"/>
        <v>0</v>
      </c>
      <c r="Y302" s="2">
        <f t="shared" si="124"/>
        <v>0</v>
      </c>
      <c r="Z302" s="2">
        <f t="shared" si="124"/>
        <v>0</v>
      </c>
      <c r="AA302" s="2">
        <f t="shared" si="124"/>
        <v>0</v>
      </c>
    </row>
    <row r="303" spans="4:28" customFormat="1" x14ac:dyDescent="0.25">
      <c r="E303" t="s">
        <v>11</v>
      </c>
      <c r="F303" t="s">
        <v>7</v>
      </c>
      <c r="G303" s="2">
        <f t="shared" si="124"/>
        <v>0</v>
      </c>
      <c r="H303" s="2">
        <f t="shared" si="124"/>
        <v>436064.30621198064</v>
      </c>
      <c r="I303" s="2">
        <f t="shared" si="124"/>
        <v>865171.75135166268</v>
      </c>
      <c r="J303" s="2">
        <f t="shared" si="124"/>
        <v>1332382.6706585949</v>
      </c>
      <c r="K303" s="2">
        <f t="shared" si="124"/>
        <v>1801277.1809573113</v>
      </c>
      <c r="L303" s="2">
        <f t="shared" si="124"/>
        <v>2272753.5375881577</v>
      </c>
      <c r="M303" s="2">
        <f t="shared" si="124"/>
        <v>2744934.64359756</v>
      </c>
      <c r="N303" s="2">
        <f t="shared" si="124"/>
        <v>3219204.1569017242</v>
      </c>
      <c r="O303" s="2">
        <f t="shared" si="124"/>
        <v>3695337.3513881266</v>
      </c>
      <c r="P303" s="2">
        <f t="shared" si="124"/>
        <v>4213317.0256958976</v>
      </c>
      <c r="Q303" s="2">
        <f t="shared" si="124"/>
        <v>4778282.3485402307</v>
      </c>
      <c r="R303" s="2">
        <f t="shared" si="124"/>
        <v>5393595.4094494367</v>
      </c>
      <c r="S303" s="2">
        <f t="shared" si="124"/>
        <v>6065223.1234735847</v>
      </c>
      <c r="T303" s="2">
        <f t="shared" si="124"/>
        <v>6794836.4369155774</v>
      </c>
      <c r="U303" s="2">
        <f t="shared" si="124"/>
        <v>7547645.8157244101</v>
      </c>
      <c r="V303" s="2">
        <f t="shared" si="124"/>
        <v>8326215.8136727056</v>
      </c>
      <c r="W303" s="2">
        <f t="shared" si="124"/>
        <v>8501066.3457598314</v>
      </c>
      <c r="X303" s="2">
        <f t="shared" si="124"/>
        <v>8679588.7390207872</v>
      </c>
      <c r="Y303" s="2">
        <f t="shared" si="124"/>
        <v>8861860.1025402229</v>
      </c>
      <c r="Z303" s="2">
        <f t="shared" si="124"/>
        <v>9047959.1646935679</v>
      </c>
      <c r="AA303" s="2">
        <f t="shared" si="124"/>
        <v>9237966.3071521316</v>
      </c>
      <c r="AB303" s="2">
        <f t="shared" ref="AB303:AB307" si="125">IF(V303=0,0,IF($G$15&gt;(AA303/V303)^(1/5)-1+2%,AA303*(AA303/V303)^(1/5)/($G$15-((AA303/V303)^(1/5)-1)),AA303*(1+$G$14)/$G$16))</f>
        <v>307932210.23840499</v>
      </c>
    </row>
    <row r="304" spans="4:28" customFormat="1" x14ac:dyDescent="0.25">
      <c r="E304" t="s">
        <v>57</v>
      </c>
      <c r="F304" t="s">
        <v>7</v>
      </c>
      <c r="G304" s="2">
        <f t="shared" si="124"/>
        <v>0</v>
      </c>
      <c r="H304" s="2">
        <f t="shared" si="124"/>
        <v>-298844.80688602215</v>
      </c>
      <c r="I304" s="2">
        <f t="shared" si="124"/>
        <v>-613681.97966856288</v>
      </c>
      <c r="J304" s="2">
        <f t="shared" si="124"/>
        <v>-954083.75439749903</v>
      </c>
      <c r="K304" s="2">
        <f t="shared" si="124"/>
        <v>-1289971.2733444311</v>
      </c>
      <c r="L304" s="2">
        <f t="shared" si="124"/>
        <v>-1627336.9648569734</v>
      </c>
      <c r="M304" s="2">
        <f t="shared" si="124"/>
        <v>-1965711.2313018302</v>
      </c>
      <c r="N304" s="2">
        <f t="shared" si="124"/>
        <v>-2305318.6191703724</v>
      </c>
      <c r="O304" s="2">
        <f t="shared" si="124"/>
        <v>-2646041.8773502619</v>
      </c>
      <c r="P304" s="2">
        <f t="shared" si="124"/>
        <v>-3017100.6119452417</v>
      </c>
      <c r="Q304" s="2">
        <f t="shared" si="124"/>
        <v>-3421601.2171133016</v>
      </c>
      <c r="R304" s="2">
        <f t="shared" si="124"/>
        <v>-3862195.9244692656</v>
      </c>
      <c r="S304" s="2">
        <f t="shared" si="124"/>
        <v>-4342603.3511132384</v>
      </c>
      <c r="T304" s="2">
        <f t="shared" si="124"/>
        <v>-4865160.7553244745</v>
      </c>
      <c r="U304" s="2">
        <f t="shared" si="124"/>
        <v>-5404638.8493560096</v>
      </c>
      <c r="V304" s="2">
        <f t="shared" si="124"/>
        <v>-5961880.7236026488</v>
      </c>
      <c r="W304" s="2">
        <f t="shared" si="124"/>
        <v>-6087080.218798304</v>
      </c>
      <c r="X304" s="2">
        <f t="shared" si="124"/>
        <v>-6214908.9033930674</v>
      </c>
      <c r="Y304" s="2">
        <f t="shared" si="124"/>
        <v>-6345421.9903643206</v>
      </c>
      <c r="Z304" s="2">
        <f t="shared" si="124"/>
        <v>-6478675.8521619709</v>
      </c>
      <c r="AA304" s="2">
        <f t="shared" si="124"/>
        <v>-6614728.0450573722</v>
      </c>
      <c r="AB304" s="2">
        <f t="shared" si="125"/>
        <v>-220490934.83524618</v>
      </c>
    </row>
    <row r="305" spans="1:28" x14ac:dyDescent="0.25">
      <c r="E305" t="s">
        <v>10</v>
      </c>
      <c r="F305" t="s">
        <v>7</v>
      </c>
      <c r="G305" s="2">
        <f t="shared" si="124"/>
        <v>0</v>
      </c>
      <c r="H305" s="2">
        <f t="shared" si="124"/>
        <v>-83105.315999999992</v>
      </c>
      <c r="I305" s="2">
        <f t="shared" si="124"/>
        <v>-169463.37872399998</v>
      </c>
      <c r="J305" s="2">
        <f t="shared" si="124"/>
        <v>-260807.17023222294</v>
      </c>
      <c r="K305" s="2">
        <f t="shared" si="124"/>
        <v>-352629.79757032287</v>
      </c>
      <c r="L305" s="2">
        <f t="shared" si="124"/>
        <v>-444842.14895976702</v>
      </c>
      <c r="M305" s="2">
        <f t="shared" si="124"/>
        <v>-537349.71101502515</v>
      </c>
      <c r="N305" s="2">
        <f t="shared" si="124"/>
        <v>-630184.20226292603</v>
      </c>
      <c r="O305" s="2">
        <f t="shared" si="124"/>
        <v>-723315.26160741376</v>
      </c>
      <c r="P305" s="2">
        <f t="shared" si="124"/>
        <v>-824753.12582320243</v>
      </c>
      <c r="Q305" s="2">
        <f t="shared" si="124"/>
        <v>-935324.74874885229</v>
      </c>
      <c r="R305" s="2">
        <f t="shared" si="124"/>
        <v>-1055764.6151223092</v>
      </c>
      <c r="S305" s="2">
        <f t="shared" si="124"/>
        <v>-1187067.790020708</v>
      </c>
      <c r="T305" s="2">
        <f t="shared" si="124"/>
        <v>-1329917.3437665431</v>
      </c>
      <c r="U305" s="2">
        <f t="shared" si="124"/>
        <v>-1477404.3407642501</v>
      </c>
      <c r="V305" s="2">
        <f t="shared" si="124"/>
        <v>-1629720.7938387464</v>
      </c>
      <c r="W305" s="2">
        <f t="shared" si="124"/>
        <v>-1663944.9305093598</v>
      </c>
      <c r="X305" s="2">
        <f t="shared" si="124"/>
        <v>-1698887.7740500565</v>
      </c>
      <c r="Y305" s="2">
        <f t="shared" si="124"/>
        <v>-1734564.4173051072</v>
      </c>
      <c r="Z305" s="2">
        <f t="shared" si="124"/>
        <v>-1770990.2700685144</v>
      </c>
      <c r="AA305" s="2">
        <f t="shared" si="124"/>
        <v>-1808181.0657399532</v>
      </c>
      <c r="AB305" s="2">
        <f t="shared" si="125"/>
        <v>-60272702.191331893</v>
      </c>
    </row>
    <row r="306" spans="1:28" x14ac:dyDescent="0.25">
      <c r="E306" t="s">
        <v>48</v>
      </c>
      <c r="F306" t="s">
        <v>7</v>
      </c>
      <c r="G306" s="2">
        <f t="shared" si="124"/>
        <v>0</v>
      </c>
      <c r="H306" s="2">
        <f t="shared" si="124"/>
        <v>0</v>
      </c>
      <c r="I306" s="2">
        <f t="shared" si="124"/>
        <v>0</v>
      </c>
      <c r="J306" s="2">
        <f t="shared" si="124"/>
        <v>0</v>
      </c>
      <c r="K306" s="2">
        <f t="shared" si="124"/>
        <v>0</v>
      </c>
      <c r="L306" s="2">
        <f t="shared" si="124"/>
        <v>0</v>
      </c>
      <c r="M306" s="2">
        <f t="shared" si="124"/>
        <v>0</v>
      </c>
      <c r="N306" s="2">
        <f t="shared" si="124"/>
        <v>0</v>
      </c>
      <c r="O306" s="2">
        <f t="shared" si="124"/>
        <v>0</v>
      </c>
      <c r="P306" s="2">
        <f t="shared" si="124"/>
        <v>0</v>
      </c>
      <c r="Q306" s="2">
        <f t="shared" si="124"/>
        <v>0</v>
      </c>
      <c r="R306" s="2">
        <f t="shared" si="124"/>
        <v>0</v>
      </c>
      <c r="S306" s="2">
        <f t="shared" si="124"/>
        <v>0</v>
      </c>
      <c r="T306" s="2">
        <f t="shared" si="124"/>
        <v>0</v>
      </c>
      <c r="U306" s="2">
        <f t="shared" si="124"/>
        <v>0</v>
      </c>
      <c r="V306" s="2">
        <f t="shared" si="124"/>
        <v>0</v>
      </c>
      <c r="W306" s="2">
        <f t="shared" si="124"/>
        <v>0</v>
      </c>
      <c r="X306" s="2">
        <f t="shared" si="124"/>
        <v>0</v>
      </c>
      <c r="Y306" s="2">
        <f t="shared" si="124"/>
        <v>0</v>
      </c>
      <c r="Z306" s="2">
        <f t="shared" si="124"/>
        <v>0</v>
      </c>
      <c r="AA306" s="2">
        <f t="shared" si="124"/>
        <v>0</v>
      </c>
      <c r="AB306" s="2">
        <f t="shared" si="125"/>
        <v>0</v>
      </c>
    </row>
    <row r="307" spans="1:28" x14ac:dyDescent="0.25">
      <c r="E307" t="s">
        <v>49</v>
      </c>
      <c r="F307" t="s">
        <v>7</v>
      </c>
      <c r="G307" s="2">
        <f t="shared" si="124"/>
        <v>0</v>
      </c>
      <c r="H307" s="2">
        <f t="shared" si="124"/>
        <v>0</v>
      </c>
      <c r="I307" s="2">
        <f t="shared" si="124"/>
        <v>0</v>
      </c>
      <c r="J307" s="2">
        <f t="shared" si="124"/>
        <v>0</v>
      </c>
      <c r="K307" s="2">
        <f t="shared" si="124"/>
        <v>0</v>
      </c>
      <c r="L307" s="2">
        <f t="shared" si="124"/>
        <v>0</v>
      </c>
      <c r="M307" s="2">
        <f t="shared" si="124"/>
        <v>0</v>
      </c>
      <c r="N307" s="2">
        <f t="shared" si="124"/>
        <v>0</v>
      </c>
      <c r="O307" s="2">
        <f t="shared" si="124"/>
        <v>0</v>
      </c>
      <c r="P307" s="2">
        <f t="shared" si="124"/>
        <v>0</v>
      </c>
      <c r="Q307" s="2">
        <f t="shared" si="124"/>
        <v>0</v>
      </c>
      <c r="R307" s="2">
        <f t="shared" si="124"/>
        <v>0</v>
      </c>
      <c r="S307" s="2">
        <f t="shared" si="124"/>
        <v>0</v>
      </c>
      <c r="T307" s="2">
        <f t="shared" si="124"/>
        <v>0</v>
      </c>
      <c r="U307" s="2">
        <f t="shared" si="124"/>
        <v>0</v>
      </c>
      <c r="V307" s="2">
        <f t="shared" si="124"/>
        <v>0</v>
      </c>
      <c r="W307" s="2">
        <f t="shared" si="124"/>
        <v>0</v>
      </c>
      <c r="X307" s="2">
        <f t="shared" si="124"/>
        <v>0</v>
      </c>
      <c r="Y307" s="2">
        <f t="shared" si="124"/>
        <v>0</v>
      </c>
      <c r="Z307" s="2">
        <f t="shared" si="124"/>
        <v>0</v>
      </c>
      <c r="AA307" s="2">
        <f t="shared" si="124"/>
        <v>0</v>
      </c>
      <c r="AB307" s="2">
        <f t="shared" si="125"/>
        <v>0</v>
      </c>
    </row>
    <row r="308" spans="1:28" x14ac:dyDescent="0.25">
      <c r="E308" t="s">
        <v>20</v>
      </c>
      <c r="F308" t="s">
        <v>7</v>
      </c>
      <c r="G308" s="2">
        <f t="shared" ref="G308:AA308" ca="1" si="126">G297</f>
        <v>42585.992195975967</v>
      </c>
      <c r="H308" s="2">
        <f t="shared" ca="1" si="126"/>
        <v>-888545.64925303345</v>
      </c>
      <c r="I308" s="2">
        <f t="shared" ca="1" si="126"/>
        <v>-898016.57458463497</v>
      </c>
      <c r="J308" s="2">
        <f t="shared" ca="1" si="126"/>
        <v>-921336.28782016493</v>
      </c>
      <c r="K308" s="2">
        <f t="shared" ca="1" si="126"/>
        <v>-913985.93940489623</v>
      </c>
      <c r="L308" s="2">
        <f t="shared" ca="1" si="126"/>
        <v>-906186.88012702356</v>
      </c>
      <c r="M308" s="2">
        <f t="shared" ca="1" si="126"/>
        <v>-897526.06277849269</v>
      </c>
      <c r="N308" s="2">
        <f t="shared" ca="1" si="126"/>
        <v>-889521.28313739516</v>
      </c>
      <c r="O308" s="2">
        <f t="shared" ca="1" si="126"/>
        <v>-881577.37772120093</v>
      </c>
      <c r="P308" s="2">
        <f t="shared" ca="1" si="126"/>
        <v>-947664.36932299391</v>
      </c>
      <c r="Q308" s="2">
        <f t="shared" ca="1" si="126"/>
        <v>-1020359.3885096399</v>
      </c>
      <c r="R308" s="2">
        <f t="shared" ca="1" si="126"/>
        <v>-1098582.6378087664</v>
      </c>
      <c r="S308" s="2">
        <f t="shared" ca="1" si="126"/>
        <v>-1184879.1449586258</v>
      </c>
      <c r="T308" s="2">
        <f t="shared" ca="1" si="126"/>
        <v>-1275727.3963774401</v>
      </c>
      <c r="U308" s="2">
        <f t="shared" ca="1" si="126"/>
        <v>-1301098.6804590311</v>
      </c>
      <c r="V308" s="2">
        <f t="shared" ca="1" si="126"/>
        <v>-1328182.60096934</v>
      </c>
      <c r="W308" s="2">
        <f t="shared" ca="1" si="126"/>
        <v>-2214.7294810874851</v>
      </c>
      <c r="X308" s="2">
        <f t="shared" ca="1" si="126"/>
        <v>-6939.9890187361971</v>
      </c>
      <c r="Y308" s="2">
        <f t="shared" ca="1" si="126"/>
        <v>-11764.479006675747</v>
      </c>
      <c r="Z308" s="2">
        <f t="shared" ca="1" si="126"/>
        <v>-16690.283284361987</v>
      </c>
      <c r="AA308" s="2">
        <f t="shared" ca="1" si="126"/>
        <v>-21719.529451879065</v>
      </c>
      <c r="AB308" s="2">
        <f ca="1">IF(V308=0,0,IF($G$15&gt;(AA308/V308)^(1/5)-1+2%,AA308*(AA308/V308)^(1/5)/($G$15-((AA308/V308)^(1/5)-1)),AA308*(1+$G$14)/$G$16))</f>
        <v>-15579.473758364038</v>
      </c>
    </row>
    <row r="309" spans="1:28" x14ac:dyDescent="0.25">
      <c r="E309" t="s">
        <v>173</v>
      </c>
      <c r="F309" t="s">
        <v>7</v>
      </c>
      <c r="G309" s="2">
        <f ca="1">-$G$17*G308</f>
        <v>-21292.996097987983</v>
      </c>
      <c r="H309" s="2">
        <f t="shared" ref="H309:AA309" ca="1" si="127">-$G$17*H308</f>
        <v>444272.82462651673</v>
      </c>
      <c r="I309" s="2">
        <f t="shared" ca="1" si="127"/>
        <v>449008.28729231749</v>
      </c>
      <c r="J309" s="2">
        <f t="shared" ca="1" si="127"/>
        <v>460668.14391008246</v>
      </c>
      <c r="K309" s="2">
        <f t="shared" ca="1" si="127"/>
        <v>456992.96970244811</v>
      </c>
      <c r="L309" s="2">
        <f t="shared" ca="1" si="127"/>
        <v>453093.44006351178</v>
      </c>
      <c r="M309" s="2">
        <f t="shared" ca="1" si="127"/>
        <v>448763.03138924635</v>
      </c>
      <c r="N309" s="2">
        <f t="shared" ca="1" si="127"/>
        <v>444760.64156869758</v>
      </c>
      <c r="O309" s="2">
        <f t="shared" ca="1" si="127"/>
        <v>440788.68886060046</v>
      </c>
      <c r="P309" s="2">
        <f t="shared" ca="1" si="127"/>
        <v>473832.18466149695</v>
      </c>
      <c r="Q309" s="2">
        <f t="shared" ca="1" si="127"/>
        <v>510179.69425481994</v>
      </c>
      <c r="R309" s="2">
        <f t="shared" ca="1" si="127"/>
        <v>549291.31890438322</v>
      </c>
      <c r="S309" s="2">
        <f t="shared" ca="1" si="127"/>
        <v>592439.57247931289</v>
      </c>
      <c r="T309" s="2">
        <f t="shared" ca="1" si="127"/>
        <v>637863.69818872004</v>
      </c>
      <c r="U309" s="2">
        <f t="shared" ca="1" si="127"/>
        <v>650549.34022951557</v>
      </c>
      <c r="V309" s="2">
        <f t="shared" ca="1" si="127"/>
        <v>664091.30048466998</v>
      </c>
      <c r="W309" s="2">
        <f t="shared" ca="1" si="127"/>
        <v>1107.3647405437425</v>
      </c>
      <c r="X309" s="2">
        <f t="shared" ca="1" si="127"/>
        <v>3469.9945093680985</v>
      </c>
      <c r="Y309" s="2">
        <f t="shared" ca="1" si="127"/>
        <v>5882.2395033378734</v>
      </c>
      <c r="Z309" s="2">
        <f t="shared" ca="1" si="127"/>
        <v>8345.1416421809936</v>
      </c>
      <c r="AA309" s="2">
        <f t="shared" ca="1" si="127"/>
        <v>10859.764725939533</v>
      </c>
      <c r="AB309" s="2">
        <f t="shared" ref="AB309" ca="1" si="128">IF(V309=0,0,IF($G$15&gt;(AA309/V309)^(1/5)-1+2%,AA309*(AA309/V309)^(1/5)/($G$15-((AA309/V309)^(1/5)-1)),AA309*(1+$G$14)/$G$16))</f>
        <v>7789.736879182019</v>
      </c>
    </row>
    <row r="310" spans="1:28" x14ac:dyDescent="0.25">
      <c r="E310" t="s">
        <v>23</v>
      </c>
      <c r="F310" t="s">
        <v>7</v>
      </c>
      <c r="G310" s="2">
        <f t="shared" ref="G310:AB310" ca="1" si="129">SUM(G300:G309)</f>
        <v>-11334971.589495605</v>
      </c>
      <c r="H310" s="2">
        <f t="shared" ca="1" si="129"/>
        <v>-533321.02651892463</v>
      </c>
      <c r="I310" s="2">
        <f t="shared" ca="1" si="129"/>
        <v>-2072861.4777738359</v>
      </c>
      <c r="J310" s="2">
        <f t="shared" ca="1" si="129"/>
        <v>-2970342.95637848</v>
      </c>
      <c r="K310" s="2">
        <f t="shared" ca="1" si="129"/>
        <v>-298316.85965989076</v>
      </c>
      <c r="L310" s="2">
        <f t="shared" ca="1" si="129"/>
        <v>-252519.01629209443</v>
      </c>
      <c r="M310" s="2">
        <f t="shared" ca="1" si="129"/>
        <v>-206889.33010854165</v>
      </c>
      <c r="N310" s="2">
        <f t="shared" ca="1" si="129"/>
        <v>-161059.30610027182</v>
      </c>
      <c r="O310" s="2">
        <f t="shared" ca="1" si="129"/>
        <v>-114808.47643014952</v>
      </c>
      <c r="P310" s="2">
        <f t="shared" ca="1" si="129"/>
        <v>-102368.89673404343</v>
      </c>
      <c r="Q310" s="2">
        <f t="shared" ca="1" si="129"/>
        <v>-88823.311576743203</v>
      </c>
      <c r="R310" s="2">
        <f t="shared" ca="1" si="129"/>
        <v>-73656.449046521331</v>
      </c>
      <c r="S310" s="2">
        <f t="shared" ca="1" si="129"/>
        <v>-56887.590139674605</v>
      </c>
      <c r="T310" s="2">
        <f t="shared" ca="1" si="129"/>
        <v>-38105.360364160268</v>
      </c>
      <c r="U310" s="2">
        <f t="shared" ca="1" si="129"/>
        <v>15053.285374634783</v>
      </c>
      <c r="V310" s="2">
        <f t="shared" ca="1" si="129"/>
        <v>70522.995746640372</v>
      </c>
      <c r="W310" s="2">
        <f t="shared" ca="1" si="129"/>
        <v>748933.83171162382</v>
      </c>
      <c r="X310" s="2">
        <f t="shared" ca="1" si="129"/>
        <v>762322.0670682952</v>
      </c>
      <c r="Y310" s="2">
        <f t="shared" ca="1" si="129"/>
        <v>775991.45536745724</v>
      </c>
      <c r="Z310" s="2">
        <f t="shared" ca="1" si="129"/>
        <v>789947.90082090162</v>
      </c>
      <c r="AA310" s="2">
        <f t="shared" ca="1" si="129"/>
        <v>804197.43162886659</v>
      </c>
      <c r="AB310" s="2">
        <f t="shared" ca="1" si="129"/>
        <v>27160783.474947739</v>
      </c>
    </row>
    <row r="311" spans="1:28" x14ac:dyDescent="0.25">
      <c r="E311" t="s">
        <v>31</v>
      </c>
      <c r="F311" t="s">
        <v>7</v>
      </c>
      <c r="G311" s="2">
        <f ca="1">NPV($G$15,H310:AB310)+G310</f>
        <v>-6218740.1554190759</v>
      </c>
    </row>
    <row r="313" spans="1:28" x14ac:dyDescent="0.25">
      <c r="E313" t="s">
        <v>13</v>
      </c>
      <c r="F313" t="s">
        <v>7</v>
      </c>
      <c r="G313" s="2">
        <f t="shared" ref="G313:AA313" ca="1" si="130">G285</f>
        <v>0</v>
      </c>
      <c r="H313" s="2">
        <f t="shared" ca="1" si="130"/>
        <v>531861.97215263615</v>
      </c>
      <c r="I313" s="2">
        <f t="shared" ca="1" si="130"/>
        <v>543031.07356784143</v>
      </c>
      <c r="J313" s="2">
        <f t="shared" ca="1" si="130"/>
        <v>554434.72611276607</v>
      </c>
      <c r="K313" s="2">
        <f t="shared" ca="1" si="130"/>
        <v>566077.85536113416</v>
      </c>
      <c r="L313" s="2">
        <f t="shared" ca="1" si="130"/>
        <v>577965.49032371794</v>
      </c>
      <c r="M313" s="2">
        <f t="shared" ca="1" si="130"/>
        <v>590102.76562051591</v>
      </c>
      <c r="N313" s="2">
        <f t="shared" ca="1" si="130"/>
        <v>602494.92369854671</v>
      </c>
      <c r="O313" s="2">
        <f t="shared" ca="1" si="130"/>
        <v>615147.31709621614</v>
      </c>
      <c r="P313" s="2">
        <f t="shared" ca="1" si="130"/>
        <v>628065.41075523663</v>
      </c>
      <c r="Q313" s="2">
        <f t="shared" ca="1" si="130"/>
        <v>641254.7843810966</v>
      </c>
      <c r="R313" s="2">
        <f t="shared" ca="1" si="130"/>
        <v>654721.13485309959</v>
      </c>
      <c r="S313" s="2">
        <f t="shared" ca="1" si="130"/>
        <v>668470.27868501458</v>
      </c>
      <c r="T313" s="2">
        <f t="shared" ca="1" si="130"/>
        <v>682508.15453739977</v>
      </c>
      <c r="U313" s="2">
        <f t="shared" ca="1" si="130"/>
        <v>696840.82578268507</v>
      </c>
      <c r="V313" s="2">
        <f t="shared" ca="1" si="130"/>
        <v>711474.48312412144</v>
      </c>
      <c r="W313" s="2">
        <f t="shared" ca="1" si="130"/>
        <v>0</v>
      </c>
      <c r="X313" s="2">
        <f t="shared" ca="1" si="130"/>
        <v>0</v>
      </c>
      <c r="Y313" s="2">
        <f t="shared" ca="1" si="130"/>
        <v>0</v>
      </c>
      <c r="Z313" s="2">
        <f t="shared" ca="1" si="130"/>
        <v>0</v>
      </c>
      <c r="AA313" s="2">
        <f t="shared" ca="1" si="130"/>
        <v>0</v>
      </c>
    </row>
    <row r="314" spans="1:28" x14ac:dyDescent="0.25">
      <c r="E314" t="s">
        <v>24</v>
      </c>
      <c r="F314" t="s">
        <v>7</v>
      </c>
      <c r="G314" s="2">
        <f ca="1">NPV($G$15,H313:AA313)+G313</f>
        <v>6218740.1554190796</v>
      </c>
    </row>
    <row r="315" spans="1:28" x14ac:dyDescent="0.25">
      <c r="E315" s="3" t="s">
        <v>34</v>
      </c>
      <c r="F315" s="3"/>
      <c r="G315" s="4" t="str">
        <f ca="1">IF(G311&gt;0,"N/A",IF(ABS(G311+G314)&gt;1,"Error","OK"))</f>
        <v>OK</v>
      </c>
    </row>
    <row r="318" spans="1:28" x14ac:dyDescent="0.25">
      <c r="C318" s="1" t="s">
        <v>110</v>
      </c>
    </row>
    <row r="319" spans="1:28" x14ac:dyDescent="0.25">
      <c r="E319" t="s">
        <v>116</v>
      </c>
      <c r="F319" t="s">
        <v>117</v>
      </c>
    </row>
    <row r="320" spans="1:28" x14ac:dyDescent="0.25">
      <c r="A320" s="14">
        <f>'Notes &amp; Assumptions'!A68</f>
        <v>55</v>
      </c>
      <c r="E320" s="19" t="s">
        <v>111</v>
      </c>
      <c r="F320" s="19" t="s">
        <v>119</v>
      </c>
    </row>
    <row r="321" spans="5:6" customFormat="1" x14ac:dyDescent="0.25">
      <c r="E321" s="19" t="s">
        <v>112</v>
      </c>
      <c r="F321" s="19" t="s">
        <v>120</v>
      </c>
    </row>
    <row r="322" spans="5:6" customFormat="1" x14ac:dyDescent="0.25">
      <c r="E322" s="19" t="s">
        <v>113</v>
      </c>
      <c r="F322" s="19" t="s">
        <v>121</v>
      </c>
    </row>
  </sheetData>
  <mergeCells count="1">
    <mergeCell ref="G4:H4"/>
  </mergeCells>
  <dataValidations count="1">
    <dataValidation type="list" showInputMessage="1" showErrorMessage="1" sqref="G4" xr:uid="{00000000-0002-0000-1300-000000000000}">
      <formula1>$E$320:$E$322</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2:AC322"/>
  <sheetViews>
    <sheetView topLeftCell="K10" zoomScale="90" zoomScaleNormal="90" workbookViewId="0">
      <selection activeCell="G312" sqref="G312"/>
    </sheetView>
  </sheetViews>
  <sheetFormatPr defaultColWidth="11" defaultRowHeight="15.75" x14ac:dyDescent="0.25"/>
  <cols>
    <col min="1" max="1" width="7.625" style="14" customWidth="1"/>
    <col min="2" max="2" width="3.125" customWidth="1"/>
    <col min="3" max="3" width="3.375" customWidth="1"/>
    <col min="4" max="4" width="2.875" customWidth="1"/>
    <col min="5" max="5" width="36.5" bestFit="1" customWidth="1"/>
    <col min="6" max="6" width="17.5" customWidth="1"/>
    <col min="7" max="27" width="15.625" customWidth="1"/>
    <col min="28" max="28" width="11.125" customWidth="1"/>
  </cols>
  <sheetData>
    <row r="2" spans="1:27" x14ac:dyDescent="0.25">
      <c r="C2" s="1" t="s">
        <v>0</v>
      </c>
      <c r="D2" s="1"/>
      <c r="G2">
        <v>0</v>
      </c>
      <c r="H2">
        <v>1</v>
      </c>
      <c r="I2">
        <v>2</v>
      </c>
      <c r="J2">
        <v>3</v>
      </c>
      <c r="K2">
        <v>4</v>
      </c>
      <c r="L2">
        <v>5</v>
      </c>
      <c r="M2">
        <v>6</v>
      </c>
      <c r="N2">
        <v>7</v>
      </c>
      <c r="O2">
        <v>8</v>
      </c>
      <c r="P2">
        <v>9</v>
      </c>
      <c r="Q2">
        <v>10</v>
      </c>
      <c r="R2">
        <v>11</v>
      </c>
      <c r="S2">
        <v>12</v>
      </c>
      <c r="T2">
        <v>13</v>
      </c>
      <c r="U2">
        <v>14</v>
      </c>
      <c r="V2">
        <v>15</v>
      </c>
      <c r="W2">
        <v>16</v>
      </c>
      <c r="X2">
        <v>17</v>
      </c>
      <c r="Y2">
        <v>18</v>
      </c>
      <c r="Z2">
        <v>19</v>
      </c>
      <c r="AA2">
        <v>20</v>
      </c>
    </row>
    <row r="4" spans="1:27" x14ac:dyDescent="0.25">
      <c r="A4" s="14">
        <f>'Notes &amp; Assumptions'!A14</f>
        <v>1</v>
      </c>
      <c r="C4" s="1" t="s">
        <v>114</v>
      </c>
      <c r="F4" t="s">
        <v>115</v>
      </c>
      <c r="G4" s="368" t="s">
        <v>112</v>
      </c>
      <c r="H4" s="368"/>
    </row>
    <row r="6" spans="1:27" x14ac:dyDescent="0.25">
      <c r="C6" s="1" t="s">
        <v>126</v>
      </c>
    </row>
    <row r="7" spans="1:27" x14ac:dyDescent="0.25">
      <c r="A7" s="14">
        <f>'Notes &amp; Assumptions'!A15</f>
        <v>2</v>
      </c>
      <c r="E7" s="10" t="s">
        <v>128</v>
      </c>
      <c r="F7" t="s">
        <v>145</v>
      </c>
      <c r="G7" s="10">
        <v>90</v>
      </c>
    </row>
    <row r="8" spans="1:27" x14ac:dyDescent="0.25">
      <c r="A8" s="14">
        <f>'Notes &amp; Assumptions'!A16</f>
        <v>3</v>
      </c>
      <c r="E8" s="10" t="s">
        <v>129</v>
      </c>
      <c r="F8" t="s">
        <v>145</v>
      </c>
      <c r="G8" s="10">
        <v>25</v>
      </c>
    </row>
    <row r="9" spans="1:27" x14ac:dyDescent="0.25">
      <c r="A9" s="14">
        <f>'Notes &amp; Assumptions'!A17</f>
        <v>4</v>
      </c>
      <c r="E9" s="10" t="s">
        <v>130</v>
      </c>
      <c r="F9" t="s">
        <v>145</v>
      </c>
      <c r="G9" s="10">
        <v>30</v>
      </c>
    </row>
    <row r="10" spans="1:27" x14ac:dyDescent="0.25">
      <c r="A10" s="14">
        <f>'Notes &amp; Assumptions'!A18</f>
        <v>5</v>
      </c>
      <c r="E10" t="s">
        <v>127</v>
      </c>
      <c r="F10" t="s">
        <v>145</v>
      </c>
      <c r="G10" s="10">
        <v>5</v>
      </c>
    </row>
    <row r="13" spans="1:27" x14ac:dyDescent="0.25">
      <c r="C13" s="1" t="s">
        <v>92</v>
      </c>
    </row>
    <row r="14" spans="1:27" x14ac:dyDescent="0.25">
      <c r="A14" s="14">
        <f>'Notes &amp; Assumptions'!A19</f>
        <v>6</v>
      </c>
      <c r="E14" t="s">
        <v>5</v>
      </c>
      <c r="F14" t="s">
        <v>8</v>
      </c>
      <c r="G14" s="17">
        <f>'20 New UGB Water'!G14</f>
        <v>2.1000000000000001E-2</v>
      </c>
    </row>
    <row r="15" spans="1:27" x14ac:dyDescent="0.25">
      <c r="A15" s="14">
        <f>'Notes &amp; Assumptions'!A20</f>
        <v>7</v>
      </c>
      <c r="E15" t="s">
        <v>32</v>
      </c>
      <c r="F15" t="s">
        <v>8</v>
      </c>
      <c r="G15" s="17">
        <f>'20 New UGB Water'!G15</f>
        <v>5.1629999999999843E-2</v>
      </c>
    </row>
    <row r="16" spans="1:27" x14ac:dyDescent="0.25">
      <c r="E16" t="s">
        <v>30</v>
      </c>
      <c r="F16" t="s">
        <v>8</v>
      </c>
      <c r="G16" s="18">
        <f>(1+G15)/(1+G14)-1</f>
        <v>3.0000000000000027E-2</v>
      </c>
    </row>
    <row r="17" spans="1:27" x14ac:dyDescent="0.25">
      <c r="E17" t="s">
        <v>171</v>
      </c>
      <c r="F17" t="s">
        <v>8</v>
      </c>
      <c r="G17" s="11">
        <v>0.5</v>
      </c>
    </row>
    <row r="18" spans="1:27" x14ac:dyDescent="0.25">
      <c r="A18" s="14">
        <f>'Notes &amp; Assumptions'!A22</f>
        <v>9</v>
      </c>
      <c r="E18" t="s">
        <v>16</v>
      </c>
      <c r="F18" t="s">
        <v>8</v>
      </c>
      <c r="G18" s="11">
        <v>0.3</v>
      </c>
      <c r="H18" s="11">
        <v>0.3</v>
      </c>
      <c r="I18" s="11">
        <v>0.3</v>
      </c>
      <c r="J18" s="11">
        <v>0.3</v>
      </c>
      <c r="K18" s="11">
        <v>0.3</v>
      </c>
      <c r="L18" s="11">
        <v>0.3</v>
      </c>
      <c r="M18" s="11">
        <v>0.3</v>
      </c>
      <c r="N18" s="11">
        <v>0.3</v>
      </c>
      <c r="O18" s="11">
        <v>0.3</v>
      </c>
      <c r="P18" s="11">
        <v>0.3</v>
      </c>
      <c r="Q18" s="11">
        <v>0.3</v>
      </c>
      <c r="R18" s="11">
        <v>0.3</v>
      </c>
      <c r="S18" s="11">
        <v>0.3</v>
      </c>
      <c r="T18" s="11">
        <v>0.3</v>
      </c>
      <c r="U18" s="11">
        <v>0.3</v>
      </c>
      <c r="V18" s="11">
        <v>0.3</v>
      </c>
      <c r="W18" s="11">
        <v>0.3</v>
      </c>
      <c r="X18" s="11">
        <v>0.3</v>
      </c>
      <c r="Y18" s="11">
        <v>0.3</v>
      </c>
      <c r="Z18" s="11">
        <v>0.3</v>
      </c>
      <c r="AA18" s="11">
        <v>0.3</v>
      </c>
    </row>
    <row r="20" spans="1:27" x14ac:dyDescent="0.25">
      <c r="A20" s="14">
        <f>'Notes &amp; Assumptions'!A23</f>
        <v>10</v>
      </c>
      <c r="C20" s="1" t="s">
        <v>1</v>
      </c>
      <c r="D20" s="1"/>
    </row>
    <row r="21" spans="1:27" x14ac:dyDescent="0.25">
      <c r="E21" s="2" t="str">
        <f>E7</f>
        <v>Pipes</v>
      </c>
      <c r="F21" t="s">
        <v>7</v>
      </c>
      <c r="G21" s="43">
        <f>IF('Key assumptions'!B3="yes",SUM('Historical growth capex'!M86:V86),0)</f>
        <v>485598233.8258633</v>
      </c>
      <c r="H21" s="10">
        <f>'Forecast capex'!J86*1000*(1+$G$14)^H2</f>
        <v>32127740.145415597</v>
      </c>
      <c r="I21" s="10">
        <f>'Forecast capex'!K86*1000*(1+$G$14)^I2</f>
        <v>25384683.949275892</v>
      </c>
      <c r="J21" s="10">
        <f>'Forecast capex'!L86*1000*(1+$G$14)^J2</f>
        <v>42307804.524219491</v>
      </c>
      <c r="K21" s="10">
        <f>'Forecast capex'!M86*1000*(1+$G$14)^K2</f>
        <v>37056218.209932685</v>
      </c>
      <c r="L21" s="10">
        <f>'Forecast capex'!N86*1000*(1+$G$14)^L2</f>
        <v>20696186.593113609</v>
      </c>
      <c r="M21" s="10">
        <f>'Forecast capex'!O86*1000*(1+$G$14)^M2</f>
        <v>127240126.66860779</v>
      </c>
      <c r="N21" s="10">
        <f>'Forecast capex'!P86*1000*(1+$G$14)^N2</f>
        <v>120867328.72123285</v>
      </c>
      <c r="O21" s="10">
        <f>'Forecast capex'!Q86*1000*(1+$G$14)^O2</f>
        <v>88536014.207316339</v>
      </c>
      <c r="P21" s="10">
        <f>'Forecast capex'!R86*1000*(1+$G$14)^P2</f>
        <v>129554549.53583172</v>
      </c>
      <c r="Q21" s="10">
        <f>'Forecast capex'!S86*1000*(1+$G$14)^Q2</f>
        <v>52060771.676220611</v>
      </c>
      <c r="R21" s="10">
        <f>('[11]Capex Profile'!$X$143/5)*(1+$G$14)^R2</f>
        <v>34830620.880010657</v>
      </c>
      <c r="S21" s="10">
        <f>('[11]Capex Profile'!$X$143/5)*(1+$G$14)^S2</f>
        <v>35562063.918490864</v>
      </c>
      <c r="T21" s="10">
        <f>('[11]Capex Profile'!$X$143/5)*(1+$G$14)^T2</f>
        <v>36308867.260779172</v>
      </c>
      <c r="U21" s="10">
        <f>('[11]Capex Profile'!$X$143/5)*(1+$G$14)^U2</f>
        <v>37071353.473255537</v>
      </c>
      <c r="V21" s="10">
        <f>('[11]Capex Profile'!$X$143/5)*(1+$G$14)^V2</f>
        <v>37849851.896193892</v>
      </c>
      <c r="W21" s="10"/>
      <c r="X21" s="10"/>
      <c r="Y21" s="10"/>
      <c r="Z21" s="10"/>
      <c r="AA21" s="10"/>
    </row>
    <row r="22" spans="1:27" x14ac:dyDescent="0.25">
      <c r="E22" s="2" t="str">
        <f>E8</f>
        <v>Pumps</v>
      </c>
      <c r="F22" t="s">
        <v>7</v>
      </c>
      <c r="G22" s="10"/>
      <c r="H22" s="10"/>
      <c r="I22" s="10"/>
      <c r="J22" s="10"/>
      <c r="K22" s="10"/>
      <c r="L22" s="10"/>
      <c r="M22" s="10"/>
      <c r="N22" s="10"/>
      <c r="O22" s="10"/>
      <c r="P22" s="10"/>
      <c r="Q22" s="10"/>
      <c r="R22" s="10"/>
      <c r="S22" s="10"/>
      <c r="T22" s="10"/>
      <c r="U22" s="10"/>
      <c r="V22" s="10"/>
      <c r="W22" s="10"/>
      <c r="X22" s="10"/>
      <c r="Y22" s="10"/>
      <c r="Z22" s="10"/>
      <c r="AA22" s="10"/>
    </row>
    <row r="23" spans="1:27" x14ac:dyDescent="0.25">
      <c r="E23" s="2" t="str">
        <f>E9</f>
        <v>Valves and Meters</v>
      </c>
      <c r="F23" t="s">
        <v>7</v>
      </c>
      <c r="G23" s="10"/>
      <c r="H23" s="10"/>
      <c r="I23" s="10"/>
      <c r="J23" s="10"/>
      <c r="K23" s="10"/>
      <c r="L23" s="10"/>
      <c r="M23" s="10"/>
      <c r="N23" s="10"/>
      <c r="O23" s="10"/>
      <c r="P23" s="10"/>
      <c r="Q23" s="10"/>
      <c r="R23" s="10"/>
      <c r="S23" s="10"/>
      <c r="T23" s="10"/>
      <c r="U23" s="10"/>
      <c r="V23" s="10"/>
      <c r="W23" s="10"/>
      <c r="X23" s="10"/>
      <c r="Y23" s="10"/>
      <c r="Z23" s="10"/>
      <c r="AA23" s="10"/>
    </row>
    <row r="24" spans="1:27" x14ac:dyDescent="0.25">
      <c r="E24" t="s">
        <v>127</v>
      </c>
      <c r="F24" t="s">
        <v>7</v>
      </c>
      <c r="G24" s="10"/>
      <c r="H24" s="10"/>
      <c r="I24" s="10"/>
      <c r="J24" s="10"/>
      <c r="K24" s="10"/>
      <c r="L24" s="10"/>
      <c r="M24" s="10"/>
      <c r="N24" s="10"/>
      <c r="O24" s="10"/>
      <c r="P24" s="10"/>
      <c r="Q24" s="10"/>
      <c r="R24" s="10"/>
      <c r="S24" s="10"/>
      <c r="T24" s="10"/>
      <c r="U24" s="10"/>
      <c r="V24" s="10"/>
      <c r="W24" s="10"/>
      <c r="X24" s="10"/>
      <c r="Y24" s="10"/>
      <c r="Z24" s="10"/>
      <c r="AA24" s="10"/>
    </row>
    <row r="25" spans="1:27" x14ac:dyDescent="0.25">
      <c r="E25" t="s">
        <v>131</v>
      </c>
      <c r="F25" t="s">
        <v>7</v>
      </c>
      <c r="G25" s="10"/>
      <c r="H25" s="10"/>
      <c r="I25" s="10"/>
      <c r="J25" s="10"/>
      <c r="K25" s="10"/>
      <c r="L25" s="10"/>
      <c r="M25" s="10"/>
      <c r="N25" s="10"/>
      <c r="O25" s="10"/>
      <c r="P25" s="10"/>
      <c r="Q25" s="10"/>
      <c r="R25" s="10"/>
      <c r="S25" s="10"/>
      <c r="T25" s="10"/>
      <c r="U25" s="10"/>
      <c r="V25" s="10"/>
      <c r="W25" s="10"/>
      <c r="X25" s="10"/>
      <c r="Y25" s="10"/>
      <c r="Z25" s="10"/>
      <c r="AA25" s="10"/>
    </row>
    <row r="26" spans="1:27" x14ac:dyDescent="0.25">
      <c r="G26" s="2">
        <f>SUM(G21:G25)</f>
        <v>485598233.8258633</v>
      </c>
      <c r="H26" s="2">
        <f t="shared" ref="H26:AA26" si="0">SUM(H21:H25)</f>
        <v>32127740.145415597</v>
      </c>
      <c r="I26" s="2">
        <f t="shared" si="0"/>
        <v>25384683.949275892</v>
      </c>
      <c r="J26" s="2">
        <f t="shared" si="0"/>
        <v>42307804.524219491</v>
      </c>
      <c r="K26" s="2">
        <f t="shared" si="0"/>
        <v>37056218.209932685</v>
      </c>
      <c r="L26" s="2">
        <f t="shared" si="0"/>
        <v>20696186.593113609</v>
      </c>
      <c r="M26" s="2">
        <f t="shared" si="0"/>
        <v>127240126.66860779</v>
      </c>
      <c r="N26" s="2">
        <f t="shared" si="0"/>
        <v>120867328.72123285</v>
      </c>
      <c r="O26" s="2">
        <f t="shared" si="0"/>
        <v>88536014.207316339</v>
      </c>
      <c r="P26" s="2">
        <f t="shared" si="0"/>
        <v>129554549.53583172</v>
      </c>
      <c r="Q26" s="2">
        <f t="shared" si="0"/>
        <v>52060771.676220611</v>
      </c>
      <c r="R26" s="2">
        <f t="shared" si="0"/>
        <v>34830620.880010657</v>
      </c>
      <c r="S26" s="2">
        <f t="shared" si="0"/>
        <v>35562063.918490864</v>
      </c>
      <c r="T26" s="2">
        <f t="shared" si="0"/>
        <v>36308867.260779172</v>
      </c>
      <c r="U26" s="2">
        <f t="shared" si="0"/>
        <v>37071353.473255537</v>
      </c>
      <c r="V26" s="2">
        <f t="shared" si="0"/>
        <v>37849851.896193892</v>
      </c>
      <c r="W26" s="2">
        <f t="shared" si="0"/>
        <v>0</v>
      </c>
      <c r="X26" s="2">
        <f t="shared" si="0"/>
        <v>0</v>
      </c>
      <c r="Y26" s="2">
        <f t="shared" si="0"/>
        <v>0</v>
      </c>
      <c r="Z26" s="2">
        <f t="shared" si="0"/>
        <v>0</v>
      </c>
      <c r="AA26" s="2">
        <f t="shared" si="0"/>
        <v>0</v>
      </c>
    </row>
    <row r="27" spans="1:27" x14ac:dyDescent="0.25">
      <c r="G27" s="2"/>
      <c r="H27" s="2"/>
      <c r="I27" s="2"/>
      <c r="J27" s="2"/>
      <c r="K27" s="2"/>
      <c r="L27" s="2"/>
      <c r="M27" s="2"/>
      <c r="N27" s="2"/>
      <c r="O27" s="2"/>
      <c r="P27" s="2"/>
      <c r="Q27" s="2"/>
    </row>
    <row r="28" spans="1:27" x14ac:dyDescent="0.25">
      <c r="D28" t="s">
        <v>132</v>
      </c>
      <c r="G28" s="2"/>
      <c r="H28" s="2"/>
      <c r="I28" s="2"/>
      <c r="J28" s="2"/>
      <c r="K28" s="2"/>
      <c r="L28" s="2"/>
      <c r="M28" s="2"/>
      <c r="N28" s="2"/>
      <c r="O28" s="2"/>
      <c r="P28" s="2"/>
      <c r="Q28" s="2"/>
    </row>
    <row r="29" spans="1:27" x14ac:dyDescent="0.25">
      <c r="E29" s="2" t="str">
        <f>E21</f>
        <v>Pipes</v>
      </c>
      <c r="F29" t="s">
        <v>7</v>
      </c>
      <c r="G29" s="2">
        <f t="shared" ref="G29:AA32" si="1">G21/$G7+IF((G$2-$G7+1)&gt;0,-INDEX($G21:$AA21,1,(G$2-$G7+1))/$G7,0)</f>
        <v>5395535.9313984811</v>
      </c>
      <c r="H29" s="2">
        <f t="shared" si="1"/>
        <v>356974.89050461777</v>
      </c>
      <c r="I29" s="2">
        <f t="shared" si="1"/>
        <v>282052.04388084327</v>
      </c>
      <c r="J29" s="2">
        <f t="shared" si="1"/>
        <v>470086.7169357721</v>
      </c>
      <c r="K29" s="2">
        <f t="shared" si="1"/>
        <v>411735.75788814097</v>
      </c>
      <c r="L29" s="2">
        <f t="shared" si="1"/>
        <v>229957.62881237344</v>
      </c>
      <c r="M29" s="2">
        <f t="shared" si="1"/>
        <v>1413779.1852067532</v>
      </c>
      <c r="N29" s="2">
        <f t="shared" si="1"/>
        <v>1342970.3191248095</v>
      </c>
      <c r="O29" s="2">
        <f t="shared" si="1"/>
        <v>983733.49119240372</v>
      </c>
      <c r="P29" s="2">
        <f t="shared" si="1"/>
        <v>1439494.9948425747</v>
      </c>
      <c r="Q29" s="2">
        <f t="shared" si="1"/>
        <v>578453.01862467348</v>
      </c>
      <c r="R29" s="2">
        <f t="shared" si="1"/>
        <v>387006.8986667851</v>
      </c>
      <c r="S29" s="2">
        <f t="shared" si="1"/>
        <v>395134.0435387874</v>
      </c>
      <c r="T29" s="2">
        <f t="shared" si="1"/>
        <v>403431.85845310189</v>
      </c>
      <c r="U29" s="2">
        <f t="shared" si="1"/>
        <v>411903.92748061707</v>
      </c>
      <c r="V29" s="2">
        <f t="shared" si="1"/>
        <v>420553.9099577099</v>
      </c>
      <c r="W29" s="2">
        <f t="shared" si="1"/>
        <v>0</v>
      </c>
      <c r="X29" s="2">
        <f t="shared" si="1"/>
        <v>0</v>
      </c>
      <c r="Y29" s="2">
        <f t="shared" si="1"/>
        <v>0</v>
      </c>
      <c r="Z29" s="2">
        <f t="shared" si="1"/>
        <v>0</v>
      </c>
      <c r="AA29" s="2">
        <f t="shared" si="1"/>
        <v>0</v>
      </c>
    </row>
    <row r="30" spans="1:27" x14ac:dyDescent="0.25">
      <c r="E30" s="2" t="str">
        <f t="shared" ref="E30:E32" si="2">E22</f>
        <v>Pumps</v>
      </c>
      <c r="F30" t="s">
        <v>7</v>
      </c>
      <c r="G30" s="2">
        <f t="shared" si="1"/>
        <v>0</v>
      </c>
      <c r="H30" s="2">
        <f t="shared" si="1"/>
        <v>0</v>
      </c>
      <c r="I30" s="2">
        <f t="shared" si="1"/>
        <v>0</v>
      </c>
      <c r="J30" s="2">
        <f t="shared" si="1"/>
        <v>0</v>
      </c>
      <c r="K30" s="2">
        <f t="shared" si="1"/>
        <v>0</v>
      </c>
      <c r="L30" s="2">
        <f t="shared" si="1"/>
        <v>0</v>
      </c>
      <c r="M30" s="2">
        <f t="shared" si="1"/>
        <v>0</v>
      </c>
      <c r="N30" s="2">
        <f t="shared" si="1"/>
        <v>0</v>
      </c>
      <c r="O30" s="2">
        <f t="shared" si="1"/>
        <v>0</v>
      </c>
      <c r="P30" s="2">
        <f t="shared" si="1"/>
        <v>0</v>
      </c>
      <c r="Q30" s="2">
        <f t="shared" si="1"/>
        <v>0</v>
      </c>
      <c r="R30" s="2">
        <f t="shared" si="1"/>
        <v>0</v>
      </c>
      <c r="S30" s="2">
        <f t="shared" si="1"/>
        <v>0</v>
      </c>
      <c r="T30" s="2">
        <f t="shared" si="1"/>
        <v>0</v>
      </c>
      <c r="U30" s="2">
        <f t="shared" si="1"/>
        <v>0</v>
      </c>
      <c r="V30" s="2">
        <f t="shared" si="1"/>
        <v>0</v>
      </c>
      <c r="W30" s="2">
        <f t="shared" si="1"/>
        <v>0</v>
      </c>
      <c r="X30" s="2">
        <f t="shared" si="1"/>
        <v>0</v>
      </c>
      <c r="Y30" s="2">
        <f t="shared" si="1"/>
        <v>0</v>
      </c>
      <c r="Z30" s="2">
        <f t="shared" si="1"/>
        <v>0</v>
      </c>
      <c r="AA30" s="2">
        <f t="shared" si="1"/>
        <v>0</v>
      </c>
    </row>
    <row r="31" spans="1:27" x14ac:dyDescent="0.25">
      <c r="E31" s="2" t="str">
        <f t="shared" si="2"/>
        <v>Valves and Meters</v>
      </c>
      <c r="F31" t="s">
        <v>7</v>
      </c>
      <c r="G31" s="2">
        <f t="shared" si="1"/>
        <v>0</v>
      </c>
      <c r="H31" s="2">
        <f t="shared" si="1"/>
        <v>0</v>
      </c>
      <c r="I31" s="2">
        <f t="shared" si="1"/>
        <v>0</v>
      </c>
      <c r="J31" s="2">
        <f t="shared" si="1"/>
        <v>0</v>
      </c>
      <c r="K31" s="2">
        <f t="shared" si="1"/>
        <v>0</v>
      </c>
      <c r="L31" s="2">
        <f t="shared" si="1"/>
        <v>0</v>
      </c>
      <c r="M31" s="2">
        <f t="shared" si="1"/>
        <v>0</v>
      </c>
      <c r="N31" s="2">
        <f t="shared" si="1"/>
        <v>0</v>
      </c>
      <c r="O31" s="2">
        <f t="shared" si="1"/>
        <v>0</v>
      </c>
      <c r="P31" s="2">
        <f t="shared" si="1"/>
        <v>0</v>
      </c>
      <c r="Q31" s="2">
        <f t="shared" si="1"/>
        <v>0</v>
      </c>
      <c r="R31" s="2">
        <f t="shared" si="1"/>
        <v>0</v>
      </c>
      <c r="S31" s="2">
        <f t="shared" si="1"/>
        <v>0</v>
      </c>
      <c r="T31" s="2">
        <f t="shared" si="1"/>
        <v>0</v>
      </c>
      <c r="U31" s="2">
        <f t="shared" si="1"/>
        <v>0</v>
      </c>
      <c r="V31" s="2">
        <f t="shared" si="1"/>
        <v>0</v>
      </c>
      <c r="W31" s="2">
        <f t="shared" si="1"/>
        <v>0</v>
      </c>
      <c r="X31" s="2">
        <f t="shared" si="1"/>
        <v>0</v>
      </c>
      <c r="Y31" s="2">
        <f t="shared" si="1"/>
        <v>0</v>
      </c>
      <c r="Z31" s="2">
        <f t="shared" si="1"/>
        <v>0</v>
      </c>
      <c r="AA31" s="2">
        <f t="shared" si="1"/>
        <v>0</v>
      </c>
    </row>
    <row r="32" spans="1:27" x14ac:dyDescent="0.25">
      <c r="E32" s="2" t="str">
        <f t="shared" si="2"/>
        <v>Temporary Assets</v>
      </c>
      <c r="F32" t="s">
        <v>7</v>
      </c>
      <c r="G32" s="2">
        <f t="shared" si="1"/>
        <v>0</v>
      </c>
      <c r="H32" s="2">
        <f t="shared" si="1"/>
        <v>0</v>
      </c>
      <c r="I32" s="2">
        <f t="shared" si="1"/>
        <v>0</v>
      </c>
      <c r="J32" s="2">
        <f t="shared" si="1"/>
        <v>0</v>
      </c>
      <c r="K32" s="2">
        <f t="shared" si="1"/>
        <v>0</v>
      </c>
      <c r="L32" s="2">
        <f t="shared" si="1"/>
        <v>0</v>
      </c>
      <c r="M32" s="2">
        <f t="shared" si="1"/>
        <v>0</v>
      </c>
      <c r="N32" s="2">
        <f t="shared" si="1"/>
        <v>0</v>
      </c>
      <c r="O32" s="2">
        <f t="shared" si="1"/>
        <v>0</v>
      </c>
      <c r="P32" s="2">
        <f t="shared" si="1"/>
        <v>0</v>
      </c>
      <c r="Q32" s="2">
        <f t="shared" si="1"/>
        <v>0</v>
      </c>
      <c r="R32" s="2">
        <f t="shared" si="1"/>
        <v>0</v>
      </c>
      <c r="S32" s="2">
        <f t="shared" si="1"/>
        <v>0</v>
      </c>
      <c r="T32" s="2">
        <f t="shared" si="1"/>
        <v>0</v>
      </c>
      <c r="U32" s="2">
        <f t="shared" si="1"/>
        <v>0</v>
      </c>
      <c r="V32" s="2">
        <f t="shared" si="1"/>
        <v>0</v>
      </c>
      <c r="W32" s="2">
        <f t="shared" si="1"/>
        <v>0</v>
      </c>
      <c r="X32" s="2">
        <f t="shared" si="1"/>
        <v>0</v>
      </c>
      <c r="Y32" s="2">
        <f t="shared" si="1"/>
        <v>0</v>
      </c>
      <c r="Z32" s="2">
        <f t="shared" si="1"/>
        <v>0</v>
      </c>
      <c r="AA32" s="2">
        <f t="shared" si="1"/>
        <v>0</v>
      </c>
    </row>
    <row r="33" spans="1:27" x14ac:dyDescent="0.25">
      <c r="G33" s="2"/>
      <c r="H33" s="2"/>
      <c r="I33" s="2"/>
      <c r="J33" s="2"/>
      <c r="K33" s="2"/>
      <c r="L33" s="2"/>
      <c r="M33" s="2"/>
      <c r="N33" s="2"/>
      <c r="O33" s="2"/>
      <c r="P33" s="2"/>
      <c r="Q33" s="2"/>
    </row>
    <row r="34" spans="1:27" x14ac:dyDescent="0.25">
      <c r="D34" t="s">
        <v>133</v>
      </c>
      <c r="F34" t="s">
        <v>7</v>
      </c>
      <c r="G34" s="2">
        <f>SUM($G$29:G32)</f>
        <v>5395535.9313984811</v>
      </c>
      <c r="H34" s="2">
        <f>SUM($G$29:H32)</f>
        <v>5752510.8219030993</v>
      </c>
      <c r="I34" s="2">
        <f>SUM($G$29:I32)</f>
        <v>6034562.8657839429</v>
      </c>
      <c r="J34" s="2">
        <f>SUM($G$29:J32)</f>
        <v>6504649.5827197153</v>
      </c>
      <c r="K34" s="2">
        <f>SUM($G$29:K32)</f>
        <v>6916385.3406078564</v>
      </c>
      <c r="L34" s="2">
        <f>SUM($G$29:L32)</f>
        <v>7146342.96942023</v>
      </c>
      <c r="M34" s="2">
        <f>SUM($G$29:M32)</f>
        <v>8560122.1546269841</v>
      </c>
      <c r="N34" s="2">
        <f>SUM($G$29:N32)</f>
        <v>9903092.4737517945</v>
      </c>
      <c r="O34" s="2">
        <f>SUM($G$29:O32)</f>
        <v>10886825.964944199</v>
      </c>
      <c r="P34" s="2">
        <f>SUM($G$29:P32)</f>
        <v>12326320.959786773</v>
      </c>
      <c r="Q34" s="2">
        <f>SUM($G$29:Q32)</f>
        <v>12904773.978411445</v>
      </c>
      <c r="R34" s="2">
        <f>SUM($G$29:R32)</f>
        <v>13291780.877078231</v>
      </c>
      <c r="S34" s="2">
        <f>SUM($G$29:S32)</f>
        <v>13686914.920617018</v>
      </c>
      <c r="T34" s="2">
        <f>SUM($G$29:T32)</f>
        <v>14090346.77907012</v>
      </c>
      <c r="U34" s="2">
        <f>SUM($G$29:U32)</f>
        <v>14502250.706550738</v>
      </c>
      <c r="V34" s="2">
        <f>SUM($G$29:V32)</f>
        <v>14922804.616508448</v>
      </c>
      <c r="W34" s="2">
        <f>SUM($G$29:W32)</f>
        <v>14922804.616508448</v>
      </c>
      <c r="X34" s="2">
        <f>SUM($G$29:X32)</f>
        <v>14922804.616508448</v>
      </c>
      <c r="Y34" s="2">
        <f>SUM($G$29:Y32)</f>
        <v>14922804.616508448</v>
      </c>
      <c r="Z34" s="2">
        <f>SUM($G$29:Z32)</f>
        <v>14922804.616508448</v>
      </c>
      <c r="AA34" s="2">
        <f>SUM($G$29:AA32)</f>
        <v>14922804.616508448</v>
      </c>
    </row>
    <row r="35" spans="1:27" x14ac:dyDescent="0.25">
      <c r="G35" s="2"/>
      <c r="H35" s="2"/>
      <c r="I35" s="2"/>
      <c r="J35" s="2"/>
      <c r="K35" s="2"/>
      <c r="L35" s="2"/>
      <c r="M35" s="2"/>
      <c r="N35" s="2"/>
      <c r="O35" s="2"/>
      <c r="P35" s="2"/>
      <c r="Q35" s="2"/>
      <c r="R35" s="2"/>
      <c r="S35" s="2"/>
      <c r="T35" s="2"/>
      <c r="U35" s="2"/>
      <c r="V35" s="2"/>
      <c r="W35" s="2"/>
      <c r="X35" s="2"/>
      <c r="Y35" s="2"/>
      <c r="Z35" s="2"/>
      <c r="AA35" s="2"/>
    </row>
    <row r="36" spans="1:27" x14ac:dyDescent="0.25">
      <c r="A36" s="14">
        <f>'Notes &amp; Assumptions'!A24</f>
        <v>11</v>
      </c>
      <c r="C36" s="1" t="s">
        <v>107</v>
      </c>
      <c r="D36" s="1"/>
    </row>
    <row r="37" spans="1:27" x14ac:dyDescent="0.25">
      <c r="E37" s="2" t="str">
        <f>E7</f>
        <v>Pipes</v>
      </c>
      <c r="F37" t="s">
        <v>7</v>
      </c>
      <c r="G37" s="10"/>
      <c r="H37" s="10">
        <f>'Key assumptions'!$B32*(1+$G$14)^H2*(H90+H111+H132+H153)</f>
        <v>14701378.999999998</v>
      </c>
      <c r="I37" s="10">
        <f>'Key assumptions'!$B32*(1+$G$14)^I2*(I90+I111+I132+I153)</f>
        <v>18665948.545999993</v>
      </c>
      <c r="J37" s="10">
        <f>'Key assumptions'!$B32*(1+$G$14)^J2*(J90+J111+J132+J153)</f>
        <v>23202549.723026093</v>
      </c>
      <c r="K37" s="10">
        <f>'Key assumptions'!$B32*(1+$G$14)^K2*(K90+K111+K132+K153)</f>
        <v>26725670.230554003</v>
      </c>
      <c r="L37" s="10">
        <f>'Key assumptions'!$B32*(1+$G$14)^L2*(L90+L111+L132+L153)</f>
        <v>30103051.308622271</v>
      </c>
      <c r="M37" s="10">
        <f>'Key assumptions'!$B32*(1+$G$14)^M2*(M90+M111+M132+M153)</f>
        <v>33367849.934139017</v>
      </c>
      <c r="N37" s="10">
        <f>'Key assumptions'!$B32*(1+$G$14)^N2*(N90+N111+N132+N153)</f>
        <v>36513610.330377668</v>
      </c>
      <c r="O37" s="10">
        <f>'Key assumptions'!$B32*(1+$G$14)^O2*(O90+O111+O132+O153)</f>
        <v>39564337.046540275</v>
      </c>
      <c r="P37" s="10">
        <f>'Key assumptions'!$B32*(1+$G$14)^P2*(P90+P111+P132+P153)</f>
        <v>46435519.098488577</v>
      </c>
      <c r="Q37" s="10">
        <f>'Key assumptions'!$B32*(1+$G$14)^Q2*(Q90+Q111+Q132+Q153)</f>
        <v>54238765.862088427</v>
      </c>
      <c r="R37" s="10">
        <f>'Key assumptions'!$B32*(1+$G$14)^R2*(R90+R111+R132+R153)</f>
        <v>58409551.515018374</v>
      </c>
      <c r="S37" s="10">
        <f>'Key assumptions'!$B32*(1+$G$14)^S2*(S90+S111+S132+S153)</f>
        <v>63088204.100269973</v>
      </c>
      <c r="T37" s="10">
        <f>'Key assumptions'!$B32*(1+$G$14)^T2*(T90+T111+T132+T153)</f>
        <v>68088011.420906514</v>
      </c>
      <c r="U37" s="10">
        <f>'Key assumptions'!$B32*(1+$G$14)^U2*(U90+U111+U132+U153)</f>
        <v>69212595.352429241</v>
      </c>
      <c r="V37" s="10">
        <f>'Key assumptions'!$B32*(1+$G$14)^V2*(V90+V111+V132+V153)</f>
        <v>70324747.202718675</v>
      </c>
      <c r="W37" s="10">
        <f>'Key assumptions'!$B32*(1+$G$14)^W2*(W90+W111+W132+W153)</f>
        <v>0</v>
      </c>
      <c r="X37" s="10">
        <f>'Key assumptions'!$B32*(1+$G$14)^X2*(X90+X111+X132+X153)</f>
        <v>0</v>
      </c>
      <c r="Y37" s="10">
        <f>'Key assumptions'!$B32*(1+$G$14)^Y2*(Y90+Y111+Y132+Y153)</f>
        <v>0</v>
      </c>
      <c r="Z37" s="10">
        <f>'Key assumptions'!$B32*(1+$G$14)^Z2*(Z90+Z111+Z132+Z153)</f>
        <v>0</v>
      </c>
      <c r="AA37" s="10">
        <f>'Key assumptions'!$B32*(1+$G$14)^AA2*(AA90+AA111+AA132+AA153)</f>
        <v>0</v>
      </c>
    </row>
    <row r="38" spans="1:27" x14ac:dyDescent="0.25">
      <c r="E38" s="2" t="str">
        <f>E8</f>
        <v>Pumps</v>
      </c>
      <c r="F38" t="s">
        <v>7</v>
      </c>
      <c r="G38" s="10"/>
      <c r="H38" s="10"/>
      <c r="I38" s="10"/>
      <c r="J38" s="10"/>
      <c r="K38" s="10"/>
      <c r="L38" s="10"/>
      <c r="M38" s="10"/>
      <c r="N38" s="10"/>
      <c r="O38" s="10"/>
      <c r="P38" s="10"/>
      <c r="Q38" s="10"/>
      <c r="R38" s="10"/>
      <c r="S38" s="10"/>
      <c r="T38" s="10"/>
      <c r="U38" s="10"/>
      <c r="V38" s="10"/>
      <c r="W38" s="10"/>
      <c r="X38" s="10"/>
      <c r="Y38" s="10"/>
      <c r="Z38" s="10"/>
      <c r="AA38" s="10"/>
    </row>
    <row r="39" spans="1:27" x14ac:dyDescent="0.25">
      <c r="E39" s="2" t="str">
        <f>E9</f>
        <v>Valves and Meters</v>
      </c>
      <c r="F39" t="s">
        <v>7</v>
      </c>
      <c r="G39" s="10"/>
      <c r="H39" s="10"/>
      <c r="I39" s="10"/>
      <c r="J39" s="10"/>
      <c r="K39" s="10"/>
      <c r="L39" s="10"/>
      <c r="M39" s="10"/>
      <c r="N39" s="10"/>
      <c r="O39" s="10"/>
      <c r="P39" s="10"/>
      <c r="Q39" s="10"/>
      <c r="R39" s="10"/>
      <c r="S39" s="10"/>
      <c r="T39" s="10"/>
      <c r="U39" s="10"/>
      <c r="V39" s="10"/>
      <c r="W39" s="10"/>
      <c r="X39" s="10"/>
      <c r="Y39" s="10"/>
      <c r="Z39" s="10"/>
      <c r="AA39" s="10"/>
    </row>
    <row r="40" spans="1:27" x14ac:dyDescent="0.25">
      <c r="E40" s="2" t="str">
        <f>E10</f>
        <v>Temporary Assets</v>
      </c>
      <c r="F40" t="s">
        <v>7</v>
      </c>
      <c r="G40" s="10"/>
      <c r="H40" s="10"/>
      <c r="I40" s="10"/>
      <c r="J40" s="10"/>
      <c r="K40" s="10"/>
      <c r="L40" s="10"/>
      <c r="M40" s="10"/>
      <c r="N40" s="10"/>
      <c r="O40" s="10"/>
      <c r="P40" s="10"/>
      <c r="Q40" s="10"/>
      <c r="R40" s="10"/>
      <c r="S40" s="10"/>
      <c r="T40" s="10"/>
      <c r="U40" s="10"/>
      <c r="V40" s="10"/>
      <c r="W40" s="10"/>
      <c r="X40" s="10"/>
      <c r="Y40" s="10"/>
      <c r="Z40" s="10"/>
      <c r="AA40" s="10"/>
    </row>
    <row r="41" spans="1:27" x14ac:dyDescent="0.25">
      <c r="E41" t="s">
        <v>131</v>
      </c>
      <c r="F41" t="s">
        <v>7</v>
      </c>
      <c r="G41" s="10"/>
      <c r="H41" s="10"/>
      <c r="I41" s="10"/>
      <c r="J41" s="10"/>
      <c r="K41" s="10"/>
      <c r="L41" s="10"/>
      <c r="M41" s="10"/>
      <c r="N41" s="10"/>
      <c r="O41" s="10"/>
      <c r="P41" s="10"/>
      <c r="Q41" s="10"/>
      <c r="R41" s="10"/>
      <c r="S41" s="10"/>
      <c r="T41" s="10"/>
      <c r="U41" s="10"/>
      <c r="V41" s="10"/>
      <c r="W41" s="10"/>
      <c r="X41" s="10"/>
      <c r="Y41" s="10"/>
      <c r="Z41" s="10"/>
      <c r="AA41" s="10"/>
    </row>
    <row r="42" spans="1:27" x14ac:dyDescent="0.25">
      <c r="G42" s="2">
        <f>SUM(G37:G41)</f>
        <v>0</v>
      </c>
      <c r="H42" s="2">
        <f t="shared" ref="H42:AA42" si="3">SUM(H37:H41)</f>
        <v>14701378.999999998</v>
      </c>
      <c r="I42" s="2">
        <f t="shared" si="3"/>
        <v>18665948.545999993</v>
      </c>
      <c r="J42" s="2">
        <f t="shared" si="3"/>
        <v>23202549.723026093</v>
      </c>
      <c r="K42" s="2">
        <f t="shared" si="3"/>
        <v>26725670.230554003</v>
      </c>
      <c r="L42" s="2">
        <f t="shared" si="3"/>
        <v>30103051.308622271</v>
      </c>
      <c r="M42" s="2">
        <f t="shared" si="3"/>
        <v>33367849.934139017</v>
      </c>
      <c r="N42" s="2">
        <f t="shared" si="3"/>
        <v>36513610.330377668</v>
      </c>
      <c r="O42" s="2">
        <f t="shared" si="3"/>
        <v>39564337.046540275</v>
      </c>
      <c r="P42" s="2">
        <f t="shared" si="3"/>
        <v>46435519.098488577</v>
      </c>
      <c r="Q42" s="2">
        <f t="shared" si="3"/>
        <v>54238765.862088427</v>
      </c>
      <c r="R42" s="2">
        <f t="shared" si="3"/>
        <v>58409551.515018374</v>
      </c>
      <c r="S42" s="2">
        <f t="shared" si="3"/>
        <v>63088204.100269973</v>
      </c>
      <c r="T42" s="2">
        <f t="shared" si="3"/>
        <v>68088011.420906514</v>
      </c>
      <c r="U42" s="2">
        <f t="shared" si="3"/>
        <v>69212595.352429241</v>
      </c>
      <c r="V42" s="2">
        <f t="shared" si="3"/>
        <v>70324747.202718675</v>
      </c>
      <c r="W42" s="2">
        <f t="shared" si="3"/>
        <v>0</v>
      </c>
      <c r="X42" s="2">
        <f t="shared" si="3"/>
        <v>0</v>
      </c>
      <c r="Y42" s="2">
        <f t="shared" si="3"/>
        <v>0</v>
      </c>
      <c r="Z42" s="2">
        <f t="shared" si="3"/>
        <v>0</v>
      </c>
      <c r="AA42" s="2">
        <f t="shared" si="3"/>
        <v>0</v>
      </c>
    </row>
    <row r="43" spans="1:27" x14ac:dyDescent="0.25">
      <c r="G43" s="2"/>
      <c r="H43" s="2"/>
      <c r="I43" s="2"/>
      <c r="J43" s="2"/>
      <c r="K43" s="2"/>
      <c r="L43" s="2"/>
      <c r="M43" s="2"/>
      <c r="N43" s="2"/>
      <c r="O43" s="2"/>
      <c r="P43" s="2"/>
      <c r="Q43" s="2"/>
    </row>
    <row r="44" spans="1:27" x14ac:dyDescent="0.25">
      <c r="D44" t="s">
        <v>134</v>
      </c>
      <c r="G44" s="2"/>
      <c r="H44" s="2"/>
      <c r="I44" s="2"/>
      <c r="J44" s="2"/>
      <c r="K44" s="2"/>
      <c r="L44" s="2"/>
      <c r="M44" s="2"/>
      <c r="N44" s="2"/>
      <c r="O44" s="2"/>
      <c r="P44" s="2"/>
      <c r="Q44" s="2"/>
    </row>
    <row r="45" spans="1:27" x14ac:dyDescent="0.25">
      <c r="E45" s="2" t="str">
        <f>E37</f>
        <v>Pipes</v>
      </c>
      <c r="F45" t="s">
        <v>7</v>
      </c>
      <c r="G45" s="2">
        <f t="shared" ref="G45:AA48" si="4">G37/$G7+IF((G$2-$G7+1)&gt;0,-INDEX($G37:$AA37,1,(G$2-$G7+1))/$G7,0)</f>
        <v>0</v>
      </c>
      <c r="H45" s="2">
        <f t="shared" si="4"/>
        <v>163348.65555555554</v>
      </c>
      <c r="I45" s="2">
        <f t="shared" si="4"/>
        <v>207399.4282888888</v>
      </c>
      <c r="J45" s="2">
        <f t="shared" si="4"/>
        <v>257806.10803362326</v>
      </c>
      <c r="K45" s="2">
        <f t="shared" si="4"/>
        <v>296951.89145060006</v>
      </c>
      <c r="L45" s="2">
        <f t="shared" si="4"/>
        <v>334478.34787358076</v>
      </c>
      <c r="M45" s="2">
        <f t="shared" si="4"/>
        <v>370753.88815710018</v>
      </c>
      <c r="N45" s="2">
        <f t="shared" si="4"/>
        <v>405706.78144864074</v>
      </c>
      <c r="O45" s="2">
        <f t="shared" si="4"/>
        <v>439603.74496155861</v>
      </c>
      <c r="P45" s="2">
        <f t="shared" si="4"/>
        <v>515950.21220542863</v>
      </c>
      <c r="Q45" s="2">
        <f t="shared" si="4"/>
        <v>602652.95402320474</v>
      </c>
      <c r="R45" s="2">
        <f t="shared" si="4"/>
        <v>648995.01683353749</v>
      </c>
      <c r="S45" s="2">
        <f t="shared" si="4"/>
        <v>700980.04555855528</v>
      </c>
      <c r="T45" s="2">
        <f t="shared" si="4"/>
        <v>756533.46023229463</v>
      </c>
      <c r="U45" s="2">
        <f t="shared" si="4"/>
        <v>769028.83724921383</v>
      </c>
      <c r="V45" s="2">
        <f t="shared" si="4"/>
        <v>781386.08003020752</v>
      </c>
      <c r="W45" s="2">
        <f t="shared" si="4"/>
        <v>0</v>
      </c>
      <c r="X45" s="2">
        <f t="shared" si="4"/>
        <v>0</v>
      </c>
      <c r="Y45" s="2">
        <f t="shared" si="4"/>
        <v>0</v>
      </c>
      <c r="Z45" s="2">
        <f t="shared" si="4"/>
        <v>0</v>
      </c>
      <c r="AA45" s="2">
        <f t="shared" si="4"/>
        <v>0</v>
      </c>
    </row>
    <row r="46" spans="1:27" x14ac:dyDescent="0.25">
      <c r="E46" s="2" t="str">
        <f t="shared" ref="E46:E48" si="5">E38</f>
        <v>Pumps</v>
      </c>
      <c r="F46" t="s">
        <v>7</v>
      </c>
      <c r="G46" s="2">
        <f t="shared" si="4"/>
        <v>0</v>
      </c>
      <c r="H46" s="2">
        <f t="shared" si="4"/>
        <v>0</v>
      </c>
      <c r="I46" s="2">
        <f t="shared" si="4"/>
        <v>0</v>
      </c>
      <c r="J46" s="2">
        <f t="shared" si="4"/>
        <v>0</v>
      </c>
      <c r="K46" s="2">
        <f t="shared" si="4"/>
        <v>0</v>
      </c>
      <c r="L46" s="2">
        <f t="shared" si="4"/>
        <v>0</v>
      </c>
      <c r="M46" s="2">
        <f t="shared" si="4"/>
        <v>0</v>
      </c>
      <c r="N46" s="2">
        <f t="shared" si="4"/>
        <v>0</v>
      </c>
      <c r="O46" s="2">
        <f t="shared" si="4"/>
        <v>0</v>
      </c>
      <c r="P46" s="2">
        <f t="shared" si="4"/>
        <v>0</v>
      </c>
      <c r="Q46" s="2">
        <f t="shared" si="4"/>
        <v>0</v>
      </c>
      <c r="R46" s="2">
        <f t="shared" si="4"/>
        <v>0</v>
      </c>
      <c r="S46" s="2">
        <f t="shared" si="4"/>
        <v>0</v>
      </c>
      <c r="T46" s="2">
        <f t="shared" si="4"/>
        <v>0</v>
      </c>
      <c r="U46" s="2">
        <f t="shared" si="4"/>
        <v>0</v>
      </c>
      <c r="V46" s="2">
        <f t="shared" si="4"/>
        <v>0</v>
      </c>
      <c r="W46" s="2">
        <f t="shared" si="4"/>
        <v>0</v>
      </c>
      <c r="X46" s="2">
        <f t="shared" si="4"/>
        <v>0</v>
      </c>
      <c r="Y46" s="2">
        <f t="shared" si="4"/>
        <v>0</v>
      </c>
      <c r="Z46" s="2">
        <f t="shared" si="4"/>
        <v>0</v>
      </c>
      <c r="AA46" s="2">
        <f t="shared" si="4"/>
        <v>0</v>
      </c>
    </row>
    <row r="47" spans="1:27" x14ac:dyDescent="0.25">
      <c r="E47" s="2" t="str">
        <f t="shared" si="5"/>
        <v>Valves and Meters</v>
      </c>
      <c r="F47" t="s">
        <v>7</v>
      </c>
      <c r="G47" s="2">
        <f t="shared" si="4"/>
        <v>0</v>
      </c>
      <c r="H47" s="2">
        <f t="shared" si="4"/>
        <v>0</v>
      </c>
      <c r="I47" s="2">
        <f t="shared" si="4"/>
        <v>0</v>
      </c>
      <c r="J47" s="2">
        <f t="shared" si="4"/>
        <v>0</v>
      </c>
      <c r="K47" s="2">
        <f t="shared" si="4"/>
        <v>0</v>
      </c>
      <c r="L47" s="2">
        <f t="shared" si="4"/>
        <v>0</v>
      </c>
      <c r="M47" s="2">
        <f t="shared" si="4"/>
        <v>0</v>
      </c>
      <c r="N47" s="2">
        <f t="shared" si="4"/>
        <v>0</v>
      </c>
      <c r="O47" s="2">
        <f t="shared" si="4"/>
        <v>0</v>
      </c>
      <c r="P47" s="2">
        <f t="shared" si="4"/>
        <v>0</v>
      </c>
      <c r="Q47" s="2">
        <f t="shared" si="4"/>
        <v>0</v>
      </c>
      <c r="R47" s="2">
        <f t="shared" si="4"/>
        <v>0</v>
      </c>
      <c r="S47" s="2">
        <f t="shared" si="4"/>
        <v>0</v>
      </c>
      <c r="T47" s="2">
        <f t="shared" si="4"/>
        <v>0</v>
      </c>
      <c r="U47" s="2">
        <f t="shared" si="4"/>
        <v>0</v>
      </c>
      <c r="V47" s="2">
        <f t="shared" si="4"/>
        <v>0</v>
      </c>
      <c r="W47" s="2">
        <f t="shared" si="4"/>
        <v>0</v>
      </c>
      <c r="X47" s="2">
        <f t="shared" si="4"/>
        <v>0</v>
      </c>
      <c r="Y47" s="2">
        <f t="shared" si="4"/>
        <v>0</v>
      </c>
      <c r="Z47" s="2">
        <f t="shared" si="4"/>
        <v>0</v>
      </c>
      <c r="AA47" s="2">
        <f t="shared" si="4"/>
        <v>0</v>
      </c>
    </row>
    <row r="48" spans="1:27" x14ac:dyDescent="0.25">
      <c r="E48" s="2" t="str">
        <f t="shared" si="5"/>
        <v>Temporary Assets</v>
      </c>
      <c r="F48" t="s">
        <v>7</v>
      </c>
      <c r="G48" s="2">
        <f t="shared" si="4"/>
        <v>0</v>
      </c>
      <c r="H48" s="2">
        <f t="shared" si="4"/>
        <v>0</v>
      </c>
      <c r="I48" s="2">
        <f t="shared" si="4"/>
        <v>0</v>
      </c>
      <c r="J48" s="2">
        <f t="shared" si="4"/>
        <v>0</v>
      </c>
      <c r="K48" s="2">
        <f t="shared" si="4"/>
        <v>0</v>
      </c>
      <c r="L48" s="2">
        <f t="shared" si="4"/>
        <v>0</v>
      </c>
      <c r="M48" s="2">
        <f t="shared" si="4"/>
        <v>0</v>
      </c>
      <c r="N48" s="2">
        <f t="shared" si="4"/>
        <v>0</v>
      </c>
      <c r="O48" s="2">
        <f t="shared" si="4"/>
        <v>0</v>
      </c>
      <c r="P48" s="2">
        <f t="shared" si="4"/>
        <v>0</v>
      </c>
      <c r="Q48" s="2">
        <f t="shared" si="4"/>
        <v>0</v>
      </c>
      <c r="R48" s="2">
        <f t="shared" si="4"/>
        <v>0</v>
      </c>
      <c r="S48" s="2">
        <f t="shared" si="4"/>
        <v>0</v>
      </c>
      <c r="T48" s="2">
        <f t="shared" si="4"/>
        <v>0</v>
      </c>
      <c r="U48" s="2">
        <f t="shared" si="4"/>
        <v>0</v>
      </c>
      <c r="V48" s="2">
        <f t="shared" si="4"/>
        <v>0</v>
      </c>
      <c r="W48" s="2">
        <f t="shared" si="4"/>
        <v>0</v>
      </c>
      <c r="X48" s="2">
        <f t="shared" si="4"/>
        <v>0</v>
      </c>
      <c r="Y48" s="2">
        <f t="shared" si="4"/>
        <v>0</v>
      </c>
      <c r="Z48" s="2">
        <f t="shared" si="4"/>
        <v>0</v>
      </c>
      <c r="AA48" s="2">
        <f t="shared" si="4"/>
        <v>0</v>
      </c>
    </row>
    <row r="49" spans="1:27" x14ac:dyDescent="0.25">
      <c r="G49" s="2"/>
      <c r="H49" s="2"/>
      <c r="I49" s="2"/>
      <c r="J49" s="2"/>
      <c r="K49" s="2"/>
      <c r="L49" s="2"/>
      <c r="M49" s="2"/>
      <c r="N49" s="2"/>
      <c r="O49" s="2"/>
      <c r="P49" s="2"/>
      <c r="Q49" s="2"/>
    </row>
    <row r="50" spans="1:27" x14ac:dyDescent="0.25">
      <c r="D50" t="s">
        <v>135</v>
      </c>
      <c r="F50" t="s">
        <v>7</v>
      </c>
      <c r="G50" s="2">
        <f>SUM($G$45:G48)</f>
        <v>0</v>
      </c>
      <c r="H50" s="2">
        <f>SUM($G$45:H48)</f>
        <v>163348.65555555554</v>
      </c>
      <c r="I50" s="2">
        <f>SUM($G$45:I48)</f>
        <v>370748.08384444437</v>
      </c>
      <c r="J50" s="2">
        <f>SUM($G$45:J48)</f>
        <v>628554.19187806756</v>
      </c>
      <c r="K50" s="2">
        <f>SUM($G$45:K48)</f>
        <v>925506.08332866756</v>
      </c>
      <c r="L50" s="2">
        <f>SUM($G$45:L48)</f>
        <v>1259984.4312022482</v>
      </c>
      <c r="M50" s="2">
        <f>SUM($G$45:M48)</f>
        <v>1630738.3193593484</v>
      </c>
      <c r="N50" s="2">
        <f>SUM($G$45:N48)</f>
        <v>2036445.100807989</v>
      </c>
      <c r="O50" s="2">
        <f>SUM($G$45:O48)</f>
        <v>2476048.8457695479</v>
      </c>
      <c r="P50" s="2">
        <f>SUM($G$45:P48)</f>
        <v>2991999.0579749765</v>
      </c>
      <c r="Q50" s="2">
        <f>SUM($G$45:Q48)</f>
        <v>3594652.0119981812</v>
      </c>
      <c r="R50" s="2">
        <f>SUM($G$45:R48)</f>
        <v>4243647.0288317185</v>
      </c>
      <c r="S50" s="2">
        <f>SUM($G$45:S48)</f>
        <v>4944627.0743902735</v>
      </c>
      <c r="T50" s="2">
        <f>SUM($G$45:T48)</f>
        <v>5701160.5346225686</v>
      </c>
      <c r="U50" s="2">
        <f>SUM($G$45:U48)</f>
        <v>6470189.3718717825</v>
      </c>
      <c r="V50" s="2">
        <f>SUM($G$45:V48)</f>
        <v>7251575.45190199</v>
      </c>
      <c r="W50" s="2">
        <f>SUM($G$45:W48)</f>
        <v>7251575.45190199</v>
      </c>
      <c r="X50" s="2">
        <f>SUM($G$45:X48)</f>
        <v>7251575.45190199</v>
      </c>
      <c r="Y50" s="2">
        <f>SUM($G$45:Y48)</f>
        <v>7251575.45190199</v>
      </c>
      <c r="Z50" s="2">
        <f>SUM($G$45:Z48)</f>
        <v>7251575.45190199</v>
      </c>
      <c r="AA50" s="2">
        <f>SUM($G$45:AA48)</f>
        <v>7251575.45190199</v>
      </c>
    </row>
    <row r="51" spans="1:27" x14ac:dyDescent="0.25">
      <c r="G51" s="2"/>
      <c r="H51" s="2"/>
      <c r="I51" s="2"/>
      <c r="J51" s="2"/>
      <c r="K51" s="2"/>
      <c r="L51" s="2"/>
      <c r="M51" s="2"/>
      <c r="N51" s="2"/>
      <c r="O51" s="2"/>
      <c r="P51" s="2"/>
      <c r="Q51" s="2"/>
      <c r="R51" s="2"/>
      <c r="S51" s="2"/>
      <c r="T51" s="2"/>
      <c r="U51" s="2"/>
      <c r="V51" s="2"/>
      <c r="W51" s="2"/>
      <c r="X51" s="2"/>
      <c r="Y51" s="2"/>
      <c r="Z51" s="2"/>
      <c r="AA51" s="2"/>
    </row>
    <row r="52" spans="1:27" x14ac:dyDescent="0.25">
      <c r="A52" s="14">
        <f>'Notes &amp; Assumptions'!A25</f>
        <v>12</v>
      </c>
      <c r="C52" s="1" t="s">
        <v>109</v>
      </c>
      <c r="G52" s="2"/>
      <c r="H52" s="2"/>
      <c r="I52" s="2"/>
      <c r="J52" s="2"/>
      <c r="K52" s="2"/>
      <c r="L52" s="2"/>
      <c r="M52" s="2"/>
      <c r="N52" s="2"/>
      <c r="O52" s="2"/>
      <c r="P52" s="2"/>
      <c r="Q52" s="2"/>
      <c r="R52" s="2"/>
      <c r="S52" s="2"/>
      <c r="T52" s="2"/>
      <c r="U52" s="2"/>
      <c r="V52" s="2"/>
      <c r="W52" s="2"/>
      <c r="X52" s="2"/>
      <c r="Y52" s="2"/>
      <c r="Z52" s="2"/>
      <c r="AA52" s="2"/>
    </row>
    <row r="53" spans="1:27" x14ac:dyDescent="0.25">
      <c r="E53" t="s">
        <v>109</v>
      </c>
      <c r="F53" t="s">
        <v>7</v>
      </c>
      <c r="G53" s="10"/>
      <c r="H53" s="10"/>
      <c r="I53" s="10"/>
      <c r="J53" s="10"/>
      <c r="K53" s="10"/>
      <c r="L53" s="10"/>
      <c r="M53" s="10"/>
      <c r="N53" s="10"/>
      <c r="O53" s="10"/>
      <c r="P53" s="10"/>
      <c r="Q53" s="10"/>
      <c r="R53" s="10"/>
      <c r="S53" s="10"/>
      <c r="T53" s="10"/>
      <c r="U53" s="10"/>
      <c r="V53" s="10"/>
      <c r="W53" s="10"/>
      <c r="X53" s="10"/>
      <c r="Y53" s="10"/>
      <c r="Z53" s="10"/>
      <c r="AA53" s="10"/>
    </row>
    <row r="55" spans="1:27" x14ac:dyDescent="0.25">
      <c r="C55" s="1" t="s">
        <v>25</v>
      </c>
      <c r="D55" s="1"/>
    </row>
    <row r="56" spans="1:27" x14ac:dyDescent="0.25">
      <c r="A56" s="14">
        <f>'Notes &amp; Assumptions'!A26</f>
        <v>13</v>
      </c>
      <c r="D56" t="s">
        <v>2</v>
      </c>
    </row>
    <row r="57" spans="1:27" x14ac:dyDescent="0.25">
      <c r="E57" s="2" t="str">
        <f>E7</f>
        <v>Pipes</v>
      </c>
      <c r="F57" t="s">
        <v>7</v>
      </c>
      <c r="G57" s="10"/>
      <c r="H57" s="10"/>
      <c r="I57" s="10"/>
      <c r="J57" s="10"/>
      <c r="K57" s="10"/>
      <c r="L57" s="10"/>
      <c r="M57" s="10"/>
      <c r="N57" s="10"/>
      <c r="O57" s="10"/>
      <c r="P57" s="10"/>
      <c r="Q57" s="10"/>
      <c r="R57" s="10"/>
      <c r="S57" s="10"/>
      <c r="T57" s="10"/>
      <c r="U57" s="10"/>
      <c r="V57" s="10"/>
      <c r="W57" s="10"/>
      <c r="X57" s="10"/>
      <c r="Y57" s="10"/>
      <c r="Z57" s="10"/>
      <c r="AA57" s="10"/>
    </row>
    <row r="58" spans="1:27" x14ac:dyDescent="0.25">
      <c r="E58" s="2" t="str">
        <f>E8</f>
        <v>Pumps</v>
      </c>
      <c r="F58" t="s">
        <v>7</v>
      </c>
      <c r="G58" s="10"/>
      <c r="H58" s="10"/>
      <c r="I58" s="10"/>
      <c r="J58" s="10"/>
      <c r="K58" s="10"/>
      <c r="L58" s="10"/>
      <c r="M58" s="10"/>
      <c r="N58" s="10"/>
      <c r="O58" s="10"/>
      <c r="P58" s="10"/>
      <c r="Q58" s="10"/>
      <c r="R58" s="10"/>
      <c r="S58" s="10"/>
      <c r="T58" s="10"/>
      <c r="U58" s="10"/>
      <c r="V58" s="10"/>
      <c r="W58" s="10"/>
      <c r="X58" s="10"/>
      <c r="Y58" s="10"/>
      <c r="Z58" s="10"/>
      <c r="AA58" s="10"/>
    </row>
    <row r="59" spans="1:27" x14ac:dyDescent="0.25">
      <c r="E59" s="2" t="str">
        <f>E9</f>
        <v>Valves and Meters</v>
      </c>
      <c r="F59" t="s">
        <v>7</v>
      </c>
      <c r="G59" s="10"/>
      <c r="H59" s="10"/>
      <c r="I59" s="10"/>
      <c r="J59" s="10"/>
      <c r="K59" s="10"/>
      <c r="L59" s="10"/>
      <c r="M59" s="10"/>
      <c r="N59" s="10"/>
      <c r="O59" s="10"/>
      <c r="P59" s="10"/>
      <c r="Q59" s="10"/>
      <c r="R59" s="10"/>
      <c r="S59" s="10"/>
      <c r="T59" s="10"/>
      <c r="U59" s="10"/>
      <c r="V59" s="10"/>
      <c r="W59" s="10"/>
      <c r="X59" s="10"/>
      <c r="Y59" s="10"/>
      <c r="Z59" s="10"/>
      <c r="AA59" s="10"/>
    </row>
    <row r="60" spans="1:27" x14ac:dyDescent="0.25">
      <c r="E60" t="s">
        <v>131</v>
      </c>
      <c r="F60" t="s">
        <v>7</v>
      </c>
      <c r="G60" s="10"/>
      <c r="H60" s="10"/>
      <c r="I60" s="10"/>
      <c r="J60" s="10"/>
      <c r="K60" s="10"/>
      <c r="L60" s="10"/>
      <c r="M60" s="10"/>
      <c r="N60" s="10"/>
      <c r="O60" s="10"/>
      <c r="P60" s="10"/>
      <c r="Q60" s="10"/>
      <c r="R60" s="10"/>
      <c r="S60" s="10"/>
      <c r="T60" s="10"/>
      <c r="U60" s="10"/>
      <c r="V60" s="10"/>
      <c r="W60" s="10"/>
      <c r="X60" s="10"/>
      <c r="Y60" s="10"/>
      <c r="Z60" s="10"/>
      <c r="AA60" s="10"/>
    </row>
    <row r="61" spans="1:27" x14ac:dyDescent="0.25">
      <c r="G61" s="2">
        <f>SUM(G57:G60)</f>
        <v>0</v>
      </c>
      <c r="H61" s="2">
        <f t="shared" ref="H61:AA61" si="6">SUM(H57:H60)</f>
        <v>0</v>
      </c>
      <c r="I61" s="2">
        <f t="shared" si="6"/>
        <v>0</v>
      </c>
      <c r="J61" s="2">
        <f t="shared" si="6"/>
        <v>0</v>
      </c>
      <c r="K61" s="2">
        <f t="shared" si="6"/>
        <v>0</v>
      </c>
      <c r="L61" s="2">
        <f t="shared" si="6"/>
        <v>0</v>
      </c>
      <c r="M61" s="2">
        <f t="shared" si="6"/>
        <v>0</v>
      </c>
      <c r="N61" s="2">
        <f t="shared" si="6"/>
        <v>0</v>
      </c>
      <c r="O61" s="2">
        <f t="shared" si="6"/>
        <v>0</v>
      </c>
      <c r="P61" s="2">
        <f t="shared" si="6"/>
        <v>0</v>
      </c>
      <c r="Q61" s="2">
        <f t="shared" si="6"/>
        <v>0</v>
      </c>
      <c r="R61" s="2">
        <f t="shared" si="6"/>
        <v>0</v>
      </c>
      <c r="S61" s="2">
        <f t="shared" si="6"/>
        <v>0</v>
      </c>
      <c r="T61" s="2">
        <f t="shared" si="6"/>
        <v>0</v>
      </c>
      <c r="U61" s="2">
        <f t="shared" si="6"/>
        <v>0</v>
      </c>
      <c r="V61" s="2">
        <f t="shared" si="6"/>
        <v>0</v>
      </c>
      <c r="W61" s="2">
        <f t="shared" si="6"/>
        <v>0</v>
      </c>
      <c r="X61" s="2">
        <f t="shared" si="6"/>
        <v>0</v>
      </c>
      <c r="Y61" s="2">
        <f t="shared" si="6"/>
        <v>0</v>
      </c>
      <c r="Z61" s="2">
        <f t="shared" si="6"/>
        <v>0</v>
      </c>
      <c r="AA61" s="2">
        <f t="shared" si="6"/>
        <v>0</v>
      </c>
    </row>
    <row r="63" spans="1:27" x14ac:dyDescent="0.25">
      <c r="D63" t="s">
        <v>136</v>
      </c>
      <c r="G63" s="2"/>
      <c r="H63" s="2"/>
      <c r="I63" s="2"/>
      <c r="J63" s="2"/>
      <c r="K63" s="2"/>
      <c r="L63" s="2"/>
      <c r="M63" s="2"/>
      <c r="N63" s="2"/>
      <c r="O63" s="2"/>
      <c r="P63" s="2"/>
      <c r="Q63" s="2"/>
    </row>
    <row r="64" spans="1:27" x14ac:dyDescent="0.25">
      <c r="E64" s="2" t="str">
        <f>E57</f>
        <v>Pipes</v>
      </c>
      <c r="F64" t="s">
        <v>7</v>
      </c>
      <c r="G64" s="2">
        <f t="shared" ref="G64:AA66" si="7">G57/$G7+IF((G$2-$G7+1)&gt;0,-INDEX($G57:$AA57,1,(G$2-$G7+1))/$G7,0)</f>
        <v>0</v>
      </c>
      <c r="H64" s="2">
        <f t="shared" si="7"/>
        <v>0</v>
      </c>
      <c r="I64" s="2">
        <f t="shared" si="7"/>
        <v>0</v>
      </c>
      <c r="J64" s="2">
        <f t="shared" si="7"/>
        <v>0</v>
      </c>
      <c r="K64" s="2">
        <f t="shared" si="7"/>
        <v>0</v>
      </c>
      <c r="L64" s="2">
        <f t="shared" si="7"/>
        <v>0</v>
      </c>
      <c r="M64" s="2">
        <f t="shared" si="7"/>
        <v>0</v>
      </c>
      <c r="N64" s="2">
        <f t="shared" si="7"/>
        <v>0</v>
      </c>
      <c r="O64" s="2">
        <f t="shared" si="7"/>
        <v>0</v>
      </c>
      <c r="P64" s="2">
        <f t="shared" si="7"/>
        <v>0</v>
      </c>
      <c r="Q64" s="2">
        <f t="shared" si="7"/>
        <v>0</v>
      </c>
      <c r="R64" s="2">
        <f t="shared" si="7"/>
        <v>0</v>
      </c>
      <c r="S64" s="2">
        <f t="shared" si="7"/>
        <v>0</v>
      </c>
      <c r="T64" s="2">
        <f t="shared" si="7"/>
        <v>0</v>
      </c>
      <c r="U64" s="2">
        <f t="shared" si="7"/>
        <v>0</v>
      </c>
      <c r="V64" s="2">
        <f t="shared" si="7"/>
        <v>0</v>
      </c>
      <c r="W64" s="2">
        <f t="shared" si="7"/>
        <v>0</v>
      </c>
      <c r="X64" s="2">
        <f t="shared" si="7"/>
        <v>0</v>
      </c>
      <c r="Y64" s="2">
        <f t="shared" si="7"/>
        <v>0</v>
      </c>
      <c r="Z64" s="2">
        <f t="shared" si="7"/>
        <v>0</v>
      </c>
      <c r="AA64" s="2">
        <f t="shared" si="7"/>
        <v>0</v>
      </c>
    </row>
    <row r="65" spans="1:27" x14ac:dyDescent="0.25">
      <c r="E65" s="2" t="str">
        <f t="shared" ref="E65:E66" si="8">E58</f>
        <v>Pumps</v>
      </c>
      <c r="F65" t="s">
        <v>7</v>
      </c>
      <c r="G65" s="2">
        <f t="shared" si="7"/>
        <v>0</v>
      </c>
      <c r="H65" s="2">
        <f t="shared" si="7"/>
        <v>0</v>
      </c>
      <c r="I65" s="2">
        <f t="shared" si="7"/>
        <v>0</v>
      </c>
      <c r="J65" s="2">
        <f t="shared" si="7"/>
        <v>0</v>
      </c>
      <c r="K65" s="2">
        <f t="shared" si="7"/>
        <v>0</v>
      </c>
      <c r="L65" s="2">
        <f t="shared" si="7"/>
        <v>0</v>
      </c>
      <c r="M65" s="2">
        <f t="shared" si="7"/>
        <v>0</v>
      </c>
      <c r="N65" s="2">
        <f t="shared" si="7"/>
        <v>0</v>
      </c>
      <c r="O65" s="2">
        <f t="shared" si="7"/>
        <v>0</v>
      </c>
      <c r="P65" s="2">
        <f t="shared" si="7"/>
        <v>0</v>
      </c>
      <c r="Q65" s="2">
        <f t="shared" si="7"/>
        <v>0</v>
      </c>
      <c r="R65" s="2">
        <f t="shared" si="7"/>
        <v>0</v>
      </c>
      <c r="S65" s="2">
        <f t="shared" si="7"/>
        <v>0</v>
      </c>
      <c r="T65" s="2">
        <f t="shared" si="7"/>
        <v>0</v>
      </c>
      <c r="U65" s="2">
        <f t="shared" si="7"/>
        <v>0</v>
      </c>
      <c r="V65" s="2">
        <f t="shared" si="7"/>
        <v>0</v>
      </c>
      <c r="W65" s="2">
        <f t="shared" si="7"/>
        <v>0</v>
      </c>
      <c r="X65" s="2">
        <f t="shared" si="7"/>
        <v>0</v>
      </c>
      <c r="Y65" s="2">
        <f t="shared" si="7"/>
        <v>0</v>
      </c>
      <c r="Z65" s="2">
        <f t="shared" si="7"/>
        <v>0</v>
      </c>
      <c r="AA65" s="2">
        <f t="shared" si="7"/>
        <v>0</v>
      </c>
    </row>
    <row r="66" spans="1:27" x14ac:dyDescent="0.25">
      <c r="E66" s="2" t="str">
        <f t="shared" si="8"/>
        <v>Valves and Meters</v>
      </c>
      <c r="F66" t="s">
        <v>7</v>
      </c>
      <c r="G66" s="2">
        <f t="shared" si="7"/>
        <v>0</v>
      </c>
      <c r="H66" s="2">
        <f t="shared" si="7"/>
        <v>0</v>
      </c>
      <c r="I66" s="2">
        <f t="shared" si="7"/>
        <v>0</v>
      </c>
      <c r="J66" s="2">
        <f t="shared" si="7"/>
        <v>0</v>
      </c>
      <c r="K66" s="2">
        <f t="shared" si="7"/>
        <v>0</v>
      </c>
      <c r="L66" s="2">
        <f t="shared" si="7"/>
        <v>0</v>
      </c>
      <c r="M66" s="2">
        <f t="shared" si="7"/>
        <v>0</v>
      </c>
      <c r="N66" s="2">
        <f t="shared" si="7"/>
        <v>0</v>
      </c>
      <c r="O66" s="2">
        <f t="shared" si="7"/>
        <v>0</v>
      </c>
      <c r="P66" s="2">
        <f t="shared" si="7"/>
        <v>0</v>
      </c>
      <c r="Q66" s="2">
        <f t="shared" si="7"/>
        <v>0</v>
      </c>
      <c r="R66" s="2">
        <f t="shared" si="7"/>
        <v>0</v>
      </c>
      <c r="S66" s="2">
        <f t="shared" si="7"/>
        <v>0</v>
      </c>
      <c r="T66" s="2">
        <f t="shared" si="7"/>
        <v>0</v>
      </c>
      <c r="U66" s="2">
        <f t="shared" si="7"/>
        <v>0</v>
      </c>
      <c r="V66" s="2">
        <f t="shared" si="7"/>
        <v>0</v>
      </c>
      <c r="W66" s="2">
        <f t="shared" si="7"/>
        <v>0</v>
      </c>
      <c r="X66" s="2">
        <f t="shared" si="7"/>
        <v>0</v>
      </c>
      <c r="Y66" s="2">
        <f t="shared" si="7"/>
        <v>0</v>
      </c>
      <c r="Z66" s="2">
        <f t="shared" si="7"/>
        <v>0</v>
      </c>
      <c r="AA66" s="2">
        <f t="shared" si="7"/>
        <v>0</v>
      </c>
    </row>
    <row r="68" spans="1:27" x14ac:dyDescent="0.25">
      <c r="D68" t="s">
        <v>137</v>
      </c>
      <c r="F68" t="s">
        <v>7</v>
      </c>
      <c r="G68" s="2">
        <f>SUM($G$64:G66)</f>
        <v>0</v>
      </c>
      <c r="H68" s="2">
        <f>SUM($G$64:H66)</f>
        <v>0</v>
      </c>
      <c r="I68" s="2">
        <f>SUM($G$64:I66)</f>
        <v>0</v>
      </c>
      <c r="J68" s="2">
        <f>SUM($G$64:J66)</f>
        <v>0</v>
      </c>
      <c r="K68" s="2">
        <f>SUM($G$64:K66)</f>
        <v>0</v>
      </c>
      <c r="L68" s="2">
        <f>SUM($G$64:L66)</f>
        <v>0</v>
      </c>
      <c r="M68" s="2">
        <f>SUM($G$64:M66)</f>
        <v>0</v>
      </c>
      <c r="N68" s="2">
        <f>SUM($G$64:N66)</f>
        <v>0</v>
      </c>
      <c r="O68" s="2">
        <f>SUM($G$64:O66)</f>
        <v>0</v>
      </c>
      <c r="P68" s="2">
        <f>SUM($G$64:P66)</f>
        <v>0</v>
      </c>
      <c r="Q68" s="2">
        <f>SUM($G$64:Q66)</f>
        <v>0</v>
      </c>
      <c r="R68" s="2">
        <f>SUM($G$64:R66)</f>
        <v>0</v>
      </c>
      <c r="S68" s="2">
        <f>SUM($G$64:S66)</f>
        <v>0</v>
      </c>
      <c r="T68" s="2">
        <f>SUM($G$64:T66)</f>
        <v>0</v>
      </c>
      <c r="U68" s="2">
        <f>SUM($G$64:U66)</f>
        <v>0</v>
      </c>
      <c r="V68" s="2">
        <f>SUM($G$64:V66)</f>
        <v>0</v>
      </c>
      <c r="W68" s="2">
        <f>SUM($G$64:W66)</f>
        <v>0</v>
      </c>
      <c r="X68" s="2">
        <f>SUM($G$64:X66)</f>
        <v>0</v>
      </c>
      <c r="Y68" s="2">
        <f>SUM($G$64:Y66)</f>
        <v>0</v>
      </c>
      <c r="Z68" s="2">
        <f>SUM($G$64:Z66)</f>
        <v>0</v>
      </c>
      <c r="AA68" s="2">
        <f>SUM($G$64:AA66)</f>
        <v>0</v>
      </c>
    </row>
    <row r="70" spans="1:27" x14ac:dyDescent="0.25">
      <c r="A70" s="14">
        <f>'Notes &amp; Assumptions'!A27</f>
        <v>14</v>
      </c>
      <c r="D70" t="s">
        <v>6</v>
      </c>
    </row>
    <row r="71" spans="1:27" x14ac:dyDescent="0.25">
      <c r="E71" s="2" t="str">
        <f>E7</f>
        <v>Pipes</v>
      </c>
      <c r="F71" t="s">
        <v>7</v>
      </c>
      <c r="G71" s="10"/>
      <c r="H71" s="10"/>
      <c r="I71" s="10"/>
      <c r="J71" s="10"/>
      <c r="K71" s="10"/>
      <c r="L71" s="10"/>
      <c r="M71" s="10"/>
      <c r="N71" s="10"/>
      <c r="O71" s="10"/>
      <c r="P71" s="10"/>
      <c r="Q71" s="10"/>
      <c r="R71" s="10"/>
      <c r="S71" s="10"/>
      <c r="T71" s="10"/>
      <c r="U71" s="10"/>
      <c r="V71" s="10"/>
      <c r="W71" s="10"/>
      <c r="X71" s="10"/>
      <c r="Y71" s="10"/>
      <c r="Z71" s="10"/>
      <c r="AA71" s="10"/>
    </row>
    <row r="72" spans="1:27" x14ac:dyDescent="0.25">
      <c r="E72" s="2" t="str">
        <f>E8</f>
        <v>Pumps</v>
      </c>
      <c r="F72" t="s">
        <v>7</v>
      </c>
      <c r="G72" s="10"/>
      <c r="H72" s="10"/>
      <c r="I72" s="10"/>
      <c r="J72" s="10"/>
      <c r="K72" s="10"/>
      <c r="L72" s="10"/>
      <c r="M72" s="10"/>
      <c r="N72" s="10"/>
      <c r="O72" s="10"/>
      <c r="P72" s="10"/>
      <c r="Q72" s="10"/>
      <c r="R72" s="10"/>
      <c r="S72" s="10"/>
      <c r="T72" s="10"/>
      <c r="U72" s="10"/>
      <c r="V72" s="10"/>
      <c r="W72" s="10"/>
      <c r="X72" s="10"/>
      <c r="Y72" s="10"/>
      <c r="Z72" s="10"/>
      <c r="AA72" s="10"/>
    </row>
    <row r="73" spans="1:27" x14ac:dyDescent="0.25">
      <c r="E73" s="2" t="str">
        <f>E9</f>
        <v>Valves and Meters</v>
      </c>
      <c r="F73" t="s">
        <v>7</v>
      </c>
      <c r="G73" s="10"/>
      <c r="H73" s="10"/>
      <c r="I73" s="10"/>
      <c r="J73" s="10"/>
      <c r="K73" s="10"/>
      <c r="L73" s="10"/>
      <c r="M73" s="10"/>
      <c r="N73" s="10"/>
      <c r="O73" s="10"/>
      <c r="P73" s="10"/>
      <c r="Q73" s="10"/>
      <c r="R73" s="10"/>
      <c r="S73" s="10"/>
      <c r="T73" s="10"/>
      <c r="U73" s="10"/>
      <c r="V73" s="10"/>
      <c r="W73" s="10"/>
      <c r="X73" s="10"/>
      <c r="Y73" s="10"/>
      <c r="Z73" s="10"/>
      <c r="AA73" s="10"/>
    </row>
    <row r="74" spans="1:27" x14ac:dyDescent="0.25">
      <c r="E74" t="s">
        <v>131</v>
      </c>
      <c r="F74" t="s">
        <v>7</v>
      </c>
      <c r="G74" s="10"/>
      <c r="H74" s="10"/>
      <c r="I74" s="10"/>
      <c r="J74" s="10"/>
      <c r="K74" s="10"/>
      <c r="L74" s="10"/>
      <c r="M74" s="10"/>
      <c r="N74" s="10"/>
      <c r="O74" s="10"/>
      <c r="P74" s="10"/>
      <c r="Q74" s="10"/>
      <c r="R74" s="10"/>
      <c r="S74" s="10"/>
      <c r="T74" s="10"/>
      <c r="U74" s="10"/>
      <c r="V74" s="10"/>
      <c r="W74" s="10"/>
      <c r="X74" s="10"/>
      <c r="Y74" s="10"/>
      <c r="Z74" s="10"/>
      <c r="AA74" s="10"/>
    </row>
    <row r="75" spans="1:27" x14ac:dyDescent="0.25">
      <c r="G75" s="2">
        <f>SUM(G71:G74)</f>
        <v>0</v>
      </c>
      <c r="H75" s="2">
        <f t="shared" ref="H75:AA75" si="9">SUM(H71:H74)</f>
        <v>0</v>
      </c>
      <c r="I75" s="2">
        <f t="shared" si="9"/>
        <v>0</v>
      </c>
      <c r="J75" s="2">
        <f t="shared" si="9"/>
        <v>0</v>
      </c>
      <c r="K75" s="2">
        <f t="shared" si="9"/>
        <v>0</v>
      </c>
      <c r="L75" s="2">
        <f t="shared" si="9"/>
        <v>0</v>
      </c>
      <c r="M75" s="2">
        <f t="shared" si="9"/>
        <v>0</v>
      </c>
      <c r="N75" s="2">
        <f t="shared" si="9"/>
        <v>0</v>
      </c>
      <c r="O75" s="2">
        <f t="shared" si="9"/>
        <v>0</v>
      </c>
      <c r="P75" s="2">
        <f t="shared" si="9"/>
        <v>0</v>
      </c>
      <c r="Q75" s="2">
        <f t="shared" si="9"/>
        <v>0</v>
      </c>
      <c r="R75" s="2">
        <f t="shared" si="9"/>
        <v>0</v>
      </c>
      <c r="S75" s="2">
        <f t="shared" si="9"/>
        <v>0</v>
      </c>
      <c r="T75" s="2">
        <f t="shared" si="9"/>
        <v>0</v>
      </c>
      <c r="U75" s="2">
        <f t="shared" si="9"/>
        <v>0</v>
      </c>
      <c r="V75" s="2">
        <f t="shared" si="9"/>
        <v>0</v>
      </c>
      <c r="W75" s="2">
        <f t="shared" si="9"/>
        <v>0</v>
      </c>
      <c r="X75" s="2">
        <f t="shared" si="9"/>
        <v>0</v>
      </c>
      <c r="Y75" s="2">
        <f t="shared" si="9"/>
        <v>0</v>
      </c>
      <c r="Z75" s="2">
        <f t="shared" si="9"/>
        <v>0</v>
      </c>
      <c r="AA75" s="2">
        <f t="shared" si="9"/>
        <v>0</v>
      </c>
    </row>
    <row r="76" spans="1:27" x14ac:dyDescent="0.25">
      <c r="G76" s="2"/>
      <c r="H76" s="2"/>
      <c r="I76" s="2"/>
      <c r="J76" s="2"/>
      <c r="K76" s="2"/>
      <c r="L76" s="2"/>
      <c r="M76" s="2"/>
      <c r="N76" s="2"/>
      <c r="O76" s="2"/>
      <c r="P76" s="2"/>
      <c r="Q76" s="2"/>
      <c r="R76" s="2"/>
      <c r="S76" s="2"/>
      <c r="T76" s="2"/>
      <c r="U76" s="2"/>
      <c r="V76" s="2"/>
      <c r="W76" s="2"/>
      <c r="X76" s="2"/>
      <c r="Y76" s="2"/>
      <c r="Z76" s="2"/>
      <c r="AA76" s="2"/>
    </row>
    <row r="77" spans="1:27" x14ac:dyDescent="0.25">
      <c r="D77" t="s">
        <v>136</v>
      </c>
      <c r="G77" s="2"/>
      <c r="H77" s="2"/>
      <c r="I77" s="2"/>
      <c r="J77" s="2"/>
      <c r="K77" s="2"/>
      <c r="L77" s="2"/>
      <c r="M77" s="2"/>
      <c r="N77" s="2"/>
      <c r="O77" s="2"/>
      <c r="P77" s="2"/>
      <c r="Q77" s="2"/>
    </row>
    <row r="78" spans="1:27" x14ac:dyDescent="0.25">
      <c r="E78" s="2" t="str">
        <f>E71</f>
        <v>Pipes</v>
      </c>
      <c r="F78" t="s">
        <v>7</v>
      </c>
      <c r="G78" s="2">
        <f t="shared" ref="G78:AA80" si="10">G71/$G7+IF((G$2-$G7+1)&gt;0,-INDEX($G71:$AA71,1,(G$2-$G7+1))/$G7,0)</f>
        <v>0</v>
      </c>
      <c r="H78" s="2">
        <f t="shared" si="10"/>
        <v>0</v>
      </c>
      <c r="I78" s="2">
        <f t="shared" si="10"/>
        <v>0</v>
      </c>
      <c r="J78" s="2">
        <f t="shared" si="10"/>
        <v>0</v>
      </c>
      <c r="K78" s="2">
        <f t="shared" si="10"/>
        <v>0</v>
      </c>
      <c r="L78" s="2">
        <f t="shared" si="10"/>
        <v>0</v>
      </c>
      <c r="M78" s="2">
        <f t="shared" si="10"/>
        <v>0</v>
      </c>
      <c r="N78" s="2">
        <f t="shared" si="10"/>
        <v>0</v>
      </c>
      <c r="O78" s="2">
        <f t="shared" si="10"/>
        <v>0</v>
      </c>
      <c r="P78" s="2">
        <f t="shared" si="10"/>
        <v>0</v>
      </c>
      <c r="Q78" s="2">
        <f t="shared" si="10"/>
        <v>0</v>
      </c>
      <c r="R78" s="2">
        <f t="shared" si="10"/>
        <v>0</v>
      </c>
      <c r="S78" s="2">
        <f t="shared" si="10"/>
        <v>0</v>
      </c>
      <c r="T78" s="2">
        <f t="shared" si="10"/>
        <v>0</v>
      </c>
      <c r="U78" s="2">
        <f t="shared" si="10"/>
        <v>0</v>
      </c>
      <c r="V78" s="2">
        <f t="shared" si="10"/>
        <v>0</v>
      </c>
      <c r="W78" s="2">
        <f t="shared" si="10"/>
        <v>0</v>
      </c>
      <c r="X78" s="2">
        <f t="shared" si="10"/>
        <v>0</v>
      </c>
      <c r="Y78" s="2">
        <f t="shared" si="10"/>
        <v>0</v>
      </c>
      <c r="Z78" s="2">
        <f t="shared" si="10"/>
        <v>0</v>
      </c>
      <c r="AA78" s="2">
        <f t="shared" si="10"/>
        <v>0</v>
      </c>
    </row>
    <row r="79" spans="1:27" x14ac:dyDescent="0.25">
      <c r="E79" s="2" t="str">
        <f t="shared" ref="E79:E80" si="11">E72</f>
        <v>Pumps</v>
      </c>
      <c r="F79" t="s">
        <v>7</v>
      </c>
      <c r="G79" s="2">
        <f t="shared" si="10"/>
        <v>0</v>
      </c>
      <c r="H79" s="2">
        <f t="shared" si="10"/>
        <v>0</v>
      </c>
      <c r="I79" s="2">
        <f t="shared" si="10"/>
        <v>0</v>
      </c>
      <c r="J79" s="2">
        <f t="shared" si="10"/>
        <v>0</v>
      </c>
      <c r="K79" s="2">
        <f t="shared" si="10"/>
        <v>0</v>
      </c>
      <c r="L79" s="2">
        <f t="shared" si="10"/>
        <v>0</v>
      </c>
      <c r="M79" s="2">
        <f t="shared" si="10"/>
        <v>0</v>
      </c>
      <c r="N79" s="2">
        <f t="shared" si="10"/>
        <v>0</v>
      </c>
      <c r="O79" s="2">
        <f t="shared" si="10"/>
        <v>0</v>
      </c>
      <c r="P79" s="2">
        <f t="shared" si="10"/>
        <v>0</v>
      </c>
      <c r="Q79" s="2">
        <f t="shared" si="10"/>
        <v>0</v>
      </c>
      <c r="R79" s="2">
        <f t="shared" si="10"/>
        <v>0</v>
      </c>
      <c r="S79" s="2">
        <f t="shared" si="10"/>
        <v>0</v>
      </c>
      <c r="T79" s="2">
        <f t="shared" si="10"/>
        <v>0</v>
      </c>
      <c r="U79" s="2">
        <f t="shared" si="10"/>
        <v>0</v>
      </c>
      <c r="V79" s="2">
        <f t="shared" si="10"/>
        <v>0</v>
      </c>
      <c r="W79" s="2">
        <f t="shared" si="10"/>
        <v>0</v>
      </c>
      <c r="X79" s="2">
        <f t="shared" si="10"/>
        <v>0</v>
      </c>
      <c r="Y79" s="2">
        <f t="shared" si="10"/>
        <v>0</v>
      </c>
      <c r="Z79" s="2">
        <f t="shared" si="10"/>
        <v>0</v>
      </c>
      <c r="AA79" s="2">
        <f t="shared" si="10"/>
        <v>0</v>
      </c>
    </row>
    <row r="80" spans="1:27" x14ac:dyDescent="0.25">
      <c r="E80" s="2" t="str">
        <f t="shared" si="11"/>
        <v>Valves and Meters</v>
      </c>
      <c r="F80" t="s">
        <v>7</v>
      </c>
      <c r="G80" s="2">
        <f t="shared" si="10"/>
        <v>0</v>
      </c>
      <c r="H80" s="2">
        <f t="shared" si="10"/>
        <v>0</v>
      </c>
      <c r="I80" s="2">
        <f t="shared" si="10"/>
        <v>0</v>
      </c>
      <c r="J80" s="2">
        <f t="shared" si="10"/>
        <v>0</v>
      </c>
      <c r="K80" s="2">
        <f t="shared" si="10"/>
        <v>0</v>
      </c>
      <c r="L80" s="2">
        <f t="shared" si="10"/>
        <v>0</v>
      </c>
      <c r="M80" s="2">
        <f t="shared" si="10"/>
        <v>0</v>
      </c>
      <c r="N80" s="2">
        <f t="shared" si="10"/>
        <v>0</v>
      </c>
      <c r="O80" s="2">
        <f t="shared" si="10"/>
        <v>0</v>
      </c>
      <c r="P80" s="2">
        <f t="shared" si="10"/>
        <v>0</v>
      </c>
      <c r="Q80" s="2">
        <f t="shared" si="10"/>
        <v>0</v>
      </c>
      <c r="R80" s="2">
        <f t="shared" si="10"/>
        <v>0</v>
      </c>
      <c r="S80" s="2">
        <f t="shared" si="10"/>
        <v>0</v>
      </c>
      <c r="T80" s="2">
        <f t="shared" si="10"/>
        <v>0</v>
      </c>
      <c r="U80" s="2">
        <f t="shared" si="10"/>
        <v>0</v>
      </c>
      <c r="V80" s="2">
        <f t="shared" si="10"/>
        <v>0</v>
      </c>
      <c r="W80" s="2">
        <f t="shared" si="10"/>
        <v>0</v>
      </c>
      <c r="X80" s="2">
        <f t="shared" si="10"/>
        <v>0</v>
      </c>
      <c r="Y80" s="2">
        <f t="shared" si="10"/>
        <v>0</v>
      </c>
      <c r="Z80" s="2">
        <f t="shared" si="10"/>
        <v>0</v>
      </c>
      <c r="AA80" s="2">
        <f t="shared" si="10"/>
        <v>0</v>
      </c>
    </row>
    <row r="82" spans="1:27" x14ac:dyDescent="0.25">
      <c r="D82" t="s">
        <v>137</v>
      </c>
      <c r="F82" t="s">
        <v>7</v>
      </c>
      <c r="G82" s="2">
        <f>SUM($G$77:G80)</f>
        <v>0</v>
      </c>
      <c r="H82" s="2">
        <f>SUM($G$77:H80)</f>
        <v>0</v>
      </c>
      <c r="I82" s="2">
        <f>SUM($G$77:I80)</f>
        <v>0</v>
      </c>
      <c r="J82" s="2">
        <f>SUM($G$77:J80)</f>
        <v>0</v>
      </c>
      <c r="K82" s="2">
        <f>SUM($G$77:K80)</f>
        <v>0</v>
      </c>
      <c r="L82" s="2">
        <f>SUM($G$77:L80)</f>
        <v>0</v>
      </c>
      <c r="M82" s="2">
        <f>SUM($G$77:M80)</f>
        <v>0</v>
      </c>
      <c r="N82" s="2">
        <f>SUM($G$77:N80)</f>
        <v>0</v>
      </c>
      <c r="O82" s="2">
        <f>SUM($G$77:O80)</f>
        <v>0</v>
      </c>
      <c r="P82" s="2">
        <f>SUM($G$77:P80)</f>
        <v>0</v>
      </c>
      <c r="Q82" s="2">
        <f>SUM($G$77:Q80)</f>
        <v>0</v>
      </c>
      <c r="R82" s="2">
        <f>SUM($G$77:R80)</f>
        <v>0</v>
      </c>
      <c r="S82" s="2">
        <f>SUM($G$77:S80)</f>
        <v>0</v>
      </c>
      <c r="T82" s="2">
        <f>SUM($G$77:T80)</f>
        <v>0</v>
      </c>
      <c r="U82" s="2">
        <f>SUM($G$77:U80)</f>
        <v>0</v>
      </c>
      <c r="V82" s="2">
        <f>SUM($G$77:V80)</f>
        <v>0</v>
      </c>
      <c r="W82" s="2">
        <f>SUM($G$77:W80)</f>
        <v>0</v>
      </c>
      <c r="X82" s="2">
        <f>SUM($G$77:X80)</f>
        <v>0</v>
      </c>
      <c r="Y82" s="2">
        <f>SUM($G$77:Y80)</f>
        <v>0</v>
      </c>
      <c r="Z82" s="2">
        <f>SUM($G$77:Z80)</f>
        <v>0</v>
      </c>
      <c r="AA82" s="2">
        <f>SUM($G$77:AA80)</f>
        <v>0</v>
      </c>
    </row>
    <row r="83" spans="1:27" x14ac:dyDescent="0.25">
      <c r="G83" s="2"/>
      <c r="H83" s="2"/>
      <c r="I83" s="2"/>
      <c r="J83" s="2"/>
      <c r="K83" s="2"/>
      <c r="L83" s="2"/>
      <c r="M83" s="2"/>
      <c r="N83" s="2"/>
      <c r="O83" s="2"/>
      <c r="P83" s="2"/>
      <c r="Q83" s="2"/>
      <c r="R83" s="2"/>
      <c r="S83" s="2"/>
      <c r="T83" s="2"/>
      <c r="U83" s="2"/>
      <c r="V83" s="2"/>
      <c r="W83" s="2"/>
      <c r="X83" s="2"/>
      <c r="Y83" s="2"/>
      <c r="Z83" s="2"/>
      <c r="AA83" s="2"/>
    </row>
    <row r="84" spans="1:27" x14ac:dyDescent="0.25">
      <c r="D84" t="s">
        <v>138</v>
      </c>
      <c r="F84" t="s">
        <v>7</v>
      </c>
      <c r="G84" s="2">
        <f t="shared" ref="G84:AA84" si="12">G61-G75</f>
        <v>0</v>
      </c>
      <c r="H84" s="2">
        <f t="shared" si="12"/>
        <v>0</v>
      </c>
      <c r="I84" s="2">
        <f t="shared" si="12"/>
        <v>0</v>
      </c>
      <c r="J84" s="2">
        <f t="shared" si="12"/>
        <v>0</v>
      </c>
      <c r="K84" s="2">
        <f t="shared" si="12"/>
        <v>0</v>
      </c>
      <c r="L84" s="2">
        <f t="shared" si="12"/>
        <v>0</v>
      </c>
      <c r="M84" s="2">
        <f t="shared" si="12"/>
        <v>0</v>
      </c>
      <c r="N84" s="2">
        <f t="shared" si="12"/>
        <v>0</v>
      </c>
      <c r="O84" s="2">
        <f t="shared" si="12"/>
        <v>0</v>
      </c>
      <c r="P84" s="2">
        <f t="shared" si="12"/>
        <v>0</v>
      </c>
      <c r="Q84" s="2">
        <f t="shared" si="12"/>
        <v>0</v>
      </c>
      <c r="R84" s="2">
        <f t="shared" si="12"/>
        <v>0</v>
      </c>
      <c r="S84" s="2">
        <f t="shared" si="12"/>
        <v>0</v>
      </c>
      <c r="T84" s="2">
        <f t="shared" si="12"/>
        <v>0</v>
      </c>
      <c r="U84" s="2">
        <f t="shared" si="12"/>
        <v>0</v>
      </c>
      <c r="V84" s="2">
        <f t="shared" si="12"/>
        <v>0</v>
      </c>
      <c r="W84" s="2">
        <f t="shared" si="12"/>
        <v>0</v>
      </c>
      <c r="X84" s="2">
        <f t="shared" si="12"/>
        <v>0</v>
      </c>
      <c r="Y84" s="2">
        <f t="shared" si="12"/>
        <v>0</v>
      </c>
      <c r="Z84" s="2">
        <f t="shared" si="12"/>
        <v>0</v>
      </c>
      <c r="AA84" s="2">
        <f t="shared" si="12"/>
        <v>0</v>
      </c>
    </row>
    <row r="85" spans="1:27" x14ac:dyDescent="0.25">
      <c r="D85" t="s">
        <v>139</v>
      </c>
      <c r="F85" t="s">
        <v>7</v>
      </c>
      <c r="G85" s="2">
        <f t="shared" ref="G85:AA85" si="13">-G68+G82</f>
        <v>0</v>
      </c>
      <c r="H85" s="2">
        <f t="shared" si="13"/>
        <v>0</v>
      </c>
      <c r="I85" s="2">
        <f t="shared" si="13"/>
        <v>0</v>
      </c>
      <c r="J85" s="2">
        <f t="shared" si="13"/>
        <v>0</v>
      </c>
      <c r="K85" s="2">
        <f t="shared" si="13"/>
        <v>0</v>
      </c>
      <c r="L85" s="2">
        <f t="shared" si="13"/>
        <v>0</v>
      </c>
      <c r="M85" s="2">
        <f t="shared" si="13"/>
        <v>0</v>
      </c>
      <c r="N85" s="2">
        <f t="shared" si="13"/>
        <v>0</v>
      </c>
      <c r="O85" s="2">
        <f t="shared" si="13"/>
        <v>0</v>
      </c>
      <c r="P85" s="2">
        <f t="shared" si="13"/>
        <v>0</v>
      </c>
      <c r="Q85" s="2">
        <f t="shared" si="13"/>
        <v>0</v>
      </c>
      <c r="R85" s="2">
        <f t="shared" si="13"/>
        <v>0</v>
      </c>
      <c r="S85" s="2">
        <f t="shared" si="13"/>
        <v>0</v>
      </c>
      <c r="T85" s="2">
        <f t="shared" si="13"/>
        <v>0</v>
      </c>
      <c r="U85" s="2">
        <f t="shared" si="13"/>
        <v>0</v>
      </c>
      <c r="V85" s="2">
        <f t="shared" si="13"/>
        <v>0</v>
      </c>
      <c r="W85" s="2">
        <f t="shared" si="13"/>
        <v>0</v>
      </c>
      <c r="X85" s="2">
        <f t="shared" si="13"/>
        <v>0</v>
      </c>
      <c r="Y85" s="2">
        <f t="shared" si="13"/>
        <v>0</v>
      </c>
      <c r="Z85" s="2">
        <f t="shared" si="13"/>
        <v>0</v>
      </c>
      <c r="AA85" s="2">
        <f t="shared" si="13"/>
        <v>0</v>
      </c>
    </row>
    <row r="87" spans="1:27" x14ac:dyDescent="0.25">
      <c r="C87" s="1" t="str">
        <f>"Incremental "&amp;G4&amp;" Service Revenue"</f>
        <v>Incremental Wastewater Service Revenue</v>
      </c>
      <c r="D87" s="1"/>
    </row>
    <row r="88" spans="1:27" x14ac:dyDescent="0.25">
      <c r="C88" s="1"/>
      <c r="D88" s="1"/>
      <c r="H88">
        <f>0.75*150</f>
        <v>112.5</v>
      </c>
    </row>
    <row r="89" spans="1:27" x14ac:dyDescent="0.25">
      <c r="C89" s="1"/>
      <c r="D89" t="s">
        <v>59</v>
      </c>
      <c r="F89" t="s">
        <v>327</v>
      </c>
    </row>
    <row r="90" spans="1:27" x14ac:dyDescent="0.25">
      <c r="A90" s="14">
        <f>'Notes &amp; Assumptions'!A28</f>
        <v>15</v>
      </c>
      <c r="C90" s="1"/>
      <c r="D90" s="1"/>
      <c r="E90" t="s">
        <v>87</v>
      </c>
      <c r="F90" t="s">
        <v>3</v>
      </c>
      <c r="H90" s="10">
        <f>'Customer numbers'!P13</f>
        <v>1893</v>
      </c>
      <c r="I90" s="10">
        <f>'Customer numbers'!Q13</f>
        <v>2394</v>
      </c>
      <c r="J90" s="10">
        <f>'Customer numbers'!R13</f>
        <v>2946.3</v>
      </c>
      <c r="K90" s="10">
        <f>'Customer numbers'!S13</f>
        <v>3353.4</v>
      </c>
      <c r="L90" s="10">
        <f>'Customer numbers'!T13</f>
        <v>3720</v>
      </c>
      <c r="M90" s="10">
        <f>'Customer numbers'!U13</f>
        <v>4059.9999999999995</v>
      </c>
      <c r="N90" s="10">
        <f>'Customer numbers'!V13</f>
        <v>4367.9999999999991</v>
      </c>
      <c r="O90" s="10">
        <f>'Customer numbers'!W13</f>
        <v>4648.2999999999993</v>
      </c>
      <c r="P90" s="10">
        <f>'Customer numbers'!X13</f>
        <v>5357.9999999999991</v>
      </c>
      <c r="Q90" s="10">
        <f>'Customer numbers'!Y13</f>
        <v>6140.3999999999987</v>
      </c>
      <c r="R90" s="10">
        <f>'Customer numbers'!Z13</f>
        <v>6476.9999999999991</v>
      </c>
      <c r="S90" s="10">
        <f>'Customer numbers'!AA13</f>
        <v>6849.2999999999984</v>
      </c>
      <c r="T90" s="10">
        <f>'Customer numbers'!AB13</f>
        <v>7241.9999999999982</v>
      </c>
      <c r="U90" s="10">
        <f>'Customer numbers'!AC13</f>
        <v>7211.3999999999987</v>
      </c>
      <c r="V90" s="10">
        <f>'Customer numbers'!AD13</f>
        <v>7175.6999999999989</v>
      </c>
    </row>
    <row r="91" spans="1:27" x14ac:dyDescent="0.25">
      <c r="C91" s="1"/>
      <c r="D91" s="1"/>
      <c r="E91" t="s">
        <v>60</v>
      </c>
      <c r="F91" t="s">
        <v>3</v>
      </c>
      <c r="G91">
        <f>IF('Key assumptions'!B4="yes",SUM('Customer numbers'!F13:O13),0)</f>
        <v>0</v>
      </c>
      <c r="H91" s="2">
        <f>G91+H90</f>
        <v>1893</v>
      </c>
      <c r="I91" s="2">
        <f t="shared" ref="I91:AA91" si="14">H91+I90</f>
        <v>4287</v>
      </c>
      <c r="J91" s="2">
        <f t="shared" si="14"/>
        <v>7233.3</v>
      </c>
      <c r="K91" s="2">
        <f t="shared" si="14"/>
        <v>10586.7</v>
      </c>
      <c r="L91" s="2">
        <f t="shared" si="14"/>
        <v>14306.7</v>
      </c>
      <c r="M91" s="2">
        <f t="shared" si="14"/>
        <v>18366.7</v>
      </c>
      <c r="N91" s="2">
        <f t="shared" si="14"/>
        <v>22734.7</v>
      </c>
      <c r="O91" s="2">
        <f t="shared" si="14"/>
        <v>27383</v>
      </c>
      <c r="P91" s="2">
        <f t="shared" si="14"/>
        <v>32741</v>
      </c>
      <c r="Q91" s="2">
        <f t="shared" si="14"/>
        <v>38881.4</v>
      </c>
      <c r="R91" s="2">
        <f t="shared" si="14"/>
        <v>45358.400000000001</v>
      </c>
      <c r="S91" s="2">
        <f t="shared" si="14"/>
        <v>52207.7</v>
      </c>
      <c r="T91" s="2">
        <f t="shared" si="14"/>
        <v>59449.7</v>
      </c>
      <c r="U91" s="2">
        <f t="shared" si="14"/>
        <v>66661.099999999991</v>
      </c>
      <c r="V91" s="2">
        <f t="shared" si="14"/>
        <v>73836.799999999988</v>
      </c>
      <c r="W91" s="2">
        <f t="shared" si="14"/>
        <v>73836.799999999988</v>
      </c>
      <c r="X91" s="2">
        <f t="shared" si="14"/>
        <v>73836.799999999988</v>
      </c>
      <c r="Y91" s="2">
        <f t="shared" si="14"/>
        <v>73836.799999999988</v>
      </c>
      <c r="Z91" s="2">
        <f t="shared" si="14"/>
        <v>73836.799999999988</v>
      </c>
      <c r="AA91" s="2">
        <f t="shared" si="14"/>
        <v>73836.799999999988</v>
      </c>
    </row>
    <row r="92" spans="1:27" x14ac:dyDescent="0.25">
      <c r="A92" s="14">
        <f>'Notes &amp; Assumptions'!A29</f>
        <v>16</v>
      </c>
      <c r="C92" s="1"/>
      <c r="D92" s="1"/>
      <c r="E92" t="s">
        <v>61</v>
      </c>
      <c r="F92" t="s">
        <v>3</v>
      </c>
      <c r="G92" s="10">
        <v>1</v>
      </c>
    </row>
    <row r="93" spans="1:27" x14ac:dyDescent="0.25">
      <c r="C93" s="1"/>
      <c r="D93" s="1"/>
      <c r="E93" t="s">
        <v>88</v>
      </c>
      <c r="F93" t="s">
        <v>3</v>
      </c>
      <c r="H93">
        <f>H90*$G92</f>
        <v>1893</v>
      </c>
      <c r="I93">
        <f t="shared" ref="I93:AA93" si="15">I90*$G92</f>
        <v>2394</v>
      </c>
      <c r="J93">
        <f t="shared" si="15"/>
        <v>2946.3</v>
      </c>
      <c r="K93">
        <f t="shared" si="15"/>
        <v>3353.4</v>
      </c>
      <c r="L93">
        <f t="shared" si="15"/>
        <v>3720</v>
      </c>
      <c r="M93">
        <f t="shared" si="15"/>
        <v>4059.9999999999995</v>
      </c>
      <c r="N93">
        <f t="shared" si="15"/>
        <v>4367.9999999999991</v>
      </c>
      <c r="O93">
        <f t="shared" si="15"/>
        <v>4648.2999999999993</v>
      </c>
      <c r="P93">
        <f t="shared" si="15"/>
        <v>5357.9999999999991</v>
      </c>
      <c r="Q93">
        <f t="shared" si="15"/>
        <v>6140.3999999999987</v>
      </c>
      <c r="R93">
        <f t="shared" si="15"/>
        <v>6476.9999999999991</v>
      </c>
      <c r="S93">
        <f t="shared" si="15"/>
        <v>6849.2999999999984</v>
      </c>
      <c r="T93">
        <f t="shared" si="15"/>
        <v>7241.9999999999982</v>
      </c>
      <c r="U93">
        <f t="shared" si="15"/>
        <v>7211.3999999999987</v>
      </c>
      <c r="V93">
        <f t="shared" si="15"/>
        <v>7175.6999999999989</v>
      </c>
      <c r="W93">
        <f t="shared" si="15"/>
        <v>0</v>
      </c>
      <c r="X93">
        <f t="shared" si="15"/>
        <v>0</v>
      </c>
      <c r="Y93">
        <f t="shared" si="15"/>
        <v>0</v>
      </c>
      <c r="Z93">
        <f t="shared" si="15"/>
        <v>0</v>
      </c>
      <c r="AA93">
        <f t="shared" si="15"/>
        <v>0</v>
      </c>
    </row>
    <row r="94" spans="1:27" x14ac:dyDescent="0.25">
      <c r="C94" s="1"/>
      <c r="D94" s="1"/>
      <c r="E94" t="s">
        <v>89</v>
      </c>
      <c r="F94" t="s">
        <v>3</v>
      </c>
      <c r="H94">
        <f>H91*$G92</f>
        <v>1893</v>
      </c>
      <c r="I94">
        <f t="shared" ref="I94:AA94" si="16">I91*$G92</f>
        <v>4287</v>
      </c>
      <c r="J94">
        <f t="shared" si="16"/>
        <v>7233.3</v>
      </c>
      <c r="K94">
        <f t="shared" si="16"/>
        <v>10586.7</v>
      </c>
      <c r="L94">
        <f t="shared" si="16"/>
        <v>14306.7</v>
      </c>
      <c r="M94">
        <f t="shared" si="16"/>
        <v>18366.7</v>
      </c>
      <c r="N94">
        <f t="shared" si="16"/>
        <v>22734.7</v>
      </c>
      <c r="O94">
        <f t="shared" si="16"/>
        <v>27383</v>
      </c>
      <c r="P94">
        <f t="shared" si="16"/>
        <v>32741</v>
      </c>
      <c r="Q94">
        <f t="shared" si="16"/>
        <v>38881.4</v>
      </c>
      <c r="R94">
        <f t="shared" si="16"/>
        <v>45358.400000000001</v>
      </c>
      <c r="S94">
        <f t="shared" si="16"/>
        <v>52207.7</v>
      </c>
      <c r="T94">
        <f t="shared" si="16"/>
        <v>59449.7</v>
      </c>
      <c r="U94">
        <f t="shared" si="16"/>
        <v>66661.099999999991</v>
      </c>
      <c r="V94">
        <f t="shared" si="16"/>
        <v>73836.799999999988</v>
      </c>
      <c r="W94">
        <f t="shared" si="16"/>
        <v>73836.799999999988</v>
      </c>
      <c r="X94">
        <f t="shared" si="16"/>
        <v>73836.799999999988</v>
      </c>
      <c r="Y94">
        <f t="shared" si="16"/>
        <v>73836.799999999988</v>
      </c>
      <c r="Z94">
        <f t="shared" si="16"/>
        <v>73836.799999999988</v>
      </c>
      <c r="AA94">
        <f t="shared" si="16"/>
        <v>73836.799999999988</v>
      </c>
    </row>
    <row r="95" spans="1:27" x14ac:dyDescent="0.25">
      <c r="A95" s="14">
        <f>'Notes &amp; Assumptions'!A30</f>
        <v>17</v>
      </c>
      <c r="C95" s="1"/>
      <c r="D95" s="1"/>
      <c r="E95" t="s">
        <v>62</v>
      </c>
      <c r="F95" t="s">
        <v>43</v>
      </c>
      <c r="H95" s="10">
        <f>'Key assumptions'!B23</f>
        <v>112.5</v>
      </c>
      <c r="I95" s="10">
        <f>H95</f>
        <v>112.5</v>
      </c>
      <c r="J95" s="10">
        <f t="shared" ref="J95:AA95" si="17">I95</f>
        <v>112.5</v>
      </c>
      <c r="K95" s="10">
        <f t="shared" si="17"/>
        <v>112.5</v>
      </c>
      <c r="L95" s="10">
        <f t="shared" si="17"/>
        <v>112.5</v>
      </c>
      <c r="M95" s="10">
        <f t="shared" si="17"/>
        <v>112.5</v>
      </c>
      <c r="N95" s="10">
        <f t="shared" si="17"/>
        <v>112.5</v>
      </c>
      <c r="O95" s="10">
        <f t="shared" si="17"/>
        <v>112.5</v>
      </c>
      <c r="P95" s="10">
        <f t="shared" si="17"/>
        <v>112.5</v>
      </c>
      <c r="Q95" s="10">
        <f t="shared" si="17"/>
        <v>112.5</v>
      </c>
      <c r="R95" s="10">
        <f t="shared" si="17"/>
        <v>112.5</v>
      </c>
      <c r="S95" s="10">
        <f t="shared" si="17"/>
        <v>112.5</v>
      </c>
      <c r="T95" s="10">
        <f t="shared" si="17"/>
        <v>112.5</v>
      </c>
      <c r="U95" s="10">
        <f t="shared" si="17"/>
        <v>112.5</v>
      </c>
      <c r="V95" s="10">
        <f t="shared" si="17"/>
        <v>112.5</v>
      </c>
      <c r="W95" s="10">
        <f t="shared" si="17"/>
        <v>112.5</v>
      </c>
      <c r="X95" s="10">
        <f t="shared" si="17"/>
        <v>112.5</v>
      </c>
      <c r="Y95" s="10">
        <f t="shared" si="17"/>
        <v>112.5</v>
      </c>
      <c r="Z95" s="10">
        <f t="shared" si="17"/>
        <v>112.5</v>
      </c>
      <c r="AA95" s="10">
        <f t="shared" si="17"/>
        <v>112.5</v>
      </c>
    </row>
    <row r="96" spans="1:27" x14ac:dyDescent="0.25">
      <c r="C96" s="1"/>
      <c r="D96" s="1"/>
      <c r="E96" t="s">
        <v>63</v>
      </c>
      <c r="F96" t="s">
        <v>43</v>
      </c>
      <c r="H96" s="10"/>
      <c r="I96" s="10"/>
      <c r="J96" s="10"/>
      <c r="K96" s="10"/>
      <c r="L96" s="10"/>
      <c r="M96" s="10"/>
      <c r="N96" s="10"/>
      <c r="O96" s="10"/>
      <c r="P96" s="10"/>
      <c r="Q96" s="10"/>
      <c r="R96" s="10"/>
      <c r="S96" s="10"/>
      <c r="T96" s="10"/>
      <c r="U96" s="10"/>
      <c r="V96" s="10"/>
      <c r="W96" s="10"/>
      <c r="X96" s="10"/>
      <c r="Y96" s="10"/>
      <c r="Z96" s="10"/>
      <c r="AA96" s="10"/>
    </row>
    <row r="97" spans="1:27" x14ac:dyDescent="0.25">
      <c r="C97" s="1"/>
      <c r="D97" s="1"/>
      <c r="E97" t="s">
        <v>140</v>
      </c>
      <c r="F97" t="s">
        <v>43</v>
      </c>
      <c r="H97" s="10"/>
      <c r="I97" s="10"/>
      <c r="J97" s="10"/>
      <c r="K97" s="10"/>
      <c r="L97" s="10"/>
      <c r="M97" s="10"/>
      <c r="N97" s="10"/>
      <c r="O97" s="10"/>
      <c r="P97" s="10"/>
      <c r="Q97" s="10"/>
      <c r="R97" s="10"/>
      <c r="S97" s="10"/>
      <c r="T97" s="10"/>
      <c r="U97" s="10"/>
      <c r="V97" s="10"/>
      <c r="W97" s="10"/>
      <c r="X97" s="10"/>
      <c r="Y97" s="10"/>
      <c r="Z97" s="10"/>
      <c r="AA97" s="10"/>
    </row>
    <row r="98" spans="1:27" x14ac:dyDescent="0.25">
      <c r="C98" s="1"/>
      <c r="D98" s="1"/>
      <c r="E98" t="s">
        <v>64</v>
      </c>
      <c r="F98" t="s">
        <v>144</v>
      </c>
      <c r="H98" s="2">
        <f>H91*H95</f>
        <v>212962.5</v>
      </c>
      <c r="I98" s="2">
        <f t="shared" ref="I98:AA98" si="18">I91*I95</f>
        <v>482287.5</v>
      </c>
      <c r="J98" s="2">
        <f t="shared" si="18"/>
        <v>813746.25</v>
      </c>
      <c r="K98" s="2">
        <f t="shared" si="18"/>
        <v>1191003.75</v>
      </c>
      <c r="L98" s="2">
        <f t="shared" si="18"/>
        <v>1609503.75</v>
      </c>
      <c r="M98" s="2">
        <f t="shared" si="18"/>
        <v>2066253.75</v>
      </c>
      <c r="N98" s="2">
        <f t="shared" si="18"/>
        <v>2557653.75</v>
      </c>
      <c r="O98" s="2">
        <f t="shared" si="18"/>
        <v>3080587.5</v>
      </c>
      <c r="P98" s="2">
        <f t="shared" si="18"/>
        <v>3683362.5</v>
      </c>
      <c r="Q98" s="2">
        <f t="shared" si="18"/>
        <v>4374157.5</v>
      </c>
      <c r="R98" s="2">
        <f t="shared" si="18"/>
        <v>5102820</v>
      </c>
      <c r="S98" s="2">
        <f t="shared" si="18"/>
        <v>5873366.25</v>
      </c>
      <c r="T98" s="2">
        <f t="shared" si="18"/>
        <v>6688091.25</v>
      </c>
      <c r="U98" s="2">
        <f t="shared" si="18"/>
        <v>7499373.7499999991</v>
      </c>
      <c r="V98" s="2">
        <f t="shared" si="18"/>
        <v>8306639.9999999991</v>
      </c>
      <c r="W98" s="2">
        <f t="shared" si="18"/>
        <v>8306639.9999999991</v>
      </c>
      <c r="X98" s="2">
        <f t="shared" si="18"/>
        <v>8306639.9999999991</v>
      </c>
      <c r="Y98" s="2">
        <f t="shared" si="18"/>
        <v>8306639.9999999991</v>
      </c>
      <c r="Z98" s="2">
        <f t="shared" si="18"/>
        <v>8306639.9999999991</v>
      </c>
      <c r="AA98" s="2">
        <f t="shared" si="18"/>
        <v>8306639.9999999991</v>
      </c>
    </row>
    <row r="99" spans="1:27" x14ac:dyDescent="0.25">
      <c r="C99" s="1"/>
      <c r="D99" s="1"/>
      <c r="E99" t="s">
        <v>65</v>
      </c>
      <c r="F99" t="s">
        <v>144</v>
      </c>
      <c r="H99" s="2">
        <f>H91*H96</f>
        <v>0</v>
      </c>
      <c r="I99" s="2">
        <f t="shared" ref="I99:AA99" si="19">I91*I96</f>
        <v>0</v>
      </c>
      <c r="J99" s="2">
        <f t="shared" si="19"/>
        <v>0</v>
      </c>
      <c r="K99" s="2">
        <f t="shared" si="19"/>
        <v>0</v>
      </c>
      <c r="L99" s="2">
        <f t="shared" si="19"/>
        <v>0</v>
      </c>
      <c r="M99" s="2">
        <f t="shared" si="19"/>
        <v>0</v>
      </c>
      <c r="N99" s="2">
        <f t="shared" si="19"/>
        <v>0</v>
      </c>
      <c r="O99" s="2">
        <f t="shared" si="19"/>
        <v>0</v>
      </c>
      <c r="P99" s="2">
        <f t="shared" si="19"/>
        <v>0</v>
      </c>
      <c r="Q99" s="2">
        <f t="shared" si="19"/>
        <v>0</v>
      </c>
      <c r="R99" s="2">
        <f t="shared" si="19"/>
        <v>0</v>
      </c>
      <c r="S99" s="2">
        <f t="shared" si="19"/>
        <v>0</v>
      </c>
      <c r="T99" s="2">
        <f t="shared" si="19"/>
        <v>0</v>
      </c>
      <c r="U99" s="2">
        <f t="shared" si="19"/>
        <v>0</v>
      </c>
      <c r="V99" s="2">
        <f t="shared" si="19"/>
        <v>0</v>
      </c>
      <c r="W99" s="2">
        <f t="shared" si="19"/>
        <v>0</v>
      </c>
      <c r="X99" s="2">
        <f t="shared" si="19"/>
        <v>0</v>
      </c>
      <c r="Y99" s="2">
        <f t="shared" si="19"/>
        <v>0</v>
      </c>
      <c r="Z99" s="2">
        <f t="shared" si="19"/>
        <v>0</v>
      </c>
      <c r="AA99" s="2">
        <f t="shared" si="19"/>
        <v>0</v>
      </c>
    </row>
    <row r="100" spans="1:27" x14ac:dyDescent="0.25">
      <c r="C100" s="1"/>
      <c r="D100" s="1"/>
      <c r="E100" t="s">
        <v>141</v>
      </c>
      <c r="F100" t="s">
        <v>144</v>
      </c>
      <c r="H100" s="2">
        <f>H91*H97</f>
        <v>0</v>
      </c>
      <c r="I100" s="2">
        <f t="shared" ref="I100:AA100" si="20">I91*I97</f>
        <v>0</v>
      </c>
      <c r="J100" s="2">
        <f t="shared" si="20"/>
        <v>0</v>
      </c>
      <c r="K100" s="2">
        <f t="shared" si="20"/>
        <v>0</v>
      </c>
      <c r="L100" s="2">
        <f t="shared" si="20"/>
        <v>0</v>
      </c>
      <c r="M100" s="2">
        <f t="shared" si="20"/>
        <v>0</v>
      </c>
      <c r="N100" s="2">
        <f t="shared" si="20"/>
        <v>0</v>
      </c>
      <c r="O100" s="2">
        <f t="shared" si="20"/>
        <v>0</v>
      </c>
      <c r="P100" s="2">
        <f t="shared" si="20"/>
        <v>0</v>
      </c>
      <c r="Q100" s="2">
        <f t="shared" si="20"/>
        <v>0</v>
      </c>
      <c r="R100" s="2">
        <f t="shared" si="20"/>
        <v>0</v>
      </c>
      <c r="S100" s="2">
        <f t="shared" si="20"/>
        <v>0</v>
      </c>
      <c r="T100" s="2">
        <f t="shared" si="20"/>
        <v>0</v>
      </c>
      <c r="U100" s="2">
        <f t="shared" si="20"/>
        <v>0</v>
      </c>
      <c r="V100" s="2">
        <f t="shared" si="20"/>
        <v>0</v>
      </c>
      <c r="W100" s="2">
        <f t="shared" si="20"/>
        <v>0</v>
      </c>
      <c r="X100" s="2">
        <f t="shared" si="20"/>
        <v>0</v>
      </c>
      <c r="Y100" s="2">
        <f t="shared" si="20"/>
        <v>0</v>
      </c>
      <c r="Z100" s="2">
        <f t="shared" si="20"/>
        <v>0</v>
      </c>
      <c r="AA100" s="2">
        <f t="shared" si="20"/>
        <v>0</v>
      </c>
    </row>
    <row r="101" spans="1:27" x14ac:dyDescent="0.25">
      <c r="A101" s="14">
        <f>'Notes &amp; Assumptions'!A31</f>
        <v>18</v>
      </c>
      <c r="C101" s="1"/>
      <c r="D101" s="1"/>
      <c r="E101" t="s">
        <v>66</v>
      </c>
      <c r="F101" t="s">
        <v>8</v>
      </c>
      <c r="H101" s="11">
        <f>'YVW tariffs'!D29</f>
        <v>-4.24E-2</v>
      </c>
      <c r="I101" s="11">
        <f>'YVW tariffs'!E29</f>
        <v>-2.7400000000000001E-2</v>
      </c>
      <c r="J101" s="11">
        <f>'YVW tariffs'!F29</f>
        <v>0</v>
      </c>
      <c r="K101" s="11">
        <f>'YVW tariffs'!G29</f>
        <v>0</v>
      </c>
      <c r="L101" s="11">
        <f>'YVW tariffs'!H29</f>
        <v>0</v>
      </c>
      <c r="M101" s="11">
        <v>0</v>
      </c>
      <c r="N101" s="11">
        <v>0</v>
      </c>
      <c r="O101" s="11">
        <v>0</v>
      </c>
      <c r="P101" s="11">
        <v>0</v>
      </c>
      <c r="Q101" s="11">
        <v>0</v>
      </c>
      <c r="R101" s="11">
        <v>0</v>
      </c>
      <c r="S101" s="11">
        <v>0</v>
      </c>
      <c r="T101" s="11">
        <v>0</v>
      </c>
      <c r="U101" s="11">
        <v>0</v>
      </c>
      <c r="V101" s="11">
        <v>0</v>
      </c>
      <c r="W101" s="11">
        <v>0</v>
      </c>
      <c r="X101" s="11">
        <v>0</v>
      </c>
      <c r="Y101" s="11">
        <v>0</v>
      </c>
      <c r="Z101" s="11">
        <v>0</v>
      </c>
      <c r="AA101" s="11">
        <v>0</v>
      </c>
    </row>
    <row r="102" spans="1:27" x14ac:dyDescent="0.25">
      <c r="A102" s="14">
        <f>'Notes &amp; Assumptions'!A32</f>
        <v>19</v>
      </c>
      <c r="C102" s="1"/>
      <c r="D102" s="1"/>
      <c r="E102" t="s">
        <v>40</v>
      </c>
      <c r="F102" t="s">
        <v>41</v>
      </c>
      <c r="G102" s="20">
        <f>'YVW tariffs'!E14</f>
        <v>467.88345999999996</v>
      </c>
      <c r="H102" s="2">
        <f>G102*(1+$G$14)*(1+H101)</f>
        <v>457.45415052321596</v>
      </c>
      <c r="I102" s="2">
        <f t="shared" ref="I102:AA102" si="21">H102*(1+$G$14)*(1+I101)</f>
        <v>454.26322484165627</v>
      </c>
      <c r="J102" s="2">
        <f t="shared" si="21"/>
        <v>463.80275256333101</v>
      </c>
      <c r="K102" s="2">
        <f t="shared" si="21"/>
        <v>473.54261036716093</v>
      </c>
      <c r="L102" s="2">
        <f t="shared" si="21"/>
        <v>483.48700518487129</v>
      </c>
      <c r="M102" s="2">
        <f t="shared" si="21"/>
        <v>493.64023229375357</v>
      </c>
      <c r="N102" s="2">
        <f t="shared" si="21"/>
        <v>504.00667717192238</v>
      </c>
      <c r="O102" s="2">
        <f t="shared" si="21"/>
        <v>514.5908173925327</v>
      </c>
      <c r="P102" s="2">
        <f t="shared" si="21"/>
        <v>525.39722455777587</v>
      </c>
      <c r="Q102" s="2">
        <f t="shared" si="21"/>
        <v>536.43056627348915</v>
      </c>
      <c r="R102" s="2">
        <f t="shared" si="21"/>
        <v>547.69560816523233</v>
      </c>
      <c r="S102" s="2">
        <f t="shared" si="21"/>
        <v>559.19721593670215</v>
      </c>
      <c r="T102" s="2">
        <f t="shared" si="21"/>
        <v>570.94035747137286</v>
      </c>
      <c r="U102" s="2">
        <f t="shared" si="21"/>
        <v>582.93010497827163</v>
      </c>
      <c r="V102" s="2">
        <f t="shared" si="21"/>
        <v>595.17163718281529</v>
      </c>
      <c r="W102" s="2">
        <f t="shared" si="21"/>
        <v>607.67024156365437</v>
      </c>
      <c r="X102" s="2">
        <f t="shared" si="21"/>
        <v>620.43131663649103</v>
      </c>
      <c r="Y102" s="2">
        <f t="shared" si="21"/>
        <v>633.46037428585726</v>
      </c>
      <c r="Z102" s="2">
        <f t="shared" si="21"/>
        <v>646.76304214586025</v>
      </c>
      <c r="AA102" s="2">
        <f t="shared" si="21"/>
        <v>660.34506603092325</v>
      </c>
    </row>
    <row r="103" spans="1:27" x14ac:dyDescent="0.25">
      <c r="C103" s="1"/>
      <c r="D103" s="1"/>
      <c r="E103" t="s">
        <v>67</v>
      </c>
      <c r="F103" t="s">
        <v>143</v>
      </c>
      <c r="G103" s="20">
        <f>'YVW tariffs'!E15</f>
        <v>1.1665946</v>
      </c>
      <c r="H103" s="21">
        <f>G103*(1+$G$14)*(1+'YVW tariffs'!D30)</f>
        <v>0</v>
      </c>
      <c r="I103" s="21">
        <f t="shared" ref="I103:AA103" si="22">H103*(1+$G$14)*(1+I101)</f>
        <v>0</v>
      </c>
      <c r="J103" s="21">
        <f t="shared" si="22"/>
        <v>0</v>
      </c>
      <c r="K103" s="21">
        <f t="shared" si="22"/>
        <v>0</v>
      </c>
      <c r="L103" s="21">
        <f t="shared" si="22"/>
        <v>0</v>
      </c>
      <c r="M103" s="21">
        <f t="shared" si="22"/>
        <v>0</v>
      </c>
      <c r="N103" s="21">
        <f t="shared" si="22"/>
        <v>0</v>
      </c>
      <c r="O103" s="21">
        <f t="shared" si="22"/>
        <v>0</v>
      </c>
      <c r="P103" s="21">
        <f t="shared" si="22"/>
        <v>0</v>
      </c>
      <c r="Q103" s="21">
        <f t="shared" si="22"/>
        <v>0</v>
      </c>
      <c r="R103" s="21">
        <f t="shared" si="22"/>
        <v>0</v>
      </c>
      <c r="S103" s="21">
        <f t="shared" si="22"/>
        <v>0</v>
      </c>
      <c r="T103" s="21">
        <f t="shared" si="22"/>
        <v>0</v>
      </c>
      <c r="U103" s="21">
        <f t="shared" si="22"/>
        <v>0</v>
      </c>
      <c r="V103" s="21">
        <f t="shared" si="22"/>
        <v>0</v>
      </c>
      <c r="W103" s="21">
        <f t="shared" si="22"/>
        <v>0</v>
      </c>
      <c r="X103" s="21">
        <f t="shared" si="22"/>
        <v>0</v>
      </c>
      <c r="Y103" s="21">
        <f t="shared" si="22"/>
        <v>0</v>
      </c>
      <c r="Z103" s="21">
        <f t="shared" si="22"/>
        <v>0</v>
      </c>
      <c r="AA103" s="21">
        <f t="shared" si="22"/>
        <v>0</v>
      </c>
    </row>
    <row r="104" spans="1:27" x14ac:dyDescent="0.25">
      <c r="C104" s="1"/>
      <c r="D104" s="1"/>
      <c r="E104" t="s">
        <v>68</v>
      </c>
      <c r="F104" t="s">
        <v>143</v>
      </c>
      <c r="G104" s="20"/>
      <c r="H104" s="21">
        <f>G104*(1+$G$14)*(1+H101)</f>
        <v>0</v>
      </c>
      <c r="I104" s="21">
        <f t="shared" ref="I104:AA104" si="23">H104*(1+$G$14)*(1+I101)</f>
        <v>0</v>
      </c>
      <c r="J104" s="21">
        <f t="shared" si="23"/>
        <v>0</v>
      </c>
      <c r="K104" s="21">
        <f t="shared" si="23"/>
        <v>0</v>
      </c>
      <c r="L104" s="21">
        <f t="shared" si="23"/>
        <v>0</v>
      </c>
      <c r="M104" s="21">
        <f t="shared" si="23"/>
        <v>0</v>
      </c>
      <c r="N104" s="21">
        <f t="shared" si="23"/>
        <v>0</v>
      </c>
      <c r="O104" s="21">
        <f t="shared" si="23"/>
        <v>0</v>
      </c>
      <c r="P104" s="21">
        <f t="shared" si="23"/>
        <v>0</v>
      </c>
      <c r="Q104" s="21">
        <f t="shared" si="23"/>
        <v>0</v>
      </c>
      <c r="R104" s="21">
        <f t="shared" si="23"/>
        <v>0</v>
      </c>
      <c r="S104" s="21">
        <f t="shared" si="23"/>
        <v>0</v>
      </c>
      <c r="T104" s="21">
        <f t="shared" si="23"/>
        <v>0</v>
      </c>
      <c r="U104" s="21">
        <f t="shared" si="23"/>
        <v>0</v>
      </c>
      <c r="V104" s="21">
        <f t="shared" si="23"/>
        <v>0</v>
      </c>
      <c r="W104" s="21">
        <f t="shared" si="23"/>
        <v>0</v>
      </c>
      <c r="X104" s="21">
        <f t="shared" si="23"/>
        <v>0</v>
      </c>
      <c r="Y104" s="21">
        <f t="shared" si="23"/>
        <v>0</v>
      </c>
      <c r="Z104" s="21">
        <f t="shared" si="23"/>
        <v>0</v>
      </c>
      <c r="AA104" s="21">
        <f t="shared" si="23"/>
        <v>0</v>
      </c>
    </row>
    <row r="105" spans="1:27" x14ac:dyDescent="0.25">
      <c r="C105" s="1"/>
      <c r="D105" s="1"/>
      <c r="E105" t="s">
        <v>142</v>
      </c>
      <c r="F105" t="s">
        <v>143</v>
      </c>
      <c r="G105" s="20"/>
      <c r="H105" s="21">
        <f>G105*(1+$G$14)*(1+H101)</f>
        <v>0</v>
      </c>
      <c r="I105" s="21">
        <f t="shared" ref="I105:AA105" si="24">H105*(1+$G$14)*(1+I101)</f>
        <v>0</v>
      </c>
      <c r="J105" s="21">
        <f t="shared" si="24"/>
        <v>0</v>
      </c>
      <c r="K105" s="21">
        <f t="shared" si="24"/>
        <v>0</v>
      </c>
      <c r="L105" s="21">
        <f t="shared" si="24"/>
        <v>0</v>
      </c>
      <c r="M105" s="21">
        <f t="shared" si="24"/>
        <v>0</v>
      </c>
      <c r="N105" s="21">
        <f t="shared" si="24"/>
        <v>0</v>
      </c>
      <c r="O105" s="21">
        <f t="shared" si="24"/>
        <v>0</v>
      </c>
      <c r="P105" s="21">
        <f t="shared" si="24"/>
        <v>0</v>
      </c>
      <c r="Q105" s="21">
        <f t="shared" si="24"/>
        <v>0</v>
      </c>
      <c r="R105" s="21">
        <f t="shared" si="24"/>
        <v>0</v>
      </c>
      <c r="S105" s="21">
        <f t="shared" si="24"/>
        <v>0</v>
      </c>
      <c r="T105" s="21">
        <f t="shared" si="24"/>
        <v>0</v>
      </c>
      <c r="U105" s="21">
        <f t="shared" si="24"/>
        <v>0</v>
      </c>
      <c r="V105" s="21">
        <f t="shared" si="24"/>
        <v>0</v>
      </c>
      <c r="W105" s="21">
        <f t="shared" si="24"/>
        <v>0</v>
      </c>
      <c r="X105" s="21">
        <f t="shared" si="24"/>
        <v>0</v>
      </c>
      <c r="Y105" s="21">
        <f t="shared" si="24"/>
        <v>0</v>
      </c>
      <c r="Z105" s="21">
        <f t="shared" si="24"/>
        <v>0</v>
      </c>
      <c r="AA105" s="21">
        <f t="shared" si="24"/>
        <v>0</v>
      </c>
    </row>
    <row r="106" spans="1:27" x14ac:dyDescent="0.25">
      <c r="C106" s="1"/>
      <c r="D106" s="1"/>
    </row>
    <row r="107" spans="1:27" x14ac:dyDescent="0.25">
      <c r="C107" s="1"/>
      <c r="D107" s="1"/>
      <c r="E107" t="s">
        <v>69</v>
      </c>
      <c r="F107" t="s">
        <v>58</v>
      </c>
      <c r="H107" s="2">
        <f>SUM(H98:H100)/1000</f>
        <v>212.96250000000001</v>
      </c>
      <c r="I107" s="2">
        <f t="shared" ref="I107:AA107" si="25">SUM(I98:I100)/1000</f>
        <v>482.28750000000002</v>
      </c>
      <c r="J107" s="2">
        <f t="shared" si="25"/>
        <v>813.74625000000003</v>
      </c>
      <c r="K107" s="2">
        <f t="shared" si="25"/>
        <v>1191.0037500000001</v>
      </c>
      <c r="L107" s="2">
        <f t="shared" si="25"/>
        <v>1609.5037500000001</v>
      </c>
      <c r="M107" s="2">
        <f t="shared" si="25"/>
        <v>2066.2537499999999</v>
      </c>
      <c r="N107" s="2">
        <f t="shared" si="25"/>
        <v>2557.6537499999999</v>
      </c>
      <c r="O107" s="2">
        <f t="shared" si="25"/>
        <v>3080.5875000000001</v>
      </c>
      <c r="P107" s="2">
        <f t="shared" si="25"/>
        <v>3683.3625000000002</v>
      </c>
      <c r="Q107" s="2">
        <f t="shared" si="25"/>
        <v>4374.1575000000003</v>
      </c>
      <c r="R107" s="2">
        <f t="shared" si="25"/>
        <v>5102.82</v>
      </c>
      <c r="S107" s="2">
        <f t="shared" si="25"/>
        <v>5873.36625</v>
      </c>
      <c r="T107" s="2">
        <f t="shared" si="25"/>
        <v>6688.0912500000004</v>
      </c>
      <c r="U107" s="2">
        <f t="shared" si="25"/>
        <v>7499.3737499999988</v>
      </c>
      <c r="V107" s="2">
        <f t="shared" si="25"/>
        <v>8306.64</v>
      </c>
      <c r="W107" s="2">
        <f t="shared" si="25"/>
        <v>8306.64</v>
      </c>
      <c r="X107" s="2">
        <f t="shared" si="25"/>
        <v>8306.64</v>
      </c>
      <c r="Y107" s="2">
        <f t="shared" si="25"/>
        <v>8306.64</v>
      </c>
      <c r="Z107" s="2">
        <f t="shared" si="25"/>
        <v>8306.64</v>
      </c>
      <c r="AA107" s="2">
        <f t="shared" si="25"/>
        <v>8306.64</v>
      </c>
    </row>
    <row r="108" spans="1:27" x14ac:dyDescent="0.25">
      <c r="C108" s="1"/>
      <c r="D108" s="1"/>
      <c r="E108" t="s">
        <v>70</v>
      </c>
      <c r="F108" t="s">
        <v>7</v>
      </c>
      <c r="H108" s="2">
        <f>H91*H102+H98*H103+H99*H104+H100*H105</f>
        <v>865960.7069404478</v>
      </c>
      <c r="I108" s="2">
        <f t="shared" ref="I108:AA108" si="26">I91*I102+I98*I103+I99*I104+I100*I105</f>
        <v>1947426.4448961804</v>
      </c>
      <c r="J108" s="2">
        <f t="shared" si="26"/>
        <v>3354824.4501163424</v>
      </c>
      <c r="K108" s="2">
        <f t="shared" si="26"/>
        <v>5013253.5531740226</v>
      </c>
      <c r="L108" s="2">
        <f t="shared" si="26"/>
        <v>6917103.5370783983</v>
      </c>
      <c r="M108" s="2">
        <f t="shared" si="26"/>
        <v>9066542.0544696841</v>
      </c>
      <c r="N108" s="2">
        <f t="shared" si="26"/>
        <v>11458440.603500504</v>
      </c>
      <c r="O108" s="2">
        <f t="shared" si="26"/>
        <v>14091040.352659723</v>
      </c>
      <c r="P108" s="2">
        <f t="shared" si="26"/>
        <v>17202030.52924614</v>
      </c>
      <c r="Q108" s="2">
        <f t="shared" si="26"/>
        <v>20857171.419506043</v>
      </c>
      <c r="R108" s="2">
        <f t="shared" si="26"/>
        <v>24842596.473401874</v>
      </c>
      <c r="S108" s="2">
        <f t="shared" si="26"/>
        <v>29194400.490458563</v>
      </c>
      <c r="T108" s="2">
        <f t="shared" si="26"/>
        <v>33942232.969565876</v>
      </c>
      <c r="U108" s="2">
        <f t="shared" si="26"/>
        <v>38858762.020967059</v>
      </c>
      <c r="V108" s="2">
        <f t="shared" si="26"/>
        <v>43945569.14034009</v>
      </c>
      <c r="W108" s="2">
        <f t="shared" si="26"/>
        <v>44868426.092287228</v>
      </c>
      <c r="X108" s="2">
        <f t="shared" si="26"/>
        <v>45810663.040225253</v>
      </c>
      <c r="Y108" s="2">
        <f t="shared" si="26"/>
        <v>46772686.964069977</v>
      </c>
      <c r="Z108" s="2">
        <f t="shared" si="26"/>
        <v>47754913.390315443</v>
      </c>
      <c r="AA108" s="2">
        <f t="shared" si="26"/>
        <v>48757766.571512066</v>
      </c>
    </row>
    <row r="109" spans="1:27" x14ac:dyDescent="0.25">
      <c r="C109" s="1"/>
      <c r="D109" s="1"/>
    </row>
    <row r="110" spans="1:27" x14ac:dyDescent="0.25">
      <c r="C110" s="1"/>
      <c r="D110" t="s">
        <v>71</v>
      </c>
    </row>
    <row r="111" spans="1:27" x14ac:dyDescent="0.25">
      <c r="A111" s="14">
        <f>'Notes &amp; Assumptions'!A33</f>
        <v>20</v>
      </c>
      <c r="C111" s="1"/>
      <c r="D111" s="1"/>
      <c r="E111" t="s">
        <v>87</v>
      </c>
      <c r="F111" t="s">
        <v>3</v>
      </c>
      <c r="H111" s="10">
        <f>'Customer numbers'!P38</f>
        <v>164</v>
      </c>
      <c r="I111" s="10">
        <f>'Customer numbers'!Q38</f>
        <v>164</v>
      </c>
      <c r="J111" s="10">
        <f>'Customer numbers'!R38</f>
        <v>168</v>
      </c>
      <c r="K111" s="10">
        <f>'Customer numbers'!S38</f>
        <v>160</v>
      </c>
      <c r="L111" s="10">
        <f>'Customer numbers'!T38</f>
        <v>156</v>
      </c>
      <c r="M111" s="10">
        <f>'Customer numbers'!U38</f>
        <v>148</v>
      </c>
      <c r="N111" s="10">
        <f>'Customer numbers'!V38</f>
        <v>142</v>
      </c>
      <c r="O111" s="10">
        <f>'Customer numbers'!W38</f>
        <v>138</v>
      </c>
      <c r="P111" s="10">
        <f>'Customer numbers'!X38</f>
        <v>144</v>
      </c>
      <c r="Q111" s="10">
        <f>'Customer numbers'!Y38</f>
        <v>154</v>
      </c>
      <c r="R111" s="10">
        <f>'Customer numbers'!Z38</f>
        <v>162</v>
      </c>
      <c r="S111" s="10">
        <f>'Customer numbers'!AA38</f>
        <v>174</v>
      </c>
      <c r="T111" s="10">
        <f>'Customer numbers'!AB38</f>
        <v>182</v>
      </c>
      <c r="U111" s="10">
        <f>'Customer numbers'!AC38</f>
        <v>180</v>
      </c>
      <c r="V111" s="10">
        <f>'Customer numbers'!AD38</f>
        <v>180</v>
      </c>
    </row>
    <row r="112" spans="1:27" x14ac:dyDescent="0.25">
      <c r="C112" s="1"/>
      <c r="D112" s="1"/>
      <c r="E112" t="s">
        <v>60</v>
      </c>
      <c r="F112" t="s">
        <v>3</v>
      </c>
      <c r="G112">
        <f>IF('Key assumptions'!B4="yes",SUM('Customer numbers'!F38:O38),0)</f>
        <v>0</v>
      </c>
      <c r="H112" s="2">
        <f>G112+H111</f>
        <v>164</v>
      </c>
      <c r="I112" s="2">
        <f t="shared" ref="I112:AA112" si="27">H112+I111</f>
        <v>328</v>
      </c>
      <c r="J112" s="2">
        <f t="shared" si="27"/>
        <v>496</v>
      </c>
      <c r="K112" s="2">
        <f t="shared" si="27"/>
        <v>656</v>
      </c>
      <c r="L112" s="2">
        <f t="shared" si="27"/>
        <v>812</v>
      </c>
      <c r="M112" s="2">
        <f t="shared" si="27"/>
        <v>960</v>
      </c>
      <c r="N112" s="2">
        <f t="shared" si="27"/>
        <v>1102</v>
      </c>
      <c r="O112" s="2">
        <f t="shared" si="27"/>
        <v>1240</v>
      </c>
      <c r="P112" s="2">
        <f t="shared" si="27"/>
        <v>1384</v>
      </c>
      <c r="Q112" s="2">
        <f t="shared" si="27"/>
        <v>1538</v>
      </c>
      <c r="R112" s="2">
        <f t="shared" si="27"/>
        <v>1700</v>
      </c>
      <c r="S112" s="2">
        <f t="shared" si="27"/>
        <v>1874</v>
      </c>
      <c r="T112" s="2">
        <f t="shared" si="27"/>
        <v>2056</v>
      </c>
      <c r="U112" s="2">
        <f t="shared" si="27"/>
        <v>2236</v>
      </c>
      <c r="V112" s="2">
        <f t="shared" si="27"/>
        <v>2416</v>
      </c>
      <c r="W112" s="2">
        <f t="shared" si="27"/>
        <v>2416</v>
      </c>
      <c r="X112" s="2">
        <f t="shared" si="27"/>
        <v>2416</v>
      </c>
      <c r="Y112" s="2">
        <f t="shared" si="27"/>
        <v>2416</v>
      </c>
      <c r="Z112" s="2">
        <f t="shared" si="27"/>
        <v>2416</v>
      </c>
      <c r="AA112" s="2">
        <f t="shared" si="27"/>
        <v>2416</v>
      </c>
    </row>
    <row r="113" spans="1:27" x14ac:dyDescent="0.25">
      <c r="A113" s="14">
        <f>'Notes &amp; Assumptions'!A34</f>
        <v>21</v>
      </c>
      <c r="C113" s="1"/>
      <c r="D113" s="1"/>
      <c r="E113" t="s">
        <v>61</v>
      </c>
      <c r="F113" t="s">
        <v>3</v>
      </c>
      <c r="G113" s="10">
        <v>1</v>
      </c>
    </row>
    <row r="114" spans="1:27" x14ac:dyDescent="0.25">
      <c r="C114" s="1"/>
      <c r="D114" s="1"/>
      <c r="E114" t="s">
        <v>88</v>
      </c>
      <c r="F114" t="s">
        <v>3</v>
      </c>
      <c r="H114">
        <f>H111*$G113</f>
        <v>164</v>
      </c>
      <c r="I114">
        <f t="shared" ref="I114:AA114" si="28">I111*$G113</f>
        <v>164</v>
      </c>
      <c r="J114">
        <f t="shared" si="28"/>
        <v>168</v>
      </c>
      <c r="K114">
        <f t="shared" si="28"/>
        <v>160</v>
      </c>
      <c r="L114">
        <f t="shared" si="28"/>
        <v>156</v>
      </c>
      <c r="M114">
        <f t="shared" si="28"/>
        <v>148</v>
      </c>
      <c r="N114">
        <f t="shared" si="28"/>
        <v>142</v>
      </c>
      <c r="O114">
        <f t="shared" si="28"/>
        <v>138</v>
      </c>
      <c r="P114">
        <f t="shared" si="28"/>
        <v>144</v>
      </c>
      <c r="Q114">
        <f t="shared" si="28"/>
        <v>154</v>
      </c>
      <c r="R114">
        <f t="shared" si="28"/>
        <v>162</v>
      </c>
      <c r="S114">
        <f t="shared" si="28"/>
        <v>174</v>
      </c>
      <c r="T114">
        <f t="shared" si="28"/>
        <v>182</v>
      </c>
      <c r="U114">
        <f t="shared" si="28"/>
        <v>180</v>
      </c>
      <c r="V114">
        <f t="shared" si="28"/>
        <v>180</v>
      </c>
      <c r="W114">
        <f t="shared" si="28"/>
        <v>0</v>
      </c>
      <c r="X114">
        <f t="shared" si="28"/>
        <v>0</v>
      </c>
      <c r="Y114">
        <f t="shared" si="28"/>
        <v>0</v>
      </c>
      <c r="Z114">
        <f t="shared" si="28"/>
        <v>0</v>
      </c>
      <c r="AA114">
        <f t="shared" si="28"/>
        <v>0</v>
      </c>
    </row>
    <row r="115" spans="1:27" x14ac:dyDescent="0.25">
      <c r="C115" s="1"/>
      <c r="D115" s="1"/>
      <c r="E115" t="s">
        <v>89</v>
      </c>
      <c r="F115" t="s">
        <v>3</v>
      </c>
      <c r="H115">
        <f>H112*$G113</f>
        <v>164</v>
      </c>
      <c r="I115">
        <f>I112*$G113</f>
        <v>328</v>
      </c>
      <c r="J115">
        <f t="shared" ref="J115:AA115" si="29">J112*$G113</f>
        <v>496</v>
      </c>
      <c r="K115">
        <f t="shared" si="29"/>
        <v>656</v>
      </c>
      <c r="L115">
        <f t="shared" si="29"/>
        <v>812</v>
      </c>
      <c r="M115">
        <f t="shared" si="29"/>
        <v>960</v>
      </c>
      <c r="N115">
        <f t="shared" si="29"/>
        <v>1102</v>
      </c>
      <c r="O115">
        <f t="shared" si="29"/>
        <v>1240</v>
      </c>
      <c r="P115">
        <f t="shared" si="29"/>
        <v>1384</v>
      </c>
      <c r="Q115">
        <f t="shared" si="29"/>
        <v>1538</v>
      </c>
      <c r="R115">
        <f t="shared" si="29"/>
        <v>1700</v>
      </c>
      <c r="S115">
        <f t="shared" si="29"/>
        <v>1874</v>
      </c>
      <c r="T115">
        <f t="shared" si="29"/>
        <v>2056</v>
      </c>
      <c r="U115">
        <f t="shared" si="29"/>
        <v>2236</v>
      </c>
      <c r="V115">
        <f t="shared" si="29"/>
        <v>2416</v>
      </c>
      <c r="W115">
        <f t="shared" si="29"/>
        <v>2416</v>
      </c>
      <c r="X115">
        <f t="shared" si="29"/>
        <v>2416</v>
      </c>
      <c r="Y115">
        <f t="shared" si="29"/>
        <v>2416</v>
      </c>
      <c r="Z115">
        <f t="shared" si="29"/>
        <v>2416</v>
      </c>
      <c r="AA115">
        <f t="shared" si="29"/>
        <v>2416</v>
      </c>
    </row>
    <row r="116" spans="1:27" x14ac:dyDescent="0.25">
      <c r="A116" s="14">
        <f>'Notes &amp; Assumptions'!A35</f>
        <v>22</v>
      </c>
      <c r="C116" s="1"/>
      <c r="D116" s="1"/>
      <c r="E116" t="s">
        <v>62</v>
      </c>
      <c r="F116" t="s">
        <v>43</v>
      </c>
      <c r="H116" s="10">
        <f>'Key assumptions'!$B27</f>
        <v>286</v>
      </c>
      <c r="I116" s="10">
        <f>'Key assumptions'!$B27</f>
        <v>286</v>
      </c>
      <c r="J116" s="10">
        <f>'Key assumptions'!$B27</f>
        <v>286</v>
      </c>
      <c r="K116" s="10">
        <f>'Key assumptions'!$B27</f>
        <v>286</v>
      </c>
      <c r="L116" s="10">
        <f>'Key assumptions'!$B27</f>
        <v>286</v>
      </c>
      <c r="M116" s="10">
        <f>'Key assumptions'!$B27</f>
        <v>286</v>
      </c>
      <c r="N116" s="10">
        <f>'Key assumptions'!$B27</f>
        <v>286</v>
      </c>
      <c r="O116" s="10">
        <f>'Key assumptions'!$B27</f>
        <v>286</v>
      </c>
      <c r="P116" s="10">
        <f>'Key assumptions'!$B27</f>
        <v>286</v>
      </c>
      <c r="Q116" s="10">
        <f>'Key assumptions'!$B27</f>
        <v>286</v>
      </c>
      <c r="R116" s="10">
        <f>'Key assumptions'!$B27</f>
        <v>286</v>
      </c>
      <c r="S116" s="10">
        <f>'Key assumptions'!$B27</f>
        <v>286</v>
      </c>
      <c r="T116" s="10">
        <f>'Key assumptions'!$B27</f>
        <v>286</v>
      </c>
      <c r="U116" s="10">
        <f>'Key assumptions'!$B27</f>
        <v>286</v>
      </c>
      <c r="V116" s="10">
        <f>'Key assumptions'!$B27</f>
        <v>286</v>
      </c>
      <c r="W116" s="10">
        <f>'Key assumptions'!$B27</f>
        <v>286</v>
      </c>
      <c r="X116" s="10">
        <f>'Key assumptions'!$B27</f>
        <v>286</v>
      </c>
      <c r="Y116" s="10">
        <f>'Key assumptions'!$B27</f>
        <v>286</v>
      </c>
      <c r="Z116" s="10">
        <f>'Key assumptions'!$B27</f>
        <v>286</v>
      </c>
      <c r="AA116" s="10">
        <f>'Key assumptions'!$B27</f>
        <v>286</v>
      </c>
    </row>
    <row r="117" spans="1:27" x14ac:dyDescent="0.25">
      <c r="C117" s="1"/>
      <c r="D117" s="1"/>
      <c r="E117" t="s">
        <v>63</v>
      </c>
      <c r="F117" t="s">
        <v>43</v>
      </c>
      <c r="H117" s="10"/>
      <c r="I117" s="10"/>
      <c r="J117" s="10"/>
      <c r="K117" s="10"/>
      <c r="L117" s="10"/>
      <c r="M117" s="10"/>
      <c r="N117" s="10"/>
      <c r="O117" s="10"/>
      <c r="P117" s="10"/>
      <c r="Q117" s="10"/>
      <c r="R117" s="10"/>
      <c r="S117" s="10"/>
      <c r="T117" s="10"/>
      <c r="U117" s="10"/>
      <c r="V117" s="10"/>
      <c r="W117" s="10"/>
      <c r="X117" s="10"/>
      <c r="Y117" s="10"/>
      <c r="Z117" s="10"/>
      <c r="AA117" s="10"/>
    </row>
    <row r="118" spans="1:27" x14ac:dyDescent="0.25">
      <c r="C118" s="1"/>
      <c r="D118" s="1"/>
      <c r="E118" t="s">
        <v>140</v>
      </c>
      <c r="F118" t="s">
        <v>43</v>
      </c>
      <c r="H118" s="10"/>
      <c r="I118" s="10"/>
      <c r="J118" s="10"/>
      <c r="K118" s="10"/>
      <c r="L118" s="10"/>
      <c r="M118" s="10"/>
      <c r="N118" s="10"/>
      <c r="O118" s="10"/>
      <c r="P118" s="10"/>
      <c r="Q118" s="10"/>
      <c r="R118" s="10"/>
      <c r="S118" s="10"/>
      <c r="T118" s="10"/>
      <c r="U118" s="10"/>
      <c r="V118" s="10"/>
      <c r="W118" s="10"/>
      <c r="X118" s="10"/>
      <c r="Y118" s="10"/>
      <c r="Z118" s="10"/>
      <c r="AA118" s="10"/>
    </row>
    <row r="119" spans="1:27" x14ac:dyDescent="0.25">
      <c r="C119" s="1"/>
      <c r="D119" s="1"/>
      <c r="E119" t="s">
        <v>64</v>
      </c>
      <c r="F119" t="s">
        <v>144</v>
      </c>
      <c r="H119" s="2">
        <f>H112*H116</f>
        <v>46904</v>
      </c>
      <c r="I119" s="2">
        <f t="shared" ref="I119:AA119" si="30">I112*I116</f>
        <v>93808</v>
      </c>
      <c r="J119" s="2">
        <f t="shared" si="30"/>
        <v>141856</v>
      </c>
      <c r="K119" s="2">
        <f t="shared" si="30"/>
        <v>187616</v>
      </c>
      <c r="L119" s="2">
        <f t="shared" si="30"/>
        <v>232232</v>
      </c>
      <c r="M119" s="2">
        <f t="shared" si="30"/>
        <v>274560</v>
      </c>
      <c r="N119" s="2">
        <f t="shared" si="30"/>
        <v>315172</v>
      </c>
      <c r="O119" s="2">
        <f t="shared" si="30"/>
        <v>354640</v>
      </c>
      <c r="P119" s="2">
        <f t="shared" si="30"/>
        <v>395824</v>
      </c>
      <c r="Q119" s="2">
        <f t="shared" si="30"/>
        <v>439868</v>
      </c>
      <c r="R119" s="2">
        <f t="shared" si="30"/>
        <v>486200</v>
      </c>
      <c r="S119" s="2">
        <f t="shared" si="30"/>
        <v>535964</v>
      </c>
      <c r="T119" s="2">
        <f t="shared" si="30"/>
        <v>588016</v>
      </c>
      <c r="U119" s="2">
        <f t="shared" si="30"/>
        <v>639496</v>
      </c>
      <c r="V119" s="2">
        <f t="shared" si="30"/>
        <v>690976</v>
      </c>
      <c r="W119" s="2">
        <f t="shared" si="30"/>
        <v>690976</v>
      </c>
      <c r="X119" s="2">
        <f t="shared" si="30"/>
        <v>690976</v>
      </c>
      <c r="Y119" s="2">
        <f t="shared" si="30"/>
        <v>690976</v>
      </c>
      <c r="Z119" s="2">
        <f t="shared" si="30"/>
        <v>690976</v>
      </c>
      <c r="AA119" s="2">
        <f t="shared" si="30"/>
        <v>690976</v>
      </c>
    </row>
    <row r="120" spans="1:27" x14ac:dyDescent="0.25">
      <c r="C120" s="1"/>
      <c r="D120" s="1"/>
      <c r="E120" t="s">
        <v>65</v>
      </c>
      <c r="F120" t="s">
        <v>144</v>
      </c>
      <c r="H120" s="2">
        <f>H112*H117</f>
        <v>0</v>
      </c>
      <c r="I120" s="2">
        <f t="shared" ref="I120:AA120" si="31">I112*I117</f>
        <v>0</v>
      </c>
      <c r="J120" s="2">
        <f t="shared" si="31"/>
        <v>0</v>
      </c>
      <c r="K120" s="2">
        <f t="shared" si="31"/>
        <v>0</v>
      </c>
      <c r="L120" s="2">
        <f t="shared" si="31"/>
        <v>0</v>
      </c>
      <c r="M120" s="2">
        <f t="shared" si="31"/>
        <v>0</v>
      </c>
      <c r="N120" s="2">
        <f t="shared" si="31"/>
        <v>0</v>
      </c>
      <c r="O120" s="2">
        <f t="shared" si="31"/>
        <v>0</v>
      </c>
      <c r="P120" s="2">
        <f t="shared" si="31"/>
        <v>0</v>
      </c>
      <c r="Q120" s="2">
        <f t="shared" si="31"/>
        <v>0</v>
      </c>
      <c r="R120" s="2">
        <f t="shared" si="31"/>
        <v>0</v>
      </c>
      <c r="S120" s="2">
        <f t="shared" si="31"/>
        <v>0</v>
      </c>
      <c r="T120" s="2">
        <f t="shared" si="31"/>
        <v>0</v>
      </c>
      <c r="U120" s="2">
        <f t="shared" si="31"/>
        <v>0</v>
      </c>
      <c r="V120" s="2">
        <f t="shared" si="31"/>
        <v>0</v>
      </c>
      <c r="W120" s="2">
        <f t="shared" si="31"/>
        <v>0</v>
      </c>
      <c r="X120" s="2">
        <f t="shared" si="31"/>
        <v>0</v>
      </c>
      <c r="Y120" s="2">
        <f t="shared" si="31"/>
        <v>0</v>
      </c>
      <c r="Z120" s="2">
        <f t="shared" si="31"/>
        <v>0</v>
      </c>
      <c r="AA120" s="2">
        <f t="shared" si="31"/>
        <v>0</v>
      </c>
    </row>
    <row r="121" spans="1:27" x14ac:dyDescent="0.25">
      <c r="C121" s="1"/>
      <c r="D121" s="1"/>
      <c r="E121" t="s">
        <v>141</v>
      </c>
      <c r="F121" t="s">
        <v>144</v>
      </c>
      <c r="H121" s="2">
        <f>H112*H118</f>
        <v>0</v>
      </c>
      <c r="I121" s="2">
        <f t="shared" ref="I121:AA121" si="32">I112*I118</f>
        <v>0</v>
      </c>
      <c r="J121" s="2">
        <f t="shared" si="32"/>
        <v>0</v>
      </c>
      <c r="K121" s="2">
        <f t="shared" si="32"/>
        <v>0</v>
      </c>
      <c r="L121" s="2">
        <f t="shared" si="32"/>
        <v>0</v>
      </c>
      <c r="M121" s="2">
        <f t="shared" si="32"/>
        <v>0</v>
      </c>
      <c r="N121" s="2">
        <f t="shared" si="32"/>
        <v>0</v>
      </c>
      <c r="O121" s="2">
        <f t="shared" si="32"/>
        <v>0</v>
      </c>
      <c r="P121" s="2">
        <f t="shared" si="32"/>
        <v>0</v>
      </c>
      <c r="Q121" s="2">
        <f t="shared" si="32"/>
        <v>0</v>
      </c>
      <c r="R121" s="2">
        <f t="shared" si="32"/>
        <v>0</v>
      </c>
      <c r="S121" s="2">
        <f t="shared" si="32"/>
        <v>0</v>
      </c>
      <c r="T121" s="2">
        <f t="shared" si="32"/>
        <v>0</v>
      </c>
      <c r="U121" s="2">
        <f t="shared" si="32"/>
        <v>0</v>
      </c>
      <c r="V121" s="2">
        <f t="shared" si="32"/>
        <v>0</v>
      </c>
      <c r="W121" s="2">
        <f t="shared" si="32"/>
        <v>0</v>
      </c>
      <c r="X121" s="2">
        <f t="shared" si="32"/>
        <v>0</v>
      </c>
      <c r="Y121" s="2">
        <f t="shared" si="32"/>
        <v>0</v>
      </c>
      <c r="Z121" s="2">
        <f t="shared" si="32"/>
        <v>0</v>
      </c>
      <c r="AA121" s="2">
        <f t="shared" si="32"/>
        <v>0</v>
      </c>
    </row>
    <row r="122" spans="1:27" x14ac:dyDescent="0.25">
      <c r="A122" s="14">
        <f>'Notes &amp; Assumptions'!A36</f>
        <v>23</v>
      </c>
      <c r="C122" s="1"/>
      <c r="D122" s="1"/>
      <c r="E122" t="s">
        <v>66</v>
      </c>
      <c r="F122" t="s">
        <v>8</v>
      </c>
      <c r="H122" s="11">
        <f>'YVW tariffs'!D36</f>
        <v>-4.24E-2</v>
      </c>
      <c r="I122" s="11">
        <f>'YVW tariffs'!E36</f>
        <v>-2.7400000000000001E-2</v>
      </c>
      <c r="J122" s="11">
        <f>'YVW tariffs'!F36</f>
        <v>0</v>
      </c>
      <c r="K122" s="11">
        <f>'YVW tariffs'!G36</f>
        <v>0</v>
      </c>
      <c r="L122" s="11">
        <f>'YVW tariffs'!H36</f>
        <v>0</v>
      </c>
      <c r="M122" s="11">
        <v>0</v>
      </c>
      <c r="N122" s="11">
        <v>0</v>
      </c>
      <c r="O122" s="11">
        <v>0</v>
      </c>
      <c r="P122" s="11">
        <v>0</v>
      </c>
      <c r="Q122" s="11">
        <v>0</v>
      </c>
      <c r="R122" s="11">
        <v>0</v>
      </c>
      <c r="S122" s="11">
        <v>0</v>
      </c>
      <c r="T122" s="11">
        <v>0</v>
      </c>
      <c r="U122" s="11">
        <v>0</v>
      </c>
      <c r="V122" s="11">
        <v>0</v>
      </c>
      <c r="W122" s="11">
        <v>0</v>
      </c>
      <c r="X122" s="11">
        <v>0</v>
      </c>
      <c r="Y122" s="11">
        <v>0</v>
      </c>
      <c r="Z122" s="11">
        <v>0</v>
      </c>
      <c r="AA122" s="11">
        <v>0</v>
      </c>
    </row>
    <row r="123" spans="1:27" x14ac:dyDescent="0.25">
      <c r="A123" s="14">
        <f>'Notes &amp; Assumptions'!A37</f>
        <v>24</v>
      </c>
      <c r="C123" s="1"/>
      <c r="D123" s="1"/>
      <c r="E123" t="s">
        <v>40</v>
      </c>
      <c r="F123" t="s">
        <v>41</v>
      </c>
      <c r="G123" s="20">
        <f>'YVW tariffs'!E18</f>
        <v>568.75825999999984</v>
      </c>
      <c r="H123" s="2">
        <f>G123*(1+$G$14)*(1+H122)</f>
        <v>556.08041088129585</v>
      </c>
      <c r="I123" s="2">
        <f t="shared" ref="I123:AA123" si="33">H123*(1+$G$14)*(1+I122)</f>
        <v>552.20152758323445</v>
      </c>
      <c r="J123" s="2">
        <f t="shared" si="33"/>
        <v>563.79775966248235</v>
      </c>
      <c r="K123" s="2">
        <f t="shared" si="33"/>
        <v>575.63751261539437</v>
      </c>
      <c r="L123" s="2">
        <f t="shared" si="33"/>
        <v>587.72590038031763</v>
      </c>
      <c r="M123" s="2">
        <f t="shared" si="33"/>
        <v>600.06814428830421</v>
      </c>
      <c r="N123" s="2">
        <f t="shared" si="33"/>
        <v>612.66957531835851</v>
      </c>
      <c r="O123" s="2">
        <f t="shared" si="33"/>
        <v>625.53563640004393</v>
      </c>
      <c r="P123" s="2">
        <f t="shared" si="33"/>
        <v>638.67188476444483</v>
      </c>
      <c r="Q123" s="2">
        <f t="shared" si="33"/>
        <v>652.08399434449814</v>
      </c>
      <c r="R123" s="2">
        <f t="shared" si="33"/>
        <v>665.77775822573255</v>
      </c>
      <c r="S123" s="2">
        <f t="shared" si="33"/>
        <v>679.75909114847286</v>
      </c>
      <c r="T123" s="2">
        <f t="shared" si="33"/>
        <v>694.03403206259077</v>
      </c>
      <c r="U123" s="2">
        <f t="shared" si="33"/>
        <v>708.60874673590513</v>
      </c>
      <c r="V123" s="2">
        <f t="shared" si="33"/>
        <v>723.48953041735911</v>
      </c>
      <c r="W123" s="2">
        <f t="shared" si="33"/>
        <v>738.68281055612363</v>
      </c>
      <c r="X123" s="2">
        <f t="shared" si="33"/>
        <v>754.19514957780211</v>
      </c>
      <c r="Y123" s="2">
        <f t="shared" si="33"/>
        <v>770.03324771893585</v>
      </c>
      <c r="Z123" s="2">
        <f t="shared" si="33"/>
        <v>786.20394592103344</v>
      </c>
      <c r="AA123" s="2">
        <f t="shared" si="33"/>
        <v>802.7142287853751</v>
      </c>
    </row>
    <row r="124" spans="1:27" x14ac:dyDescent="0.25">
      <c r="C124" s="1"/>
      <c r="D124" s="1"/>
      <c r="E124" t="s">
        <v>67</v>
      </c>
      <c r="F124" t="s">
        <v>143</v>
      </c>
      <c r="G124" s="20">
        <f>'YVW tariffs'!E19</f>
        <v>2.0661976999999996</v>
      </c>
      <c r="H124" s="21">
        <f>G124*(1+$G$14)*(1+H122)</f>
        <v>2.0201413267879191</v>
      </c>
      <c r="I124" s="21">
        <f t="shared" ref="I124:AA124" si="34">H124*(1+$G$14)*(1+I122)</f>
        <v>2.0060500329770425</v>
      </c>
      <c r="J124" s="21">
        <f t="shared" si="34"/>
        <v>2.0481770836695601</v>
      </c>
      <c r="K124" s="21">
        <f t="shared" si="34"/>
        <v>2.0911888024266205</v>
      </c>
      <c r="L124" s="21">
        <f t="shared" si="34"/>
        <v>2.1351037672775792</v>
      </c>
      <c r="M124" s="21">
        <f t="shared" si="34"/>
        <v>2.179940946390408</v>
      </c>
      <c r="N124" s="21">
        <f t="shared" si="34"/>
        <v>2.2257197062646066</v>
      </c>
      <c r="O124" s="21">
        <f t="shared" si="34"/>
        <v>2.272459820096163</v>
      </c>
      <c r="P124" s="21">
        <f t="shared" si="34"/>
        <v>2.3201814763181821</v>
      </c>
      <c r="Q124" s="21">
        <f t="shared" si="34"/>
        <v>2.3689052873208638</v>
      </c>
      <c r="R124" s="21">
        <f t="shared" si="34"/>
        <v>2.4186522983546017</v>
      </c>
      <c r="S124" s="21">
        <f t="shared" si="34"/>
        <v>2.4694439966200483</v>
      </c>
      <c r="T124" s="21">
        <f t="shared" si="34"/>
        <v>2.521302320549069</v>
      </c>
      <c r="U124" s="21">
        <f t="shared" si="34"/>
        <v>2.5742496692805994</v>
      </c>
      <c r="V124" s="21">
        <f t="shared" si="34"/>
        <v>2.6283089123354917</v>
      </c>
      <c r="W124" s="21">
        <f t="shared" si="34"/>
        <v>2.683503399494537</v>
      </c>
      <c r="X124" s="21">
        <f t="shared" si="34"/>
        <v>2.7398569708839222</v>
      </c>
      <c r="Y124" s="21">
        <f t="shared" si="34"/>
        <v>2.7973939672724843</v>
      </c>
      <c r="Z124" s="21">
        <f t="shared" si="34"/>
        <v>2.8561392405852062</v>
      </c>
      <c r="AA124" s="21">
        <f t="shared" si="34"/>
        <v>2.9161181646374952</v>
      </c>
    </row>
    <row r="125" spans="1:27" x14ac:dyDescent="0.25">
      <c r="C125" s="1"/>
      <c r="D125" s="1"/>
      <c r="E125" t="s">
        <v>68</v>
      </c>
      <c r="F125" t="s">
        <v>143</v>
      </c>
      <c r="G125" s="20"/>
      <c r="H125" s="21">
        <f>G125*(1+$G$14)*(1+H122)</f>
        <v>0</v>
      </c>
      <c r="I125" s="21">
        <f t="shared" ref="I125:AA125" si="35">H125*(1+$G$14)*(1+I122)</f>
        <v>0</v>
      </c>
      <c r="J125" s="21">
        <f t="shared" si="35"/>
        <v>0</v>
      </c>
      <c r="K125" s="21">
        <f t="shared" si="35"/>
        <v>0</v>
      </c>
      <c r="L125" s="21">
        <f t="shared" si="35"/>
        <v>0</v>
      </c>
      <c r="M125" s="21">
        <f t="shared" si="35"/>
        <v>0</v>
      </c>
      <c r="N125" s="21">
        <f t="shared" si="35"/>
        <v>0</v>
      </c>
      <c r="O125" s="21">
        <f t="shared" si="35"/>
        <v>0</v>
      </c>
      <c r="P125" s="21">
        <f t="shared" si="35"/>
        <v>0</v>
      </c>
      <c r="Q125" s="21">
        <f t="shared" si="35"/>
        <v>0</v>
      </c>
      <c r="R125" s="21">
        <f t="shared" si="35"/>
        <v>0</v>
      </c>
      <c r="S125" s="21">
        <f t="shared" si="35"/>
        <v>0</v>
      </c>
      <c r="T125" s="21">
        <f t="shared" si="35"/>
        <v>0</v>
      </c>
      <c r="U125" s="21">
        <f t="shared" si="35"/>
        <v>0</v>
      </c>
      <c r="V125" s="21">
        <f t="shared" si="35"/>
        <v>0</v>
      </c>
      <c r="W125" s="21">
        <f t="shared" si="35"/>
        <v>0</v>
      </c>
      <c r="X125" s="21">
        <f t="shared" si="35"/>
        <v>0</v>
      </c>
      <c r="Y125" s="21">
        <f t="shared" si="35"/>
        <v>0</v>
      </c>
      <c r="Z125" s="21">
        <f t="shared" si="35"/>
        <v>0</v>
      </c>
      <c r="AA125" s="21">
        <f t="shared" si="35"/>
        <v>0</v>
      </c>
    </row>
    <row r="126" spans="1:27" x14ac:dyDescent="0.25">
      <c r="C126" s="1"/>
      <c r="D126" s="1"/>
      <c r="E126" t="s">
        <v>142</v>
      </c>
      <c r="F126" t="s">
        <v>143</v>
      </c>
      <c r="G126" s="20"/>
      <c r="H126" s="21">
        <f>G126*(1+$G$14)*(1+H122)</f>
        <v>0</v>
      </c>
      <c r="I126" s="21">
        <f t="shared" ref="I126:AA126" si="36">H126*(1+$G$14)*(1+I122)</f>
        <v>0</v>
      </c>
      <c r="J126" s="21">
        <f t="shared" si="36"/>
        <v>0</v>
      </c>
      <c r="K126" s="21">
        <f t="shared" si="36"/>
        <v>0</v>
      </c>
      <c r="L126" s="21">
        <f t="shared" si="36"/>
        <v>0</v>
      </c>
      <c r="M126" s="21">
        <f t="shared" si="36"/>
        <v>0</v>
      </c>
      <c r="N126" s="21">
        <f t="shared" si="36"/>
        <v>0</v>
      </c>
      <c r="O126" s="21">
        <f t="shared" si="36"/>
        <v>0</v>
      </c>
      <c r="P126" s="21">
        <f t="shared" si="36"/>
        <v>0</v>
      </c>
      <c r="Q126" s="21">
        <f t="shared" si="36"/>
        <v>0</v>
      </c>
      <c r="R126" s="21">
        <f t="shared" si="36"/>
        <v>0</v>
      </c>
      <c r="S126" s="21">
        <f t="shared" si="36"/>
        <v>0</v>
      </c>
      <c r="T126" s="21">
        <f t="shared" si="36"/>
        <v>0</v>
      </c>
      <c r="U126" s="21">
        <f t="shared" si="36"/>
        <v>0</v>
      </c>
      <c r="V126" s="21">
        <f t="shared" si="36"/>
        <v>0</v>
      </c>
      <c r="W126" s="21">
        <f t="shared" si="36"/>
        <v>0</v>
      </c>
      <c r="X126" s="21">
        <f t="shared" si="36"/>
        <v>0</v>
      </c>
      <c r="Y126" s="21">
        <f t="shared" si="36"/>
        <v>0</v>
      </c>
      <c r="Z126" s="21">
        <f t="shared" si="36"/>
        <v>0</v>
      </c>
      <c r="AA126" s="21">
        <f t="shared" si="36"/>
        <v>0</v>
      </c>
    </row>
    <row r="127" spans="1:27" x14ac:dyDescent="0.25">
      <c r="C127" s="1"/>
      <c r="D127" s="1"/>
    </row>
    <row r="128" spans="1:27" x14ac:dyDescent="0.25">
      <c r="C128" s="1"/>
      <c r="D128" s="1"/>
      <c r="E128" t="s">
        <v>72</v>
      </c>
      <c r="F128" t="s">
        <v>58</v>
      </c>
      <c r="H128" s="2">
        <f>SUM(H119:H121)/1000</f>
        <v>46.904000000000003</v>
      </c>
      <c r="I128" s="2">
        <f t="shared" ref="I128:AA128" si="37">SUM(I119:I121)/1000</f>
        <v>93.808000000000007</v>
      </c>
      <c r="J128" s="2">
        <f t="shared" si="37"/>
        <v>141.85599999999999</v>
      </c>
      <c r="K128" s="2">
        <f t="shared" si="37"/>
        <v>187.61600000000001</v>
      </c>
      <c r="L128" s="2">
        <f t="shared" si="37"/>
        <v>232.232</v>
      </c>
      <c r="M128" s="2">
        <f t="shared" si="37"/>
        <v>274.56</v>
      </c>
      <c r="N128" s="2">
        <f t="shared" si="37"/>
        <v>315.17200000000003</v>
      </c>
      <c r="O128" s="2">
        <f t="shared" si="37"/>
        <v>354.64</v>
      </c>
      <c r="P128" s="2">
        <f t="shared" si="37"/>
        <v>395.82400000000001</v>
      </c>
      <c r="Q128" s="2">
        <f t="shared" si="37"/>
        <v>439.86799999999999</v>
      </c>
      <c r="R128" s="2">
        <f t="shared" si="37"/>
        <v>486.2</v>
      </c>
      <c r="S128" s="2">
        <f t="shared" si="37"/>
        <v>535.96400000000006</v>
      </c>
      <c r="T128" s="2">
        <f t="shared" si="37"/>
        <v>588.01599999999996</v>
      </c>
      <c r="U128" s="2">
        <f t="shared" si="37"/>
        <v>639.49599999999998</v>
      </c>
      <c r="V128" s="2">
        <f t="shared" si="37"/>
        <v>690.976</v>
      </c>
      <c r="W128" s="2">
        <f t="shared" si="37"/>
        <v>690.976</v>
      </c>
      <c r="X128" s="2">
        <f t="shared" si="37"/>
        <v>690.976</v>
      </c>
      <c r="Y128" s="2">
        <f t="shared" si="37"/>
        <v>690.976</v>
      </c>
      <c r="Z128" s="2">
        <f t="shared" si="37"/>
        <v>690.976</v>
      </c>
      <c r="AA128" s="2">
        <f t="shared" si="37"/>
        <v>690.976</v>
      </c>
    </row>
    <row r="129" spans="1:27" x14ac:dyDescent="0.25">
      <c r="C129" s="1"/>
      <c r="D129" s="1"/>
      <c r="E129" t="s">
        <v>73</v>
      </c>
      <c r="F129" t="s">
        <v>7</v>
      </c>
      <c r="H129" s="2">
        <f>H112*H123+H119*H124+H120*H125+H121*H126</f>
        <v>185949.89617619308</v>
      </c>
      <c r="I129" s="2">
        <f t="shared" ref="I129:AA129" si="38">I112*I123+I119*I124+I120*I125+I121*I126</f>
        <v>369305.64254081133</v>
      </c>
      <c r="J129" s="2">
        <f t="shared" si="38"/>
        <v>570189.89717362029</v>
      </c>
      <c r="K129" s="2">
        <f t="shared" si="38"/>
        <v>769958.6866317715</v>
      </c>
      <c r="L129" s="2">
        <f t="shared" si="38"/>
        <v>973072.84919122467</v>
      </c>
      <c r="M129" s="2">
        <f t="shared" si="38"/>
        <v>1174590.0047577224</v>
      </c>
      <c r="N129" s="2">
        <f t="shared" si="38"/>
        <v>1376646.4032636597</v>
      </c>
      <c r="O129" s="2">
        <f t="shared" si="38"/>
        <v>1581569.3397349576</v>
      </c>
      <c r="P129" s="2">
        <f t="shared" si="38"/>
        <v>1802305.4011961597</v>
      </c>
      <c r="Q129" s="2">
        <f t="shared" si="38"/>
        <v>2044910.8142250918</v>
      </c>
      <c r="R129" s="2">
        <f t="shared" si="38"/>
        <v>2307770.9364437526</v>
      </c>
      <c r="S129" s="2">
        <f t="shared" si="38"/>
        <v>2597401.619016706</v>
      </c>
      <c r="T129" s="2">
        <f t="shared" si="38"/>
        <v>2909500.0752406679</v>
      </c>
      <c r="U129" s="2">
        <f t="shared" si="38"/>
        <v>3230671.5242077503</v>
      </c>
      <c r="V129" s="2">
        <f t="shared" si="38"/>
        <v>3564049.0844982686</v>
      </c>
      <c r="W129" s="2">
        <f t="shared" si="38"/>
        <v>3638894.115272732</v>
      </c>
      <c r="X129" s="2">
        <f t="shared" si="38"/>
        <v>3715310.8916934589</v>
      </c>
      <c r="Y129" s="2">
        <f t="shared" si="38"/>
        <v>3793332.4204190215</v>
      </c>
      <c r="Z129" s="2">
        <f t="shared" si="38"/>
        <v>3872992.4012478204</v>
      </c>
      <c r="AA129" s="2">
        <f t="shared" si="38"/>
        <v>3954325.2416740241</v>
      </c>
    </row>
    <row r="130" spans="1:27" x14ac:dyDescent="0.25">
      <c r="C130" s="1"/>
      <c r="D130" s="1"/>
    </row>
    <row r="131" spans="1:27" x14ac:dyDescent="0.25">
      <c r="C131" s="1"/>
      <c r="D131" t="s">
        <v>74</v>
      </c>
    </row>
    <row r="132" spans="1:27" x14ac:dyDescent="0.25">
      <c r="A132" s="14">
        <f>'Notes &amp; Assumptions'!A38</f>
        <v>25</v>
      </c>
      <c r="C132" s="1"/>
      <c r="D132" s="1"/>
      <c r="E132" t="s">
        <v>87</v>
      </c>
      <c r="F132" t="s">
        <v>3</v>
      </c>
      <c r="H132" s="10">
        <v>0</v>
      </c>
      <c r="I132" s="10">
        <v>0</v>
      </c>
      <c r="J132" s="10">
        <v>0</v>
      </c>
      <c r="K132" s="10">
        <v>0</v>
      </c>
      <c r="L132" s="10">
        <v>0</v>
      </c>
      <c r="M132" s="10">
        <v>0</v>
      </c>
      <c r="N132" s="10">
        <v>0</v>
      </c>
      <c r="O132" s="10">
        <v>0</v>
      </c>
      <c r="P132" s="10">
        <v>0</v>
      </c>
      <c r="Q132" s="10">
        <v>0</v>
      </c>
      <c r="R132" s="10">
        <f>AVERAGE($O132:$Q132)</f>
        <v>0</v>
      </c>
      <c r="S132" s="10">
        <f t="shared" ref="S132:V132" si="39">AVERAGE($O132:$Q132)</f>
        <v>0</v>
      </c>
      <c r="T132" s="10">
        <f t="shared" si="39"/>
        <v>0</v>
      </c>
      <c r="U132" s="10">
        <f t="shared" si="39"/>
        <v>0</v>
      </c>
      <c r="V132" s="10">
        <f t="shared" si="39"/>
        <v>0</v>
      </c>
    </row>
    <row r="133" spans="1:27" x14ac:dyDescent="0.25">
      <c r="C133" s="1"/>
      <c r="D133" s="1"/>
      <c r="E133" t="s">
        <v>60</v>
      </c>
      <c r="F133" t="s">
        <v>3</v>
      </c>
      <c r="H133" s="2">
        <f>G133+H132</f>
        <v>0</v>
      </c>
      <c r="I133" s="2">
        <f t="shared" ref="I133:AA133" si="40">H133+I132</f>
        <v>0</v>
      </c>
      <c r="J133" s="2">
        <f t="shared" si="40"/>
        <v>0</v>
      </c>
      <c r="K133" s="2">
        <f t="shared" si="40"/>
        <v>0</v>
      </c>
      <c r="L133" s="2">
        <f t="shared" si="40"/>
        <v>0</v>
      </c>
      <c r="M133" s="2">
        <f t="shared" si="40"/>
        <v>0</v>
      </c>
      <c r="N133" s="2">
        <f t="shared" si="40"/>
        <v>0</v>
      </c>
      <c r="O133" s="2">
        <f t="shared" si="40"/>
        <v>0</v>
      </c>
      <c r="P133" s="2">
        <f t="shared" si="40"/>
        <v>0</v>
      </c>
      <c r="Q133" s="2">
        <f t="shared" si="40"/>
        <v>0</v>
      </c>
      <c r="R133" s="2">
        <f t="shared" si="40"/>
        <v>0</v>
      </c>
      <c r="S133" s="2">
        <f t="shared" si="40"/>
        <v>0</v>
      </c>
      <c r="T133" s="2">
        <f t="shared" si="40"/>
        <v>0</v>
      </c>
      <c r="U133" s="2">
        <f t="shared" si="40"/>
        <v>0</v>
      </c>
      <c r="V133" s="2">
        <f t="shared" si="40"/>
        <v>0</v>
      </c>
      <c r="W133" s="2">
        <f t="shared" si="40"/>
        <v>0</v>
      </c>
      <c r="X133" s="2">
        <f t="shared" si="40"/>
        <v>0</v>
      </c>
      <c r="Y133" s="2">
        <f t="shared" si="40"/>
        <v>0</v>
      </c>
      <c r="Z133" s="2">
        <f t="shared" si="40"/>
        <v>0</v>
      </c>
      <c r="AA133" s="2">
        <f t="shared" si="40"/>
        <v>0</v>
      </c>
    </row>
    <row r="134" spans="1:27" x14ac:dyDescent="0.25">
      <c r="A134" s="14">
        <f>'Notes &amp; Assumptions'!A39</f>
        <v>26</v>
      </c>
      <c r="C134" s="1"/>
      <c r="D134" s="1"/>
      <c r="E134" t="s">
        <v>61</v>
      </c>
      <c r="F134" t="s">
        <v>3</v>
      </c>
      <c r="G134" s="10">
        <v>1</v>
      </c>
    </row>
    <row r="135" spans="1:27" x14ac:dyDescent="0.25">
      <c r="C135" s="1"/>
      <c r="D135" s="1"/>
      <c r="E135" t="s">
        <v>88</v>
      </c>
      <c r="F135" t="s">
        <v>3</v>
      </c>
      <c r="H135">
        <f>H132*$G134</f>
        <v>0</v>
      </c>
      <c r="I135">
        <f t="shared" ref="I135:AA135" si="41">I132*$G134</f>
        <v>0</v>
      </c>
      <c r="J135">
        <f t="shared" si="41"/>
        <v>0</v>
      </c>
      <c r="K135">
        <f t="shared" si="41"/>
        <v>0</v>
      </c>
      <c r="L135">
        <f t="shared" si="41"/>
        <v>0</v>
      </c>
      <c r="M135">
        <f t="shared" si="41"/>
        <v>0</v>
      </c>
      <c r="N135">
        <f t="shared" si="41"/>
        <v>0</v>
      </c>
      <c r="O135">
        <f t="shared" si="41"/>
        <v>0</v>
      </c>
      <c r="P135">
        <f t="shared" si="41"/>
        <v>0</v>
      </c>
      <c r="Q135">
        <f t="shared" si="41"/>
        <v>0</v>
      </c>
      <c r="R135">
        <f t="shared" si="41"/>
        <v>0</v>
      </c>
      <c r="S135">
        <f t="shared" si="41"/>
        <v>0</v>
      </c>
      <c r="T135">
        <f t="shared" si="41"/>
        <v>0</v>
      </c>
      <c r="U135">
        <f t="shared" si="41"/>
        <v>0</v>
      </c>
      <c r="V135">
        <f t="shared" si="41"/>
        <v>0</v>
      </c>
      <c r="W135">
        <f t="shared" si="41"/>
        <v>0</v>
      </c>
      <c r="X135">
        <f t="shared" si="41"/>
        <v>0</v>
      </c>
      <c r="Y135">
        <f t="shared" si="41"/>
        <v>0</v>
      </c>
      <c r="Z135">
        <f t="shared" si="41"/>
        <v>0</v>
      </c>
      <c r="AA135">
        <f t="shared" si="41"/>
        <v>0</v>
      </c>
    </row>
    <row r="136" spans="1:27" x14ac:dyDescent="0.25">
      <c r="C136" s="1"/>
      <c r="D136" s="1"/>
      <c r="E136" t="s">
        <v>89</v>
      </c>
      <c r="F136" t="s">
        <v>3</v>
      </c>
      <c r="H136">
        <f>H133*$G134</f>
        <v>0</v>
      </c>
      <c r="I136">
        <f t="shared" ref="I136:AA136" si="42">I133*$G134</f>
        <v>0</v>
      </c>
      <c r="J136">
        <f t="shared" si="42"/>
        <v>0</v>
      </c>
      <c r="K136">
        <f t="shared" si="42"/>
        <v>0</v>
      </c>
      <c r="L136">
        <f t="shared" si="42"/>
        <v>0</v>
      </c>
      <c r="M136">
        <f t="shared" si="42"/>
        <v>0</v>
      </c>
      <c r="N136">
        <f t="shared" si="42"/>
        <v>0</v>
      </c>
      <c r="O136">
        <f t="shared" si="42"/>
        <v>0</v>
      </c>
      <c r="P136">
        <f t="shared" si="42"/>
        <v>0</v>
      </c>
      <c r="Q136">
        <f t="shared" si="42"/>
        <v>0</v>
      </c>
      <c r="R136">
        <f t="shared" si="42"/>
        <v>0</v>
      </c>
      <c r="S136">
        <f t="shared" si="42"/>
        <v>0</v>
      </c>
      <c r="T136">
        <f t="shared" si="42"/>
        <v>0</v>
      </c>
      <c r="U136">
        <f t="shared" si="42"/>
        <v>0</v>
      </c>
      <c r="V136">
        <f t="shared" si="42"/>
        <v>0</v>
      </c>
      <c r="W136">
        <f t="shared" si="42"/>
        <v>0</v>
      </c>
      <c r="X136">
        <f t="shared" si="42"/>
        <v>0</v>
      </c>
      <c r="Y136">
        <f t="shared" si="42"/>
        <v>0</v>
      </c>
      <c r="Z136">
        <f t="shared" si="42"/>
        <v>0</v>
      </c>
      <c r="AA136">
        <f t="shared" si="42"/>
        <v>0</v>
      </c>
    </row>
    <row r="137" spans="1:27" x14ac:dyDescent="0.25">
      <c r="A137" s="14">
        <f>'Notes &amp; Assumptions'!A40</f>
        <v>27</v>
      </c>
      <c r="C137" s="1"/>
      <c r="D137" s="1"/>
      <c r="E137" t="s">
        <v>62</v>
      </c>
      <c r="F137" t="s">
        <v>43</v>
      </c>
      <c r="H137" s="10"/>
      <c r="I137" s="10"/>
      <c r="J137" s="10"/>
      <c r="K137" s="10"/>
      <c r="L137" s="10"/>
      <c r="M137" s="10"/>
      <c r="N137" s="10"/>
      <c r="O137" s="10"/>
      <c r="P137" s="10"/>
      <c r="Q137" s="10"/>
      <c r="R137" s="10"/>
      <c r="S137" s="10"/>
      <c r="T137" s="10"/>
      <c r="U137" s="10"/>
      <c r="V137" s="10"/>
      <c r="W137" s="10"/>
      <c r="X137" s="10"/>
      <c r="Y137" s="10"/>
      <c r="Z137" s="10"/>
      <c r="AA137" s="10"/>
    </row>
    <row r="138" spans="1:27" x14ac:dyDescent="0.25">
      <c r="C138" s="1"/>
      <c r="D138" s="1"/>
      <c r="E138" t="s">
        <v>63</v>
      </c>
      <c r="F138" t="s">
        <v>43</v>
      </c>
      <c r="H138" s="10"/>
      <c r="I138" s="10"/>
      <c r="J138" s="10"/>
      <c r="K138" s="10"/>
      <c r="L138" s="10"/>
      <c r="M138" s="10"/>
      <c r="N138" s="10"/>
      <c r="O138" s="10"/>
      <c r="P138" s="10"/>
      <c r="Q138" s="10"/>
      <c r="R138" s="10"/>
      <c r="S138" s="10"/>
      <c r="T138" s="10"/>
      <c r="U138" s="10"/>
      <c r="V138" s="10"/>
      <c r="W138" s="10"/>
      <c r="X138" s="10"/>
      <c r="Y138" s="10"/>
      <c r="Z138" s="10"/>
      <c r="AA138" s="10"/>
    </row>
    <row r="139" spans="1:27" x14ac:dyDescent="0.25">
      <c r="A139" s="14">
        <f>'Notes &amp; Assumptions'!A41</f>
        <v>28</v>
      </c>
      <c r="C139" s="1"/>
      <c r="D139" s="1"/>
      <c r="E139" t="s">
        <v>140</v>
      </c>
      <c r="F139" t="s">
        <v>43</v>
      </c>
      <c r="H139" s="10"/>
      <c r="I139" s="10"/>
      <c r="J139" s="10"/>
      <c r="K139" s="10"/>
      <c r="L139" s="10"/>
      <c r="M139" s="10"/>
      <c r="N139" s="10"/>
      <c r="O139" s="10"/>
      <c r="P139" s="10"/>
      <c r="Q139" s="10"/>
      <c r="R139" s="10"/>
      <c r="S139" s="10"/>
      <c r="T139" s="10"/>
      <c r="U139" s="10"/>
      <c r="V139" s="10"/>
      <c r="W139" s="10"/>
      <c r="X139" s="10"/>
      <c r="Y139" s="10"/>
      <c r="Z139" s="10"/>
      <c r="AA139" s="10"/>
    </row>
    <row r="140" spans="1:27" x14ac:dyDescent="0.25">
      <c r="C140" s="1"/>
      <c r="D140" s="1"/>
      <c r="E140" t="s">
        <v>64</v>
      </c>
      <c r="F140" t="s">
        <v>144</v>
      </c>
      <c r="H140" s="2">
        <f>H133*H137</f>
        <v>0</v>
      </c>
      <c r="I140" s="2">
        <f t="shared" ref="I140:AA140" si="43">I133*I137</f>
        <v>0</v>
      </c>
      <c r="J140" s="2">
        <f t="shared" si="43"/>
        <v>0</v>
      </c>
      <c r="K140" s="2">
        <f t="shared" si="43"/>
        <v>0</v>
      </c>
      <c r="L140" s="2">
        <f t="shared" si="43"/>
        <v>0</v>
      </c>
      <c r="M140" s="2">
        <f t="shared" si="43"/>
        <v>0</v>
      </c>
      <c r="N140" s="2">
        <f t="shared" si="43"/>
        <v>0</v>
      </c>
      <c r="O140" s="2">
        <f t="shared" si="43"/>
        <v>0</v>
      </c>
      <c r="P140" s="2">
        <f t="shared" si="43"/>
        <v>0</v>
      </c>
      <c r="Q140" s="2">
        <f t="shared" si="43"/>
        <v>0</v>
      </c>
      <c r="R140" s="2">
        <f t="shared" si="43"/>
        <v>0</v>
      </c>
      <c r="S140" s="2">
        <f t="shared" si="43"/>
        <v>0</v>
      </c>
      <c r="T140" s="2">
        <f t="shared" si="43"/>
        <v>0</v>
      </c>
      <c r="U140" s="2">
        <f t="shared" si="43"/>
        <v>0</v>
      </c>
      <c r="V140" s="2">
        <f t="shared" si="43"/>
        <v>0</v>
      </c>
      <c r="W140" s="2">
        <f t="shared" si="43"/>
        <v>0</v>
      </c>
      <c r="X140" s="2">
        <f t="shared" si="43"/>
        <v>0</v>
      </c>
      <c r="Y140" s="2">
        <f t="shared" si="43"/>
        <v>0</v>
      </c>
      <c r="Z140" s="2">
        <f t="shared" si="43"/>
        <v>0</v>
      </c>
      <c r="AA140" s="2">
        <f t="shared" si="43"/>
        <v>0</v>
      </c>
    </row>
    <row r="141" spans="1:27" x14ac:dyDescent="0.25">
      <c r="C141" s="1"/>
      <c r="D141" s="1"/>
      <c r="E141" t="s">
        <v>65</v>
      </c>
      <c r="F141" t="s">
        <v>144</v>
      </c>
      <c r="H141" s="2">
        <f>H133*H138</f>
        <v>0</v>
      </c>
      <c r="I141" s="2">
        <f t="shared" ref="I141:AA141" si="44">I133*I138</f>
        <v>0</v>
      </c>
      <c r="J141" s="2">
        <f t="shared" si="44"/>
        <v>0</v>
      </c>
      <c r="K141" s="2">
        <f t="shared" si="44"/>
        <v>0</v>
      </c>
      <c r="L141" s="2">
        <f t="shared" si="44"/>
        <v>0</v>
      </c>
      <c r="M141" s="2">
        <f t="shared" si="44"/>
        <v>0</v>
      </c>
      <c r="N141" s="2">
        <f t="shared" si="44"/>
        <v>0</v>
      </c>
      <c r="O141" s="2">
        <f t="shared" si="44"/>
        <v>0</v>
      </c>
      <c r="P141" s="2">
        <f t="shared" si="44"/>
        <v>0</v>
      </c>
      <c r="Q141" s="2">
        <f t="shared" si="44"/>
        <v>0</v>
      </c>
      <c r="R141" s="2">
        <f t="shared" si="44"/>
        <v>0</v>
      </c>
      <c r="S141" s="2">
        <f t="shared" si="44"/>
        <v>0</v>
      </c>
      <c r="T141" s="2">
        <f t="shared" si="44"/>
        <v>0</v>
      </c>
      <c r="U141" s="2">
        <f t="shared" si="44"/>
        <v>0</v>
      </c>
      <c r="V141" s="2">
        <f t="shared" si="44"/>
        <v>0</v>
      </c>
      <c r="W141" s="2">
        <f t="shared" si="44"/>
        <v>0</v>
      </c>
      <c r="X141" s="2">
        <f t="shared" si="44"/>
        <v>0</v>
      </c>
      <c r="Y141" s="2">
        <f t="shared" si="44"/>
        <v>0</v>
      </c>
      <c r="Z141" s="2">
        <f t="shared" si="44"/>
        <v>0</v>
      </c>
      <c r="AA141" s="2">
        <f t="shared" si="44"/>
        <v>0</v>
      </c>
    </row>
    <row r="142" spans="1:27" x14ac:dyDescent="0.25">
      <c r="C142" s="1"/>
      <c r="D142" s="1"/>
      <c r="E142" t="s">
        <v>141</v>
      </c>
      <c r="F142" t="s">
        <v>144</v>
      </c>
      <c r="H142" s="2">
        <f>H133*H139</f>
        <v>0</v>
      </c>
      <c r="I142" s="2">
        <f t="shared" ref="I142:AA142" si="45">I133*I139</f>
        <v>0</v>
      </c>
      <c r="J142" s="2">
        <f t="shared" si="45"/>
        <v>0</v>
      </c>
      <c r="K142" s="2">
        <f t="shared" si="45"/>
        <v>0</v>
      </c>
      <c r="L142" s="2">
        <f t="shared" si="45"/>
        <v>0</v>
      </c>
      <c r="M142" s="2">
        <f t="shared" si="45"/>
        <v>0</v>
      </c>
      <c r="N142" s="2">
        <f t="shared" si="45"/>
        <v>0</v>
      </c>
      <c r="O142" s="2">
        <f t="shared" si="45"/>
        <v>0</v>
      </c>
      <c r="P142" s="2">
        <f t="shared" si="45"/>
        <v>0</v>
      </c>
      <c r="Q142" s="2">
        <f t="shared" si="45"/>
        <v>0</v>
      </c>
      <c r="R142" s="2">
        <f t="shared" si="45"/>
        <v>0</v>
      </c>
      <c r="S142" s="2">
        <f t="shared" si="45"/>
        <v>0</v>
      </c>
      <c r="T142" s="2">
        <f t="shared" si="45"/>
        <v>0</v>
      </c>
      <c r="U142" s="2">
        <f t="shared" si="45"/>
        <v>0</v>
      </c>
      <c r="V142" s="2">
        <f t="shared" si="45"/>
        <v>0</v>
      </c>
      <c r="W142" s="2">
        <f t="shared" si="45"/>
        <v>0</v>
      </c>
      <c r="X142" s="2">
        <f t="shared" si="45"/>
        <v>0</v>
      </c>
      <c r="Y142" s="2">
        <f t="shared" si="45"/>
        <v>0</v>
      </c>
      <c r="Z142" s="2">
        <f t="shared" si="45"/>
        <v>0</v>
      </c>
      <c r="AA142" s="2">
        <f t="shared" si="45"/>
        <v>0</v>
      </c>
    </row>
    <row r="143" spans="1:27" x14ac:dyDescent="0.25">
      <c r="A143" s="14">
        <f>'Notes &amp; Assumptions'!A42</f>
        <v>29</v>
      </c>
      <c r="C143" s="1"/>
      <c r="D143" s="1"/>
      <c r="E143" t="s">
        <v>66</v>
      </c>
      <c r="F143" t="s">
        <v>8</v>
      </c>
      <c r="H143" s="11"/>
      <c r="I143" s="11"/>
      <c r="J143" s="11"/>
      <c r="K143" s="11"/>
      <c r="L143" s="11"/>
      <c r="M143" s="11"/>
      <c r="N143" s="11"/>
      <c r="O143" s="11"/>
      <c r="P143" s="11"/>
      <c r="Q143" s="11"/>
      <c r="R143" s="11"/>
      <c r="S143" s="11"/>
      <c r="T143" s="11"/>
      <c r="U143" s="11"/>
      <c r="V143" s="11"/>
      <c r="W143" s="11"/>
      <c r="X143" s="11"/>
      <c r="Y143" s="11"/>
      <c r="Z143" s="11"/>
      <c r="AA143" s="11"/>
    </row>
    <row r="144" spans="1:27" x14ac:dyDescent="0.25">
      <c r="A144" s="14">
        <f>'Notes &amp; Assumptions'!A43</f>
        <v>30</v>
      </c>
      <c r="C144" s="1"/>
      <c r="D144" s="1"/>
      <c r="E144" t="s">
        <v>40</v>
      </c>
      <c r="F144" t="s">
        <v>41</v>
      </c>
      <c r="G144" s="10"/>
      <c r="H144" s="2">
        <f>G144*(1+$G$14)*(1+H143)</f>
        <v>0</v>
      </c>
      <c r="I144" s="2">
        <f t="shared" ref="I144:AA144" si="46">H144*(1+$G$14)*(1+I143)</f>
        <v>0</v>
      </c>
      <c r="J144" s="2">
        <f t="shared" si="46"/>
        <v>0</v>
      </c>
      <c r="K144" s="2">
        <f t="shared" si="46"/>
        <v>0</v>
      </c>
      <c r="L144" s="2">
        <f t="shared" si="46"/>
        <v>0</v>
      </c>
      <c r="M144" s="2">
        <f t="shared" si="46"/>
        <v>0</v>
      </c>
      <c r="N144" s="2">
        <f t="shared" si="46"/>
        <v>0</v>
      </c>
      <c r="O144" s="2">
        <f t="shared" si="46"/>
        <v>0</v>
      </c>
      <c r="P144" s="2">
        <f t="shared" si="46"/>
        <v>0</v>
      </c>
      <c r="Q144" s="2">
        <f t="shared" si="46"/>
        <v>0</v>
      </c>
      <c r="R144" s="2">
        <f t="shared" si="46"/>
        <v>0</v>
      </c>
      <c r="S144" s="2">
        <f t="shared" si="46"/>
        <v>0</v>
      </c>
      <c r="T144" s="2">
        <f t="shared" si="46"/>
        <v>0</v>
      </c>
      <c r="U144" s="2">
        <f t="shared" si="46"/>
        <v>0</v>
      </c>
      <c r="V144" s="2">
        <f t="shared" si="46"/>
        <v>0</v>
      </c>
      <c r="W144" s="2">
        <f t="shared" si="46"/>
        <v>0</v>
      </c>
      <c r="X144" s="2">
        <f t="shared" si="46"/>
        <v>0</v>
      </c>
      <c r="Y144" s="2">
        <f t="shared" si="46"/>
        <v>0</v>
      </c>
      <c r="Z144" s="2">
        <f t="shared" si="46"/>
        <v>0</v>
      </c>
      <c r="AA144" s="2">
        <f t="shared" si="46"/>
        <v>0</v>
      </c>
    </row>
    <row r="145" spans="1:27" x14ac:dyDescent="0.25">
      <c r="C145" s="1"/>
      <c r="D145" s="1"/>
      <c r="E145" t="s">
        <v>67</v>
      </c>
      <c r="F145" t="s">
        <v>143</v>
      </c>
      <c r="G145" s="20"/>
      <c r="H145" s="21">
        <f>G145*(1+$G$14)*(1+H143)</f>
        <v>0</v>
      </c>
      <c r="I145" s="21">
        <f t="shared" ref="I145:AA145" si="47">H145*(1+$G$14)*(1+I143)</f>
        <v>0</v>
      </c>
      <c r="J145" s="21">
        <f t="shared" si="47"/>
        <v>0</v>
      </c>
      <c r="K145" s="21">
        <f t="shared" si="47"/>
        <v>0</v>
      </c>
      <c r="L145" s="21">
        <f t="shared" si="47"/>
        <v>0</v>
      </c>
      <c r="M145" s="21">
        <f t="shared" si="47"/>
        <v>0</v>
      </c>
      <c r="N145" s="21">
        <f t="shared" si="47"/>
        <v>0</v>
      </c>
      <c r="O145" s="21">
        <f t="shared" si="47"/>
        <v>0</v>
      </c>
      <c r="P145" s="21">
        <f t="shared" si="47"/>
        <v>0</v>
      </c>
      <c r="Q145" s="21">
        <f t="shared" si="47"/>
        <v>0</v>
      </c>
      <c r="R145" s="21">
        <f t="shared" si="47"/>
        <v>0</v>
      </c>
      <c r="S145" s="21">
        <f t="shared" si="47"/>
        <v>0</v>
      </c>
      <c r="T145" s="21">
        <f t="shared" si="47"/>
        <v>0</v>
      </c>
      <c r="U145" s="21">
        <f t="shared" si="47"/>
        <v>0</v>
      </c>
      <c r="V145" s="21">
        <f t="shared" si="47"/>
        <v>0</v>
      </c>
      <c r="W145" s="21">
        <f t="shared" si="47"/>
        <v>0</v>
      </c>
      <c r="X145" s="21">
        <f t="shared" si="47"/>
        <v>0</v>
      </c>
      <c r="Y145" s="21">
        <f t="shared" si="47"/>
        <v>0</v>
      </c>
      <c r="Z145" s="21">
        <f t="shared" si="47"/>
        <v>0</v>
      </c>
      <c r="AA145" s="21">
        <f t="shared" si="47"/>
        <v>0</v>
      </c>
    </row>
    <row r="146" spans="1:27" x14ac:dyDescent="0.25">
      <c r="C146" s="1"/>
      <c r="D146" s="1"/>
      <c r="E146" t="s">
        <v>68</v>
      </c>
      <c r="F146" t="s">
        <v>143</v>
      </c>
      <c r="G146" s="20"/>
      <c r="H146" s="21">
        <f>G146*(1+$G$14)*(1+H143)</f>
        <v>0</v>
      </c>
      <c r="I146" s="21">
        <f t="shared" ref="I146:AA146" si="48">H146*(1+$G$14)*(1+I143)</f>
        <v>0</v>
      </c>
      <c r="J146" s="21">
        <f t="shared" si="48"/>
        <v>0</v>
      </c>
      <c r="K146" s="21">
        <f t="shared" si="48"/>
        <v>0</v>
      </c>
      <c r="L146" s="21">
        <f t="shared" si="48"/>
        <v>0</v>
      </c>
      <c r="M146" s="21">
        <f t="shared" si="48"/>
        <v>0</v>
      </c>
      <c r="N146" s="21">
        <f t="shared" si="48"/>
        <v>0</v>
      </c>
      <c r="O146" s="21">
        <f t="shared" si="48"/>
        <v>0</v>
      </c>
      <c r="P146" s="21">
        <f t="shared" si="48"/>
        <v>0</v>
      </c>
      <c r="Q146" s="21">
        <f t="shared" si="48"/>
        <v>0</v>
      </c>
      <c r="R146" s="21">
        <f t="shared" si="48"/>
        <v>0</v>
      </c>
      <c r="S146" s="21">
        <f t="shared" si="48"/>
        <v>0</v>
      </c>
      <c r="T146" s="21">
        <f t="shared" si="48"/>
        <v>0</v>
      </c>
      <c r="U146" s="21">
        <f t="shared" si="48"/>
        <v>0</v>
      </c>
      <c r="V146" s="21">
        <f t="shared" si="48"/>
        <v>0</v>
      </c>
      <c r="W146" s="21">
        <f t="shared" si="48"/>
        <v>0</v>
      </c>
      <c r="X146" s="21">
        <f t="shared" si="48"/>
        <v>0</v>
      </c>
      <c r="Y146" s="21">
        <f t="shared" si="48"/>
        <v>0</v>
      </c>
      <c r="Z146" s="21">
        <f t="shared" si="48"/>
        <v>0</v>
      </c>
      <c r="AA146" s="21">
        <f t="shared" si="48"/>
        <v>0</v>
      </c>
    </row>
    <row r="147" spans="1:27" x14ac:dyDescent="0.25">
      <c r="C147" s="1"/>
      <c r="D147" s="1"/>
      <c r="E147" t="s">
        <v>142</v>
      </c>
      <c r="F147" t="s">
        <v>143</v>
      </c>
      <c r="G147" s="20"/>
      <c r="H147" s="21">
        <f>G147*(1+$G$14)*(1+H143)</f>
        <v>0</v>
      </c>
      <c r="I147" s="21">
        <f t="shared" ref="I147:AA147" si="49">H147*(1+$G$14)*(1+I143)</f>
        <v>0</v>
      </c>
      <c r="J147" s="21">
        <f t="shared" si="49"/>
        <v>0</v>
      </c>
      <c r="K147" s="21">
        <f t="shared" si="49"/>
        <v>0</v>
      </c>
      <c r="L147" s="21">
        <f t="shared" si="49"/>
        <v>0</v>
      </c>
      <c r="M147" s="21">
        <f t="shared" si="49"/>
        <v>0</v>
      </c>
      <c r="N147" s="21">
        <f t="shared" si="49"/>
        <v>0</v>
      </c>
      <c r="O147" s="21">
        <f t="shared" si="49"/>
        <v>0</v>
      </c>
      <c r="P147" s="21">
        <f t="shared" si="49"/>
        <v>0</v>
      </c>
      <c r="Q147" s="21">
        <f t="shared" si="49"/>
        <v>0</v>
      </c>
      <c r="R147" s="21">
        <f t="shared" si="49"/>
        <v>0</v>
      </c>
      <c r="S147" s="21">
        <f t="shared" si="49"/>
        <v>0</v>
      </c>
      <c r="T147" s="21">
        <f t="shared" si="49"/>
        <v>0</v>
      </c>
      <c r="U147" s="21">
        <f t="shared" si="49"/>
        <v>0</v>
      </c>
      <c r="V147" s="21">
        <f t="shared" si="49"/>
        <v>0</v>
      </c>
      <c r="W147" s="21">
        <f t="shared" si="49"/>
        <v>0</v>
      </c>
      <c r="X147" s="21">
        <f t="shared" si="49"/>
        <v>0</v>
      </c>
      <c r="Y147" s="21">
        <f t="shared" si="49"/>
        <v>0</v>
      </c>
      <c r="Z147" s="21">
        <f t="shared" si="49"/>
        <v>0</v>
      </c>
      <c r="AA147" s="21">
        <f t="shared" si="49"/>
        <v>0</v>
      </c>
    </row>
    <row r="148" spans="1:27" x14ac:dyDescent="0.25">
      <c r="C148" s="1"/>
      <c r="D148" s="1"/>
    </row>
    <row r="149" spans="1:27" x14ac:dyDescent="0.25">
      <c r="C149" s="1"/>
      <c r="D149" s="1"/>
      <c r="E149" t="s">
        <v>75</v>
      </c>
      <c r="F149" t="s">
        <v>58</v>
      </c>
      <c r="H149" s="2">
        <f>SUM(H140:H142)/1000</f>
        <v>0</v>
      </c>
      <c r="I149" s="2">
        <f t="shared" ref="I149:AA149" si="50">SUM(I140:I142)/1000</f>
        <v>0</v>
      </c>
      <c r="J149" s="2">
        <f t="shared" si="50"/>
        <v>0</v>
      </c>
      <c r="K149" s="2">
        <f t="shared" si="50"/>
        <v>0</v>
      </c>
      <c r="L149" s="2">
        <f t="shared" si="50"/>
        <v>0</v>
      </c>
      <c r="M149" s="2">
        <f t="shared" si="50"/>
        <v>0</v>
      </c>
      <c r="N149" s="2">
        <f t="shared" si="50"/>
        <v>0</v>
      </c>
      <c r="O149" s="2">
        <f t="shared" si="50"/>
        <v>0</v>
      </c>
      <c r="P149" s="2">
        <f t="shared" si="50"/>
        <v>0</v>
      </c>
      <c r="Q149" s="2">
        <f t="shared" si="50"/>
        <v>0</v>
      </c>
      <c r="R149" s="2">
        <f t="shared" si="50"/>
        <v>0</v>
      </c>
      <c r="S149" s="2">
        <f t="shared" si="50"/>
        <v>0</v>
      </c>
      <c r="T149" s="2">
        <f t="shared" si="50"/>
        <v>0</v>
      </c>
      <c r="U149" s="2">
        <f t="shared" si="50"/>
        <v>0</v>
      </c>
      <c r="V149" s="2">
        <f t="shared" si="50"/>
        <v>0</v>
      </c>
      <c r="W149" s="2">
        <f t="shared" si="50"/>
        <v>0</v>
      </c>
      <c r="X149" s="2">
        <f t="shared" si="50"/>
        <v>0</v>
      </c>
      <c r="Y149" s="2">
        <f t="shared" si="50"/>
        <v>0</v>
      </c>
      <c r="Z149" s="2">
        <f t="shared" si="50"/>
        <v>0</v>
      </c>
      <c r="AA149" s="2">
        <f t="shared" si="50"/>
        <v>0</v>
      </c>
    </row>
    <row r="150" spans="1:27" x14ac:dyDescent="0.25">
      <c r="C150" s="1"/>
      <c r="D150" s="1"/>
      <c r="E150" t="s">
        <v>76</v>
      </c>
      <c r="F150" t="s">
        <v>7</v>
      </c>
      <c r="H150" s="2">
        <f>H133*H144+H140*H145+H141*H146+H142*H147</f>
        <v>0</v>
      </c>
      <c r="I150" s="2">
        <f t="shared" ref="I150:AA150" si="51">I133*I144+I140*I145+I141*I146+I142*I147</f>
        <v>0</v>
      </c>
      <c r="J150" s="2">
        <f t="shared" si="51"/>
        <v>0</v>
      </c>
      <c r="K150" s="2">
        <f t="shared" si="51"/>
        <v>0</v>
      </c>
      <c r="L150" s="2">
        <f t="shared" si="51"/>
        <v>0</v>
      </c>
      <c r="M150" s="2">
        <f t="shared" si="51"/>
        <v>0</v>
      </c>
      <c r="N150" s="2">
        <f t="shared" si="51"/>
        <v>0</v>
      </c>
      <c r="O150" s="2">
        <f t="shared" si="51"/>
        <v>0</v>
      </c>
      <c r="P150" s="2">
        <f t="shared" si="51"/>
        <v>0</v>
      </c>
      <c r="Q150" s="2">
        <f t="shared" si="51"/>
        <v>0</v>
      </c>
      <c r="R150" s="2">
        <f t="shared" si="51"/>
        <v>0</v>
      </c>
      <c r="S150" s="2">
        <f t="shared" si="51"/>
        <v>0</v>
      </c>
      <c r="T150" s="2">
        <f t="shared" si="51"/>
        <v>0</v>
      </c>
      <c r="U150" s="2">
        <f t="shared" si="51"/>
        <v>0</v>
      </c>
      <c r="V150" s="2">
        <f t="shared" si="51"/>
        <v>0</v>
      </c>
      <c r="W150" s="2">
        <f t="shared" si="51"/>
        <v>0</v>
      </c>
      <c r="X150" s="2">
        <f t="shared" si="51"/>
        <v>0</v>
      </c>
      <c r="Y150" s="2">
        <f t="shared" si="51"/>
        <v>0</v>
      </c>
      <c r="Z150" s="2">
        <f t="shared" si="51"/>
        <v>0</v>
      </c>
      <c r="AA150" s="2">
        <f t="shared" si="51"/>
        <v>0</v>
      </c>
    </row>
    <row r="151" spans="1:27" x14ac:dyDescent="0.25">
      <c r="C151" s="1"/>
      <c r="D151" s="1"/>
    </row>
    <row r="152" spans="1:27" x14ac:dyDescent="0.25">
      <c r="C152" s="1"/>
      <c r="D152" t="s">
        <v>77</v>
      </c>
    </row>
    <row r="153" spans="1:27" x14ac:dyDescent="0.25">
      <c r="A153" s="14">
        <f>'Notes &amp; Assumptions'!A44</f>
        <v>31</v>
      </c>
      <c r="C153" s="1"/>
      <c r="D153" s="1"/>
      <c r="E153" t="s">
        <v>87</v>
      </c>
      <c r="F153" t="s">
        <v>3</v>
      </c>
      <c r="H153" s="10">
        <v>0</v>
      </c>
      <c r="I153" s="10">
        <v>0</v>
      </c>
      <c r="J153" s="10">
        <v>0</v>
      </c>
      <c r="K153" s="10">
        <v>0</v>
      </c>
      <c r="L153" s="10">
        <v>0</v>
      </c>
      <c r="M153" s="10">
        <v>0</v>
      </c>
      <c r="N153" s="10">
        <v>0</v>
      </c>
      <c r="O153" s="10">
        <v>0</v>
      </c>
      <c r="P153" s="10">
        <v>0</v>
      </c>
      <c r="Q153" s="10">
        <v>0</v>
      </c>
      <c r="R153" s="10">
        <f>AVERAGE($O153:$Q153)</f>
        <v>0</v>
      </c>
      <c r="S153" s="10">
        <f t="shared" ref="S153:V153" si="52">AVERAGE($O153:$Q153)</f>
        <v>0</v>
      </c>
      <c r="T153" s="10">
        <f t="shared" si="52"/>
        <v>0</v>
      </c>
      <c r="U153" s="10">
        <f t="shared" si="52"/>
        <v>0</v>
      </c>
      <c r="V153" s="10">
        <f t="shared" si="52"/>
        <v>0</v>
      </c>
    </row>
    <row r="154" spans="1:27" x14ac:dyDescent="0.25">
      <c r="C154" s="1"/>
      <c r="D154" s="1"/>
      <c r="E154" t="s">
        <v>60</v>
      </c>
      <c r="F154" t="s">
        <v>3</v>
      </c>
      <c r="H154" s="2">
        <f>G154+H153</f>
        <v>0</v>
      </c>
      <c r="I154" s="2">
        <f t="shared" ref="I154:AA154" si="53">H154+I153</f>
        <v>0</v>
      </c>
      <c r="J154" s="2">
        <f t="shared" si="53"/>
        <v>0</v>
      </c>
      <c r="K154" s="2">
        <f t="shared" si="53"/>
        <v>0</v>
      </c>
      <c r="L154" s="2">
        <f t="shared" si="53"/>
        <v>0</v>
      </c>
      <c r="M154" s="2">
        <f t="shared" si="53"/>
        <v>0</v>
      </c>
      <c r="N154" s="2">
        <f t="shared" si="53"/>
        <v>0</v>
      </c>
      <c r="O154" s="2">
        <f t="shared" si="53"/>
        <v>0</v>
      </c>
      <c r="P154" s="2">
        <f t="shared" si="53"/>
        <v>0</v>
      </c>
      <c r="Q154" s="2">
        <f t="shared" si="53"/>
        <v>0</v>
      </c>
      <c r="R154" s="2">
        <f t="shared" si="53"/>
        <v>0</v>
      </c>
      <c r="S154" s="2">
        <f t="shared" si="53"/>
        <v>0</v>
      </c>
      <c r="T154" s="2">
        <f t="shared" si="53"/>
        <v>0</v>
      </c>
      <c r="U154" s="2">
        <f t="shared" si="53"/>
        <v>0</v>
      </c>
      <c r="V154" s="2">
        <f t="shared" si="53"/>
        <v>0</v>
      </c>
      <c r="W154" s="2">
        <f t="shared" si="53"/>
        <v>0</v>
      </c>
      <c r="X154" s="2">
        <f t="shared" si="53"/>
        <v>0</v>
      </c>
      <c r="Y154" s="2">
        <f t="shared" si="53"/>
        <v>0</v>
      </c>
      <c r="Z154" s="2">
        <f t="shared" si="53"/>
        <v>0</v>
      </c>
      <c r="AA154" s="2">
        <f t="shared" si="53"/>
        <v>0</v>
      </c>
    </row>
    <row r="155" spans="1:27" x14ac:dyDescent="0.25">
      <c r="A155" s="14">
        <f>'Notes &amp; Assumptions'!A45</f>
        <v>32</v>
      </c>
      <c r="C155" s="1"/>
      <c r="D155" s="1"/>
      <c r="E155" t="s">
        <v>61</v>
      </c>
      <c r="F155" t="s">
        <v>3</v>
      </c>
      <c r="G155" s="10">
        <v>1</v>
      </c>
    </row>
    <row r="156" spans="1:27" x14ac:dyDescent="0.25">
      <c r="C156" s="1"/>
      <c r="D156" s="1"/>
      <c r="E156" t="s">
        <v>88</v>
      </c>
      <c r="F156" t="s">
        <v>3</v>
      </c>
      <c r="H156">
        <f>H153*$G155</f>
        <v>0</v>
      </c>
      <c r="I156">
        <f t="shared" ref="I156:AA156" si="54">I153*$G155</f>
        <v>0</v>
      </c>
      <c r="J156">
        <f t="shared" si="54"/>
        <v>0</v>
      </c>
      <c r="K156">
        <f t="shared" si="54"/>
        <v>0</v>
      </c>
      <c r="L156">
        <f t="shared" si="54"/>
        <v>0</v>
      </c>
      <c r="M156">
        <f t="shared" si="54"/>
        <v>0</v>
      </c>
      <c r="N156">
        <f t="shared" si="54"/>
        <v>0</v>
      </c>
      <c r="O156">
        <f t="shared" si="54"/>
        <v>0</v>
      </c>
      <c r="P156">
        <f t="shared" si="54"/>
        <v>0</v>
      </c>
      <c r="Q156">
        <f t="shared" si="54"/>
        <v>0</v>
      </c>
      <c r="R156">
        <f t="shared" si="54"/>
        <v>0</v>
      </c>
      <c r="S156">
        <f t="shared" si="54"/>
        <v>0</v>
      </c>
      <c r="T156">
        <f t="shared" si="54"/>
        <v>0</v>
      </c>
      <c r="U156">
        <f t="shared" si="54"/>
        <v>0</v>
      </c>
      <c r="V156">
        <f t="shared" si="54"/>
        <v>0</v>
      </c>
      <c r="W156">
        <f t="shared" si="54"/>
        <v>0</v>
      </c>
      <c r="X156">
        <f t="shared" si="54"/>
        <v>0</v>
      </c>
      <c r="Y156">
        <f t="shared" si="54"/>
        <v>0</v>
      </c>
      <c r="Z156">
        <f t="shared" si="54"/>
        <v>0</v>
      </c>
      <c r="AA156">
        <f t="shared" si="54"/>
        <v>0</v>
      </c>
    </row>
    <row r="157" spans="1:27" x14ac:dyDescent="0.25">
      <c r="C157" s="1"/>
      <c r="D157" s="1"/>
      <c r="E157" t="s">
        <v>89</v>
      </c>
      <c r="F157" t="s">
        <v>3</v>
      </c>
      <c r="H157">
        <f>H154*$G155</f>
        <v>0</v>
      </c>
      <c r="I157">
        <f t="shared" ref="I157:AA157" si="55">I154*$G155</f>
        <v>0</v>
      </c>
      <c r="J157">
        <f t="shared" si="55"/>
        <v>0</v>
      </c>
      <c r="K157">
        <f t="shared" si="55"/>
        <v>0</v>
      </c>
      <c r="L157">
        <f t="shared" si="55"/>
        <v>0</v>
      </c>
      <c r="M157">
        <f t="shared" si="55"/>
        <v>0</v>
      </c>
      <c r="N157">
        <f t="shared" si="55"/>
        <v>0</v>
      </c>
      <c r="O157">
        <f t="shared" si="55"/>
        <v>0</v>
      </c>
      <c r="P157">
        <f t="shared" si="55"/>
        <v>0</v>
      </c>
      <c r="Q157">
        <f t="shared" si="55"/>
        <v>0</v>
      </c>
      <c r="R157">
        <f t="shared" si="55"/>
        <v>0</v>
      </c>
      <c r="S157">
        <f t="shared" si="55"/>
        <v>0</v>
      </c>
      <c r="T157">
        <f t="shared" si="55"/>
        <v>0</v>
      </c>
      <c r="U157">
        <f t="shared" si="55"/>
        <v>0</v>
      </c>
      <c r="V157">
        <f t="shared" si="55"/>
        <v>0</v>
      </c>
      <c r="W157">
        <f t="shared" si="55"/>
        <v>0</v>
      </c>
      <c r="X157">
        <f t="shared" si="55"/>
        <v>0</v>
      </c>
      <c r="Y157">
        <f t="shared" si="55"/>
        <v>0</v>
      </c>
      <c r="Z157">
        <f t="shared" si="55"/>
        <v>0</v>
      </c>
      <c r="AA157">
        <f t="shared" si="55"/>
        <v>0</v>
      </c>
    </row>
    <row r="158" spans="1:27" x14ac:dyDescent="0.25">
      <c r="A158" s="14">
        <f>'Notes &amp; Assumptions'!A46</f>
        <v>33</v>
      </c>
      <c r="C158" s="1"/>
      <c r="D158" s="1"/>
      <c r="E158" t="s">
        <v>62</v>
      </c>
      <c r="F158" t="s">
        <v>43</v>
      </c>
      <c r="H158" s="10"/>
      <c r="I158" s="10"/>
      <c r="J158" s="10"/>
      <c r="K158" s="10"/>
      <c r="L158" s="10"/>
      <c r="M158" s="10"/>
      <c r="N158" s="10"/>
      <c r="O158" s="10"/>
      <c r="P158" s="10"/>
      <c r="Q158" s="10"/>
      <c r="R158" s="10"/>
      <c r="S158" s="10"/>
      <c r="T158" s="10"/>
      <c r="U158" s="10"/>
      <c r="V158" s="10"/>
      <c r="W158" s="10"/>
      <c r="X158" s="10"/>
      <c r="Y158" s="10"/>
      <c r="Z158" s="10"/>
      <c r="AA158" s="10"/>
    </row>
    <row r="159" spans="1:27" x14ac:dyDescent="0.25">
      <c r="C159" s="1"/>
      <c r="D159" s="1"/>
      <c r="E159" t="s">
        <v>63</v>
      </c>
      <c r="F159" t="s">
        <v>43</v>
      </c>
      <c r="H159" s="10"/>
      <c r="I159" s="10"/>
      <c r="J159" s="10"/>
      <c r="K159" s="10"/>
      <c r="L159" s="10"/>
      <c r="M159" s="10"/>
      <c r="N159" s="10"/>
      <c r="O159" s="10"/>
      <c r="P159" s="10"/>
      <c r="Q159" s="10"/>
      <c r="R159" s="10"/>
      <c r="S159" s="10"/>
      <c r="T159" s="10"/>
      <c r="U159" s="10"/>
      <c r="V159" s="10"/>
      <c r="W159" s="10"/>
      <c r="X159" s="10"/>
      <c r="Y159" s="10"/>
      <c r="Z159" s="10"/>
      <c r="AA159" s="10"/>
    </row>
    <row r="160" spans="1:27" x14ac:dyDescent="0.25">
      <c r="A160" s="14">
        <f>'Notes &amp; Assumptions'!A47</f>
        <v>34</v>
      </c>
      <c r="C160" s="1"/>
      <c r="D160" s="1"/>
      <c r="E160" t="s">
        <v>140</v>
      </c>
      <c r="F160" t="s">
        <v>43</v>
      </c>
      <c r="H160" s="10"/>
      <c r="I160" s="10"/>
      <c r="J160" s="10"/>
      <c r="K160" s="10"/>
      <c r="L160" s="10"/>
      <c r="M160" s="10"/>
      <c r="N160" s="10"/>
      <c r="O160" s="10"/>
      <c r="P160" s="10"/>
      <c r="Q160" s="10"/>
      <c r="R160" s="10"/>
      <c r="S160" s="10"/>
      <c r="T160" s="10"/>
      <c r="U160" s="10"/>
      <c r="V160" s="10"/>
      <c r="W160" s="10"/>
      <c r="X160" s="10"/>
      <c r="Y160" s="10"/>
      <c r="Z160" s="10"/>
      <c r="AA160" s="10"/>
    </row>
    <row r="161" spans="1:27" x14ac:dyDescent="0.25">
      <c r="C161" s="1"/>
      <c r="D161" s="1"/>
      <c r="E161" t="s">
        <v>64</v>
      </c>
      <c r="F161" t="s">
        <v>144</v>
      </c>
      <c r="H161" s="2">
        <f>H154*H158</f>
        <v>0</v>
      </c>
      <c r="I161" s="2">
        <f t="shared" ref="I161:AA161" si="56">I154*I158</f>
        <v>0</v>
      </c>
      <c r="J161" s="2">
        <f t="shared" si="56"/>
        <v>0</v>
      </c>
      <c r="K161" s="2">
        <f t="shared" si="56"/>
        <v>0</v>
      </c>
      <c r="L161" s="2">
        <f t="shared" si="56"/>
        <v>0</v>
      </c>
      <c r="M161" s="2">
        <f t="shared" si="56"/>
        <v>0</v>
      </c>
      <c r="N161" s="2">
        <f t="shared" si="56"/>
        <v>0</v>
      </c>
      <c r="O161" s="2">
        <f t="shared" si="56"/>
        <v>0</v>
      </c>
      <c r="P161" s="2">
        <f t="shared" si="56"/>
        <v>0</v>
      </c>
      <c r="Q161" s="2">
        <f t="shared" si="56"/>
        <v>0</v>
      </c>
      <c r="R161" s="2">
        <f t="shared" si="56"/>
        <v>0</v>
      </c>
      <c r="S161" s="2">
        <f t="shared" si="56"/>
        <v>0</v>
      </c>
      <c r="T161" s="2">
        <f t="shared" si="56"/>
        <v>0</v>
      </c>
      <c r="U161" s="2">
        <f t="shared" si="56"/>
        <v>0</v>
      </c>
      <c r="V161" s="2">
        <f t="shared" si="56"/>
        <v>0</v>
      </c>
      <c r="W161" s="2">
        <f t="shared" si="56"/>
        <v>0</v>
      </c>
      <c r="X161" s="2">
        <f t="shared" si="56"/>
        <v>0</v>
      </c>
      <c r="Y161" s="2">
        <f t="shared" si="56"/>
        <v>0</v>
      </c>
      <c r="Z161" s="2">
        <f t="shared" si="56"/>
        <v>0</v>
      </c>
      <c r="AA161" s="2">
        <f t="shared" si="56"/>
        <v>0</v>
      </c>
    </row>
    <row r="162" spans="1:27" x14ac:dyDescent="0.25">
      <c r="C162" s="1"/>
      <c r="D162" s="1"/>
      <c r="E162" t="s">
        <v>65</v>
      </c>
      <c r="F162" t="s">
        <v>144</v>
      </c>
      <c r="H162" s="2">
        <f>H154*H159</f>
        <v>0</v>
      </c>
      <c r="I162" s="2">
        <f t="shared" ref="I162:AA162" si="57">I154*I159</f>
        <v>0</v>
      </c>
      <c r="J162" s="2">
        <f t="shared" si="57"/>
        <v>0</v>
      </c>
      <c r="K162" s="2">
        <f t="shared" si="57"/>
        <v>0</v>
      </c>
      <c r="L162" s="2">
        <f t="shared" si="57"/>
        <v>0</v>
      </c>
      <c r="M162" s="2">
        <f t="shared" si="57"/>
        <v>0</v>
      </c>
      <c r="N162" s="2">
        <f t="shared" si="57"/>
        <v>0</v>
      </c>
      <c r="O162" s="2">
        <f t="shared" si="57"/>
        <v>0</v>
      </c>
      <c r="P162" s="2">
        <f t="shared" si="57"/>
        <v>0</v>
      </c>
      <c r="Q162" s="2">
        <f t="shared" si="57"/>
        <v>0</v>
      </c>
      <c r="R162" s="2">
        <f t="shared" si="57"/>
        <v>0</v>
      </c>
      <c r="S162" s="2">
        <f t="shared" si="57"/>
        <v>0</v>
      </c>
      <c r="T162" s="2">
        <f t="shared" si="57"/>
        <v>0</v>
      </c>
      <c r="U162" s="2">
        <f t="shared" si="57"/>
        <v>0</v>
      </c>
      <c r="V162" s="2">
        <f t="shared" si="57"/>
        <v>0</v>
      </c>
      <c r="W162" s="2">
        <f t="shared" si="57"/>
        <v>0</v>
      </c>
      <c r="X162" s="2">
        <f t="shared" si="57"/>
        <v>0</v>
      </c>
      <c r="Y162" s="2">
        <f t="shared" si="57"/>
        <v>0</v>
      </c>
      <c r="Z162" s="2">
        <f t="shared" si="57"/>
        <v>0</v>
      </c>
      <c r="AA162" s="2">
        <f t="shared" si="57"/>
        <v>0</v>
      </c>
    </row>
    <row r="163" spans="1:27" x14ac:dyDescent="0.25">
      <c r="C163" s="1"/>
      <c r="D163" s="1"/>
      <c r="E163" t="s">
        <v>141</v>
      </c>
      <c r="F163" t="s">
        <v>144</v>
      </c>
      <c r="H163" s="2">
        <f>H154*H160</f>
        <v>0</v>
      </c>
      <c r="I163" s="2">
        <f t="shared" ref="I163:AA163" si="58">I154*I160</f>
        <v>0</v>
      </c>
      <c r="J163" s="2">
        <f t="shared" si="58"/>
        <v>0</v>
      </c>
      <c r="K163" s="2">
        <f t="shared" si="58"/>
        <v>0</v>
      </c>
      <c r="L163" s="2">
        <f t="shared" si="58"/>
        <v>0</v>
      </c>
      <c r="M163" s="2">
        <f t="shared" si="58"/>
        <v>0</v>
      </c>
      <c r="N163" s="2">
        <f t="shared" si="58"/>
        <v>0</v>
      </c>
      <c r="O163" s="2">
        <f t="shared" si="58"/>
        <v>0</v>
      </c>
      <c r="P163" s="2">
        <f t="shared" si="58"/>
        <v>0</v>
      </c>
      <c r="Q163" s="2">
        <f t="shared" si="58"/>
        <v>0</v>
      </c>
      <c r="R163" s="2">
        <f t="shared" si="58"/>
        <v>0</v>
      </c>
      <c r="S163" s="2">
        <f t="shared" si="58"/>
        <v>0</v>
      </c>
      <c r="T163" s="2">
        <f t="shared" si="58"/>
        <v>0</v>
      </c>
      <c r="U163" s="2">
        <f t="shared" si="58"/>
        <v>0</v>
      </c>
      <c r="V163" s="2">
        <f t="shared" si="58"/>
        <v>0</v>
      </c>
      <c r="W163" s="2">
        <f t="shared" si="58"/>
        <v>0</v>
      </c>
      <c r="X163" s="2">
        <f t="shared" si="58"/>
        <v>0</v>
      </c>
      <c r="Y163" s="2">
        <f t="shared" si="58"/>
        <v>0</v>
      </c>
      <c r="Z163" s="2">
        <f t="shared" si="58"/>
        <v>0</v>
      </c>
      <c r="AA163" s="2">
        <f t="shared" si="58"/>
        <v>0</v>
      </c>
    </row>
    <row r="164" spans="1:27" x14ac:dyDescent="0.25">
      <c r="A164" s="14">
        <f>'Notes &amp; Assumptions'!A48</f>
        <v>35</v>
      </c>
      <c r="C164" s="1"/>
      <c r="D164" s="1"/>
      <c r="E164" t="s">
        <v>66</v>
      </c>
      <c r="F164" t="s">
        <v>8</v>
      </c>
      <c r="H164" s="11"/>
      <c r="I164" s="11"/>
      <c r="J164" s="11"/>
      <c r="K164" s="11"/>
      <c r="L164" s="11"/>
      <c r="M164" s="11"/>
      <c r="N164" s="11"/>
      <c r="O164" s="11"/>
      <c r="P164" s="11"/>
      <c r="Q164" s="11"/>
      <c r="R164" s="11"/>
      <c r="S164" s="11"/>
      <c r="T164" s="11"/>
      <c r="U164" s="11"/>
      <c r="V164" s="11"/>
      <c r="W164" s="11"/>
      <c r="X164" s="11"/>
      <c r="Y164" s="11"/>
      <c r="Z164" s="11"/>
      <c r="AA164" s="11"/>
    </row>
    <row r="165" spans="1:27" x14ac:dyDescent="0.25">
      <c r="A165" s="14">
        <f>'Notes &amp; Assumptions'!A49</f>
        <v>36</v>
      </c>
      <c r="C165" s="1"/>
      <c r="D165" s="1"/>
      <c r="E165" t="s">
        <v>40</v>
      </c>
      <c r="F165" t="s">
        <v>41</v>
      </c>
      <c r="G165" s="10"/>
      <c r="H165" s="2">
        <f>G165*(1+$G$14)*(1+H164)</f>
        <v>0</v>
      </c>
      <c r="I165" s="2">
        <f t="shared" ref="I165:AA165" si="59">H165*(1+$G$14)*(1+I164)</f>
        <v>0</v>
      </c>
      <c r="J165" s="2">
        <f t="shared" si="59"/>
        <v>0</v>
      </c>
      <c r="K165" s="2">
        <f t="shared" si="59"/>
        <v>0</v>
      </c>
      <c r="L165" s="2">
        <f t="shared" si="59"/>
        <v>0</v>
      </c>
      <c r="M165" s="2">
        <f t="shared" si="59"/>
        <v>0</v>
      </c>
      <c r="N165" s="2">
        <f t="shared" si="59"/>
        <v>0</v>
      </c>
      <c r="O165" s="2">
        <f t="shared" si="59"/>
        <v>0</v>
      </c>
      <c r="P165" s="2">
        <f t="shared" si="59"/>
        <v>0</v>
      </c>
      <c r="Q165" s="2">
        <f t="shared" si="59"/>
        <v>0</v>
      </c>
      <c r="R165" s="2">
        <f t="shared" si="59"/>
        <v>0</v>
      </c>
      <c r="S165" s="2">
        <f t="shared" si="59"/>
        <v>0</v>
      </c>
      <c r="T165" s="2">
        <f t="shared" si="59"/>
        <v>0</v>
      </c>
      <c r="U165" s="2">
        <f t="shared" si="59"/>
        <v>0</v>
      </c>
      <c r="V165" s="2">
        <f t="shared" si="59"/>
        <v>0</v>
      </c>
      <c r="W165" s="2">
        <f t="shared" si="59"/>
        <v>0</v>
      </c>
      <c r="X165" s="2">
        <f t="shared" si="59"/>
        <v>0</v>
      </c>
      <c r="Y165" s="2">
        <f t="shared" si="59"/>
        <v>0</v>
      </c>
      <c r="Z165" s="2">
        <f t="shared" si="59"/>
        <v>0</v>
      </c>
      <c r="AA165" s="2">
        <f t="shared" si="59"/>
        <v>0</v>
      </c>
    </row>
    <row r="166" spans="1:27" x14ac:dyDescent="0.25">
      <c r="C166" s="1"/>
      <c r="D166" s="1"/>
      <c r="E166" t="s">
        <v>67</v>
      </c>
      <c r="F166" t="s">
        <v>143</v>
      </c>
      <c r="G166" s="20"/>
      <c r="H166" s="21">
        <f>G166*(1+$G$14)*(1+H164)</f>
        <v>0</v>
      </c>
      <c r="I166" s="21">
        <f t="shared" ref="I166:AA166" si="60">H166*(1+$G$14)*(1+I164)</f>
        <v>0</v>
      </c>
      <c r="J166" s="21">
        <f t="shared" si="60"/>
        <v>0</v>
      </c>
      <c r="K166" s="21">
        <f t="shared" si="60"/>
        <v>0</v>
      </c>
      <c r="L166" s="21">
        <f t="shared" si="60"/>
        <v>0</v>
      </c>
      <c r="M166" s="21">
        <f t="shared" si="60"/>
        <v>0</v>
      </c>
      <c r="N166" s="21">
        <f t="shared" si="60"/>
        <v>0</v>
      </c>
      <c r="O166" s="21">
        <f t="shared" si="60"/>
        <v>0</v>
      </c>
      <c r="P166" s="21">
        <f t="shared" si="60"/>
        <v>0</v>
      </c>
      <c r="Q166" s="21">
        <f t="shared" si="60"/>
        <v>0</v>
      </c>
      <c r="R166" s="21">
        <f t="shared" si="60"/>
        <v>0</v>
      </c>
      <c r="S166" s="21">
        <f t="shared" si="60"/>
        <v>0</v>
      </c>
      <c r="T166" s="21">
        <f t="shared" si="60"/>
        <v>0</v>
      </c>
      <c r="U166" s="21">
        <f t="shared" si="60"/>
        <v>0</v>
      </c>
      <c r="V166" s="21">
        <f t="shared" si="60"/>
        <v>0</v>
      </c>
      <c r="W166" s="21">
        <f t="shared" si="60"/>
        <v>0</v>
      </c>
      <c r="X166" s="21">
        <f t="shared" si="60"/>
        <v>0</v>
      </c>
      <c r="Y166" s="21">
        <f t="shared" si="60"/>
        <v>0</v>
      </c>
      <c r="Z166" s="21">
        <f t="shared" si="60"/>
        <v>0</v>
      </c>
      <c r="AA166" s="21">
        <f t="shared" si="60"/>
        <v>0</v>
      </c>
    </row>
    <row r="167" spans="1:27" x14ac:dyDescent="0.25">
      <c r="C167" s="1"/>
      <c r="D167" s="1"/>
      <c r="E167" t="s">
        <v>68</v>
      </c>
      <c r="F167" t="s">
        <v>143</v>
      </c>
      <c r="G167" s="20"/>
      <c r="H167" s="21">
        <f>G167*(1+$G$14)*(1+H164)</f>
        <v>0</v>
      </c>
      <c r="I167" s="21">
        <f t="shared" ref="I167:AA167" si="61">H167*(1+$G$14)*(1+I164)</f>
        <v>0</v>
      </c>
      <c r="J167" s="21">
        <f t="shared" si="61"/>
        <v>0</v>
      </c>
      <c r="K167" s="21">
        <f t="shared" si="61"/>
        <v>0</v>
      </c>
      <c r="L167" s="21">
        <f t="shared" si="61"/>
        <v>0</v>
      </c>
      <c r="M167" s="21">
        <f t="shared" si="61"/>
        <v>0</v>
      </c>
      <c r="N167" s="21">
        <f t="shared" si="61"/>
        <v>0</v>
      </c>
      <c r="O167" s="21">
        <f t="shared" si="61"/>
        <v>0</v>
      </c>
      <c r="P167" s="21">
        <f t="shared" si="61"/>
        <v>0</v>
      </c>
      <c r="Q167" s="21">
        <f t="shared" si="61"/>
        <v>0</v>
      </c>
      <c r="R167" s="21">
        <f t="shared" si="61"/>
        <v>0</v>
      </c>
      <c r="S167" s="21">
        <f t="shared" si="61"/>
        <v>0</v>
      </c>
      <c r="T167" s="21">
        <f t="shared" si="61"/>
        <v>0</v>
      </c>
      <c r="U167" s="21">
        <f t="shared" si="61"/>
        <v>0</v>
      </c>
      <c r="V167" s="21">
        <f t="shared" si="61"/>
        <v>0</v>
      </c>
      <c r="W167" s="21">
        <f t="shared" si="61"/>
        <v>0</v>
      </c>
      <c r="X167" s="21">
        <f t="shared" si="61"/>
        <v>0</v>
      </c>
      <c r="Y167" s="21">
        <f t="shared" si="61"/>
        <v>0</v>
      </c>
      <c r="Z167" s="21">
        <f t="shared" si="61"/>
        <v>0</v>
      </c>
      <c r="AA167" s="21">
        <f t="shared" si="61"/>
        <v>0</v>
      </c>
    </row>
    <row r="168" spans="1:27" x14ac:dyDescent="0.25">
      <c r="C168" s="1"/>
      <c r="D168" s="1"/>
      <c r="E168" t="s">
        <v>142</v>
      </c>
      <c r="F168" t="s">
        <v>143</v>
      </c>
      <c r="G168" s="20"/>
      <c r="H168" s="21">
        <f>G168*(1+$G$14)*(1+H164)</f>
        <v>0</v>
      </c>
      <c r="I168" s="21">
        <f t="shared" ref="I168:AA168" si="62">H168*(1+$G$14)*(1+I164)</f>
        <v>0</v>
      </c>
      <c r="J168" s="21">
        <f t="shared" si="62"/>
        <v>0</v>
      </c>
      <c r="K168" s="21">
        <f t="shared" si="62"/>
        <v>0</v>
      </c>
      <c r="L168" s="21">
        <f t="shared" si="62"/>
        <v>0</v>
      </c>
      <c r="M168" s="21">
        <f t="shared" si="62"/>
        <v>0</v>
      </c>
      <c r="N168" s="21">
        <f t="shared" si="62"/>
        <v>0</v>
      </c>
      <c r="O168" s="21">
        <f t="shared" si="62"/>
        <v>0</v>
      </c>
      <c r="P168" s="21">
        <f t="shared" si="62"/>
        <v>0</v>
      </c>
      <c r="Q168" s="21">
        <f t="shared" si="62"/>
        <v>0</v>
      </c>
      <c r="R168" s="21">
        <f t="shared" si="62"/>
        <v>0</v>
      </c>
      <c r="S168" s="21">
        <f t="shared" si="62"/>
        <v>0</v>
      </c>
      <c r="T168" s="21">
        <f t="shared" si="62"/>
        <v>0</v>
      </c>
      <c r="U168" s="21">
        <f t="shared" si="62"/>
        <v>0</v>
      </c>
      <c r="V168" s="21">
        <f t="shared" si="62"/>
        <v>0</v>
      </c>
      <c r="W168" s="21">
        <f t="shared" si="62"/>
        <v>0</v>
      </c>
      <c r="X168" s="21">
        <f t="shared" si="62"/>
        <v>0</v>
      </c>
      <c r="Y168" s="21">
        <f t="shared" si="62"/>
        <v>0</v>
      </c>
      <c r="Z168" s="21">
        <f t="shared" si="62"/>
        <v>0</v>
      </c>
      <c r="AA168" s="21">
        <f t="shared" si="62"/>
        <v>0</v>
      </c>
    </row>
    <row r="169" spans="1:27" x14ac:dyDescent="0.25">
      <c r="C169" s="1"/>
      <c r="D169" s="1"/>
    </row>
    <row r="170" spans="1:27" x14ac:dyDescent="0.25">
      <c r="C170" s="1"/>
      <c r="D170" s="1"/>
      <c r="E170" t="s">
        <v>78</v>
      </c>
      <c r="F170" t="s">
        <v>58</v>
      </c>
      <c r="H170" s="2">
        <f>SUM(H161:H163)/1000</f>
        <v>0</v>
      </c>
      <c r="I170" s="2">
        <f t="shared" ref="I170:AA170" si="63">SUM(I161:I163)/1000</f>
        <v>0</v>
      </c>
      <c r="J170" s="2">
        <f t="shared" si="63"/>
        <v>0</v>
      </c>
      <c r="K170" s="2">
        <f t="shared" si="63"/>
        <v>0</v>
      </c>
      <c r="L170" s="2">
        <f t="shared" si="63"/>
        <v>0</v>
      </c>
      <c r="M170" s="2">
        <f t="shared" si="63"/>
        <v>0</v>
      </c>
      <c r="N170" s="2">
        <f t="shared" si="63"/>
        <v>0</v>
      </c>
      <c r="O170" s="2">
        <f t="shared" si="63"/>
        <v>0</v>
      </c>
      <c r="P170" s="2">
        <f t="shared" si="63"/>
        <v>0</v>
      </c>
      <c r="Q170" s="2">
        <f t="shared" si="63"/>
        <v>0</v>
      </c>
      <c r="R170" s="2">
        <f t="shared" si="63"/>
        <v>0</v>
      </c>
      <c r="S170" s="2">
        <f t="shared" si="63"/>
        <v>0</v>
      </c>
      <c r="T170" s="2">
        <f t="shared" si="63"/>
        <v>0</v>
      </c>
      <c r="U170" s="2">
        <f t="shared" si="63"/>
        <v>0</v>
      </c>
      <c r="V170" s="2">
        <f t="shared" si="63"/>
        <v>0</v>
      </c>
      <c r="W170" s="2">
        <f t="shared" si="63"/>
        <v>0</v>
      </c>
      <c r="X170" s="2">
        <f t="shared" si="63"/>
        <v>0</v>
      </c>
      <c r="Y170" s="2">
        <f t="shared" si="63"/>
        <v>0</v>
      </c>
      <c r="Z170" s="2">
        <f t="shared" si="63"/>
        <v>0</v>
      </c>
      <c r="AA170" s="2">
        <f t="shared" si="63"/>
        <v>0</v>
      </c>
    </row>
    <row r="171" spans="1:27" x14ac:dyDescent="0.25">
      <c r="C171" s="1"/>
      <c r="D171" s="1"/>
      <c r="E171" t="s">
        <v>79</v>
      </c>
      <c r="F171" t="s">
        <v>7</v>
      </c>
      <c r="H171" s="2">
        <f>H154*H165+H161*H166+H162*H167+H163*H168</f>
        <v>0</v>
      </c>
      <c r="I171" s="2">
        <f t="shared" ref="I171:AA171" si="64">I154*I165+I161*I166+I162*I167+I163*I168</f>
        <v>0</v>
      </c>
      <c r="J171" s="2">
        <f t="shared" si="64"/>
        <v>0</v>
      </c>
      <c r="K171" s="2">
        <f t="shared" si="64"/>
        <v>0</v>
      </c>
      <c r="L171" s="2">
        <f t="shared" si="64"/>
        <v>0</v>
      </c>
      <c r="M171" s="2">
        <f t="shared" si="64"/>
        <v>0</v>
      </c>
      <c r="N171" s="2">
        <f t="shared" si="64"/>
        <v>0</v>
      </c>
      <c r="O171" s="2">
        <f t="shared" si="64"/>
        <v>0</v>
      </c>
      <c r="P171" s="2">
        <f t="shared" si="64"/>
        <v>0</v>
      </c>
      <c r="Q171" s="2">
        <f t="shared" si="64"/>
        <v>0</v>
      </c>
      <c r="R171" s="2">
        <f t="shared" si="64"/>
        <v>0</v>
      </c>
      <c r="S171" s="2">
        <f t="shared" si="64"/>
        <v>0</v>
      </c>
      <c r="T171" s="2">
        <f t="shared" si="64"/>
        <v>0</v>
      </c>
      <c r="U171" s="2">
        <f t="shared" si="64"/>
        <v>0</v>
      </c>
      <c r="V171" s="2">
        <f t="shared" si="64"/>
        <v>0</v>
      </c>
      <c r="W171" s="2">
        <f t="shared" si="64"/>
        <v>0</v>
      </c>
      <c r="X171" s="2">
        <f t="shared" si="64"/>
        <v>0</v>
      </c>
      <c r="Y171" s="2">
        <f t="shared" si="64"/>
        <v>0</v>
      </c>
      <c r="Z171" s="2">
        <f t="shared" si="64"/>
        <v>0</v>
      </c>
      <c r="AA171" s="2">
        <f t="shared" si="64"/>
        <v>0</v>
      </c>
    </row>
    <row r="172" spans="1:27" x14ac:dyDescent="0.25">
      <c r="C172" s="1"/>
      <c r="D172" s="1"/>
    </row>
    <row r="173" spans="1:27" x14ac:dyDescent="0.25">
      <c r="C173" s="1"/>
      <c r="D173" t="s">
        <v>80</v>
      </c>
    </row>
    <row r="174" spans="1:27" x14ac:dyDescent="0.25">
      <c r="C174" s="1"/>
      <c r="E174" t="s">
        <v>91</v>
      </c>
      <c r="F174" t="s">
        <v>3</v>
      </c>
      <c r="H174">
        <f t="shared" ref="H174:AA175" si="65">SUM(H93,H114,H135,H156)</f>
        <v>2057</v>
      </c>
      <c r="I174">
        <f t="shared" si="65"/>
        <v>2558</v>
      </c>
      <c r="J174">
        <f t="shared" si="65"/>
        <v>3114.3</v>
      </c>
      <c r="K174">
        <f t="shared" si="65"/>
        <v>3513.4</v>
      </c>
      <c r="L174">
        <f t="shared" si="65"/>
        <v>3876</v>
      </c>
      <c r="M174">
        <f t="shared" si="65"/>
        <v>4208</v>
      </c>
      <c r="N174">
        <f t="shared" si="65"/>
        <v>4509.9999999999991</v>
      </c>
      <c r="O174">
        <f t="shared" si="65"/>
        <v>4786.2999999999993</v>
      </c>
      <c r="P174">
        <f t="shared" si="65"/>
        <v>5501.9999999999991</v>
      </c>
      <c r="Q174">
        <f t="shared" si="65"/>
        <v>6294.3999999999987</v>
      </c>
      <c r="R174">
        <f t="shared" si="65"/>
        <v>6638.9999999999991</v>
      </c>
      <c r="S174">
        <f t="shared" si="65"/>
        <v>7023.2999999999984</v>
      </c>
      <c r="T174">
        <f t="shared" si="65"/>
        <v>7423.9999999999982</v>
      </c>
      <c r="U174">
        <f t="shared" si="65"/>
        <v>7391.3999999999987</v>
      </c>
      <c r="V174">
        <f t="shared" si="65"/>
        <v>7355.6999999999989</v>
      </c>
      <c r="W174">
        <f t="shared" si="65"/>
        <v>0</v>
      </c>
      <c r="X174">
        <f t="shared" si="65"/>
        <v>0</v>
      </c>
      <c r="Y174">
        <f t="shared" si="65"/>
        <v>0</v>
      </c>
      <c r="Z174">
        <f t="shared" si="65"/>
        <v>0</v>
      </c>
      <c r="AA174">
        <f t="shared" si="65"/>
        <v>0</v>
      </c>
    </row>
    <row r="175" spans="1:27" x14ac:dyDescent="0.25">
      <c r="C175" s="1"/>
      <c r="D175" s="1"/>
      <c r="E175" t="s">
        <v>90</v>
      </c>
      <c r="F175" t="s">
        <v>3</v>
      </c>
      <c r="H175">
        <f t="shared" si="65"/>
        <v>2057</v>
      </c>
      <c r="I175">
        <f t="shared" si="65"/>
        <v>4615</v>
      </c>
      <c r="J175">
        <f t="shared" si="65"/>
        <v>7729.3</v>
      </c>
      <c r="K175">
        <f t="shared" si="65"/>
        <v>11242.7</v>
      </c>
      <c r="L175">
        <f t="shared" si="65"/>
        <v>15118.7</v>
      </c>
      <c r="M175">
        <f t="shared" si="65"/>
        <v>19326.7</v>
      </c>
      <c r="N175">
        <f t="shared" si="65"/>
        <v>23836.7</v>
      </c>
      <c r="O175">
        <f t="shared" si="65"/>
        <v>28623</v>
      </c>
      <c r="P175">
        <f t="shared" si="65"/>
        <v>34125</v>
      </c>
      <c r="Q175">
        <f t="shared" si="65"/>
        <v>40419.4</v>
      </c>
      <c r="R175">
        <f t="shared" si="65"/>
        <v>47058.400000000001</v>
      </c>
      <c r="S175">
        <f t="shared" si="65"/>
        <v>54081.7</v>
      </c>
      <c r="T175">
        <f t="shared" si="65"/>
        <v>61505.7</v>
      </c>
      <c r="U175">
        <f t="shared" si="65"/>
        <v>68897.099999999991</v>
      </c>
      <c r="V175">
        <f t="shared" si="65"/>
        <v>76252.799999999988</v>
      </c>
      <c r="W175">
        <f t="shared" si="65"/>
        <v>76252.799999999988</v>
      </c>
      <c r="X175">
        <f t="shared" si="65"/>
        <v>76252.799999999988</v>
      </c>
      <c r="Y175">
        <f t="shared" si="65"/>
        <v>76252.799999999988</v>
      </c>
      <c r="Z175">
        <f t="shared" si="65"/>
        <v>76252.799999999988</v>
      </c>
      <c r="AA175">
        <f t="shared" si="65"/>
        <v>76252.799999999988</v>
      </c>
    </row>
    <row r="176" spans="1:27" x14ac:dyDescent="0.25">
      <c r="C176" s="1"/>
      <c r="D176" s="1"/>
      <c r="E176" t="s">
        <v>81</v>
      </c>
      <c r="F176" t="s">
        <v>58</v>
      </c>
      <c r="H176" s="2">
        <f t="shared" ref="H176:AA177" si="66">SUM(H107,H128,H149,H170)</f>
        <v>259.86650000000003</v>
      </c>
      <c r="I176" s="2">
        <f t="shared" si="66"/>
        <v>576.09550000000002</v>
      </c>
      <c r="J176" s="2">
        <f t="shared" si="66"/>
        <v>955.60225000000003</v>
      </c>
      <c r="K176" s="2">
        <f t="shared" si="66"/>
        <v>1378.6197500000001</v>
      </c>
      <c r="L176" s="2">
        <f t="shared" si="66"/>
        <v>1841.7357500000001</v>
      </c>
      <c r="M176" s="2">
        <f t="shared" si="66"/>
        <v>2340.8137499999998</v>
      </c>
      <c r="N176" s="2">
        <f t="shared" si="66"/>
        <v>2872.82575</v>
      </c>
      <c r="O176" s="2">
        <f t="shared" si="66"/>
        <v>3435.2275</v>
      </c>
      <c r="P176" s="2">
        <f t="shared" si="66"/>
        <v>4079.1865000000003</v>
      </c>
      <c r="Q176" s="2">
        <f t="shared" si="66"/>
        <v>4814.0255000000006</v>
      </c>
      <c r="R176" s="2">
        <f t="shared" si="66"/>
        <v>5589.0199999999995</v>
      </c>
      <c r="S176" s="2">
        <f t="shared" si="66"/>
        <v>6409.33025</v>
      </c>
      <c r="T176" s="2">
        <f t="shared" si="66"/>
        <v>7276.10725</v>
      </c>
      <c r="U176" s="2">
        <f t="shared" si="66"/>
        <v>8138.8697499999989</v>
      </c>
      <c r="V176" s="2">
        <f t="shared" si="66"/>
        <v>8997.616</v>
      </c>
      <c r="W176" s="2">
        <f t="shared" si="66"/>
        <v>8997.616</v>
      </c>
      <c r="X176" s="2">
        <f t="shared" si="66"/>
        <v>8997.616</v>
      </c>
      <c r="Y176" s="2">
        <f t="shared" si="66"/>
        <v>8997.616</v>
      </c>
      <c r="Z176" s="2">
        <f t="shared" si="66"/>
        <v>8997.616</v>
      </c>
      <c r="AA176" s="2">
        <f t="shared" si="66"/>
        <v>8997.616</v>
      </c>
    </row>
    <row r="177" spans="1:27" x14ac:dyDescent="0.25">
      <c r="C177" s="1"/>
      <c r="D177" s="1"/>
      <c r="E177" t="s">
        <v>82</v>
      </c>
      <c r="F177" t="s">
        <v>7</v>
      </c>
      <c r="H177" s="2">
        <f t="shared" si="66"/>
        <v>1051910.6031166408</v>
      </c>
      <c r="I177" s="2">
        <f t="shared" si="66"/>
        <v>2316732.0874369917</v>
      </c>
      <c r="J177" s="2">
        <f t="shared" si="66"/>
        <v>3925014.3472899627</v>
      </c>
      <c r="K177" s="2">
        <f t="shared" si="66"/>
        <v>5783212.2398057943</v>
      </c>
      <c r="L177" s="2">
        <f t="shared" si="66"/>
        <v>7890176.3862696234</v>
      </c>
      <c r="M177" s="2">
        <f t="shared" si="66"/>
        <v>10241132.059227407</v>
      </c>
      <c r="N177" s="2">
        <f t="shared" si="66"/>
        <v>12835087.006764164</v>
      </c>
      <c r="O177" s="2">
        <f t="shared" si="66"/>
        <v>15672609.692394681</v>
      </c>
      <c r="P177" s="2">
        <f t="shared" si="66"/>
        <v>19004335.9304423</v>
      </c>
      <c r="Q177" s="2">
        <f t="shared" si="66"/>
        <v>22902082.233731136</v>
      </c>
      <c r="R177" s="2">
        <f t="shared" si="66"/>
        <v>27150367.409845628</v>
      </c>
      <c r="S177" s="2">
        <f t="shared" si="66"/>
        <v>31791802.10947527</v>
      </c>
      <c r="T177" s="2">
        <f t="shared" si="66"/>
        <v>36851733.04480654</v>
      </c>
      <c r="U177" s="2">
        <f t="shared" si="66"/>
        <v>42089433.545174807</v>
      </c>
      <c r="V177" s="2">
        <f t="shared" si="66"/>
        <v>47509618.224838361</v>
      </c>
      <c r="W177" s="2">
        <f t="shared" si="66"/>
        <v>48507320.207559958</v>
      </c>
      <c r="X177" s="2">
        <f t="shared" si="66"/>
        <v>49525973.93191871</v>
      </c>
      <c r="Y177" s="2">
        <f t="shared" si="66"/>
        <v>50566019.384489</v>
      </c>
      <c r="Z177" s="2">
        <f t="shared" si="66"/>
        <v>51627905.791563265</v>
      </c>
      <c r="AA177" s="2">
        <f t="shared" si="66"/>
        <v>52712091.813186087</v>
      </c>
    </row>
    <row r="178" spans="1:27" x14ac:dyDescent="0.25">
      <c r="C178" s="1"/>
      <c r="D178" s="1"/>
    </row>
    <row r="179" spans="1:27" x14ac:dyDescent="0.25">
      <c r="C179" s="1"/>
      <c r="D179" s="1"/>
      <c r="E179" s="3" t="s">
        <v>84</v>
      </c>
      <c r="F179" s="3" t="s">
        <v>85</v>
      </c>
      <c r="G179" s="3"/>
      <c r="H179" s="9">
        <f>H176*1000/H175</f>
        <v>126.33276616431698</v>
      </c>
      <c r="I179" s="9">
        <f t="shared" ref="I179:AA179" si="67">I176*1000/I175</f>
        <v>124.83109425785482</v>
      </c>
      <c r="J179" s="9">
        <f t="shared" si="67"/>
        <v>123.63373785465696</v>
      </c>
      <c r="K179" s="9">
        <f t="shared" si="67"/>
        <v>122.62354683483504</v>
      </c>
      <c r="L179" s="9">
        <f t="shared" si="67"/>
        <v>121.81839377724275</v>
      </c>
      <c r="M179" s="9">
        <f t="shared" si="67"/>
        <v>121.11812932368174</v>
      </c>
      <c r="N179" s="9">
        <f t="shared" si="67"/>
        <v>120.52111869512139</v>
      </c>
      <c r="O179" s="9">
        <f t="shared" si="67"/>
        <v>120.01633301890088</v>
      </c>
      <c r="P179" s="9">
        <f t="shared" si="67"/>
        <v>119.53660073260075</v>
      </c>
      <c r="Q179" s="9">
        <f t="shared" si="67"/>
        <v>119.10185455499094</v>
      </c>
      <c r="R179" s="9">
        <f t="shared" si="67"/>
        <v>118.76774390969517</v>
      </c>
      <c r="S179" s="9">
        <f t="shared" si="67"/>
        <v>118.51199666430605</v>
      </c>
      <c r="T179" s="9">
        <f t="shared" si="67"/>
        <v>118.29972262733374</v>
      </c>
      <c r="U179" s="9">
        <f t="shared" si="67"/>
        <v>118.130803038154</v>
      </c>
      <c r="V179" s="9">
        <f t="shared" si="67"/>
        <v>117.99718829997065</v>
      </c>
      <c r="W179" s="9">
        <f t="shared" si="67"/>
        <v>117.99718829997065</v>
      </c>
      <c r="X179" s="9">
        <f t="shared" si="67"/>
        <v>117.99718829997065</v>
      </c>
      <c r="Y179" s="9">
        <f t="shared" si="67"/>
        <v>117.99718829997065</v>
      </c>
      <c r="Z179" s="9">
        <f t="shared" si="67"/>
        <v>117.99718829997065</v>
      </c>
      <c r="AA179" s="9">
        <f t="shared" si="67"/>
        <v>117.99718829997065</v>
      </c>
    </row>
    <row r="180" spans="1:27" x14ac:dyDescent="0.25">
      <c r="C180" s="1"/>
      <c r="D180" s="1"/>
      <c r="E180" s="3" t="s">
        <v>83</v>
      </c>
      <c r="F180" s="3" t="s">
        <v>22</v>
      </c>
      <c r="G180" s="3"/>
      <c r="H180" s="9">
        <f>H177/H175</f>
        <v>511.38094463618904</v>
      </c>
      <c r="I180" s="9">
        <f t="shared" ref="I180:AA180" si="68">I177/I175</f>
        <v>502.00045231570783</v>
      </c>
      <c r="J180" s="9">
        <f t="shared" si="68"/>
        <v>507.80980778207118</v>
      </c>
      <c r="K180" s="9">
        <f t="shared" si="68"/>
        <v>514.39709676552729</v>
      </c>
      <c r="L180" s="9">
        <f t="shared" si="68"/>
        <v>521.88193338512065</v>
      </c>
      <c r="M180" s="9">
        <f t="shared" si="68"/>
        <v>529.89553618710931</v>
      </c>
      <c r="N180" s="9">
        <f t="shared" si="68"/>
        <v>538.45905711630235</v>
      </c>
      <c r="O180" s="9">
        <f t="shared" si="68"/>
        <v>547.55300605787943</v>
      </c>
      <c r="P180" s="9">
        <f t="shared" si="68"/>
        <v>556.90361700929816</v>
      </c>
      <c r="Q180" s="9">
        <f t="shared" si="68"/>
        <v>566.61113806071182</v>
      </c>
      <c r="R180" s="9">
        <f t="shared" si="68"/>
        <v>576.95050001371965</v>
      </c>
      <c r="S180" s="9">
        <f t="shared" si="68"/>
        <v>587.84768432714338</v>
      </c>
      <c r="T180" s="9">
        <f t="shared" si="68"/>
        <v>599.15963959123371</v>
      </c>
      <c r="U180" s="9">
        <f t="shared" si="68"/>
        <v>610.90283256007604</v>
      </c>
      <c r="V180" s="9">
        <f t="shared" si="68"/>
        <v>623.05408096277608</v>
      </c>
      <c r="W180" s="9">
        <f t="shared" si="68"/>
        <v>636.13821666299418</v>
      </c>
      <c r="X180" s="9">
        <f t="shared" si="68"/>
        <v>649.49711921291703</v>
      </c>
      <c r="Y180" s="9">
        <f t="shared" si="68"/>
        <v>663.13655871638821</v>
      </c>
      <c r="Z180" s="9">
        <f t="shared" si="68"/>
        <v>677.06242644943234</v>
      </c>
      <c r="AA180" s="9">
        <f t="shared" si="68"/>
        <v>691.28073740487037</v>
      </c>
    </row>
    <row r="181" spans="1:27" x14ac:dyDescent="0.25">
      <c r="C181" s="1"/>
      <c r="D181" s="1"/>
      <c r="E181" s="3" t="s">
        <v>86</v>
      </c>
      <c r="F181" s="3" t="s">
        <v>4</v>
      </c>
      <c r="G181" s="3"/>
      <c r="H181" s="9">
        <f>H177/H176</f>
        <v>4047.8884470166054</v>
      </c>
      <c r="I181" s="9">
        <f t="shared" ref="I181:AA181" si="69">I177/I176</f>
        <v>4021.4375697032724</v>
      </c>
      <c r="J181" s="9">
        <f t="shared" si="69"/>
        <v>4107.3724421326579</v>
      </c>
      <c r="K181" s="9">
        <f t="shared" si="69"/>
        <v>4194.9291962528423</v>
      </c>
      <c r="L181" s="9">
        <f t="shared" si="69"/>
        <v>4284.0979691411339</v>
      </c>
      <c r="M181" s="9">
        <f t="shared" si="69"/>
        <v>4375.0307170860597</v>
      </c>
      <c r="N181" s="9">
        <f t="shared" si="69"/>
        <v>4467.756879011602</v>
      </c>
      <c r="O181" s="9">
        <f t="shared" si="69"/>
        <v>4562.3207465574496</v>
      </c>
      <c r="P181" s="9">
        <f t="shared" si="69"/>
        <v>4658.8543893352999</v>
      </c>
      <c r="Q181" s="9">
        <f t="shared" si="69"/>
        <v>4757.3662070820219</v>
      </c>
      <c r="R181" s="9">
        <f t="shared" si="69"/>
        <v>4857.8046616125239</v>
      </c>
      <c r="S181" s="9">
        <f t="shared" si="69"/>
        <v>4960.2377891941624</v>
      </c>
      <c r="T181" s="9">
        <f t="shared" si="69"/>
        <v>5064.7594625280626</v>
      </c>
      <c r="U181" s="9">
        <f t="shared" si="69"/>
        <v>5171.410139003</v>
      </c>
      <c r="V181" s="9">
        <f t="shared" si="69"/>
        <v>5280.245147696719</v>
      </c>
      <c r="W181" s="9">
        <f t="shared" si="69"/>
        <v>5391.1302957983489</v>
      </c>
      <c r="X181" s="9">
        <f t="shared" si="69"/>
        <v>5504.3440320101136</v>
      </c>
      <c r="Y181" s="9">
        <f t="shared" si="69"/>
        <v>5619.9352566823254</v>
      </c>
      <c r="Z181" s="9">
        <f t="shared" si="69"/>
        <v>5737.9538970726544</v>
      </c>
      <c r="AA181" s="9">
        <f t="shared" si="69"/>
        <v>5858.4509289111793</v>
      </c>
    </row>
    <row r="182" spans="1:27" x14ac:dyDescent="0.25">
      <c r="C182" s="1"/>
      <c r="D182" s="1"/>
    </row>
    <row r="183" spans="1:27" x14ac:dyDescent="0.25">
      <c r="C183" s="1" t="str">
        <f>"Incremental "&amp;VLOOKUP(G4,E320:F322,2,FALSE)&amp;" Charges"</f>
        <v>Incremental Bulk Wastewater Charges</v>
      </c>
      <c r="G183" t="s">
        <v>323</v>
      </c>
      <c r="H183" s="53">
        <v>0.3</v>
      </c>
      <c r="I183" s="2"/>
      <c r="J183" s="2"/>
      <c r="K183" s="2"/>
      <c r="L183" s="2"/>
      <c r="M183" s="2"/>
      <c r="N183" s="2"/>
      <c r="O183" s="2"/>
      <c r="P183" s="2"/>
      <c r="Q183" s="2"/>
      <c r="R183" s="2"/>
      <c r="S183" s="2"/>
      <c r="T183" s="2"/>
      <c r="U183" s="2"/>
      <c r="V183" s="2"/>
      <c r="W183" s="2"/>
      <c r="X183" s="2"/>
      <c r="Y183" s="2"/>
      <c r="Z183" s="2"/>
      <c r="AA183" s="2"/>
    </row>
    <row r="184" spans="1:27" x14ac:dyDescent="0.25">
      <c r="A184" s="14">
        <f>'Notes &amp; Assumptions'!A50</f>
        <v>37</v>
      </c>
      <c r="E184" t="s">
        <v>118</v>
      </c>
      <c r="F184" t="s">
        <v>8</v>
      </c>
      <c r="H184" s="11"/>
      <c r="I184" s="11"/>
      <c r="J184" s="11"/>
      <c r="K184" s="11"/>
      <c r="L184" s="11"/>
      <c r="M184" s="11"/>
      <c r="N184" s="11"/>
      <c r="O184" s="11"/>
      <c r="P184" s="11"/>
      <c r="Q184" s="11"/>
      <c r="R184" s="11"/>
      <c r="S184" s="11"/>
      <c r="T184" s="11"/>
      <c r="U184" s="11"/>
      <c r="V184" s="11"/>
      <c r="W184" s="11"/>
      <c r="X184" s="11"/>
      <c r="Y184" s="11"/>
      <c r="Z184" s="11"/>
      <c r="AA184" s="11"/>
    </row>
    <row r="185" spans="1:27" x14ac:dyDescent="0.25">
      <c r="A185" s="14">
        <f>'Notes &amp; Assumptions'!A51</f>
        <v>38</v>
      </c>
      <c r="E185" t="s">
        <v>122</v>
      </c>
      <c r="F185" t="s">
        <v>4</v>
      </c>
      <c r="G185" s="10">
        <f>AVERAGE('Bulk charges'!D34:D35)</f>
        <v>74.83235719999999</v>
      </c>
      <c r="H185" s="2">
        <f>G185*(1+$G$14)*(1+H184)</f>
        <v>76.403836701199978</v>
      </c>
      <c r="I185" s="2">
        <f t="shared" ref="I185:AA185" si="70">H185*(1+$G$14)*(1+I184)</f>
        <v>78.008317271925165</v>
      </c>
      <c r="J185" s="2">
        <f t="shared" si="70"/>
        <v>79.646491934635591</v>
      </c>
      <c r="K185" s="2">
        <f t="shared" si="70"/>
        <v>81.319068265262928</v>
      </c>
      <c r="L185" s="2">
        <f t="shared" si="70"/>
        <v>83.026768698833436</v>
      </c>
      <c r="M185" s="2">
        <f t="shared" si="70"/>
        <v>84.770330841508937</v>
      </c>
      <c r="N185" s="2">
        <f t="shared" si="70"/>
        <v>86.550507789180614</v>
      </c>
      <c r="O185" s="2">
        <f t="shared" si="70"/>
        <v>88.368068452753405</v>
      </c>
      <c r="P185" s="2">
        <f t="shared" si="70"/>
        <v>90.223797890261224</v>
      </c>
      <c r="Q185" s="2">
        <f t="shared" si="70"/>
        <v>92.118497645956708</v>
      </c>
      <c r="R185" s="2">
        <f t="shared" si="70"/>
        <v>94.052986096521792</v>
      </c>
      <c r="S185" s="2">
        <f t="shared" si="70"/>
        <v>96.028098804548748</v>
      </c>
      <c r="T185" s="2">
        <f t="shared" si="70"/>
        <v>98.044688879444266</v>
      </c>
      <c r="U185" s="2">
        <f t="shared" si="70"/>
        <v>100.10362734591259</v>
      </c>
      <c r="V185" s="2">
        <f t="shared" si="70"/>
        <v>102.20580352017674</v>
      </c>
      <c r="W185" s="2">
        <f t="shared" si="70"/>
        <v>104.35212539410044</v>
      </c>
      <c r="X185" s="2">
        <f t="shared" si="70"/>
        <v>106.54352002737654</v>
      </c>
      <c r="Y185" s="2">
        <f t="shared" si="70"/>
        <v>108.78093394795144</v>
      </c>
      <c r="Z185" s="2">
        <f t="shared" si="70"/>
        <v>111.06533356085841</v>
      </c>
      <c r="AA185" s="2">
        <f t="shared" si="70"/>
        <v>113.39770556563643</v>
      </c>
    </row>
    <row r="186" spans="1:27" x14ac:dyDescent="0.25">
      <c r="A186" s="14">
        <f>'Notes &amp; Assumptions'!A52</f>
        <v>39</v>
      </c>
      <c r="E186" t="s">
        <v>123</v>
      </c>
      <c r="F186" t="s">
        <v>7</v>
      </c>
      <c r="G186" s="23">
        <f>'Bulk charges'!D32</f>
        <v>190.24571706250899</v>
      </c>
      <c r="H186" s="10">
        <f>G186*(1+$G$14)*(1+H184)*(H154+H133+H112+H91)</f>
        <v>399553.48423753015</v>
      </c>
      <c r="I186" s="10">
        <f>H186/(H154+H133+H112+H91)*(1+$G$14)*(1+I184)*(I154+I133+I112+I91)</f>
        <v>915246.50251875632</v>
      </c>
      <c r="J186" s="10">
        <f>I186/(I154+I133+I112+I91)*(1+$G$14)*(1+J184)*(J154+J133+J112+J91)</f>
        <v>1565064.63760531</v>
      </c>
      <c r="K186" s="10">
        <f t="shared" ref="K186:AA186" si="71">J186/(J154+J133+J112+J91)*(1+$G$14)*(1+K184)*(K154+K133+K112+K91)</f>
        <v>2324280.1802790067</v>
      </c>
      <c r="L186" s="10">
        <f t="shared" si="71"/>
        <v>3191229.5757760578</v>
      </c>
      <c r="M186" s="10">
        <f t="shared" si="71"/>
        <v>4165115.4736608509</v>
      </c>
      <c r="N186" s="10">
        <f t="shared" si="71"/>
        <v>5244948.3242996903</v>
      </c>
      <c r="O186" s="10">
        <f t="shared" si="71"/>
        <v>6430370.1921845321</v>
      </c>
      <c r="P186" s="10">
        <f t="shared" si="71"/>
        <v>7827430.6273720916</v>
      </c>
      <c r="Q186" s="10">
        <f t="shared" si="71"/>
        <v>9465905.6568352692</v>
      </c>
      <c r="R186" s="10">
        <f t="shared" si="71"/>
        <v>11252142.105810843</v>
      </c>
      <c r="S186" s="10">
        <f t="shared" si="71"/>
        <v>13203045.751067409</v>
      </c>
      <c r="T186" s="10">
        <f t="shared" si="71"/>
        <v>15330802.934144206</v>
      </c>
      <c r="U186" s="10">
        <f t="shared" si="71"/>
        <v>17533806.914701257</v>
      </c>
      <c r="V186" s="10">
        <f t="shared" si="71"/>
        <v>19813299.996884394</v>
      </c>
      <c r="W186" s="10">
        <f t="shared" si="71"/>
        <v>20229379.296818964</v>
      </c>
      <c r="X186" s="10">
        <f t="shared" si="71"/>
        <v>20654196.262052163</v>
      </c>
      <c r="Y186" s="10">
        <f t="shared" si="71"/>
        <v>21087934.383555256</v>
      </c>
      <c r="Z186" s="10">
        <f t="shared" si="71"/>
        <v>21530781.005609915</v>
      </c>
      <c r="AA186" s="10">
        <f t="shared" si="71"/>
        <v>21982927.40672772</v>
      </c>
    </row>
    <row r="187" spans="1:27" x14ac:dyDescent="0.25">
      <c r="E187" t="s">
        <v>57</v>
      </c>
      <c r="F187" t="s">
        <v>7</v>
      </c>
      <c r="H187" s="2">
        <f>H185*H176*$H183+H186*$H183</f>
        <v>125822.48456029275</v>
      </c>
      <c r="I187" s="2">
        <f t="shared" ref="I187:AA187" si="72">I185*I176*$H183+I186*$H183</f>
        <v>288056.02291850542</v>
      </c>
      <c r="J187" s="2">
        <f t="shared" si="72"/>
        <v>492352.50135079632</v>
      </c>
      <c r="K187" s="2">
        <f t="shared" si="72"/>
        <v>730916.47615232901</v>
      </c>
      <c r="L187" s="2">
        <f t="shared" si="72"/>
        <v>1003242.8831687041</v>
      </c>
      <c r="M187" s="2">
        <f t="shared" si="72"/>
        <v>1309064.1089060111</v>
      </c>
      <c r="N187" s="2">
        <f t="shared" si="72"/>
        <v>1648077.855525607</v>
      </c>
      <c r="O187" s="2">
        <f t="shared" si="72"/>
        <v>2020180.3833165939</v>
      </c>
      <c r="P187" s="2">
        <f t="shared" si="72"/>
        <v>2458641.0977114318</v>
      </c>
      <c r="Q187" s="2">
        <f t="shared" si="72"/>
        <v>2972809.9360573785</v>
      </c>
      <c r="R187" s="2">
        <f t="shared" si="72"/>
        <v>3533341.8378492072</v>
      </c>
      <c r="S187" s="2">
        <f t="shared" si="72"/>
        <v>4145556.4648756175</v>
      </c>
      <c r="T187" s="2">
        <f t="shared" si="72"/>
        <v>4813255.9817171767</v>
      </c>
      <c r="U187" s="2">
        <f t="shared" si="72"/>
        <v>5504561.189751653</v>
      </c>
      <c r="V187" s="2">
        <f t="shared" si="72"/>
        <v>6219872.5709791174</v>
      </c>
      <c r="W187" s="2">
        <f t="shared" si="72"/>
        <v>6350489.8949696776</v>
      </c>
      <c r="X187" s="2">
        <f t="shared" si="72"/>
        <v>6483850.1827640412</v>
      </c>
      <c r="Y187" s="2">
        <f t="shared" si="72"/>
        <v>6620011.0366020864</v>
      </c>
      <c r="Z187" s="2">
        <f t="shared" si="72"/>
        <v>6759031.2683707289</v>
      </c>
      <c r="AA187" s="2">
        <f t="shared" si="72"/>
        <v>6900970.9250065135</v>
      </c>
    </row>
    <row r="188" spans="1:27" x14ac:dyDescent="0.25">
      <c r="H188" s="2"/>
      <c r="I188" s="2"/>
      <c r="J188" s="2"/>
      <c r="K188" s="2"/>
      <c r="L188" s="2"/>
      <c r="M188" s="2"/>
      <c r="N188" s="2"/>
      <c r="O188" s="2"/>
      <c r="P188" s="2"/>
      <c r="Q188" s="2"/>
      <c r="R188" s="2"/>
      <c r="S188" s="2"/>
      <c r="T188" s="2"/>
      <c r="U188" s="2"/>
      <c r="V188" s="2"/>
      <c r="W188" s="2"/>
      <c r="X188" s="2"/>
      <c r="Y188" s="2"/>
      <c r="Z188" s="2"/>
      <c r="AA188" s="2"/>
    </row>
    <row r="189" spans="1:27" x14ac:dyDescent="0.25">
      <c r="C189" s="1" t="s">
        <v>10</v>
      </c>
      <c r="G189" s="2"/>
    </row>
    <row r="190" spans="1:27" x14ac:dyDescent="0.25">
      <c r="C190" s="1"/>
      <c r="D190" t="s">
        <v>149</v>
      </c>
      <c r="G190" s="2"/>
    </row>
    <row r="191" spans="1:27" x14ac:dyDescent="0.25">
      <c r="A191" s="14">
        <f>'Notes &amp; Assumptions'!A53</f>
        <v>40</v>
      </c>
      <c r="C191" s="1"/>
      <c r="E191" t="s">
        <v>125</v>
      </c>
      <c r="G191" s="2"/>
      <c r="H191" s="11"/>
      <c r="I191" s="11"/>
      <c r="J191" s="11"/>
      <c r="K191" s="11"/>
      <c r="L191" s="11"/>
      <c r="M191" s="11"/>
      <c r="N191" s="11"/>
      <c r="O191" s="11"/>
      <c r="P191" s="11"/>
      <c r="Q191" s="11"/>
      <c r="R191" s="11"/>
      <c r="S191" s="11"/>
      <c r="T191" s="11"/>
      <c r="U191" s="11"/>
      <c r="V191" s="11"/>
      <c r="W191" s="11"/>
      <c r="X191" s="11"/>
      <c r="Y191" s="11"/>
      <c r="Z191" s="11"/>
      <c r="AA191" s="11"/>
    </row>
    <row r="192" spans="1:27" x14ac:dyDescent="0.25">
      <c r="A192" s="14">
        <f>'Notes &amp; Assumptions'!A54</f>
        <v>41</v>
      </c>
      <c r="E192" t="s">
        <v>26</v>
      </c>
      <c r="F192" t="s">
        <v>22</v>
      </c>
      <c r="G192" s="10">
        <f>'Key assumptions'!B13</f>
        <v>72</v>
      </c>
      <c r="H192" s="2">
        <f t="shared" ref="H192:W193" si="73">G192*(1+$G$14)*(1+H$191)</f>
        <v>73.512</v>
      </c>
      <c r="I192" s="2">
        <f t="shared" si="73"/>
        <v>75.055751999999998</v>
      </c>
      <c r="J192" s="2">
        <f t="shared" si="73"/>
        <v>76.631922791999997</v>
      </c>
      <c r="K192" s="2">
        <f t="shared" si="73"/>
        <v>78.241193170631988</v>
      </c>
      <c r="L192" s="2">
        <f t="shared" si="73"/>
        <v>79.884258227215255</v>
      </c>
      <c r="M192" s="2">
        <f t="shared" si="73"/>
        <v>81.561827649986768</v>
      </c>
      <c r="N192" s="2">
        <f t="shared" si="73"/>
        <v>83.274626030636483</v>
      </c>
      <c r="O192" s="2">
        <f t="shared" si="73"/>
        <v>85.023393177279843</v>
      </c>
      <c r="P192" s="2">
        <f t="shared" si="73"/>
        <v>86.808884434002707</v>
      </c>
      <c r="Q192" s="2">
        <f t="shared" si="73"/>
        <v>88.631871007116757</v>
      </c>
      <c r="R192" s="2">
        <f t="shared" si="73"/>
        <v>90.493140298266198</v>
      </c>
      <c r="S192" s="2">
        <f t="shared" si="73"/>
        <v>92.393496244529786</v>
      </c>
      <c r="T192" s="2">
        <f t="shared" si="73"/>
        <v>94.3337596656649</v>
      </c>
      <c r="U192" s="2">
        <f t="shared" si="73"/>
        <v>96.314768618643853</v>
      </c>
      <c r="V192" s="2">
        <f t="shared" si="73"/>
        <v>98.337378759635371</v>
      </c>
      <c r="W192" s="2">
        <f t="shared" si="73"/>
        <v>100.40246371358771</v>
      </c>
      <c r="X192" s="2">
        <f t="shared" ref="X192:AA193" si="74">W192*(1+$G$14)*(1+X$191)</f>
        <v>102.51091545157304</v>
      </c>
      <c r="Y192" s="2">
        <f t="shared" si="74"/>
        <v>104.66364467605607</v>
      </c>
      <c r="Z192" s="2">
        <f t="shared" si="74"/>
        <v>106.86158121425323</v>
      </c>
      <c r="AA192" s="2">
        <f t="shared" si="74"/>
        <v>109.10567441975255</v>
      </c>
    </row>
    <row r="193" spans="1:29" x14ac:dyDescent="0.25">
      <c r="A193" s="14">
        <f>'Notes &amp; Assumptions'!A55</f>
        <v>42</v>
      </c>
      <c r="E193" t="s">
        <v>27</v>
      </c>
      <c r="F193" t="s">
        <v>4</v>
      </c>
      <c r="G193" s="10">
        <f>'Key assumptions'!B16</f>
        <v>400</v>
      </c>
      <c r="H193" s="2">
        <f>G193*(1+$G$14)*(1+H$191)</f>
        <v>408.4</v>
      </c>
      <c r="I193" s="2">
        <f t="shared" si="73"/>
        <v>416.97639999999996</v>
      </c>
      <c r="J193" s="2">
        <f t="shared" si="73"/>
        <v>425.73290439999994</v>
      </c>
      <c r="K193" s="2">
        <f t="shared" si="73"/>
        <v>434.67329539239989</v>
      </c>
      <c r="L193" s="2">
        <f t="shared" si="73"/>
        <v>443.80143459564027</v>
      </c>
      <c r="M193" s="2">
        <f t="shared" si="73"/>
        <v>453.12126472214868</v>
      </c>
      <c r="N193" s="2">
        <f t="shared" si="73"/>
        <v>462.63681128131378</v>
      </c>
      <c r="O193" s="2">
        <f t="shared" si="73"/>
        <v>472.3521843182213</v>
      </c>
      <c r="P193" s="2">
        <f t="shared" si="73"/>
        <v>482.2715801889039</v>
      </c>
      <c r="Q193" s="2">
        <f t="shared" si="73"/>
        <v>492.39928337287085</v>
      </c>
      <c r="R193" s="2">
        <f t="shared" si="73"/>
        <v>502.7396683237011</v>
      </c>
      <c r="S193" s="2">
        <f t="shared" si="73"/>
        <v>513.2972013584988</v>
      </c>
      <c r="T193" s="2">
        <f t="shared" si="73"/>
        <v>524.07644258702726</v>
      </c>
      <c r="U193" s="2">
        <f t="shared" si="73"/>
        <v>535.08204788135481</v>
      </c>
      <c r="V193" s="2">
        <f t="shared" si="73"/>
        <v>546.31877088686326</v>
      </c>
      <c r="W193" s="2">
        <f t="shared" si="73"/>
        <v>557.79146507548739</v>
      </c>
      <c r="X193" s="2">
        <f t="shared" si="74"/>
        <v>569.50508584207262</v>
      </c>
      <c r="Y193" s="2">
        <f t="shared" si="74"/>
        <v>581.46469264475604</v>
      </c>
      <c r="Z193" s="2">
        <f t="shared" si="74"/>
        <v>593.67545119029592</v>
      </c>
      <c r="AA193" s="2">
        <f t="shared" si="74"/>
        <v>606.14263566529212</v>
      </c>
    </row>
    <row r="194" spans="1:29" x14ac:dyDescent="0.25">
      <c r="A194" s="14">
        <f>'Notes &amp; Assumptions'!A56</f>
        <v>43</v>
      </c>
      <c r="E194" t="s">
        <v>39</v>
      </c>
      <c r="F194" t="s">
        <v>7</v>
      </c>
      <c r="G194" s="2"/>
      <c r="H194" s="10"/>
      <c r="I194" s="10"/>
      <c r="J194" s="10"/>
      <c r="K194" s="10"/>
      <c r="L194" s="10"/>
      <c r="M194" s="10"/>
      <c r="N194" s="10"/>
      <c r="O194" s="10"/>
      <c r="P194" s="10"/>
      <c r="Q194" s="10"/>
      <c r="R194" s="10"/>
      <c r="S194" s="10"/>
      <c r="T194" s="10"/>
      <c r="U194" s="10"/>
      <c r="V194" s="10"/>
      <c r="W194" s="10"/>
      <c r="X194" s="10"/>
      <c r="Y194" s="10"/>
      <c r="Z194" s="10"/>
      <c r="AA194" s="10"/>
    </row>
    <row r="195" spans="1:29" x14ac:dyDescent="0.25">
      <c r="B195" s="14"/>
      <c r="C195" s="14"/>
      <c r="D195" s="14"/>
      <c r="E195" s="14"/>
      <c r="F195" s="14"/>
      <c r="G195" s="14"/>
      <c r="H195" s="14"/>
      <c r="I195" s="14"/>
      <c r="J195" s="14"/>
      <c r="K195" s="14"/>
      <c r="L195" s="14"/>
      <c r="M195" s="14"/>
      <c r="N195" s="14"/>
      <c r="O195" s="14"/>
      <c r="P195" s="14"/>
      <c r="Q195" s="14"/>
      <c r="R195" s="14"/>
      <c r="S195" s="14"/>
      <c r="T195" s="14"/>
      <c r="U195" s="14"/>
      <c r="V195" s="14"/>
      <c r="W195" s="14"/>
      <c r="X195" s="14"/>
      <c r="Y195" s="14"/>
      <c r="Z195" s="14"/>
      <c r="AA195" s="14"/>
      <c r="AB195" s="14"/>
      <c r="AC195" s="14"/>
    </row>
    <row r="196" spans="1:29" x14ac:dyDescent="0.25">
      <c r="D196" t="s">
        <v>124</v>
      </c>
      <c r="G196" s="14"/>
      <c r="H196" s="14"/>
      <c r="I196" s="14"/>
      <c r="J196" s="14"/>
      <c r="K196" s="14"/>
      <c r="L196" s="14"/>
      <c r="M196" s="14"/>
      <c r="N196" s="14"/>
      <c r="O196" s="14"/>
      <c r="P196" s="14"/>
      <c r="Q196" s="14"/>
      <c r="R196" s="14"/>
      <c r="S196" s="14"/>
      <c r="T196" s="14"/>
      <c r="U196" s="14"/>
      <c r="V196" s="14"/>
      <c r="W196" s="14"/>
      <c r="X196" s="14"/>
      <c r="Y196" s="14"/>
      <c r="Z196" s="14"/>
      <c r="AA196" s="14"/>
    </row>
    <row r="197" spans="1:29" x14ac:dyDescent="0.25">
      <c r="A197" s="14">
        <f>'Notes &amp; Assumptions'!A57</f>
        <v>44</v>
      </c>
      <c r="E197" t="s">
        <v>27</v>
      </c>
      <c r="F197" t="s">
        <v>4</v>
      </c>
      <c r="G197" s="14"/>
      <c r="H197" s="10"/>
      <c r="I197" s="10"/>
      <c r="J197" s="10"/>
      <c r="K197" s="10"/>
      <c r="L197" s="10"/>
      <c r="M197" s="10"/>
      <c r="N197" s="10"/>
      <c r="O197" s="10"/>
      <c r="P197" s="10"/>
      <c r="Q197" s="10"/>
      <c r="R197" s="10"/>
      <c r="S197" s="10"/>
      <c r="T197" s="10"/>
      <c r="U197" s="10"/>
      <c r="V197" s="10"/>
      <c r="W197" s="10"/>
      <c r="X197" s="10"/>
      <c r="Y197" s="10"/>
      <c r="Z197" s="10"/>
      <c r="AA197" s="10"/>
    </row>
    <row r="198" spans="1:29" x14ac:dyDescent="0.25">
      <c r="A198" s="14">
        <f>'Notes &amp; Assumptions'!A58</f>
        <v>45</v>
      </c>
      <c r="E198" t="s">
        <v>39</v>
      </c>
      <c r="F198" t="s">
        <v>7</v>
      </c>
      <c r="G198" s="2"/>
      <c r="H198" s="10"/>
      <c r="I198" s="10"/>
      <c r="J198" s="10"/>
      <c r="K198" s="10"/>
      <c r="L198" s="10"/>
      <c r="M198" s="10"/>
      <c r="N198" s="10"/>
      <c r="O198" s="10"/>
      <c r="P198" s="10"/>
      <c r="Q198" s="10"/>
      <c r="R198" s="10"/>
      <c r="S198" s="10"/>
      <c r="T198" s="10"/>
      <c r="U198" s="10"/>
      <c r="V198" s="10"/>
      <c r="W198" s="10"/>
      <c r="X198" s="10"/>
      <c r="Y198" s="10"/>
      <c r="Z198" s="10"/>
      <c r="AA198" s="10"/>
    </row>
    <row r="199" spans="1:29" x14ac:dyDescent="0.25">
      <c r="G199" s="2"/>
    </row>
    <row r="200" spans="1:29" x14ac:dyDescent="0.25">
      <c r="E200" t="s">
        <v>10</v>
      </c>
      <c r="F200" t="s">
        <v>7</v>
      </c>
      <c r="G200" s="2"/>
      <c r="H200" s="2">
        <f>H192*H175+(H193+H197)*H176*(1-$H183)+H194+H198</f>
        <v>225504.81902</v>
      </c>
      <c r="I200" s="2">
        <f t="shared" ref="I200:AA200" si="75">I192*I175+(I193+I197)*I176*(1-$H183)+I194+I198</f>
        <v>514535.05483233999</v>
      </c>
      <c r="J200" s="2">
        <f>J192*J175+(J193+J197)*J176*(1-$H183)+J194+J198</f>
        <v>877093.0457767779</v>
      </c>
      <c r="K200" s="2">
        <f t="shared" si="75"/>
        <v>1299116.6953373468</v>
      </c>
      <c r="L200" s="2">
        <f t="shared" si="75"/>
        <v>1779901.6124570537</v>
      </c>
      <c r="M200" s="2">
        <f t="shared" si="75"/>
        <v>2318791.7152582961</v>
      </c>
      <c r="N200" s="2">
        <f t="shared" si="75"/>
        <v>2915344.739347267</v>
      </c>
      <c r="O200" s="2">
        <f t="shared" si="75"/>
        <v>3569470.6321917968</v>
      </c>
      <c r="P200" s="2">
        <f t="shared" si="75"/>
        <v>4339446.1847785134</v>
      </c>
      <c r="Q200" s="2">
        <f t="shared" si="75"/>
        <v>5241742.9414221635</v>
      </c>
      <c r="R200" s="2">
        <f t="shared" si="75"/>
        <v>6225337.8361501014</v>
      </c>
      <c r="S200" s="2">
        <f t="shared" si="75"/>
        <v>7299721.2417829428</v>
      </c>
      <c r="T200" s="2">
        <f t="shared" si="75"/>
        <v>8471329.4042916596</v>
      </c>
      <c r="U200" s="2">
        <f t="shared" si="75"/>
        <v>9684282.4102842938</v>
      </c>
      <c r="V200" s="2">
        <f t="shared" si="75"/>
        <v>10939397.034905106</v>
      </c>
      <c r="W200" s="2">
        <f t="shared" si="75"/>
        <v>11169124.372638112</v>
      </c>
      <c r="X200" s="2">
        <f t="shared" si="75"/>
        <v>11403675.984463513</v>
      </c>
      <c r="Y200" s="2">
        <f t="shared" si="75"/>
        <v>11643153.180137243</v>
      </c>
      <c r="Z200" s="2">
        <f t="shared" si="75"/>
        <v>11887659.396920126</v>
      </c>
      <c r="AA200" s="2">
        <f t="shared" si="75"/>
        <v>12137300.244255446</v>
      </c>
    </row>
    <row r="201" spans="1:29" x14ac:dyDescent="0.25">
      <c r="G201" s="2"/>
      <c r="H201" s="2"/>
      <c r="I201" s="2"/>
      <c r="J201" s="2"/>
      <c r="K201" s="2"/>
      <c r="L201" s="2"/>
      <c r="M201" s="2"/>
      <c r="N201" s="2"/>
      <c r="O201" s="2"/>
      <c r="P201" s="2"/>
      <c r="Q201" s="2"/>
      <c r="R201" s="2"/>
      <c r="S201" s="2"/>
      <c r="T201" s="2"/>
      <c r="U201" s="2"/>
      <c r="V201" s="2"/>
      <c r="W201" s="2"/>
      <c r="X201" s="2"/>
      <c r="Y201" s="2"/>
      <c r="Z201" s="2"/>
      <c r="AA201" s="2"/>
    </row>
    <row r="202" spans="1:29" x14ac:dyDescent="0.25">
      <c r="C202" s="1" t="s">
        <v>48</v>
      </c>
      <c r="G202" s="2"/>
      <c r="H202" s="2"/>
      <c r="I202" s="2"/>
      <c r="J202" s="2"/>
      <c r="K202" s="2"/>
      <c r="L202" s="2"/>
      <c r="M202" s="2"/>
      <c r="N202" s="2"/>
      <c r="O202" s="2"/>
      <c r="P202" s="2"/>
      <c r="Q202" s="2"/>
      <c r="R202" s="2"/>
      <c r="S202" s="2"/>
      <c r="T202" s="2"/>
      <c r="U202" s="2"/>
      <c r="V202" s="2"/>
      <c r="W202" s="2"/>
      <c r="X202" s="2"/>
      <c r="Y202" s="2"/>
      <c r="Z202" s="2"/>
      <c r="AA202" s="2"/>
    </row>
    <row r="203" spans="1:29" x14ac:dyDescent="0.25">
      <c r="A203" s="14">
        <f>'Notes &amp; Assumptions'!A59</f>
        <v>46</v>
      </c>
      <c r="E203" s="10" t="s">
        <v>44</v>
      </c>
      <c r="F203" t="s">
        <v>7</v>
      </c>
      <c r="G203" s="2"/>
      <c r="H203" s="10"/>
      <c r="I203" s="10"/>
      <c r="J203" s="10"/>
      <c r="K203" s="10"/>
      <c r="L203" s="10"/>
      <c r="M203" s="10"/>
      <c r="N203" s="10"/>
      <c r="O203" s="10"/>
      <c r="P203" s="10"/>
      <c r="Q203" s="10"/>
      <c r="R203" s="10"/>
      <c r="S203" s="10"/>
      <c r="T203" s="10"/>
      <c r="U203" s="10"/>
      <c r="V203" s="10"/>
      <c r="W203" s="10"/>
      <c r="X203" s="10"/>
      <c r="Y203" s="10"/>
      <c r="Z203" s="10"/>
      <c r="AA203" s="10"/>
    </row>
    <row r="204" spans="1:29" x14ac:dyDescent="0.25">
      <c r="A204" s="14">
        <f>'Notes &amp; Assumptions'!A60</f>
        <v>47</v>
      </c>
      <c r="E204" s="10" t="s">
        <v>45</v>
      </c>
      <c r="F204" t="s">
        <v>7</v>
      </c>
      <c r="G204" s="2"/>
      <c r="H204" s="10"/>
      <c r="I204" s="10"/>
      <c r="J204" s="10"/>
      <c r="K204" s="10"/>
      <c r="L204" s="10"/>
      <c r="M204" s="10"/>
      <c r="N204" s="10"/>
      <c r="O204" s="10"/>
      <c r="P204" s="10"/>
      <c r="Q204" s="10"/>
      <c r="R204" s="10"/>
      <c r="S204" s="10"/>
      <c r="T204" s="10"/>
      <c r="U204" s="10"/>
      <c r="V204" s="10"/>
      <c r="W204" s="10"/>
      <c r="X204" s="10"/>
      <c r="Y204" s="10"/>
      <c r="Z204" s="10"/>
      <c r="AA204" s="10"/>
    </row>
    <row r="205" spans="1:29" x14ac:dyDescent="0.25">
      <c r="A205" s="14">
        <f>'Notes &amp; Assumptions'!A61</f>
        <v>48</v>
      </c>
      <c r="E205" s="10" t="s">
        <v>46</v>
      </c>
      <c r="F205" t="s">
        <v>7</v>
      </c>
      <c r="G205" s="2"/>
      <c r="H205" s="10"/>
      <c r="I205" s="10"/>
      <c r="J205" s="10"/>
      <c r="K205" s="10"/>
      <c r="L205" s="10"/>
      <c r="M205" s="10"/>
      <c r="N205" s="10"/>
      <c r="O205" s="10"/>
      <c r="P205" s="10"/>
      <c r="Q205" s="10"/>
      <c r="R205" s="10"/>
      <c r="S205" s="10"/>
      <c r="T205" s="10"/>
      <c r="U205" s="10"/>
      <c r="V205" s="10"/>
      <c r="W205" s="10"/>
      <c r="X205" s="10"/>
      <c r="Y205" s="10"/>
      <c r="Z205" s="10"/>
      <c r="AA205" s="10"/>
    </row>
    <row r="206" spans="1:29" x14ac:dyDescent="0.25">
      <c r="A206" s="14">
        <f>'Notes &amp; Assumptions'!A62</f>
        <v>49</v>
      </c>
      <c r="E206" s="10" t="s">
        <v>47</v>
      </c>
      <c r="F206" t="s">
        <v>7</v>
      </c>
      <c r="G206" s="2"/>
      <c r="H206" s="10"/>
      <c r="I206" s="10"/>
      <c r="J206" s="10"/>
      <c r="K206" s="10"/>
      <c r="L206" s="10"/>
      <c r="M206" s="10"/>
      <c r="N206" s="10"/>
      <c r="O206" s="10"/>
      <c r="P206" s="10"/>
      <c r="Q206" s="10"/>
      <c r="R206" s="10"/>
      <c r="S206" s="10"/>
      <c r="T206" s="10"/>
      <c r="U206" s="10"/>
      <c r="V206" s="10"/>
      <c r="W206" s="10"/>
      <c r="X206" s="10"/>
      <c r="Y206" s="10"/>
      <c r="Z206" s="10"/>
      <c r="AA206" s="10"/>
    </row>
    <row r="207" spans="1:29" x14ac:dyDescent="0.25">
      <c r="E207" t="s">
        <v>17</v>
      </c>
      <c r="G207" s="2"/>
      <c r="H207" s="2">
        <f>SUM(H203:H206)</f>
        <v>0</v>
      </c>
      <c r="I207" s="2">
        <f t="shared" ref="I207:AA207" si="76">SUM(I203:I206)</f>
        <v>0</v>
      </c>
      <c r="J207" s="2">
        <f t="shared" si="76"/>
        <v>0</v>
      </c>
      <c r="K207" s="2">
        <f t="shared" si="76"/>
        <v>0</v>
      </c>
      <c r="L207" s="2">
        <f t="shared" si="76"/>
        <v>0</v>
      </c>
      <c r="M207" s="2">
        <f t="shared" si="76"/>
        <v>0</v>
      </c>
      <c r="N207" s="2">
        <f t="shared" si="76"/>
        <v>0</v>
      </c>
      <c r="O207" s="2">
        <f t="shared" si="76"/>
        <v>0</v>
      </c>
      <c r="P207" s="2">
        <f t="shared" si="76"/>
        <v>0</v>
      </c>
      <c r="Q207" s="2">
        <f t="shared" si="76"/>
        <v>0</v>
      </c>
      <c r="R207" s="2">
        <f t="shared" si="76"/>
        <v>0</v>
      </c>
      <c r="S207" s="2">
        <f t="shared" si="76"/>
        <v>0</v>
      </c>
      <c r="T207" s="2">
        <f t="shared" si="76"/>
        <v>0</v>
      </c>
      <c r="U207" s="2">
        <f t="shared" si="76"/>
        <v>0</v>
      </c>
      <c r="V207" s="2">
        <f t="shared" si="76"/>
        <v>0</v>
      </c>
      <c r="W207" s="2">
        <f t="shared" si="76"/>
        <v>0</v>
      </c>
      <c r="X207" s="2">
        <f t="shared" si="76"/>
        <v>0</v>
      </c>
      <c r="Y207" s="2">
        <f t="shared" si="76"/>
        <v>0</v>
      </c>
      <c r="Z207" s="2">
        <f t="shared" si="76"/>
        <v>0</v>
      </c>
      <c r="AA207" s="2">
        <f t="shared" si="76"/>
        <v>0</v>
      </c>
    </row>
    <row r="208" spans="1:29" x14ac:dyDescent="0.25">
      <c r="G208" s="2"/>
      <c r="H208" s="2"/>
      <c r="I208" s="2"/>
      <c r="J208" s="2"/>
      <c r="K208" s="2"/>
      <c r="L208" s="2"/>
      <c r="M208" s="2"/>
      <c r="N208" s="2"/>
      <c r="O208" s="2"/>
      <c r="P208" s="2"/>
      <c r="Q208" s="2"/>
      <c r="R208" s="2"/>
      <c r="S208" s="2"/>
      <c r="T208" s="2"/>
      <c r="U208" s="2"/>
      <c r="V208" s="2"/>
      <c r="W208" s="2"/>
      <c r="X208" s="2"/>
      <c r="Y208" s="2"/>
      <c r="Z208" s="2"/>
      <c r="AA208" s="2"/>
    </row>
    <row r="209" spans="1:27" x14ac:dyDescent="0.25">
      <c r="C209" s="1" t="s">
        <v>49</v>
      </c>
      <c r="G209" s="2"/>
      <c r="H209" s="2"/>
      <c r="I209" s="2"/>
      <c r="J209" s="2"/>
      <c r="K209" s="2"/>
      <c r="L209" s="2"/>
      <c r="M209" s="2"/>
      <c r="N209" s="2"/>
      <c r="O209" s="2"/>
      <c r="P209" s="2"/>
      <c r="Q209" s="2"/>
      <c r="R209" s="2"/>
      <c r="S209" s="2"/>
      <c r="T209" s="2"/>
      <c r="U209" s="2"/>
      <c r="V209" s="2"/>
      <c r="W209" s="2"/>
      <c r="X209" s="2"/>
      <c r="Y209" s="2"/>
      <c r="Z209" s="2"/>
      <c r="AA209" s="2"/>
    </row>
    <row r="210" spans="1:27" x14ac:dyDescent="0.25">
      <c r="A210" s="14">
        <f>'Notes &amp; Assumptions'!A63</f>
        <v>50</v>
      </c>
      <c r="E210" s="10" t="s">
        <v>174</v>
      </c>
      <c r="F210" t="s">
        <v>7</v>
      </c>
      <c r="G210" s="24">
        <v>0</v>
      </c>
      <c r="H210" s="10">
        <f>H107*($G$210*(1+$G$14)^(H2))</f>
        <v>0</v>
      </c>
      <c r="I210" s="10">
        <f>I107*($G$210*(1+$G$14)^(I2))</f>
        <v>0</v>
      </c>
      <c r="J210" s="10">
        <f t="shared" ref="J210:AA210" si="77">J107*($G$210*(1+$G$14)^(J2))</f>
        <v>0</v>
      </c>
      <c r="K210" s="10">
        <f t="shared" si="77"/>
        <v>0</v>
      </c>
      <c r="L210" s="10">
        <f t="shared" si="77"/>
        <v>0</v>
      </c>
      <c r="M210" s="10">
        <f t="shared" si="77"/>
        <v>0</v>
      </c>
      <c r="N210" s="10">
        <f t="shared" si="77"/>
        <v>0</v>
      </c>
      <c r="O210" s="10">
        <f t="shared" si="77"/>
        <v>0</v>
      </c>
      <c r="P210" s="10">
        <f t="shared" si="77"/>
        <v>0</v>
      </c>
      <c r="Q210" s="10">
        <f t="shared" si="77"/>
        <v>0</v>
      </c>
      <c r="R210" s="10">
        <f t="shared" si="77"/>
        <v>0</v>
      </c>
      <c r="S210" s="10">
        <f t="shared" si="77"/>
        <v>0</v>
      </c>
      <c r="T210" s="10">
        <f t="shared" si="77"/>
        <v>0</v>
      </c>
      <c r="U210" s="10">
        <f t="shared" si="77"/>
        <v>0</v>
      </c>
      <c r="V210" s="10">
        <f t="shared" si="77"/>
        <v>0</v>
      </c>
      <c r="W210" s="10">
        <f t="shared" si="77"/>
        <v>0</v>
      </c>
      <c r="X210" s="10">
        <f t="shared" si="77"/>
        <v>0</v>
      </c>
      <c r="Y210" s="10">
        <f t="shared" si="77"/>
        <v>0</v>
      </c>
      <c r="Z210" s="10">
        <f t="shared" si="77"/>
        <v>0</v>
      </c>
      <c r="AA210" s="10">
        <f t="shared" si="77"/>
        <v>0</v>
      </c>
    </row>
    <row r="211" spans="1:27" x14ac:dyDescent="0.25">
      <c r="A211" s="14">
        <f>'Notes &amp; Assumptions'!A64</f>
        <v>51</v>
      </c>
      <c r="E211" s="10" t="s">
        <v>50</v>
      </c>
      <c r="F211" t="s">
        <v>7</v>
      </c>
      <c r="G211" s="2"/>
      <c r="H211" s="10"/>
      <c r="I211" s="10"/>
      <c r="J211" s="10"/>
      <c r="K211" s="10"/>
      <c r="L211" s="10"/>
      <c r="M211" s="10"/>
      <c r="N211" s="10"/>
      <c r="O211" s="10"/>
      <c r="P211" s="10"/>
      <c r="Q211" s="10"/>
      <c r="R211" s="10"/>
      <c r="S211" s="10"/>
      <c r="T211" s="10"/>
      <c r="U211" s="10"/>
      <c r="V211" s="10"/>
      <c r="W211" s="10"/>
      <c r="X211" s="10"/>
      <c r="Y211" s="10"/>
      <c r="Z211" s="10"/>
      <c r="AA211" s="10"/>
    </row>
    <row r="212" spans="1:27" x14ac:dyDescent="0.25">
      <c r="A212" s="14">
        <f>'Notes &amp; Assumptions'!A65</f>
        <v>52</v>
      </c>
      <c r="E212" s="10" t="s">
        <v>51</v>
      </c>
      <c r="F212" t="s">
        <v>7</v>
      </c>
      <c r="G212" s="2"/>
      <c r="H212" s="10"/>
      <c r="I212" s="10"/>
      <c r="J212" s="10"/>
      <c r="K212" s="10"/>
      <c r="L212" s="10"/>
      <c r="M212" s="10"/>
      <c r="N212" s="10"/>
      <c r="O212" s="10"/>
      <c r="P212" s="10"/>
      <c r="Q212" s="10"/>
      <c r="R212" s="10"/>
      <c r="S212" s="10"/>
      <c r="T212" s="10"/>
      <c r="U212" s="10"/>
      <c r="V212" s="10"/>
      <c r="W212" s="10"/>
      <c r="X212" s="10"/>
      <c r="Y212" s="10"/>
      <c r="Z212" s="10"/>
      <c r="AA212" s="10"/>
    </row>
    <row r="213" spans="1:27" x14ac:dyDescent="0.25">
      <c r="A213" s="14">
        <f>'Notes &amp; Assumptions'!A66</f>
        <v>53</v>
      </c>
      <c r="E213" s="10" t="s">
        <v>52</v>
      </c>
      <c r="F213" t="s">
        <v>7</v>
      </c>
      <c r="G213" s="2"/>
      <c r="H213" s="10"/>
      <c r="I213" s="10"/>
      <c r="J213" s="10"/>
      <c r="K213" s="10"/>
      <c r="L213" s="10"/>
      <c r="M213" s="10"/>
      <c r="N213" s="10"/>
      <c r="O213" s="10"/>
      <c r="P213" s="10"/>
      <c r="Q213" s="10"/>
      <c r="R213" s="10"/>
      <c r="S213" s="10"/>
      <c r="T213" s="10"/>
      <c r="U213" s="10"/>
      <c r="V213" s="10"/>
      <c r="W213" s="10"/>
      <c r="X213" s="10"/>
      <c r="Y213" s="10"/>
      <c r="Z213" s="10"/>
      <c r="AA213" s="10"/>
    </row>
    <row r="214" spans="1:27" x14ac:dyDescent="0.25">
      <c r="E214" t="s">
        <v>17</v>
      </c>
      <c r="G214" s="2"/>
      <c r="H214" s="2">
        <f>SUM(H210:H213)</f>
        <v>0</v>
      </c>
      <c r="I214" s="2">
        <f t="shared" ref="I214:AA214" si="78">SUM(I210:I213)</f>
        <v>0</v>
      </c>
      <c r="J214" s="2">
        <f t="shared" si="78"/>
        <v>0</v>
      </c>
      <c r="K214" s="2">
        <f t="shared" si="78"/>
        <v>0</v>
      </c>
      <c r="L214" s="2">
        <f t="shared" si="78"/>
        <v>0</v>
      </c>
      <c r="M214" s="2">
        <f t="shared" si="78"/>
        <v>0</v>
      </c>
      <c r="N214" s="2">
        <f t="shared" si="78"/>
        <v>0</v>
      </c>
      <c r="O214" s="2">
        <f t="shared" si="78"/>
        <v>0</v>
      </c>
      <c r="P214" s="2">
        <f t="shared" si="78"/>
        <v>0</v>
      </c>
      <c r="Q214" s="2">
        <f t="shared" si="78"/>
        <v>0</v>
      </c>
      <c r="R214" s="2">
        <f t="shared" si="78"/>
        <v>0</v>
      </c>
      <c r="S214" s="2">
        <f t="shared" si="78"/>
        <v>0</v>
      </c>
      <c r="T214" s="2">
        <f t="shared" si="78"/>
        <v>0</v>
      </c>
      <c r="U214" s="2">
        <f t="shared" si="78"/>
        <v>0</v>
      </c>
      <c r="V214" s="2">
        <f t="shared" si="78"/>
        <v>0</v>
      </c>
      <c r="W214" s="2">
        <f t="shared" si="78"/>
        <v>0</v>
      </c>
      <c r="X214" s="2">
        <f t="shared" si="78"/>
        <v>0</v>
      </c>
      <c r="Y214" s="2">
        <f t="shared" si="78"/>
        <v>0</v>
      </c>
      <c r="Z214" s="2">
        <f t="shared" si="78"/>
        <v>0</v>
      </c>
      <c r="AA214" s="2">
        <f t="shared" si="78"/>
        <v>0</v>
      </c>
    </row>
    <row r="215" spans="1:27" x14ac:dyDescent="0.25">
      <c r="G215" s="2"/>
      <c r="H215" s="2"/>
      <c r="I215" s="2"/>
      <c r="J215" s="2"/>
      <c r="K215" s="2"/>
      <c r="L215" s="2"/>
      <c r="M215" s="2"/>
      <c r="N215" s="2"/>
      <c r="O215" s="2"/>
      <c r="P215" s="2"/>
      <c r="Q215" s="2"/>
      <c r="R215" s="2"/>
      <c r="S215" s="2"/>
      <c r="T215" s="2"/>
      <c r="U215" s="2"/>
      <c r="V215" s="2"/>
      <c r="W215" s="2"/>
      <c r="X215" s="2"/>
      <c r="Y215" s="2"/>
      <c r="Z215" s="2"/>
      <c r="AA215" s="2"/>
    </row>
    <row r="216" spans="1:27" x14ac:dyDescent="0.25">
      <c r="C216" s="1" t="s">
        <v>33</v>
      </c>
      <c r="G216" s="2"/>
      <c r="H216" s="2"/>
      <c r="I216" s="2"/>
      <c r="J216" s="2"/>
      <c r="K216" s="2"/>
      <c r="L216" s="2"/>
      <c r="M216" s="2"/>
      <c r="N216" s="2"/>
      <c r="O216" s="2"/>
      <c r="P216" s="2"/>
      <c r="Q216" s="2"/>
      <c r="R216" s="2"/>
      <c r="S216" s="2"/>
      <c r="T216" s="2"/>
      <c r="U216" s="2"/>
      <c r="V216" s="2"/>
      <c r="W216" s="2"/>
      <c r="X216" s="2"/>
      <c r="Y216" s="2"/>
      <c r="Z216" s="2"/>
      <c r="AA216" s="2"/>
    </row>
    <row r="217" spans="1:27" x14ac:dyDescent="0.25">
      <c r="C217" s="1"/>
      <c r="D217" s="1"/>
      <c r="E217" t="s">
        <v>29</v>
      </c>
      <c r="F217" t="s">
        <v>3</v>
      </c>
      <c r="G217" s="44"/>
      <c r="H217" s="2">
        <f t="shared" ref="H217:AA217" si="79">H174</f>
        <v>2057</v>
      </c>
      <c r="I217" s="2">
        <f t="shared" si="79"/>
        <v>2558</v>
      </c>
      <c r="J217" s="2">
        <f t="shared" si="79"/>
        <v>3114.3</v>
      </c>
      <c r="K217" s="2">
        <f t="shared" si="79"/>
        <v>3513.4</v>
      </c>
      <c r="L217" s="2">
        <f t="shared" si="79"/>
        <v>3876</v>
      </c>
      <c r="M217" s="2">
        <f t="shared" si="79"/>
        <v>4208</v>
      </c>
      <c r="N217" s="2">
        <f t="shared" si="79"/>
        <v>4509.9999999999991</v>
      </c>
      <c r="O217" s="2">
        <f t="shared" si="79"/>
        <v>4786.2999999999993</v>
      </c>
      <c r="P217" s="2">
        <f t="shared" si="79"/>
        <v>5501.9999999999991</v>
      </c>
      <c r="Q217" s="2">
        <f t="shared" si="79"/>
        <v>6294.3999999999987</v>
      </c>
      <c r="R217" s="2">
        <f t="shared" si="79"/>
        <v>6638.9999999999991</v>
      </c>
      <c r="S217" s="2">
        <f t="shared" si="79"/>
        <v>7023.2999999999984</v>
      </c>
      <c r="T217" s="2">
        <f t="shared" si="79"/>
        <v>7423.9999999999982</v>
      </c>
      <c r="U217" s="2">
        <f t="shared" si="79"/>
        <v>7391.3999999999987</v>
      </c>
      <c r="V217" s="2">
        <f t="shared" si="79"/>
        <v>7355.6999999999989</v>
      </c>
      <c r="W217" s="2">
        <f t="shared" si="79"/>
        <v>0</v>
      </c>
      <c r="X217" s="2">
        <f t="shared" si="79"/>
        <v>0</v>
      </c>
      <c r="Y217" s="2">
        <f t="shared" si="79"/>
        <v>0</v>
      </c>
      <c r="Z217" s="2">
        <f t="shared" si="79"/>
        <v>0</v>
      </c>
      <c r="AA217" s="2">
        <f t="shared" si="79"/>
        <v>0</v>
      </c>
    </row>
    <row r="218" spans="1:27" x14ac:dyDescent="0.25">
      <c r="E218" t="s">
        <v>18</v>
      </c>
      <c r="F218" t="s">
        <v>22</v>
      </c>
      <c r="G218" s="8">
        <f ca="1">MAX(0,-G245/(NPV($G$16,H217:AA217)))</f>
        <v>11517.047021077384</v>
      </c>
      <c r="H218" s="2">
        <f t="shared" ref="H218:AA218" ca="1" si="80">G218*(1+$G$14)</f>
        <v>11758.905008520007</v>
      </c>
      <c r="I218" s="2">
        <f t="shared" ca="1" si="80"/>
        <v>12005.842013698926</v>
      </c>
      <c r="J218" s="2">
        <f t="shared" ca="1" si="80"/>
        <v>12257.964695986602</v>
      </c>
      <c r="K218" s="2">
        <f t="shared" ca="1" si="80"/>
        <v>12515.381954602321</v>
      </c>
      <c r="L218" s="2">
        <f t="shared" ca="1" si="80"/>
        <v>12778.204975648969</v>
      </c>
      <c r="M218" s="2">
        <f t="shared" ca="1" si="80"/>
        <v>13046.547280137596</v>
      </c>
      <c r="N218" s="2">
        <f t="shared" ca="1" si="80"/>
        <v>13320.524773020485</v>
      </c>
      <c r="O218" s="2">
        <f t="shared" ca="1" si="80"/>
        <v>13600.255793253913</v>
      </c>
      <c r="P218" s="2">
        <f t="shared" ca="1" si="80"/>
        <v>13885.861164912243</v>
      </c>
      <c r="Q218" s="2">
        <f t="shared" ca="1" si="80"/>
        <v>14177.464249375398</v>
      </c>
      <c r="R218" s="2">
        <f t="shared" ca="1" si="80"/>
        <v>14475.190998612281</v>
      </c>
      <c r="S218" s="2">
        <f t="shared" ca="1" si="80"/>
        <v>14779.170009583138</v>
      </c>
      <c r="T218" s="2">
        <f t="shared" ca="1" si="80"/>
        <v>15089.532579784383</v>
      </c>
      <c r="U218" s="2">
        <f t="shared" ca="1" si="80"/>
        <v>15406.412763959854</v>
      </c>
      <c r="V218" s="2">
        <f t="shared" ca="1" si="80"/>
        <v>15729.947432003009</v>
      </c>
      <c r="W218" s="2">
        <f t="shared" ca="1" si="80"/>
        <v>16060.276328075071</v>
      </c>
      <c r="X218" s="2">
        <f t="shared" ca="1" si="80"/>
        <v>16397.542130964648</v>
      </c>
      <c r="Y218" s="2">
        <f t="shared" ca="1" si="80"/>
        <v>16741.890515714906</v>
      </c>
      <c r="Z218" s="2">
        <f t="shared" ca="1" si="80"/>
        <v>17093.470216544916</v>
      </c>
      <c r="AA218" s="2">
        <f t="shared" ca="1" si="80"/>
        <v>17452.433091092356</v>
      </c>
    </row>
    <row r="219" spans="1:27" x14ac:dyDescent="0.25">
      <c r="E219" t="s">
        <v>21</v>
      </c>
      <c r="F219" t="s">
        <v>7</v>
      </c>
      <c r="H219" s="2">
        <f ca="1">H218*H217</f>
        <v>24188067.602525655</v>
      </c>
      <c r="I219" s="2">
        <f t="shared" ref="I219:AA219" ca="1" si="81">I218*I217</f>
        <v>30710943.871041853</v>
      </c>
      <c r="J219" s="2">
        <f t="shared" ca="1" si="81"/>
        <v>38174979.452711076</v>
      </c>
      <c r="K219" s="2">
        <f t="shared" ca="1" si="81"/>
        <v>43971542.959299795</v>
      </c>
      <c r="L219" s="2">
        <f t="shared" ca="1" si="81"/>
        <v>49528322.485615402</v>
      </c>
      <c r="M219" s="2">
        <f t="shared" ca="1" si="81"/>
        <v>54899870.954819009</v>
      </c>
      <c r="N219" s="2">
        <f t="shared" ca="1" si="81"/>
        <v>60075566.726322375</v>
      </c>
      <c r="O219" s="2">
        <f t="shared" ca="1" si="81"/>
        <v>65094904.303251192</v>
      </c>
      <c r="P219" s="2">
        <f t="shared" ca="1" si="81"/>
        <v>76400008.129347146</v>
      </c>
      <c r="Q219" s="2">
        <f t="shared" ca="1" si="81"/>
        <v>89238630.97126849</v>
      </c>
      <c r="R219" s="2">
        <f t="shared" ca="1" si="81"/>
        <v>96100793.03978692</v>
      </c>
      <c r="S219" s="2">
        <f t="shared" ca="1" si="81"/>
        <v>103798544.72830524</v>
      </c>
      <c r="T219" s="2">
        <f t="shared" ca="1" si="81"/>
        <v>112024689.87231924</v>
      </c>
      <c r="U219" s="2">
        <f t="shared" ca="1" si="81"/>
        <v>113874959.30353284</v>
      </c>
      <c r="V219" s="2">
        <f t="shared" ca="1" si="81"/>
        <v>115704774.32558452</v>
      </c>
      <c r="W219" s="2">
        <f t="shared" ca="1" si="81"/>
        <v>0</v>
      </c>
      <c r="X219" s="2">
        <f t="shared" ca="1" si="81"/>
        <v>0</v>
      </c>
      <c r="Y219" s="2">
        <f t="shared" ca="1" si="81"/>
        <v>0</v>
      </c>
      <c r="Z219" s="2">
        <f t="shared" ca="1" si="81"/>
        <v>0</v>
      </c>
      <c r="AA219" s="2">
        <f t="shared" ca="1" si="81"/>
        <v>0</v>
      </c>
    </row>
    <row r="220" spans="1:27" x14ac:dyDescent="0.25">
      <c r="G220" s="8">
        <f ca="1">-G245/(NPV($G$16,H217:AA217))</f>
        <v>11517.047021077384</v>
      </c>
    </row>
    <row r="221" spans="1:27" x14ac:dyDescent="0.25">
      <c r="D221" t="s">
        <v>9</v>
      </c>
    </row>
    <row r="222" spans="1:27" x14ac:dyDescent="0.25">
      <c r="E222" t="s">
        <v>107</v>
      </c>
      <c r="F222" t="s">
        <v>7</v>
      </c>
      <c r="G222" s="2">
        <f t="shared" ref="G222:AA222" si="82">G42</f>
        <v>0</v>
      </c>
      <c r="H222" s="2">
        <f t="shared" si="82"/>
        <v>14701378.999999998</v>
      </c>
      <c r="I222" s="2">
        <f t="shared" si="82"/>
        <v>18665948.545999993</v>
      </c>
      <c r="J222" s="2">
        <f t="shared" si="82"/>
        <v>23202549.723026093</v>
      </c>
      <c r="K222" s="2">
        <f t="shared" si="82"/>
        <v>26725670.230554003</v>
      </c>
      <c r="L222" s="2">
        <f t="shared" si="82"/>
        <v>30103051.308622271</v>
      </c>
      <c r="M222" s="2">
        <f t="shared" si="82"/>
        <v>33367849.934139017</v>
      </c>
      <c r="N222" s="2">
        <f t="shared" si="82"/>
        <v>36513610.330377668</v>
      </c>
      <c r="O222" s="2">
        <f t="shared" si="82"/>
        <v>39564337.046540275</v>
      </c>
      <c r="P222" s="2">
        <f t="shared" si="82"/>
        <v>46435519.098488577</v>
      </c>
      <c r="Q222" s="2">
        <f t="shared" si="82"/>
        <v>54238765.862088427</v>
      </c>
      <c r="R222" s="2">
        <f t="shared" si="82"/>
        <v>58409551.515018374</v>
      </c>
      <c r="S222" s="2">
        <f t="shared" si="82"/>
        <v>63088204.100269973</v>
      </c>
      <c r="T222" s="2">
        <f t="shared" si="82"/>
        <v>68088011.420906514</v>
      </c>
      <c r="U222" s="2">
        <f t="shared" si="82"/>
        <v>69212595.352429241</v>
      </c>
      <c r="V222" s="2">
        <f t="shared" si="82"/>
        <v>70324747.202718675</v>
      </c>
      <c r="W222" s="2">
        <f t="shared" si="82"/>
        <v>0</v>
      </c>
      <c r="X222" s="2">
        <f t="shared" si="82"/>
        <v>0</v>
      </c>
      <c r="Y222" s="2">
        <f t="shared" si="82"/>
        <v>0</v>
      </c>
      <c r="Z222" s="2">
        <f t="shared" si="82"/>
        <v>0</v>
      </c>
      <c r="AA222" s="2">
        <f t="shared" si="82"/>
        <v>0</v>
      </c>
    </row>
    <row r="223" spans="1:27" x14ac:dyDescent="0.25">
      <c r="E223" t="s">
        <v>11</v>
      </c>
      <c r="F223" t="s">
        <v>7</v>
      </c>
      <c r="G223" s="2">
        <f t="shared" ref="G223:AA223" si="83">G177</f>
        <v>0</v>
      </c>
      <c r="H223" s="2">
        <f t="shared" si="83"/>
        <v>1051910.6031166408</v>
      </c>
      <c r="I223" s="2">
        <f t="shared" si="83"/>
        <v>2316732.0874369917</v>
      </c>
      <c r="J223" s="2">
        <f t="shared" si="83"/>
        <v>3925014.3472899627</v>
      </c>
      <c r="K223" s="2">
        <f t="shared" si="83"/>
        <v>5783212.2398057943</v>
      </c>
      <c r="L223" s="2">
        <f t="shared" si="83"/>
        <v>7890176.3862696234</v>
      </c>
      <c r="M223" s="2">
        <f t="shared" si="83"/>
        <v>10241132.059227407</v>
      </c>
      <c r="N223" s="2">
        <f t="shared" si="83"/>
        <v>12835087.006764164</v>
      </c>
      <c r="O223" s="2">
        <f t="shared" si="83"/>
        <v>15672609.692394681</v>
      </c>
      <c r="P223" s="2">
        <f t="shared" si="83"/>
        <v>19004335.9304423</v>
      </c>
      <c r="Q223" s="2">
        <f t="shared" si="83"/>
        <v>22902082.233731136</v>
      </c>
      <c r="R223" s="2">
        <f t="shared" si="83"/>
        <v>27150367.409845628</v>
      </c>
      <c r="S223" s="2">
        <f t="shared" si="83"/>
        <v>31791802.10947527</v>
      </c>
      <c r="T223" s="2">
        <f t="shared" si="83"/>
        <v>36851733.04480654</v>
      </c>
      <c r="U223" s="2">
        <f t="shared" si="83"/>
        <v>42089433.545174807</v>
      </c>
      <c r="V223" s="2">
        <f t="shared" si="83"/>
        <v>47509618.224838361</v>
      </c>
      <c r="W223" s="2">
        <f t="shared" si="83"/>
        <v>48507320.207559958</v>
      </c>
      <c r="X223" s="2">
        <f t="shared" si="83"/>
        <v>49525973.93191871</v>
      </c>
      <c r="Y223" s="2">
        <f t="shared" si="83"/>
        <v>50566019.384489</v>
      </c>
      <c r="Z223" s="2">
        <f t="shared" si="83"/>
        <v>51627905.791563265</v>
      </c>
      <c r="AA223" s="2">
        <f t="shared" si="83"/>
        <v>52712091.813186087</v>
      </c>
    </row>
    <row r="224" spans="1:27" x14ac:dyDescent="0.25">
      <c r="E224" t="s">
        <v>57</v>
      </c>
      <c r="F224" t="s">
        <v>7</v>
      </c>
      <c r="G224" s="2">
        <f t="shared" ref="G224:AA224" si="84">-G187</f>
        <v>0</v>
      </c>
      <c r="H224" s="2">
        <f t="shared" si="84"/>
        <v>-125822.48456029275</v>
      </c>
      <c r="I224" s="2">
        <f t="shared" si="84"/>
        <v>-288056.02291850542</v>
      </c>
      <c r="J224" s="2">
        <f t="shared" si="84"/>
        <v>-492352.50135079632</v>
      </c>
      <c r="K224" s="2">
        <f t="shared" si="84"/>
        <v>-730916.47615232901</v>
      </c>
      <c r="L224" s="2">
        <f t="shared" si="84"/>
        <v>-1003242.8831687041</v>
      </c>
      <c r="M224" s="2">
        <f t="shared" si="84"/>
        <v>-1309064.1089060111</v>
      </c>
      <c r="N224" s="2">
        <f t="shared" si="84"/>
        <v>-1648077.855525607</v>
      </c>
      <c r="O224" s="2">
        <f t="shared" si="84"/>
        <v>-2020180.3833165939</v>
      </c>
      <c r="P224" s="2">
        <f t="shared" si="84"/>
        <v>-2458641.0977114318</v>
      </c>
      <c r="Q224" s="2">
        <f t="shared" si="84"/>
        <v>-2972809.9360573785</v>
      </c>
      <c r="R224" s="2">
        <f t="shared" si="84"/>
        <v>-3533341.8378492072</v>
      </c>
      <c r="S224" s="2">
        <f t="shared" si="84"/>
        <v>-4145556.4648756175</v>
      </c>
      <c r="T224" s="2">
        <f t="shared" si="84"/>
        <v>-4813255.9817171767</v>
      </c>
      <c r="U224" s="2">
        <f t="shared" si="84"/>
        <v>-5504561.189751653</v>
      </c>
      <c r="V224" s="2">
        <f t="shared" si="84"/>
        <v>-6219872.5709791174</v>
      </c>
      <c r="W224" s="2">
        <f t="shared" si="84"/>
        <v>-6350489.8949696776</v>
      </c>
      <c r="X224" s="2">
        <f t="shared" si="84"/>
        <v>-6483850.1827640412</v>
      </c>
      <c r="Y224" s="2">
        <f t="shared" si="84"/>
        <v>-6620011.0366020864</v>
      </c>
      <c r="Z224" s="2">
        <f t="shared" si="84"/>
        <v>-6759031.2683707289</v>
      </c>
      <c r="AA224" s="2">
        <f t="shared" si="84"/>
        <v>-6900970.9250065135</v>
      </c>
    </row>
    <row r="225" spans="4:28" customFormat="1" x14ac:dyDescent="0.25">
      <c r="E225" t="s">
        <v>10</v>
      </c>
      <c r="F225" t="s">
        <v>7</v>
      </c>
      <c r="G225" s="2">
        <f t="shared" ref="G225:AA225" si="85">-G200</f>
        <v>0</v>
      </c>
      <c r="H225" s="2">
        <f t="shared" si="85"/>
        <v>-225504.81902</v>
      </c>
      <c r="I225" s="2">
        <f t="shared" si="85"/>
        <v>-514535.05483233999</v>
      </c>
      <c r="J225" s="2">
        <f t="shared" si="85"/>
        <v>-877093.0457767779</v>
      </c>
      <c r="K225" s="2">
        <f t="shared" si="85"/>
        <v>-1299116.6953373468</v>
      </c>
      <c r="L225" s="2">
        <f t="shared" si="85"/>
        <v>-1779901.6124570537</v>
      </c>
      <c r="M225" s="2">
        <f t="shared" si="85"/>
        <v>-2318791.7152582961</v>
      </c>
      <c r="N225" s="2">
        <f t="shared" si="85"/>
        <v>-2915344.739347267</v>
      </c>
      <c r="O225" s="2">
        <f t="shared" si="85"/>
        <v>-3569470.6321917968</v>
      </c>
      <c r="P225" s="2">
        <f t="shared" si="85"/>
        <v>-4339446.1847785134</v>
      </c>
      <c r="Q225" s="2">
        <f t="shared" si="85"/>
        <v>-5241742.9414221635</v>
      </c>
      <c r="R225" s="2">
        <f t="shared" si="85"/>
        <v>-6225337.8361501014</v>
      </c>
      <c r="S225" s="2">
        <f t="shared" si="85"/>
        <v>-7299721.2417829428</v>
      </c>
      <c r="T225" s="2">
        <f t="shared" si="85"/>
        <v>-8471329.4042916596</v>
      </c>
      <c r="U225" s="2">
        <f t="shared" si="85"/>
        <v>-9684282.4102842938</v>
      </c>
      <c r="V225" s="2">
        <f t="shared" si="85"/>
        <v>-10939397.034905106</v>
      </c>
      <c r="W225" s="2">
        <f t="shared" si="85"/>
        <v>-11169124.372638112</v>
      </c>
      <c r="X225" s="2">
        <f t="shared" si="85"/>
        <v>-11403675.984463513</v>
      </c>
      <c r="Y225" s="2">
        <f t="shared" si="85"/>
        <v>-11643153.180137243</v>
      </c>
      <c r="Z225" s="2">
        <f t="shared" si="85"/>
        <v>-11887659.396920126</v>
      </c>
      <c r="AA225" s="2">
        <f t="shared" si="85"/>
        <v>-12137300.244255446</v>
      </c>
    </row>
    <row r="226" spans="4:28" customFormat="1" x14ac:dyDescent="0.25">
      <c r="E226" t="s">
        <v>12</v>
      </c>
      <c r="F226" t="s">
        <v>7</v>
      </c>
      <c r="G226" s="2">
        <f t="shared" ref="G226:AA226" si="86">-G34-G50-G85</f>
        <v>-5395535.9313984811</v>
      </c>
      <c r="H226" s="2">
        <f t="shared" si="86"/>
        <v>-5915859.4774586549</v>
      </c>
      <c r="I226" s="2">
        <f t="shared" si="86"/>
        <v>-6405310.9496283876</v>
      </c>
      <c r="J226" s="2">
        <f t="shared" si="86"/>
        <v>-7133203.7745977826</v>
      </c>
      <c r="K226" s="2">
        <f t="shared" si="86"/>
        <v>-7841891.4239365235</v>
      </c>
      <c r="L226" s="2">
        <f t="shared" si="86"/>
        <v>-8406327.4006224778</v>
      </c>
      <c r="M226" s="2">
        <f t="shared" si="86"/>
        <v>-10190860.473986333</v>
      </c>
      <c r="N226" s="2">
        <f t="shared" si="86"/>
        <v>-11939537.574559784</v>
      </c>
      <c r="O226" s="2">
        <f t="shared" si="86"/>
        <v>-13362874.810713746</v>
      </c>
      <c r="P226" s="2">
        <f t="shared" si="86"/>
        <v>-15318320.017761748</v>
      </c>
      <c r="Q226" s="2">
        <f t="shared" si="86"/>
        <v>-16499425.990409628</v>
      </c>
      <c r="R226" s="2">
        <f t="shared" si="86"/>
        <v>-17535427.905909948</v>
      </c>
      <c r="S226" s="2">
        <f t="shared" si="86"/>
        <v>-18631541.995007291</v>
      </c>
      <c r="T226" s="2">
        <f t="shared" si="86"/>
        <v>-19791507.313692689</v>
      </c>
      <c r="U226" s="2">
        <f t="shared" si="86"/>
        <v>-20972440.07842252</v>
      </c>
      <c r="V226" s="2">
        <f t="shared" si="86"/>
        <v>-22174380.068410438</v>
      </c>
      <c r="W226" s="2">
        <f t="shared" si="86"/>
        <v>-22174380.068410438</v>
      </c>
      <c r="X226" s="2">
        <f t="shared" si="86"/>
        <v>-22174380.068410438</v>
      </c>
      <c r="Y226" s="2">
        <f t="shared" si="86"/>
        <v>-22174380.068410438</v>
      </c>
      <c r="Z226" s="2">
        <f t="shared" si="86"/>
        <v>-22174380.068410438</v>
      </c>
      <c r="AA226" s="2">
        <f t="shared" si="86"/>
        <v>-22174380.068410438</v>
      </c>
    </row>
    <row r="227" spans="4:28" customFormat="1" x14ac:dyDescent="0.25">
      <c r="E227" t="s">
        <v>48</v>
      </c>
      <c r="F227" t="s">
        <v>7</v>
      </c>
      <c r="G227" s="2">
        <f t="shared" ref="G227:AA227" si="87">G207</f>
        <v>0</v>
      </c>
      <c r="H227" s="2">
        <f t="shared" si="87"/>
        <v>0</v>
      </c>
      <c r="I227" s="2">
        <f t="shared" si="87"/>
        <v>0</v>
      </c>
      <c r="J227" s="2">
        <f t="shared" si="87"/>
        <v>0</v>
      </c>
      <c r="K227" s="2">
        <f t="shared" si="87"/>
        <v>0</v>
      </c>
      <c r="L227" s="2">
        <f t="shared" si="87"/>
        <v>0</v>
      </c>
      <c r="M227" s="2">
        <f t="shared" si="87"/>
        <v>0</v>
      </c>
      <c r="N227" s="2">
        <f t="shared" si="87"/>
        <v>0</v>
      </c>
      <c r="O227" s="2">
        <f t="shared" si="87"/>
        <v>0</v>
      </c>
      <c r="P227" s="2">
        <f t="shared" si="87"/>
        <v>0</v>
      </c>
      <c r="Q227" s="2">
        <f t="shared" si="87"/>
        <v>0</v>
      </c>
      <c r="R227" s="2">
        <f t="shared" si="87"/>
        <v>0</v>
      </c>
      <c r="S227" s="2">
        <f t="shared" si="87"/>
        <v>0</v>
      </c>
      <c r="T227" s="2">
        <f t="shared" si="87"/>
        <v>0</v>
      </c>
      <c r="U227" s="2">
        <f t="shared" si="87"/>
        <v>0</v>
      </c>
      <c r="V227" s="2">
        <f t="shared" si="87"/>
        <v>0</v>
      </c>
      <c r="W227" s="2">
        <f t="shared" si="87"/>
        <v>0</v>
      </c>
      <c r="X227" s="2">
        <f t="shared" si="87"/>
        <v>0</v>
      </c>
      <c r="Y227" s="2">
        <f t="shared" si="87"/>
        <v>0</v>
      </c>
      <c r="Z227" s="2">
        <f t="shared" si="87"/>
        <v>0</v>
      </c>
      <c r="AA227" s="2">
        <f t="shared" si="87"/>
        <v>0</v>
      </c>
    </row>
    <row r="228" spans="4:28" customFormat="1" x14ac:dyDescent="0.25">
      <c r="E228" t="s">
        <v>13</v>
      </c>
      <c r="F228" t="s">
        <v>7</v>
      </c>
      <c r="H228" s="2">
        <f t="shared" ref="H228:AA228" ca="1" si="88">H219</f>
        <v>24188067.602525655</v>
      </c>
      <c r="I228" s="2">
        <f t="shared" ca="1" si="88"/>
        <v>30710943.871041853</v>
      </c>
      <c r="J228" s="2">
        <f t="shared" ca="1" si="88"/>
        <v>38174979.452711076</v>
      </c>
      <c r="K228" s="2">
        <f t="shared" ca="1" si="88"/>
        <v>43971542.959299795</v>
      </c>
      <c r="L228" s="2">
        <f t="shared" ca="1" si="88"/>
        <v>49528322.485615402</v>
      </c>
      <c r="M228" s="2">
        <f t="shared" ca="1" si="88"/>
        <v>54899870.954819009</v>
      </c>
      <c r="N228" s="2">
        <f t="shared" ca="1" si="88"/>
        <v>60075566.726322375</v>
      </c>
      <c r="O228" s="2">
        <f t="shared" ca="1" si="88"/>
        <v>65094904.303251192</v>
      </c>
      <c r="P228" s="2">
        <f t="shared" ca="1" si="88"/>
        <v>76400008.129347146</v>
      </c>
      <c r="Q228" s="2">
        <f t="shared" ca="1" si="88"/>
        <v>89238630.97126849</v>
      </c>
      <c r="R228" s="2">
        <f t="shared" ca="1" si="88"/>
        <v>96100793.03978692</v>
      </c>
      <c r="S228" s="2">
        <f t="shared" ca="1" si="88"/>
        <v>103798544.72830524</v>
      </c>
      <c r="T228" s="2">
        <f t="shared" ca="1" si="88"/>
        <v>112024689.87231924</v>
      </c>
      <c r="U228" s="2">
        <f t="shared" ca="1" si="88"/>
        <v>113874959.30353284</v>
      </c>
      <c r="V228" s="2">
        <f t="shared" ca="1" si="88"/>
        <v>115704774.32558452</v>
      </c>
      <c r="W228" s="2">
        <f t="shared" ca="1" si="88"/>
        <v>0</v>
      </c>
      <c r="X228" s="2">
        <f t="shared" ca="1" si="88"/>
        <v>0</v>
      </c>
      <c r="Y228" s="2">
        <f t="shared" ca="1" si="88"/>
        <v>0</v>
      </c>
      <c r="Z228" s="2">
        <f t="shared" ca="1" si="88"/>
        <v>0</v>
      </c>
      <c r="AA228" s="2">
        <f t="shared" ca="1" si="88"/>
        <v>0</v>
      </c>
    </row>
    <row r="229" spans="4:28" customFormat="1" x14ac:dyDescent="0.25"/>
    <row r="230" spans="4:28" customFormat="1" x14ac:dyDescent="0.25">
      <c r="E230" t="s">
        <v>14</v>
      </c>
      <c r="F230" t="s">
        <v>7</v>
      </c>
      <c r="G230" s="2">
        <f t="shared" ref="G230:AA230" si="89">SUM(G222:G228)</f>
        <v>-5395535.9313984811</v>
      </c>
      <c r="H230" s="2">
        <f t="shared" ca="1" si="89"/>
        <v>33674170.424603343</v>
      </c>
      <c r="I230" s="2">
        <f t="shared" ca="1" si="89"/>
        <v>44485722.477099612</v>
      </c>
      <c r="J230" s="2">
        <f t="shared" ca="1" si="89"/>
        <v>56799894.201301768</v>
      </c>
      <c r="K230" s="2">
        <f t="shared" ca="1" si="89"/>
        <v>66608500.834233388</v>
      </c>
      <c r="L230" s="2">
        <f t="shared" ca="1" si="89"/>
        <v>76332078.284259051</v>
      </c>
      <c r="M230" s="2">
        <f t="shared" ca="1" si="89"/>
        <v>84690136.650034785</v>
      </c>
      <c r="N230" s="2">
        <f t="shared" ca="1" si="89"/>
        <v>92921303.894031554</v>
      </c>
      <c r="O230" s="2">
        <f t="shared" ca="1" si="89"/>
        <v>101379325.21596402</v>
      </c>
      <c r="P230" s="2">
        <f t="shared" ca="1" si="89"/>
        <v>119723455.85802633</v>
      </c>
      <c r="Q230" s="2">
        <f t="shared" ca="1" si="89"/>
        <v>141665500.1991989</v>
      </c>
      <c r="R230" s="2">
        <f t="shared" ca="1" si="89"/>
        <v>154366604.38474166</v>
      </c>
      <c r="S230" s="2">
        <f t="shared" ca="1" si="89"/>
        <v>168601731.23638463</v>
      </c>
      <c r="T230" s="2">
        <f t="shared" ca="1" si="89"/>
        <v>183888341.63833076</v>
      </c>
      <c r="U230" s="2">
        <f t="shared" ca="1" si="89"/>
        <v>189015704.52267843</v>
      </c>
      <c r="V230" s="2">
        <f t="shared" ca="1" si="89"/>
        <v>194205490.07884687</v>
      </c>
      <c r="W230" s="2">
        <f t="shared" ca="1" si="89"/>
        <v>8813325.8715417273</v>
      </c>
      <c r="X230" s="2">
        <f t="shared" ca="1" si="89"/>
        <v>9464067.6962807216</v>
      </c>
      <c r="Y230" s="2">
        <f t="shared" ca="1" si="89"/>
        <v>10128475.099339232</v>
      </c>
      <c r="Z230" s="2">
        <f t="shared" ca="1" si="89"/>
        <v>10806835.057861976</v>
      </c>
      <c r="AA230" s="2">
        <f t="shared" ca="1" si="89"/>
        <v>11499440.575513687</v>
      </c>
    </row>
    <row r="231" spans="4:28" customFormat="1" x14ac:dyDescent="0.25">
      <c r="E231" t="s">
        <v>15</v>
      </c>
      <c r="F231" t="s">
        <v>7</v>
      </c>
      <c r="G231" s="2">
        <f>-G230*G$18</f>
        <v>1618660.7794195444</v>
      </c>
      <c r="H231" s="2">
        <f t="shared" ref="H231:AA231" ca="1" si="90">-H230*H$18</f>
        <v>-10102251.127381003</v>
      </c>
      <c r="I231" s="2">
        <f t="shared" ca="1" si="90"/>
        <v>-13345716.743129883</v>
      </c>
      <c r="J231" s="2">
        <f t="shared" ca="1" si="90"/>
        <v>-17039968.260390531</v>
      </c>
      <c r="K231" s="2">
        <f t="shared" ca="1" si="90"/>
        <v>-19982550.250270016</v>
      </c>
      <c r="L231" s="2">
        <f t="shared" ca="1" si="90"/>
        <v>-22899623.485277716</v>
      </c>
      <c r="M231" s="2">
        <f t="shared" ca="1" si="90"/>
        <v>-25407040.995010436</v>
      </c>
      <c r="N231" s="2">
        <f t="shared" ca="1" si="90"/>
        <v>-27876391.168209467</v>
      </c>
      <c r="O231" s="2">
        <f t="shared" ca="1" si="90"/>
        <v>-30413797.564789206</v>
      </c>
      <c r="P231" s="2">
        <f t="shared" ca="1" si="90"/>
        <v>-35917036.757407896</v>
      </c>
      <c r="Q231" s="2">
        <f t="shared" ca="1" si="90"/>
        <v>-42499650.059759669</v>
      </c>
      <c r="R231" s="2">
        <f t="shared" ca="1" si="90"/>
        <v>-46309981.315422498</v>
      </c>
      <c r="S231" s="2">
        <f t="shared" ca="1" si="90"/>
        <v>-50580519.370915391</v>
      </c>
      <c r="T231" s="2">
        <f t="shared" ca="1" si="90"/>
        <v>-55166502.491499223</v>
      </c>
      <c r="U231" s="2">
        <f t="shared" ca="1" si="90"/>
        <v>-56704711.356803529</v>
      </c>
      <c r="V231" s="2">
        <f t="shared" ca="1" si="90"/>
        <v>-58261647.023654059</v>
      </c>
      <c r="W231" s="2">
        <f t="shared" ca="1" si="90"/>
        <v>-2643997.761462518</v>
      </c>
      <c r="X231" s="2">
        <f t="shared" ca="1" si="90"/>
        <v>-2839220.3088842165</v>
      </c>
      <c r="Y231" s="2">
        <f t="shared" ca="1" si="90"/>
        <v>-3038542.5298017696</v>
      </c>
      <c r="Z231" s="2">
        <f t="shared" ca="1" si="90"/>
        <v>-3242050.5173585927</v>
      </c>
      <c r="AA231" s="2">
        <f t="shared" ca="1" si="90"/>
        <v>-3449832.1726541058</v>
      </c>
    </row>
    <row r="232" spans="4:28" customFormat="1" x14ac:dyDescent="0.25"/>
    <row r="233" spans="4:28" customFormat="1" x14ac:dyDescent="0.25">
      <c r="D233" t="s">
        <v>28</v>
      </c>
    </row>
    <row r="234" spans="4:28" customFormat="1" x14ac:dyDescent="0.25">
      <c r="E234" t="s">
        <v>1</v>
      </c>
      <c r="F234" t="s">
        <v>7</v>
      </c>
      <c r="G234" s="2">
        <f t="shared" ref="G234:AA234" si="91">-G26</f>
        <v>-485598233.8258633</v>
      </c>
      <c r="H234" s="2">
        <f t="shared" si="91"/>
        <v>-32127740.145415597</v>
      </c>
      <c r="I234" s="2">
        <f t="shared" si="91"/>
        <v>-25384683.949275892</v>
      </c>
      <c r="J234" s="2">
        <f t="shared" si="91"/>
        <v>-42307804.524219491</v>
      </c>
      <c r="K234" s="2">
        <f t="shared" si="91"/>
        <v>-37056218.209932685</v>
      </c>
      <c r="L234" s="2">
        <f t="shared" si="91"/>
        <v>-20696186.593113609</v>
      </c>
      <c r="M234" s="2">
        <f t="shared" si="91"/>
        <v>-127240126.66860779</v>
      </c>
      <c r="N234" s="2">
        <f t="shared" si="91"/>
        <v>-120867328.72123285</v>
      </c>
      <c r="O234" s="2">
        <f t="shared" si="91"/>
        <v>-88536014.207316339</v>
      </c>
      <c r="P234" s="2">
        <f t="shared" si="91"/>
        <v>-129554549.53583172</v>
      </c>
      <c r="Q234" s="2">
        <f t="shared" si="91"/>
        <v>-52060771.676220611</v>
      </c>
      <c r="R234" s="2">
        <f t="shared" si="91"/>
        <v>-34830620.880010657</v>
      </c>
      <c r="S234" s="2">
        <f t="shared" si="91"/>
        <v>-35562063.918490864</v>
      </c>
      <c r="T234" s="2">
        <f t="shared" si="91"/>
        <v>-36308867.260779172</v>
      </c>
      <c r="U234" s="2">
        <f t="shared" si="91"/>
        <v>-37071353.473255537</v>
      </c>
      <c r="V234" s="2">
        <f t="shared" si="91"/>
        <v>-37849851.896193892</v>
      </c>
      <c r="W234" s="2">
        <f t="shared" si="91"/>
        <v>0</v>
      </c>
      <c r="X234" s="2">
        <f t="shared" si="91"/>
        <v>0</v>
      </c>
      <c r="Y234" s="2">
        <f t="shared" si="91"/>
        <v>0</v>
      </c>
      <c r="Z234" s="2">
        <f t="shared" si="91"/>
        <v>0</v>
      </c>
      <c r="AA234" s="2">
        <f t="shared" si="91"/>
        <v>0</v>
      </c>
    </row>
    <row r="235" spans="4:28" customFormat="1" x14ac:dyDescent="0.25">
      <c r="E235" t="s">
        <v>19</v>
      </c>
      <c r="F235" t="s">
        <v>7</v>
      </c>
      <c r="G235" s="2">
        <f t="shared" ref="G235:AA235" si="92">G84</f>
        <v>0</v>
      </c>
      <c r="H235" s="2">
        <f t="shared" si="92"/>
        <v>0</v>
      </c>
      <c r="I235" s="2">
        <f t="shared" si="92"/>
        <v>0</v>
      </c>
      <c r="J235" s="2">
        <f t="shared" si="92"/>
        <v>0</v>
      </c>
      <c r="K235" s="2">
        <f t="shared" si="92"/>
        <v>0</v>
      </c>
      <c r="L235" s="2">
        <f t="shared" si="92"/>
        <v>0</v>
      </c>
      <c r="M235" s="2">
        <f t="shared" si="92"/>
        <v>0</v>
      </c>
      <c r="N235" s="2">
        <f t="shared" si="92"/>
        <v>0</v>
      </c>
      <c r="O235" s="2">
        <f t="shared" si="92"/>
        <v>0</v>
      </c>
      <c r="P235" s="2">
        <f t="shared" si="92"/>
        <v>0</v>
      </c>
      <c r="Q235" s="2">
        <f t="shared" si="92"/>
        <v>0</v>
      </c>
      <c r="R235" s="2">
        <f t="shared" si="92"/>
        <v>0</v>
      </c>
      <c r="S235" s="2">
        <f t="shared" si="92"/>
        <v>0</v>
      </c>
      <c r="T235" s="2">
        <f t="shared" si="92"/>
        <v>0</v>
      </c>
      <c r="U235" s="2">
        <f t="shared" si="92"/>
        <v>0</v>
      </c>
      <c r="V235" s="2">
        <f t="shared" si="92"/>
        <v>0</v>
      </c>
      <c r="W235" s="2">
        <f t="shared" si="92"/>
        <v>0</v>
      </c>
      <c r="X235" s="2">
        <f t="shared" si="92"/>
        <v>0</v>
      </c>
      <c r="Y235" s="2">
        <f t="shared" si="92"/>
        <v>0</v>
      </c>
      <c r="Z235" s="2">
        <f t="shared" si="92"/>
        <v>0</v>
      </c>
      <c r="AA235" s="2">
        <f t="shared" si="92"/>
        <v>0</v>
      </c>
    </row>
    <row r="236" spans="4:28" customFormat="1" x14ac:dyDescent="0.25">
      <c r="E236" t="s">
        <v>109</v>
      </c>
      <c r="F236" t="s">
        <v>7</v>
      </c>
      <c r="G236" s="2">
        <f t="shared" ref="G236:AA236" si="93">G53</f>
        <v>0</v>
      </c>
      <c r="H236" s="2">
        <f t="shared" si="93"/>
        <v>0</v>
      </c>
      <c r="I236" s="2">
        <f t="shared" si="93"/>
        <v>0</v>
      </c>
      <c r="J236" s="2">
        <f t="shared" si="93"/>
        <v>0</v>
      </c>
      <c r="K236" s="2">
        <f t="shared" si="93"/>
        <v>0</v>
      </c>
      <c r="L236" s="2">
        <f t="shared" si="93"/>
        <v>0</v>
      </c>
      <c r="M236" s="2">
        <f t="shared" si="93"/>
        <v>0</v>
      </c>
      <c r="N236" s="2">
        <f t="shared" si="93"/>
        <v>0</v>
      </c>
      <c r="O236" s="2">
        <f t="shared" si="93"/>
        <v>0</v>
      </c>
      <c r="P236" s="2">
        <f t="shared" si="93"/>
        <v>0</v>
      </c>
      <c r="Q236" s="2">
        <f t="shared" si="93"/>
        <v>0</v>
      </c>
      <c r="R236" s="2">
        <f t="shared" si="93"/>
        <v>0</v>
      </c>
      <c r="S236" s="2">
        <f t="shared" si="93"/>
        <v>0</v>
      </c>
      <c r="T236" s="2">
        <f t="shared" si="93"/>
        <v>0</v>
      </c>
      <c r="U236" s="2">
        <f t="shared" si="93"/>
        <v>0</v>
      </c>
      <c r="V236" s="2">
        <f t="shared" si="93"/>
        <v>0</v>
      </c>
      <c r="W236" s="2">
        <f t="shared" si="93"/>
        <v>0</v>
      </c>
      <c r="X236" s="2">
        <f t="shared" si="93"/>
        <v>0</v>
      </c>
      <c r="Y236" s="2">
        <f t="shared" si="93"/>
        <v>0</v>
      </c>
      <c r="Z236" s="2">
        <f t="shared" si="93"/>
        <v>0</v>
      </c>
      <c r="AA236" s="2">
        <f t="shared" si="93"/>
        <v>0</v>
      </c>
    </row>
    <row r="237" spans="4:28" customFormat="1" x14ac:dyDescent="0.25">
      <c r="E237" t="s">
        <v>11</v>
      </c>
      <c r="F237" t="s">
        <v>7</v>
      </c>
      <c r="G237" s="2">
        <f t="shared" ref="G237:AA237" si="94">G177</f>
        <v>0</v>
      </c>
      <c r="H237" s="2">
        <f t="shared" si="94"/>
        <v>1051910.6031166408</v>
      </c>
      <c r="I237" s="2">
        <f t="shared" si="94"/>
        <v>2316732.0874369917</v>
      </c>
      <c r="J237" s="2">
        <f t="shared" si="94"/>
        <v>3925014.3472899627</v>
      </c>
      <c r="K237" s="2">
        <f t="shared" si="94"/>
        <v>5783212.2398057943</v>
      </c>
      <c r="L237" s="2">
        <f t="shared" si="94"/>
        <v>7890176.3862696234</v>
      </c>
      <c r="M237" s="2">
        <f t="shared" si="94"/>
        <v>10241132.059227407</v>
      </c>
      <c r="N237" s="2">
        <f t="shared" si="94"/>
        <v>12835087.006764164</v>
      </c>
      <c r="O237" s="2">
        <f t="shared" si="94"/>
        <v>15672609.692394681</v>
      </c>
      <c r="P237" s="2">
        <f t="shared" si="94"/>
        <v>19004335.9304423</v>
      </c>
      <c r="Q237" s="2">
        <f t="shared" si="94"/>
        <v>22902082.233731136</v>
      </c>
      <c r="R237" s="2">
        <f t="shared" si="94"/>
        <v>27150367.409845628</v>
      </c>
      <c r="S237" s="2">
        <f t="shared" si="94"/>
        <v>31791802.10947527</v>
      </c>
      <c r="T237" s="2">
        <f t="shared" si="94"/>
        <v>36851733.04480654</v>
      </c>
      <c r="U237" s="2">
        <f t="shared" si="94"/>
        <v>42089433.545174807</v>
      </c>
      <c r="V237" s="2">
        <f t="shared" si="94"/>
        <v>47509618.224838361</v>
      </c>
      <c r="W237" s="2">
        <f t="shared" si="94"/>
        <v>48507320.207559958</v>
      </c>
      <c r="X237" s="2">
        <f t="shared" si="94"/>
        <v>49525973.93191871</v>
      </c>
      <c r="Y237" s="2">
        <f t="shared" si="94"/>
        <v>50566019.384489</v>
      </c>
      <c r="Z237" s="2">
        <f t="shared" si="94"/>
        <v>51627905.791563265</v>
      </c>
      <c r="AA237" s="2">
        <f t="shared" si="94"/>
        <v>52712091.813186087</v>
      </c>
      <c r="AB237" s="2">
        <f t="shared" ref="AB237:AB241" si="95">IF(V237=0,0,IF($G$15&gt;(AA237/V237)^(1/5)-1+2%,AA237*(AA237/V237)^(1/5)/($G$15-((AA237/V237)^(1/5)-1)),AA237*(1+$G$14)/$G$16))</f>
        <v>1757069727.1062064</v>
      </c>
    </row>
    <row r="238" spans="4:28" customFormat="1" x14ac:dyDescent="0.25">
      <c r="E238" t="s">
        <v>57</v>
      </c>
      <c r="F238" t="s">
        <v>7</v>
      </c>
      <c r="G238" s="2">
        <f t="shared" ref="G238:AA238" si="96">G224</f>
        <v>0</v>
      </c>
      <c r="H238" s="2">
        <f t="shared" si="96"/>
        <v>-125822.48456029275</v>
      </c>
      <c r="I238" s="2">
        <f t="shared" si="96"/>
        <v>-288056.02291850542</v>
      </c>
      <c r="J238" s="2">
        <f t="shared" si="96"/>
        <v>-492352.50135079632</v>
      </c>
      <c r="K238" s="2">
        <f t="shared" si="96"/>
        <v>-730916.47615232901</v>
      </c>
      <c r="L238" s="2">
        <f t="shared" si="96"/>
        <v>-1003242.8831687041</v>
      </c>
      <c r="M238" s="2">
        <f t="shared" si="96"/>
        <v>-1309064.1089060111</v>
      </c>
      <c r="N238" s="2">
        <f t="shared" si="96"/>
        <v>-1648077.855525607</v>
      </c>
      <c r="O238" s="2">
        <f t="shared" si="96"/>
        <v>-2020180.3833165939</v>
      </c>
      <c r="P238" s="2">
        <f t="shared" si="96"/>
        <v>-2458641.0977114318</v>
      </c>
      <c r="Q238" s="2">
        <f t="shared" si="96"/>
        <v>-2972809.9360573785</v>
      </c>
      <c r="R238" s="2">
        <f t="shared" si="96"/>
        <v>-3533341.8378492072</v>
      </c>
      <c r="S238" s="2">
        <f t="shared" si="96"/>
        <v>-4145556.4648756175</v>
      </c>
      <c r="T238" s="2">
        <f t="shared" si="96"/>
        <v>-4813255.9817171767</v>
      </c>
      <c r="U238" s="2">
        <f t="shared" si="96"/>
        <v>-5504561.189751653</v>
      </c>
      <c r="V238" s="2">
        <f t="shared" si="96"/>
        <v>-6219872.5709791174</v>
      </c>
      <c r="W238" s="2">
        <f t="shared" si="96"/>
        <v>-6350489.8949696776</v>
      </c>
      <c r="X238" s="2">
        <f t="shared" si="96"/>
        <v>-6483850.1827640412</v>
      </c>
      <c r="Y238" s="2">
        <f t="shared" si="96"/>
        <v>-6620011.0366020864</v>
      </c>
      <c r="Z238" s="2">
        <f t="shared" si="96"/>
        <v>-6759031.2683707289</v>
      </c>
      <c r="AA238" s="2">
        <f t="shared" si="96"/>
        <v>-6900970.9250065135</v>
      </c>
      <c r="AB238" s="2">
        <f t="shared" si="95"/>
        <v>-230032364.16688424</v>
      </c>
    </row>
    <row r="239" spans="4:28" customFormat="1" x14ac:dyDescent="0.25">
      <c r="E239" t="s">
        <v>10</v>
      </c>
      <c r="F239" t="s">
        <v>7</v>
      </c>
      <c r="G239" s="2">
        <f t="shared" ref="G239:AA239" si="97">-G200</f>
        <v>0</v>
      </c>
      <c r="H239" s="2">
        <f t="shared" si="97"/>
        <v>-225504.81902</v>
      </c>
      <c r="I239" s="2">
        <f t="shared" si="97"/>
        <v>-514535.05483233999</v>
      </c>
      <c r="J239" s="2">
        <f t="shared" si="97"/>
        <v>-877093.0457767779</v>
      </c>
      <c r="K239" s="2">
        <f t="shared" si="97"/>
        <v>-1299116.6953373468</v>
      </c>
      <c r="L239" s="2">
        <f t="shared" si="97"/>
        <v>-1779901.6124570537</v>
      </c>
      <c r="M239" s="2">
        <f t="shared" si="97"/>
        <v>-2318791.7152582961</v>
      </c>
      <c r="N239" s="2">
        <f t="shared" si="97"/>
        <v>-2915344.739347267</v>
      </c>
      <c r="O239" s="2">
        <f t="shared" si="97"/>
        <v>-3569470.6321917968</v>
      </c>
      <c r="P239" s="2">
        <f t="shared" si="97"/>
        <v>-4339446.1847785134</v>
      </c>
      <c r="Q239" s="2">
        <f t="shared" si="97"/>
        <v>-5241742.9414221635</v>
      </c>
      <c r="R239" s="2">
        <f t="shared" si="97"/>
        <v>-6225337.8361501014</v>
      </c>
      <c r="S239" s="2">
        <f t="shared" si="97"/>
        <v>-7299721.2417829428</v>
      </c>
      <c r="T239" s="2">
        <f t="shared" si="97"/>
        <v>-8471329.4042916596</v>
      </c>
      <c r="U239" s="2">
        <f t="shared" si="97"/>
        <v>-9684282.4102842938</v>
      </c>
      <c r="V239" s="2">
        <f t="shared" si="97"/>
        <v>-10939397.034905106</v>
      </c>
      <c r="W239" s="2">
        <f t="shared" si="97"/>
        <v>-11169124.372638112</v>
      </c>
      <c r="X239" s="2">
        <f t="shared" si="97"/>
        <v>-11403675.984463513</v>
      </c>
      <c r="Y239" s="2">
        <f t="shared" si="97"/>
        <v>-11643153.180137243</v>
      </c>
      <c r="Z239" s="2">
        <f t="shared" si="97"/>
        <v>-11887659.396920126</v>
      </c>
      <c r="AA239" s="2">
        <f t="shared" si="97"/>
        <v>-12137300.244255446</v>
      </c>
      <c r="AB239" s="2">
        <f t="shared" si="95"/>
        <v>-404576674.80851573</v>
      </c>
    </row>
    <row r="240" spans="4:28" customFormat="1" x14ac:dyDescent="0.25">
      <c r="E240" t="s">
        <v>48</v>
      </c>
      <c r="F240" t="s">
        <v>7</v>
      </c>
      <c r="G240" s="2">
        <f t="shared" ref="G240:AA240" si="98">G207</f>
        <v>0</v>
      </c>
      <c r="H240" s="2">
        <f t="shared" si="98"/>
        <v>0</v>
      </c>
      <c r="I240" s="2">
        <f t="shared" si="98"/>
        <v>0</v>
      </c>
      <c r="J240" s="2">
        <f t="shared" si="98"/>
        <v>0</v>
      </c>
      <c r="K240" s="2">
        <f t="shared" si="98"/>
        <v>0</v>
      </c>
      <c r="L240" s="2">
        <f t="shared" si="98"/>
        <v>0</v>
      </c>
      <c r="M240" s="2">
        <f t="shared" si="98"/>
        <v>0</v>
      </c>
      <c r="N240" s="2">
        <f t="shared" si="98"/>
        <v>0</v>
      </c>
      <c r="O240" s="2">
        <f t="shared" si="98"/>
        <v>0</v>
      </c>
      <c r="P240" s="2">
        <f t="shared" si="98"/>
        <v>0</v>
      </c>
      <c r="Q240" s="2">
        <f t="shared" si="98"/>
        <v>0</v>
      </c>
      <c r="R240" s="2">
        <f t="shared" si="98"/>
        <v>0</v>
      </c>
      <c r="S240" s="2">
        <f t="shared" si="98"/>
        <v>0</v>
      </c>
      <c r="T240" s="2">
        <f t="shared" si="98"/>
        <v>0</v>
      </c>
      <c r="U240" s="2">
        <f t="shared" si="98"/>
        <v>0</v>
      </c>
      <c r="V240" s="2">
        <f t="shared" si="98"/>
        <v>0</v>
      </c>
      <c r="W240" s="2">
        <f t="shared" si="98"/>
        <v>0</v>
      </c>
      <c r="X240" s="2">
        <f t="shared" si="98"/>
        <v>0</v>
      </c>
      <c r="Y240" s="2">
        <f t="shared" si="98"/>
        <v>0</v>
      </c>
      <c r="Z240" s="2">
        <f t="shared" si="98"/>
        <v>0</v>
      </c>
      <c r="AA240" s="2">
        <f t="shared" si="98"/>
        <v>0</v>
      </c>
      <c r="AB240" s="2">
        <f t="shared" si="95"/>
        <v>0</v>
      </c>
    </row>
    <row r="241" spans="3:28" customFormat="1" x14ac:dyDescent="0.25">
      <c r="E241" t="s">
        <v>49</v>
      </c>
      <c r="F241" t="s">
        <v>7</v>
      </c>
      <c r="G241" s="2">
        <f t="shared" ref="G241:AA241" si="99">G214</f>
        <v>0</v>
      </c>
      <c r="H241" s="2">
        <f t="shared" si="99"/>
        <v>0</v>
      </c>
      <c r="I241" s="2">
        <f t="shared" si="99"/>
        <v>0</v>
      </c>
      <c r="J241" s="2">
        <f t="shared" si="99"/>
        <v>0</v>
      </c>
      <c r="K241" s="2">
        <f t="shared" si="99"/>
        <v>0</v>
      </c>
      <c r="L241" s="2">
        <f t="shared" si="99"/>
        <v>0</v>
      </c>
      <c r="M241" s="2">
        <f t="shared" si="99"/>
        <v>0</v>
      </c>
      <c r="N241" s="2">
        <f t="shared" si="99"/>
        <v>0</v>
      </c>
      <c r="O241" s="2">
        <f t="shared" si="99"/>
        <v>0</v>
      </c>
      <c r="P241" s="2">
        <f t="shared" si="99"/>
        <v>0</v>
      </c>
      <c r="Q241" s="2">
        <f t="shared" si="99"/>
        <v>0</v>
      </c>
      <c r="R241" s="2">
        <f t="shared" si="99"/>
        <v>0</v>
      </c>
      <c r="S241" s="2">
        <f t="shared" si="99"/>
        <v>0</v>
      </c>
      <c r="T241" s="2">
        <f t="shared" si="99"/>
        <v>0</v>
      </c>
      <c r="U241" s="2">
        <f t="shared" si="99"/>
        <v>0</v>
      </c>
      <c r="V241" s="2">
        <f t="shared" si="99"/>
        <v>0</v>
      </c>
      <c r="W241" s="2">
        <f t="shared" si="99"/>
        <v>0</v>
      </c>
      <c r="X241" s="2">
        <f t="shared" si="99"/>
        <v>0</v>
      </c>
      <c r="Y241" s="2">
        <f t="shared" si="99"/>
        <v>0</v>
      </c>
      <c r="Z241" s="2">
        <f t="shared" si="99"/>
        <v>0</v>
      </c>
      <c r="AA241" s="2">
        <f t="shared" si="99"/>
        <v>0</v>
      </c>
      <c r="AB241" s="2">
        <f t="shared" si="95"/>
        <v>0</v>
      </c>
    </row>
    <row r="242" spans="3:28" customFormat="1" x14ac:dyDescent="0.25">
      <c r="E242" t="s">
        <v>20</v>
      </c>
      <c r="F242" t="s">
        <v>7</v>
      </c>
      <c r="G242" s="2">
        <f t="shared" ref="G242:AA242" si="100">G231</f>
        <v>1618660.7794195444</v>
      </c>
      <c r="H242" s="2">
        <f t="shared" ca="1" si="100"/>
        <v>-10102251.127381003</v>
      </c>
      <c r="I242" s="2">
        <f t="shared" ca="1" si="100"/>
        <v>-13345716.743129883</v>
      </c>
      <c r="J242" s="2">
        <f t="shared" ca="1" si="100"/>
        <v>-17039968.260390531</v>
      </c>
      <c r="K242" s="2">
        <f t="shared" ca="1" si="100"/>
        <v>-19982550.250270016</v>
      </c>
      <c r="L242" s="2">
        <f t="shared" ca="1" si="100"/>
        <v>-22899623.485277716</v>
      </c>
      <c r="M242" s="2">
        <f t="shared" ca="1" si="100"/>
        <v>-25407040.995010436</v>
      </c>
      <c r="N242" s="2">
        <f t="shared" ca="1" si="100"/>
        <v>-27876391.168209467</v>
      </c>
      <c r="O242" s="2">
        <f t="shared" ca="1" si="100"/>
        <v>-30413797.564789206</v>
      </c>
      <c r="P242" s="2">
        <f t="shared" ca="1" si="100"/>
        <v>-35917036.757407896</v>
      </c>
      <c r="Q242" s="2">
        <f t="shared" ca="1" si="100"/>
        <v>-42499650.059759669</v>
      </c>
      <c r="R242" s="2">
        <f t="shared" ca="1" si="100"/>
        <v>-46309981.315422498</v>
      </c>
      <c r="S242" s="2">
        <f t="shared" ca="1" si="100"/>
        <v>-50580519.370915391</v>
      </c>
      <c r="T242" s="2">
        <f t="shared" ca="1" si="100"/>
        <v>-55166502.491499223</v>
      </c>
      <c r="U242" s="2">
        <f t="shared" ca="1" si="100"/>
        <v>-56704711.356803529</v>
      </c>
      <c r="V242" s="2">
        <f t="shared" ca="1" si="100"/>
        <v>-58261647.023654059</v>
      </c>
      <c r="W242" s="2">
        <f t="shared" ca="1" si="100"/>
        <v>-2643997.761462518</v>
      </c>
      <c r="X242" s="2">
        <f t="shared" ca="1" si="100"/>
        <v>-2839220.3088842165</v>
      </c>
      <c r="Y242" s="2">
        <f t="shared" ca="1" si="100"/>
        <v>-3038542.5298017696</v>
      </c>
      <c r="Z242" s="2">
        <f t="shared" ca="1" si="100"/>
        <v>-3242050.5173585927</v>
      </c>
      <c r="AA242" s="2">
        <f t="shared" ca="1" si="100"/>
        <v>-3449832.1726541058</v>
      </c>
      <c r="AB242" s="2">
        <f ca="1">IF(V242=0,0,IF($G$15&gt;(AA242/V242)^(1/5)-1+2%,AA242*(AA242/V242)^(1/5)/($G$15-((AA242/V242)^(1/5)-1)),AA242*(1+$G$14)/$G$16))</f>
        <v>-4054394.8061967748</v>
      </c>
    </row>
    <row r="243" spans="3:28" customFormat="1" x14ac:dyDescent="0.25">
      <c r="E243" t="s">
        <v>173</v>
      </c>
      <c r="F243" t="s">
        <v>7</v>
      </c>
      <c r="G243" s="2">
        <f>-$G$17*G242</f>
        <v>-809330.38970977219</v>
      </c>
      <c r="H243" s="2">
        <f t="shared" ref="H243:AA243" ca="1" si="101">-$G$17*H242</f>
        <v>5051125.5636905013</v>
      </c>
      <c r="I243" s="2">
        <f t="shared" ca="1" si="101"/>
        <v>6672858.3715649415</v>
      </c>
      <c r="J243" s="2">
        <f t="shared" ca="1" si="101"/>
        <v>8519984.1301952656</v>
      </c>
      <c r="K243" s="2">
        <f t="shared" ca="1" si="101"/>
        <v>9991275.1251350082</v>
      </c>
      <c r="L243" s="2">
        <f t="shared" ca="1" si="101"/>
        <v>11449811.742638858</v>
      </c>
      <c r="M243" s="2">
        <f t="shared" ca="1" si="101"/>
        <v>12703520.497505218</v>
      </c>
      <c r="N243" s="2">
        <f t="shared" ca="1" si="101"/>
        <v>13938195.584104734</v>
      </c>
      <c r="O243" s="2">
        <f t="shared" ca="1" si="101"/>
        <v>15206898.782394603</v>
      </c>
      <c r="P243" s="2">
        <f t="shared" ca="1" si="101"/>
        <v>17958518.378703948</v>
      </c>
      <c r="Q243" s="2">
        <f t="shared" ca="1" si="101"/>
        <v>21249825.029879835</v>
      </c>
      <c r="R243" s="2">
        <f t="shared" ca="1" si="101"/>
        <v>23154990.657711249</v>
      </c>
      <c r="S243" s="2">
        <f t="shared" ca="1" si="101"/>
        <v>25290259.685457695</v>
      </c>
      <c r="T243" s="2">
        <f t="shared" ca="1" si="101"/>
        <v>27583251.245749611</v>
      </c>
      <c r="U243" s="2">
        <f t="shared" ca="1" si="101"/>
        <v>28352355.678401764</v>
      </c>
      <c r="V243" s="2">
        <f t="shared" ca="1" si="101"/>
        <v>29130823.511827029</v>
      </c>
      <c r="W243" s="2">
        <f t="shared" ca="1" si="101"/>
        <v>1321998.880731259</v>
      </c>
      <c r="X243" s="2">
        <f t="shared" ca="1" si="101"/>
        <v>1419610.1544421082</v>
      </c>
      <c r="Y243" s="2">
        <f t="shared" ca="1" si="101"/>
        <v>1519271.2649008848</v>
      </c>
      <c r="Z243" s="2">
        <f t="shared" ca="1" si="101"/>
        <v>1621025.2586792964</v>
      </c>
      <c r="AA243" s="2">
        <f t="shared" ca="1" si="101"/>
        <v>1724916.0863270529</v>
      </c>
      <c r="AB243" s="2">
        <f t="shared" ref="AB243" ca="1" si="102">IF(V243=0,0,IF($G$15&gt;(AA243/V243)^(1/5)-1+2%,AA243*(AA243/V243)^(1/5)/($G$15-((AA243/V243)^(1/5)-1)),AA243*(1+$G$14)/$G$16))</f>
        <v>2027197.4030983874</v>
      </c>
    </row>
    <row r="244" spans="3:28" customFormat="1" x14ac:dyDescent="0.25">
      <c r="E244" t="s">
        <v>23</v>
      </c>
      <c r="F244" t="s">
        <v>7</v>
      </c>
      <c r="G244" s="2">
        <f>SUM(G234:G243)</f>
        <v>-484788903.43615353</v>
      </c>
      <c r="H244" s="2">
        <f t="shared" ref="H244:AB244" ca="1" si="103">SUM(H234:H243)</f>
        <v>-36478282.409569755</v>
      </c>
      <c r="I244" s="2">
        <f t="shared" ca="1" si="103"/>
        <v>-30543401.311154686</v>
      </c>
      <c r="J244" s="2">
        <f t="shared" ca="1" si="103"/>
        <v>-48272219.854252361</v>
      </c>
      <c r="K244" s="2">
        <f t="shared" ca="1" si="103"/>
        <v>-43294314.266751572</v>
      </c>
      <c r="L244" s="2">
        <f t="shared" ca="1" si="103"/>
        <v>-27038966.445108607</v>
      </c>
      <c r="M244" s="2">
        <f t="shared" ca="1" si="103"/>
        <v>-133330370.93104991</v>
      </c>
      <c r="N244" s="2">
        <f t="shared" ca="1" si="103"/>
        <v>-126533859.89344631</v>
      </c>
      <c r="O244" s="2">
        <f t="shared" ca="1" si="103"/>
        <v>-93659954.312824652</v>
      </c>
      <c r="P244" s="2">
        <f t="shared" ca="1" si="103"/>
        <v>-135306819.26658329</v>
      </c>
      <c r="Q244" s="2">
        <f t="shared" ca="1" si="103"/>
        <v>-58623067.349848837</v>
      </c>
      <c r="R244" s="2">
        <f t="shared" ca="1" si="103"/>
        <v>-40593923.801875591</v>
      </c>
      <c r="S244" s="2">
        <f t="shared" ca="1" si="103"/>
        <v>-40505799.20113185</v>
      </c>
      <c r="T244" s="2">
        <f t="shared" ca="1" si="103"/>
        <v>-40324970.847731084</v>
      </c>
      <c r="U244" s="2">
        <f t="shared" ca="1" si="103"/>
        <v>-38523119.206518441</v>
      </c>
      <c r="V244" s="2">
        <f t="shared" ca="1" si="103"/>
        <v>-36630326.789066784</v>
      </c>
      <c r="W244" s="2">
        <f t="shared" ca="1" si="103"/>
        <v>29665707.059220906</v>
      </c>
      <c r="X244" s="2">
        <f t="shared" ca="1" si="103"/>
        <v>30218837.61024905</v>
      </c>
      <c r="Y244" s="2">
        <f t="shared" ca="1" si="103"/>
        <v>30783583.902848784</v>
      </c>
      <c r="Z244" s="2">
        <f t="shared" ca="1" si="103"/>
        <v>31360189.867593117</v>
      </c>
      <c r="AA244" s="2">
        <f t="shared" ca="1" si="103"/>
        <v>31948904.557597071</v>
      </c>
      <c r="AB244" s="2">
        <f t="shared" ca="1" si="103"/>
        <v>1120433490.7277081</v>
      </c>
    </row>
    <row r="245" spans="3:28" customFormat="1" x14ac:dyDescent="0.25">
      <c r="E245" t="s">
        <v>31</v>
      </c>
      <c r="F245" t="s">
        <v>7</v>
      </c>
      <c r="G245" s="2">
        <f ca="1">NPV($G$15,H244:AB244)+G244</f>
        <v>-667744564.72588754</v>
      </c>
    </row>
    <row r="247" spans="3:28" customFormat="1" x14ac:dyDescent="0.25">
      <c r="E247" t="s">
        <v>13</v>
      </c>
      <c r="F247" t="s">
        <v>7</v>
      </c>
      <c r="H247" s="2">
        <f t="shared" ref="H247:AA247" ca="1" si="104">H219</f>
        <v>24188067.602525655</v>
      </c>
      <c r="I247" s="2">
        <f t="shared" ca="1" si="104"/>
        <v>30710943.871041853</v>
      </c>
      <c r="J247" s="2">
        <f t="shared" ca="1" si="104"/>
        <v>38174979.452711076</v>
      </c>
      <c r="K247" s="2">
        <f t="shared" ca="1" si="104"/>
        <v>43971542.959299795</v>
      </c>
      <c r="L247" s="2">
        <f t="shared" ca="1" si="104"/>
        <v>49528322.485615402</v>
      </c>
      <c r="M247" s="2">
        <f t="shared" ca="1" si="104"/>
        <v>54899870.954819009</v>
      </c>
      <c r="N247" s="2">
        <f t="shared" ca="1" si="104"/>
        <v>60075566.726322375</v>
      </c>
      <c r="O247" s="2">
        <f t="shared" ca="1" si="104"/>
        <v>65094904.303251192</v>
      </c>
      <c r="P247" s="2">
        <f t="shared" ca="1" si="104"/>
        <v>76400008.129347146</v>
      </c>
      <c r="Q247" s="2">
        <f t="shared" ca="1" si="104"/>
        <v>89238630.97126849</v>
      </c>
      <c r="R247" s="2">
        <f t="shared" ca="1" si="104"/>
        <v>96100793.03978692</v>
      </c>
      <c r="S247" s="2">
        <f t="shared" ca="1" si="104"/>
        <v>103798544.72830524</v>
      </c>
      <c r="T247" s="2">
        <f t="shared" ca="1" si="104"/>
        <v>112024689.87231924</v>
      </c>
      <c r="U247" s="2">
        <f t="shared" ca="1" si="104"/>
        <v>113874959.30353284</v>
      </c>
      <c r="V247" s="2">
        <f t="shared" ca="1" si="104"/>
        <v>115704774.32558452</v>
      </c>
      <c r="W247" s="2">
        <f t="shared" ca="1" si="104"/>
        <v>0</v>
      </c>
      <c r="X247" s="2">
        <f t="shared" ca="1" si="104"/>
        <v>0</v>
      </c>
      <c r="Y247" s="2">
        <f t="shared" ca="1" si="104"/>
        <v>0</v>
      </c>
      <c r="Z247" s="2">
        <f t="shared" ca="1" si="104"/>
        <v>0</v>
      </c>
      <c r="AA247" s="2">
        <f t="shared" ca="1" si="104"/>
        <v>0</v>
      </c>
    </row>
    <row r="248" spans="3:28" customFormat="1" x14ac:dyDescent="0.25">
      <c r="E248" t="s">
        <v>24</v>
      </c>
      <c r="F248" t="s">
        <v>7</v>
      </c>
      <c r="G248" s="2">
        <f ca="1">NPV($G$15,H247:AA247)+G247</f>
        <v>667744564.72588801</v>
      </c>
    </row>
    <row r="249" spans="3:28" customFormat="1" x14ac:dyDescent="0.25">
      <c r="E249" s="3" t="s">
        <v>34</v>
      </c>
      <c r="F249" s="3"/>
      <c r="G249" s="4" t="str">
        <f ca="1">IF(G245&gt;0,"N/A",IF(ABS(G245+G248)&gt;1,"Error","OK"))</f>
        <v>OK</v>
      </c>
    </row>
    <row r="251" spans="3:28" customFormat="1" x14ac:dyDescent="0.25">
      <c r="C251" s="1" t="s">
        <v>35</v>
      </c>
      <c r="D251" s="1"/>
    </row>
    <row r="252" spans="3:28" customFormat="1" x14ac:dyDescent="0.25">
      <c r="C252" s="1"/>
      <c r="D252" s="1"/>
      <c r="G252" s="44"/>
    </row>
    <row r="253" spans="3:28" customFormat="1" x14ac:dyDescent="0.25">
      <c r="C253" s="1"/>
      <c r="D253" t="s">
        <v>35</v>
      </c>
      <c r="F253" t="s">
        <v>7</v>
      </c>
      <c r="G253" s="8">
        <f ca="1">MAX(0,-G279)</f>
        <v>668211547.87942433</v>
      </c>
    </row>
    <row r="255" spans="3:28" customFormat="1" x14ac:dyDescent="0.25">
      <c r="D255" t="s">
        <v>9</v>
      </c>
    </row>
    <row r="256" spans="3:28" customFormat="1" x14ac:dyDescent="0.25">
      <c r="E256" t="s">
        <v>107</v>
      </c>
      <c r="F256" t="s">
        <v>7</v>
      </c>
      <c r="G256" s="2">
        <f t="shared" ref="G256:AA261" si="105">G222</f>
        <v>0</v>
      </c>
      <c r="H256" s="2">
        <f t="shared" si="105"/>
        <v>14701378.999999998</v>
      </c>
      <c r="I256" s="2">
        <f t="shared" si="105"/>
        <v>18665948.545999993</v>
      </c>
      <c r="J256" s="2">
        <f t="shared" si="105"/>
        <v>23202549.723026093</v>
      </c>
      <c r="K256" s="2">
        <f t="shared" si="105"/>
        <v>26725670.230554003</v>
      </c>
      <c r="L256" s="2">
        <f t="shared" si="105"/>
        <v>30103051.308622271</v>
      </c>
      <c r="M256" s="2">
        <f t="shared" si="105"/>
        <v>33367849.934139017</v>
      </c>
      <c r="N256" s="2">
        <f t="shared" si="105"/>
        <v>36513610.330377668</v>
      </c>
      <c r="O256" s="2">
        <f t="shared" si="105"/>
        <v>39564337.046540275</v>
      </c>
      <c r="P256" s="2">
        <f t="shared" si="105"/>
        <v>46435519.098488577</v>
      </c>
      <c r="Q256" s="2">
        <f t="shared" si="105"/>
        <v>54238765.862088427</v>
      </c>
      <c r="R256" s="2">
        <f t="shared" si="105"/>
        <v>58409551.515018374</v>
      </c>
      <c r="S256" s="2">
        <f t="shared" si="105"/>
        <v>63088204.100269973</v>
      </c>
      <c r="T256" s="2">
        <f t="shared" si="105"/>
        <v>68088011.420906514</v>
      </c>
      <c r="U256" s="2">
        <f t="shared" si="105"/>
        <v>69212595.352429241</v>
      </c>
      <c r="V256" s="2">
        <f t="shared" si="105"/>
        <v>70324747.202718675</v>
      </c>
      <c r="W256" s="2">
        <f t="shared" si="105"/>
        <v>0</v>
      </c>
      <c r="X256" s="2">
        <f t="shared" si="105"/>
        <v>0</v>
      </c>
      <c r="Y256" s="2">
        <f t="shared" si="105"/>
        <v>0</v>
      </c>
      <c r="Z256" s="2">
        <f t="shared" si="105"/>
        <v>0</v>
      </c>
      <c r="AA256" s="2">
        <f t="shared" si="105"/>
        <v>0</v>
      </c>
    </row>
    <row r="257" spans="4:28" customFormat="1" x14ac:dyDescent="0.25">
      <c r="E257" t="s">
        <v>11</v>
      </c>
      <c r="F257" t="s">
        <v>7</v>
      </c>
      <c r="G257" s="2">
        <f t="shared" si="105"/>
        <v>0</v>
      </c>
      <c r="H257" s="2">
        <f t="shared" si="105"/>
        <v>1051910.6031166408</v>
      </c>
      <c r="I257" s="2">
        <f t="shared" si="105"/>
        <v>2316732.0874369917</v>
      </c>
      <c r="J257" s="2">
        <f t="shared" si="105"/>
        <v>3925014.3472899627</v>
      </c>
      <c r="K257" s="2">
        <f t="shared" si="105"/>
        <v>5783212.2398057943</v>
      </c>
      <c r="L257" s="2">
        <f t="shared" si="105"/>
        <v>7890176.3862696234</v>
      </c>
      <c r="M257" s="2">
        <f t="shared" si="105"/>
        <v>10241132.059227407</v>
      </c>
      <c r="N257" s="2">
        <f t="shared" si="105"/>
        <v>12835087.006764164</v>
      </c>
      <c r="O257" s="2">
        <f t="shared" si="105"/>
        <v>15672609.692394681</v>
      </c>
      <c r="P257" s="2">
        <f t="shared" si="105"/>
        <v>19004335.9304423</v>
      </c>
      <c r="Q257" s="2">
        <f t="shared" si="105"/>
        <v>22902082.233731136</v>
      </c>
      <c r="R257" s="2">
        <f t="shared" si="105"/>
        <v>27150367.409845628</v>
      </c>
      <c r="S257" s="2">
        <f t="shared" si="105"/>
        <v>31791802.10947527</v>
      </c>
      <c r="T257" s="2">
        <f t="shared" si="105"/>
        <v>36851733.04480654</v>
      </c>
      <c r="U257" s="2">
        <f t="shared" si="105"/>
        <v>42089433.545174807</v>
      </c>
      <c r="V257" s="2">
        <f t="shared" si="105"/>
        <v>47509618.224838361</v>
      </c>
      <c r="W257" s="2">
        <f t="shared" si="105"/>
        <v>48507320.207559958</v>
      </c>
      <c r="X257" s="2">
        <f t="shared" si="105"/>
        <v>49525973.93191871</v>
      </c>
      <c r="Y257" s="2">
        <f t="shared" si="105"/>
        <v>50566019.384489</v>
      </c>
      <c r="Z257" s="2">
        <f t="shared" si="105"/>
        <v>51627905.791563265</v>
      </c>
      <c r="AA257" s="2">
        <f t="shared" si="105"/>
        <v>52712091.813186087</v>
      </c>
    </row>
    <row r="258" spans="4:28" customFormat="1" x14ac:dyDescent="0.25">
      <c r="E258" t="s">
        <v>57</v>
      </c>
      <c r="F258" t="s">
        <v>7</v>
      </c>
      <c r="G258" s="2">
        <f t="shared" si="105"/>
        <v>0</v>
      </c>
      <c r="H258" s="2">
        <f t="shared" si="105"/>
        <v>-125822.48456029275</v>
      </c>
      <c r="I258" s="2">
        <f t="shared" si="105"/>
        <v>-288056.02291850542</v>
      </c>
      <c r="J258" s="2">
        <f t="shared" si="105"/>
        <v>-492352.50135079632</v>
      </c>
      <c r="K258" s="2">
        <f t="shared" si="105"/>
        <v>-730916.47615232901</v>
      </c>
      <c r="L258" s="2">
        <f t="shared" si="105"/>
        <v>-1003242.8831687041</v>
      </c>
      <c r="M258" s="2">
        <f t="shared" si="105"/>
        <v>-1309064.1089060111</v>
      </c>
      <c r="N258" s="2">
        <f t="shared" si="105"/>
        <v>-1648077.855525607</v>
      </c>
      <c r="O258" s="2">
        <f t="shared" si="105"/>
        <v>-2020180.3833165939</v>
      </c>
      <c r="P258" s="2">
        <f t="shared" si="105"/>
        <v>-2458641.0977114318</v>
      </c>
      <c r="Q258" s="2">
        <f t="shared" si="105"/>
        <v>-2972809.9360573785</v>
      </c>
      <c r="R258" s="2">
        <f t="shared" si="105"/>
        <v>-3533341.8378492072</v>
      </c>
      <c r="S258" s="2">
        <f t="shared" si="105"/>
        <v>-4145556.4648756175</v>
      </c>
      <c r="T258" s="2">
        <f t="shared" si="105"/>
        <v>-4813255.9817171767</v>
      </c>
      <c r="U258" s="2">
        <f t="shared" si="105"/>
        <v>-5504561.189751653</v>
      </c>
      <c r="V258" s="2">
        <f t="shared" si="105"/>
        <v>-6219872.5709791174</v>
      </c>
      <c r="W258" s="2">
        <f t="shared" si="105"/>
        <v>-6350489.8949696776</v>
      </c>
      <c r="X258" s="2">
        <f t="shared" si="105"/>
        <v>-6483850.1827640412</v>
      </c>
      <c r="Y258" s="2">
        <f t="shared" si="105"/>
        <v>-6620011.0366020864</v>
      </c>
      <c r="Z258" s="2">
        <f t="shared" si="105"/>
        <v>-6759031.2683707289</v>
      </c>
      <c r="AA258" s="2">
        <f t="shared" si="105"/>
        <v>-6900970.9250065135</v>
      </c>
    </row>
    <row r="259" spans="4:28" customFormat="1" x14ac:dyDescent="0.25">
      <c r="E259" t="s">
        <v>10</v>
      </c>
      <c r="F259" t="s">
        <v>7</v>
      </c>
      <c r="G259" s="2">
        <f t="shared" si="105"/>
        <v>0</v>
      </c>
      <c r="H259" s="2">
        <f t="shared" si="105"/>
        <v>-225504.81902</v>
      </c>
      <c r="I259" s="2">
        <f t="shared" si="105"/>
        <v>-514535.05483233999</v>
      </c>
      <c r="J259" s="2">
        <f t="shared" si="105"/>
        <v>-877093.0457767779</v>
      </c>
      <c r="K259" s="2">
        <f t="shared" si="105"/>
        <v>-1299116.6953373468</v>
      </c>
      <c r="L259" s="2">
        <f t="shared" si="105"/>
        <v>-1779901.6124570537</v>
      </c>
      <c r="M259" s="2">
        <f t="shared" si="105"/>
        <v>-2318791.7152582961</v>
      </c>
      <c r="N259" s="2">
        <f t="shared" si="105"/>
        <v>-2915344.739347267</v>
      </c>
      <c r="O259" s="2">
        <f t="shared" si="105"/>
        <v>-3569470.6321917968</v>
      </c>
      <c r="P259" s="2">
        <f t="shared" si="105"/>
        <v>-4339446.1847785134</v>
      </c>
      <c r="Q259" s="2">
        <f t="shared" si="105"/>
        <v>-5241742.9414221635</v>
      </c>
      <c r="R259" s="2">
        <f t="shared" si="105"/>
        <v>-6225337.8361501014</v>
      </c>
      <c r="S259" s="2">
        <f t="shared" si="105"/>
        <v>-7299721.2417829428</v>
      </c>
      <c r="T259" s="2">
        <f t="shared" si="105"/>
        <v>-8471329.4042916596</v>
      </c>
      <c r="U259" s="2">
        <f t="shared" si="105"/>
        <v>-9684282.4102842938</v>
      </c>
      <c r="V259" s="2">
        <f t="shared" si="105"/>
        <v>-10939397.034905106</v>
      </c>
      <c r="W259" s="2">
        <f t="shared" si="105"/>
        <v>-11169124.372638112</v>
      </c>
      <c r="X259" s="2">
        <f t="shared" si="105"/>
        <v>-11403675.984463513</v>
      </c>
      <c r="Y259" s="2">
        <f t="shared" si="105"/>
        <v>-11643153.180137243</v>
      </c>
      <c r="Z259" s="2">
        <f t="shared" si="105"/>
        <v>-11887659.396920126</v>
      </c>
      <c r="AA259" s="2">
        <f t="shared" si="105"/>
        <v>-12137300.244255446</v>
      </c>
    </row>
    <row r="260" spans="4:28" customFormat="1" x14ac:dyDescent="0.25">
      <c r="E260" t="s">
        <v>12</v>
      </c>
      <c r="F260" t="s">
        <v>7</v>
      </c>
      <c r="G260" s="2">
        <f t="shared" si="105"/>
        <v>-5395535.9313984811</v>
      </c>
      <c r="H260" s="2">
        <f t="shared" si="105"/>
        <v>-5915859.4774586549</v>
      </c>
      <c r="I260" s="2">
        <f t="shared" si="105"/>
        <v>-6405310.9496283876</v>
      </c>
      <c r="J260" s="2">
        <f t="shared" si="105"/>
        <v>-7133203.7745977826</v>
      </c>
      <c r="K260" s="2">
        <f t="shared" si="105"/>
        <v>-7841891.4239365235</v>
      </c>
      <c r="L260" s="2">
        <f t="shared" si="105"/>
        <v>-8406327.4006224778</v>
      </c>
      <c r="M260" s="2">
        <f t="shared" si="105"/>
        <v>-10190860.473986333</v>
      </c>
      <c r="N260" s="2">
        <f t="shared" si="105"/>
        <v>-11939537.574559784</v>
      </c>
      <c r="O260" s="2">
        <f t="shared" si="105"/>
        <v>-13362874.810713746</v>
      </c>
      <c r="P260" s="2">
        <f t="shared" si="105"/>
        <v>-15318320.017761748</v>
      </c>
      <c r="Q260" s="2">
        <f t="shared" si="105"/>
        <v>-16499425.990409628</v>
      </c>
      <c r="R260" s="2">
        <f t="shared" si="105"/>
        <v>-17535427.905909948</v>
      </c>
      <c r="S260" s="2">
        <f t="shared" si="105"/>
        <v>-18631541.995007291</v>
      </c>
      <c r="T260" s="2">
        <f t="shared" si="105"/>
        <v>-19791507.313692689</v>
      </c>
      <c r="U260" s="2">
        <f t="shared" si="105"/>
        <v>-20972440.07842252</v>
      </c>
      <c r="V260" s="2">
        <f t="shared" si="105"/>
        <v>-22174380.068410438</v>
      </c>
      <c r="W260" s="2">
        <f t="shared" si="105"/>
        <v>-22174380.068410438</v>
      </c>
      <c r="X260" s="2">
        <f t="shared" si="105"/>
        <v>-22174380.068410438</v>
      </c>
      <c r="Y260" s="2">
        <f t="shared" si="105"/>
        <v>-22174380.068410438</v>
      </c>
      <c r="Z260" s="2">
        <f t="shared" si="105"/>
        <v>-22174380.068410438</v>
      </c>
      <c r="AA260" s="2">
        <f t="shared" si="105"/>
        <v>-22174380.068410438</v>
      </c>
    </row>
    <row r="261" spans="4:28" customFormat="1" x14ac:dyDescent="0.25">
      <c r="E261" t="s">
        <v>48</v>
      </c>
      <c r="F261" t="s">
        <v>7</v>
      </c>
      <c r="G261" s="2">
        <f t="shared" si="105"/>
        <v>0</v>
      </c>
      <c r="H261" s="2">
        <f t="shared" si="105"/>
        <v>0</v>
      </c>
      <c r="I261" s="2">
        <f t="shared" si="105"/>
        <v>0</v>
      </c>
      <c r="J261" s="2">
        <f t="shared" si="105"/>
        <v>0</v>
      </c>
      <c r="K261" s="2">
        <f t="shared" si="105"/>
        <v>0</v>
      </c>
      <c r="L261" s="2">
        <f t="shared" si="105"/>
        <v>0</v>
      </c>
      <c r="M261" s="2">
        <f t="shared" si="105"/>
        <v>0</v>
      </c>
      <c r="N261" s="2">
        <f t="shared" si="105"/>
        <v>0</v>
      </c>
      <c r="O261" s="2">
        <f t="shared" si="105"/>
        <v>0</v>
      </c>
      <c r="P261" s="2">
        <f t="shared" si="105"/>
        <v>0</v>
      </c>
      <c r="Q261" s="2">
        <f t="shared" si="105"/>
        <v>0</v>
      </c>
      <c r="R261" s="2">
        <f t="shared" si="105"/>
        <v>0</v>
      </c>
      <c r="S261" s="2">
        <f t="shared" si="105"/>
        <v>0</v>
      </c>
      <c r="T261" s="2">
        <f t="shared" si="105"/>
        <v>0</v>
      </c>
      <c r="U261" s="2">
        <f t="shared" si="105"/>
        <v>0</v>
      </c>
      <c r="V261" s="2">
        <f t="shared" si="105"/>
        <v>0</v>
      </c>
      <c r="W261" s="2">
        <f t="shared" si="105"/>
        <v>0</v>
      </c>
      <c r="X261" s="2">
        <f t="shared" si="105"/>
        <v>0</v>
      </c>
      <c r="Y261" s="2">
        <f t="shared" si="105"/>
        <v>0</v>
      </c>
      <c r="Z261" s="2">
        <f t="shared" si="105"/>
        <v>0</v>
      </c>
      <c r="AA261" s="2">
        <f t="shared" si="105"/>
        <v>0</v>
      </c>
    </row>
    <row r="262" spans="4:28" customFormat="1" x14ac:dyDescent="0.25">
      <c r="E262" t="s">
        <v>13</v>
      </c>
      <c r="F262" t="s">
        <v>7</v>
      </c>
      <c r="G262" s="2">
        <f ca="1">G253</f>
        <v>668211547.87942433</v>
      </c>
      <c r="H262" s="2"/>
      <c r="I262" s="2"/>
      <c r="J262" s="2"/>
      <c r="K262" s="2"/>
      <c r="L262" s="2"/>
      <c r="M262" s="2"/>
      <c r="N262" s="2"/>
      <c r="O262" s="2"/>
      <c r="P262" s="2"/>
      <c r="Q262" s="2"/>
      <c r="R262" s="2"/>
      <c r="S262" s="2"/>
      <c r="T262" s="2"/>
      <c r="U262" s="2"/>
      <c r="V262" s="2"/>
      <c r="W262" s="2"/>
      <c r="X262" s="2"/>
      <c r="Y262" s="2"/>
      <c r="Z262" s="2"/>
      <c r="AA262" s="2"/>
    </row>
    <row r="263" spans="4:28" customFormat="1" x14ac:dyDescent="0.25"/>
    <row r="264" spans="4:28" customFormat="1" x14ac:dyDescent="0.25">
      <c r="E264" t="s">
        <v>14</v>
      </c>
      <c r="F264" t="s">
        <v>7</v>
      </c>
      <c r="G264" s="2">
        <f t="shared" ref="G264:AA264" ca="1" si="106">SUM(G256:G262)</f>
        <v>662816011.94802582</v>
      </c>
      <c r="H264" s="2">
        <f t="shared" si="106"/>
        <v>9486102.8220776916</v>
      </c>
      <c r="I264" s="2">
        <f t="shared" si="106"/>
        <v>13774778.606057756</v>
      </c>
      <c r="J264" s="2">
        <f t="shared" si="106"/>
        <v>18624914.748590697</v>
      </c>
      <c r="K264" s="2">
        <f t="shared" si="106"/>
        <v>22636957.874933597</v>
      </c>
      <c r="L264" s="2">
        <f t="shared" si="106"/>
        <v>26803755.798643656</v>
      </c>
      <c r="M264" s="2">
        <f t="shared" si="106"/>
        <v>29790265.695215784</v>
      </c>
      <c r="N264" s="2">
        <f t="shared" si="106"/>
        <v>32845737.167709179</v>
      </c>
      <c r="O264" s="2">
        <f t="shared" si="106"/>
        <v>36284420.91271282</v>
      </c>
      <c r="P264" s="2">
        <f t="shared" si="106"/>
        <v>43323447.72867918</v>
      </c>
      <c r="Q264" s="2">
        <f t="shared" si="106"/>
        <v>52426869.227930397</v>
      </c>
      <c r="R264" s="2">
        <f t="shared" si="106"/>
        <v>58265811.344954751</v>
      </c>
      <c r="S264" s="2">
        <f t="shared" si="106"/>
        <v>64803186.50807938</v>
      </c>
      <c r="T264" s="2">
        <f t="shared" si="106"/>
        <v>71863651.766011536</v>
      </c>
      <c r="U264" s="2">
        <f t="shared" si="106"/>
        <v>75140745.219145581</v>
      </c>
      <c r="V264" s="2">
        <f t="shared" si="106"/>
        <v>78500715.753262371</v>
      </c>
      <c r="W264" s="2">
        <f t="shared" si="106"/>
        <v>8813325.8715417273</v>
      </c>
      <c r="X264" s="2">
        <f t="shared" si="106"/>
        <v>9464067.6962807216</v>
      </c>
      <c r="Y264" s="2">
        <f t="shared" si="106"/>
        <v>10128475.099339232</v>
      </c>
      <c r="Z264" s="2">
        <f t="shared" si="106"/>
        <v>10806835.057861976</v>
      </c>
      <c r="AA264" s="2">
        <f t="shared" si="106"/>
        <v>11499440.575513687</v>
      </c>
    </row>
    <row r="265" spans="4:28" customFormat="1" x14ac:dyDescent="0.25">
      <c r="E265" t="s">
        <v>15</v>
      </c>
      <c r="F265" t="s">
        <v>7</v>
      </c>
      <c r="G265" s="2">
        <f ca="1">-G264*G$18</f>
        <v>-198844803.58440775</v>
      </c>
      <c r="H265" s="2">
        <f t="shared" ref="H265:AA265" si="107">-H264*H$18</f>
        <v>-2845830.8466233076</v>
      </c>
      <c r="I265" s="2">
        <f t="shared" si="107"/>
        <v>-4132433.5818173266</v>
      </c>
      <c r="J265" s="2">
        <f t="shared" si="107"/>
        <v>-5587474.4245772092</v>
      </c>
      <c r="K265" s="2">
        <f t="shared" si="107"/>
        <v>-6791087.3624800788</v>
      </c>
      <c r="L265" s="2">
        <f t="shared" si="107"/>
        <v>-8041126.7395930961</v>
      </c>
      <c r="M265" s="2">
        <f t="shared" si="107"/>
        <v>-8937079.7085647341</v>
      </c>
      <c r="N265" s="2">
        <f t="shared" si="107"/>
        <v>-9853721.1503127534</v>
      </c>
      <c r="O265" s="2">
        <f t="shared" si="107"/>
        <v>-10885326.273813846</v>
      </c>
      <c r="P265" s="2">
        <f t="shared" si="107"/>
        <v>-12997034.318603754</v>
      </c>
      <c r="Q265" s="2">
        <f t="shared" si="107"/>
        <v>-15728060.768379118</v>
      </c>
      <c r="R265" s="2">
        <f t="shared" si="107"/>
        <v>-17479743.403486423</v>
      </c>
      <c r="S265" s="2">
        <f t="shared" si="107"/>
        <v>-19440955.952423815</v>
      </c>
      <c r="T265" s="2">
        <f t="shared" si="107"/>
        <v>-21559095.529803459</v>
      </c>
      <c r="U265" s="2">
        <f t="shared" si="107"/>
        <v>-22542223.565743674</v>
      </c>
      <c r="V265" s="2">
        <f t="shared" si="107"/>
        <v>-23550214.72597871</v>
      </c>
      <c r="W265" s="2">
        <f t="shared" si="107"/>
        <v>-2643997.761462518</v>
      </c>
      <c r="X265" s="2">
        <f t="shared" si="107"/>
        <v>-2839220.3088842165</v>
      </c>
      <c r="Y265" s="2">
        <f t="shared" si="107"/>
        <v>-3038542.5298017696</v>
      </c>
      <c r="Z265" s="2">
        <f t="shared" si="107"/>
        <v>-3242050.5173585927</v>
      </c>
      <c r="AA265" s="2">
        <f t="shared" si="107"/>
        <v>-3449832.1726541058</v>
      </c>
    </row>
    <row r="266" spans="4:28" customFormat="1" x14ac:dyDescent="0.25"/>
    <row r="267" spans="4:28" customFormat="1" x14ac:dyDescent="0.25">
      <c r="D267" t="s">
        <v>28</v>
      </c>
    </row>
    <row r="268" spans="4:28" customFormat="1" x14ac:dyDescent="0.25">
      <c r="E268" t="s">
        <v>1</v>
      </c>
      <c r="F268" t="s">
        <v>7</v>
      </c>
      <c r="G268" s="2">
        <f t="shared" ref="G268:AA275" si="108">G234</f>
        <v>-485598233.8258633</v>
      </c>
      <c r="H268" s="2">
        <f t="shared" si="108"/>
        <v>-32127740.145415597</v>
      </c>
      <c r="I268" s="2">
        <f t="shared" si="108"/>
        <v>-25384683.949275892</v>
      </c>
      <c r="J268" s="2">
        <f t="shared" si="108"/>
        <v>-42307804.524219491</v>
      </c>
      <c r="K268" s="2">
        <f t="shared" si="108"/>
        <v>-37056218.209932685</v>
      </c>
      <c r="L268" s="2">
        <f t="shared" si="108"/>
        <v>-20696186.593113609</v>
      </c>
      <c r="M268" s="2">
        <f t="shared" si="108"/>
        <v>-127240126.66860779</v>
      </c>
      <c r="N268" s="2">
        <f t="shared" si="108"/>
        <v>-120867328.72123285</v>
      </c>
      <c r="O268" s="2">
        <f t="shared" si="108"/>
        <v>-88536014.207316339</v>
      </c>
      <c r="P268" s="2">
        <f t="shared" si="108"/>
        <v>-129554549.53583172</v>
      </c>
      <c r="Q268" s="2">
        <f t="shared" si="108"/>
        <v>-52060771.676220611</v>
      </c>
      <c r="R268" s="2">
        <f t="shared" si="108"/>
        <v>-34830620.880010657</v>
      </c>
      <c r="S268" s="2">
        <f t="shared" si="108"/>
        <v>-35562063.918490864</v>
      </c>
      <c r="T268" s="2">
        <f t="shared" si="108"/>
        <v>-36308867.260779172</v>
      </c>
      <c r="U268" s="2">
        <f t="shared" si="108"/>
        <v>-37071353.473255537</v>
      </c>
      <c r="V268" s="2">
        <f t="shared" si="108"/>
        <v>-37849851.896193892</v>
      </c>
      <c r="W268" s="2">
        <f t="shared" si="108"/>
        <v>0</v>
      </c>
      <c r="X268" s="2">
        <f t="shared" si="108"/>
        <v>0</v>
      </c>
      <c r="Y268" s="2">
        <f t="shared" si="108"/>
        <v>0</v>
      </c>
      <c r="Z268" s="2">
        <f t="shared" si="108"/>
        <v>0</v>
      </c>
      <c r="AA268" s="2">
        <f t="shared" si="108"/>
        <v>0</v>
      </c>
    </row>
    <row r="269" spans="4:28" customFormat="1" x14ac:dyDescent="0.25">
      <c r="E269" t="s">
        <v>19</v>
      </c>
      <c r="F269" t="s">
        <v>7</v>
      </c>
      <c r="G269" s="2">
        <f t="shared" si="108"/>
        <v>0</v>
      </c>
      <c r="H269" s="2">
        <f t="shared" si="108"/>
        <v>0</v>
      </c>
      <c r="I269" s="2">
        <f t="shared" si="108"/>
        <v>0</v>
      </c>
      <c r="J269" s="2">
        <f t="shared" si="108"/>
        <v>0</v>
      </c>
      <c r="K269" s="2">
        <f t="shared" si="108"/>
        <v>0</v>
      </c>
      <c r="L269" s="2">
        <f t="shared" si="108"/>
        <v>0</v>
      </c>
      <c r="M269" s="2">
        <f t="shared" si="108"/>
        <v>0</v>
      </c>
      <c r="N269" s="2">
        <f t="shared" si="108"/>
        <v>0</v>
      </c>
      <c r="O269" s="2">
        <f t="shared" si="108"/>
        <v>0</v>
      </c>
      <c r="P269" s="2">
        <f t="shared" si="108"/>
        <v>0</v>
      </c>
      <c r="Q269" s="2">
        <f t="shared" si="108"/>
        <v>0</v>
      </c>
      <c r="R269" s="2">
        <f t="shared" si="108"/>
        <v>0</v>
      </c>
      <c r="S269" s="2">
        <f t="shared" si="108"/>
        <v>0</v>
      </c>
      <c r="T269" s="2">
        <f t="shared" si="108"/>
        <v>0</v>
      </c>
      <c r="U269" s="2">
        <f t="shared" si="108"/>
        <v>0</v>
      </c>
      <c r="V269" s="2">
        <f t="shared" si="108"/>
        <v>0</v>
      </c>
      <c r="W269" s="2">
        <f t="shared" si="108"/>
        <v>0</v>
      </c>
      <c r="X269" s="2">
        <f t="shared" si="108"/>
        <v>0</v>
      </c>
      <c r="Y269" s="2">
        <f t="shared" si="108"/>
        <v>0</v>
      </c>
      <c r="Z269" s="2">
        <f t="shared" si="108"/>
        <v>0</v>
      </c>
      <c r="AA269" s="2">
        <f t="shared" si="108"/>
        <v>0</v>
      </c>
    </row>
    <row r="270" spans="4:28" customFormat="1" x14ac:dyDescent="0.25">
      <c r="E270" t="s">
        <v>109</v>
      </c>
      <c r="F270" t="s">
        <v>7</v>
      </c>
      <c r="G270" s="2">
        <f t="shared" si="108"/>
        <v>0</v>
      </c>
      <c r="H270" s="2">
        <f t="shared" si="108"/>
        <v>0</v>
      </c>
      <c r="I270" s="2">
        <f t="shared" si="108"/>
        <v>0</v>
      </c>
      <c r="J270" s="2">
        <f t="shared" si="108"/>
        <v>0</v>
      </c>
      <c r="K270" s="2">
        <f t="shared" si="108"/>
        <v>0</v>
      </c>
      <c r="L270" s="2">
        <f t="shared" si="108"/>
        <v>0</v>
      </c>
      <c r="M270" s="2">
        <f t="shared" si="108"/>
        <v>0</v>
      </c>
      <c r="N270" s="2">
        <f t="shared" si="108"/>
        <v>0</v>
      </c>
      <c r="O270" s="2">
        <f t="shared" si="108"/>
        <v>0</v>
      </c>
      <c r="P270" s="2">
        <f t="shared" si="108"/>
        <v>0</v>
      </c>
      <c r="Q270" s="2">
        <f t="shared" si="108"/>
        <v>0</v>
      </c>
      <c r="R270" s="2">
        <f t="shared" si="108"/>
        <v>0</v>
      </c>
      <c r="S270" s="2">
        <f t="shared" si="108"/>
        <v>0</v>
      </c>
      <c r="T270" s="2">
        <f t="shared" si="108"/>
        <v>0</v>
      </c>
      <c r="U270" s="2">
        <f t="shared" si="108"/>
        <v>0</v>
      </c>
      <c r="V270" s="2">
        <f t="shared" si="108"/>
        <v>0</v>
      </c>
      <c r="W270" s="2">
        <f t="shared" si="108"/>
        <v>0</v>
      </c>
      <c r="X270" s="2">
        <f t="shared" si="108"/>
        <v>0</v>
      </c>
      <c r="Y270" s="2">
        <f t="shared" si="108"/>
        <v>0</v>
      </c>
      <c r="Z270" s="2">
        <f t="shared" si="108"/>
        <v>0</v>
      </c>
      <c r="AA270" s="2">
        <f t="shared" si="108"/>
        <v>0</v>
      </c>
    </row>
    <row r="271" spans="4:28" customFormat="1" x14ac:dyDescent="0.25">
      <c r="E271" t="s">
        <v>11</v>
      </c>
      <c r="F271" t="s">
        <v>7</v>
      </c>
      <c r="G271" s="2">
        <f t="shared" si="108"/>
        <v>0</v>
      </c>
      <c r="H271" s="2">
        <f t="shared" si="108"/>
        <v>1051910.6031166408</v>
      </c>
      <c r="I271" s="2">
        <f t="shared" si="108"/>
        <v>2316732.0874369917</v>
      </c>
      <c r="J271" s="2">
        <f t="shared" si="108"/>
        <v>3925014.3472899627</v>
      </c>
      <c r="K271" s="2">
        <f t="shared" si="108"/>
        <v>5783212.2398057943</v>
      </c>
      <c r="L271" s="2">
        <f t="shared" si="108"/>
        <v>7890176.3862696234</v>
      </c>
      <c r="M271" s="2">
        <f t="shared" si="108"/>
        <v>10241132.059227407</v>
      </c>
      <c r="N271" s="2">
        <f t="shared" si="108"/>
        <v>12835087.006764164</v>
      </c>
      <c r="O271" s="2">
        <f t="shared" si="108"/>
        <v>15672609.692394681</v>
      </c>
      <c r="P271" s="2">
        <f t="shared" si="108"/>
        <v>19004335.9304423</v>
      </c>
      <c r="Q271" s="2">
        <f t="shared" si="108"/>
        <v>22902082.233731136</v>
      </c>
      <c r="R271" s="2">
        <f t="shared" si="108"/>
        <v>27150367.409845628</v>
      </c>
      <c r="S271" s="2">
        <f t="shared" si="108"/>
        <v>31791802.10947527</v>
      </c>
      <c r="T271" s="2">
        <f t="shared" si="108"/>
        <v>36851733.04480654</v>
      </c>
      <c r="U271" s="2">
        <f t="shared" si="108"/>
        <v>42089433.545174807</v>
      </c>
      <c r="V271" s="2">
        <f t="shared" si="108"/>
        <v>47509618.224838361</v>
      </c>
      <c r="W271" s="2">
        <f t="shared" si="108"/>
        <v>48507320.207559958</v>
      </c>
      <c r="X271" s="2">
        <f t="shared" si="108"/>
        <v>49525973.93191871</v>
      </c>
      <c r="Y271" s="2">
        <f t="shared" si="108"/>
        <v>50566019.384489</v>
      </c>
      <c r="Z271" s="2">
        <f t="shared" si="108"/>
        <v>51627905.791563265</v>
      </c>
      <c r="AA271" s="2">
        <f t="shared" si="108"/>
        <v>52712091.813186087</v>
      </c>
      <c r="AB271" s="2">
        <f t="shared" ref="AB271:AB275" si="109">IF(V271=0,0,IF($G$15&gt;(AA271/V271)^(1/5)-1+2%,AA271*(AA271/V271)^(1/5)/($G$15-((AA271/V271)^(1/5)-1)),AA271*(1+$G$14)/$G$16))</f>
        <v>1757069727.1062064</v>
      </c>
    </row>
    <row r="272" spans="4:28" customFormat="1" x14ac:dyDescent="0.25">
      <c r="E272" t="s">
        <v>57</v>
      </c>
      <c r="F272" t="s">
        <v>7</v>
      </c>
      <c r="G272" s="2">
        <f t="shared" si="108"/>
        <v>0</v>
      </c>
      <c r="H272" s="2">
        <f t="shared" si="108"/>
        <v>-125822.48456029275</v>
      </c>
      <c r="I272" s="2">
        <f t="shared" si="108"/>
        <v>-288056.02291850542</v>
      </c>
      <c r="J272" s="2">
        <f t="shared" si="108"/>
        <v>-492352.50135079632</v>
      </c>
      <c r="K272" s="2">
        <f t="shared" si="108"/>
        <v>-730916.47615232901</v>
      </c>
      <c r="L272" s="2">
        <f t="shared" si="108"/>
        <v>-1003242.8831687041</v>
      </c>
      <c r="M272" s="2">
        <f t="shared" si="108"/>
        <v>-1309064.1089060111</v>
      </c>
      <c r="N272" s="2">
        <f t="shared" si="108"/>
        <v>-1648077.855525607</v>
      </c>
      <c r="O272" s="2">
        <f t="shared" si="108"/>
        <v>-2020180.3833165939</v>
      </c>
      <c r="P272" s="2">
        <f t="shared" si="108"/>
        <v>-2458641.0977114318</v>
      </c>
      <c r="Q272" s="2">
        <f t="shared" si="108"/>
        <v>-2972809.9360573785</v>
      </c>
      <c r="R272" s="2">
        <f t="shared" si="108"/>
        <v>-3533341.8378492072</v>
      </c>
      <c r="S272" s="2">
        <f t="shared" si="108"/>
        <v>-4145556.4648756175</v>
      </c>
      <c r="T272" s="2">
        <f t="shared" si="108"/>
        <v>-4813255.9817171767</v>
      </c>
      <c r="U272" s="2">
        <f t="shared" si="108"/>
        <v>-5504561.189751653</v>
      </c>
      <c r="V272" s="2">
        <f t="shared" si="108"/>
        <v>-6219872.5709791174</v>
      </c>
      <c r="W272" s="2">
        <f t="shared" si="108"/>
        <v>-6350489.8949696776</v>
      </c>
      <c r="X272" s="2">
        <f t="shared" si="108"/>
        <v>-6483850.1827640412</v>
      </c>
      <c r="Y272" s="2">
        <f t="shared" si="108"/>
        <v>-6620011.0366020864</v>
      </c>
      <c r="Z272" s="2">
        <f t="shared" si="108"/>
        <v>-6759031.2683707289</v>
      </c>
      <c r="AA272" s="2">
        <f t="shared" si="108"/>
        <v>-6900970.9250065135</v>
      </c>
      <c r="AB272" s="2">
        <f t="shared" si="109"/>
        <v>-230032364.16688424</v>
      </c>
    </row>
    <row r="273" spans="1:28" x14ac:dyDescent="0.25">
      <c r="E273" t="s">
        <v>10</v>
      </c>
      <c r="F273" t="s">
        <v>7</v>
      </c>
      <c r="G273" s="2">
        <f t="shared" si="108"/>
        <v>0</v>
      </c>
      <c r="H273" s="2">
        <f t="shared" si="108"/>
        <v>-225504.81902</v>
      </c>
      <c r="I273" s="2">
        <f t="shared" si="108"/>
        <v>-514535.05483233999</v>
      </c>
      <c r="J273" s="2">
        <f t="shared" si="108"/>
        <v>-877093.0457767779</v>
      </c>
      <c r="K273" s="2">
        <f t="shared" si="108"/>
        <v>-1299116.6953373468</v>
      </c>
      <c r="L273" s="2">
        <f t="shared" si="108"/>
        <v>-1779901.6124570537</v>
      </c>
      <c r="M273" s="2">
        <f t="shared" si="108"/>
        <v>-2318791.7152582961</v>
      </c>
      <c r="N273" s="2">
        <f t="shared" si="108"/>
        <v>-2915344.739347267</v>
      </c>
      <c r="O273" s="2">
        <f t="shared" si="108"/>
        <v>-3569470.6321917968</v>
      </c>
      <c r="P273" s="2">
        <f t="shared" si="108"/>
        <v>-4339446.1847785134</v>
      </c>
      <c r="Q273" s="2">
        <f t="shared" si="108"/>
        <v>-5241742.9414221635</v>
      </c>
      <c r="R273" s="2">
        <f t="shared" si="108"/>
        <v>-6225337.8361501014</v>
      </c>
      <c r="S273" s="2">
        <f t="shared" si="108"/>
        <v>-7299721.2417829428</v>
      </c>
      <c r="T273" s="2">
        <f t="shared" si="108"/>
        <v>-8471329.4042916596</v>
      </c>
      <c r="U273" s="2">
        <f t="shared" si="108"/>
        <v>-9684282.4102842938</v>
      </c>
      <c r="V273" s="2">
        <f t="shared" si="108"/>
        <v>-10939397.034905106</v>
      </c>
      <c r="W273" s="2">
        <f t="shared" si="108"/>
        <v>-11169124.372638112</v>
      </c>
      <c r="X273" s="2">
        <f t="shared" si="108"/>
        <v>-11403675.984463513</v>
      </c>
      <c r="Y273" s="2">
        <f t="shared" si="108"/>
        <v>-11643153.180137243</v>
      </c>
      <c r="Z273" s="2">
        <f t="shared" si="108"/>
        <v>-11887659.396920126</v>
      </c>
      <c r="AA273" s="2">
        <f t="shared" si="108"/>
        <v>-12137300.244255446</v>
      </c>
      <c r="AB273" s="2">
        <f t="shared" si="109"/>
        <v>-404576674.80851573</v>
      </c>
    </row>
    <row r="274" spans="1:28" x14ac:dyDescent="0.25">
      <c r="E274" t="s">
        <v>48</v>
      </c>
      <c r="F274" t="s">
        <v>7</v>
      </c>
      <c r="G274" s="2">
        <f t="shared" si="108"/>
        <v>0</v>
      </c>
      <c r="H274" s="2">
        <f t="shared" si="108"/>
        <v>0</v>
      </c>
      <c r="I274" s="2">
        <f t="shared" si="108"/>
        <v>0</v>
      </c>
      <c r="J274" s="2">
        <f t="shared" si="108"/>
        <v>0</v>
      </c>
      <c r="K274" s="2">
        <f t="shared" si="108"/>
        <v>0</v>
      </c>
      <c r="L274" s="2">
        <f t="shared" si="108"/>
        <v>0</v>
      </c>
      <c r="M274" s="2">
        <f t="shared" si="108"/>
        <v>0</v>
      </c>
      <c r="N274" s="2">
        <f t="shared" si="108"/>
        <v>0</v>
      </c>
      <c r="O274" s="2">
        <f t="shared" si="108"/>
        <v>0</v>
      </c>
      <c r="P274" s="2">
        <f t="shared" si="108"/>
        <v>0</v>
      </c>
      <c r="Q274" s="2">
        <f t="shared" si="108"/>
        <v>0</v>
      </c>
      <c r="R274" s="2">
        <f t="shared" si="108"/>
        <v>0</v>
      </c>
      <c r="S274" s="2">
        <f t="shared" si="108"/>
        <v>0</v>
      </c>
      <c r="T274" s="2">
        <f t="shared" si="108"/>
        <v>0</v>
      </c>
      <c r="U274" s="2">
        <f t="shared" si="108"/>
        <v>0</v>
      </c>
      <c r="V274" s="2">
        <f t="shared" si="108"/>
        <v>0</v>
      </c>
      <c r="W274" s="2">
        <f t="shared" si="108"/>
        <v>0</v>
      </c>
      <c r="X274" s="2">
        <f t="shared" si="108"/>
        <v>0</v>
      </c>
      <c r="Y274" s="2">
        <f t="shared" si="108"/>
        <v>0</v>
      </c>
      <c r="Z274" s="2">
        <f t="shared" si="108"/>
        <v>0</v>
      </c>
      <c r="AA274" s="2">
        <f t="shared" si="108"/>
        <v>0</v>
      </c>
      <c r="AB274" s="2">
        <f t="shared" si="109"/>
        <v>0</v>
      </c>
    </row>
    <row r="275" spans="1:28" x14ac:dyDescent="0.25">
      <c r="E275" t="s">
        <v>49</v>
      </c>
      <c r="F275" t="s">
        <v>7</v>
      </c>
      <c r="G275" s="2">
        <f t="shared" si="108"/>
        <v>0</v>
      </c>
      <c r="H275" s="2">
        <f t="shared" si="108"/>
        <v>0</v>
      </c>
      <c r="I275" s="2">
        <f t="shared" si="108"/>
        <v>0</v>
      </c>
      <c r="J275" s="2">
        <f t="shared" si="108"/>
        <v>0</v>
      </c>
      <c r="K275" s="2">
        <f t="shared" si="108"/>
        <v>0</v>
      </c>
      <c r="L275" s="2">
        <f t="shared" si="108"/>
        <v>0</v>
      </c>
      <c r="M275" s="2">
        <f t="shared" si="108"/>
        <v>0</v>
      </c>
      <c r="N275" s="2">
        <f t="shared" si="108"/>
        <v>0</v>
      </c>
      <c r="O275" s="2">
        <f t="shared" si="108"/>
        <v>0</v>
      </c>
      <c r="P275" s="2">
        <f t="shared" si="108"/>
        <v>0</v>
      </c>
      <c r="Q275" s="2">
        <f t="shared" si="108"/>
        <v>0</v>
      </c>
      <c r="R275" s="2">
        <f t="shared" si="108"/>
        <v>0</v>
      </c>
      <c r="S275" s="2">
        <f t="shared" si="108"/>
        <v>0</v>
      </c>
      <c r="T275" s="2">
        <f t="shared" si="108"/>
        <v>0</v>
      </c>
      <c r="U275" s="2">
        <f t="shared" si="108"/>
        <v>0</v>
      </c>
      <c r="V275" s="2">
        <f t="shared" si="108"/>
        <v>0</v>
      </c>
      <c r="W275" s="2">
        <f t="shared" si="108"/>
        <v>0</v>
      </c>
      <c r="X275" s="2">
        <f t="shared" si="108"/>
        <v>0</v>
      </c>
      <c r="Y275" s="2">
        <f t="shared" si="108"/>
        <v>0</v>
      </c>
      <c r="Z275" s="2">
        <f t="shared" si="108"/>
        <v>0</v>
      </c>
      <c r="AA275" s="2">
        <f t="shared" si="108"/>
        <v>0</v>
      </c>
      <c r="AB275" s="2">
        <f t="shared" si="109"/>
        <v>0</v>
      </c>
    </row>
    <row r="276" spans="1:28" x14ac:dyDescent="0.25">
      <c r="E276" t="s">
        <v>20</v>
      </c>
      <c r="F276" t="s">
        <v>7</v>
      </c>
      <c r="G276" s="2">
        <f t="shared" ref="G276:AA276" ca="1" si="110">G265</f>
        <v>-198844803.58440775</v>
      </c>
      <c r="H276" s="2">
        <f t="shared" si="110"/>
        <v>-2845830.8466233076</v>
      </c>
      <c r="I276" s="2">
        <f t="shared" si="110"/>
        <v>-4132433.5818173266</v>
      </c>
      <c r="J276" s="2">
        <f t="shared" si="110"/>
        <v>-5587474.4245772092</v>
      </c>
      <c r="K276" s="2">
        <f t="shared" si="110"/>
        <v>-6791087.3624800788</v>
      </c>
      <c r="L276" s="2">
        <f t="shared" si="110"/>
        <v>-8041126.7395930961</v>
      </c>
      <c r="M276" s="2">
        <f t="shared" si="110"/>
        <v>-8937079.7085647341</v>
      </c>
      <c r="N276" s="2">
        <f t="shared" si="110"/>
        <v>-9853721.1503127534</v>
      </c>
      <c r="O276" s="2">
        <f t="shared" si="110"/>
        <v>-10885326.273813846</v>
      </c>
      <c r="P276" s="2">
        <f t="shared" si="110"/>
        <v>-12997034.318603754</v>
      </c>
      <c r="Q276" s="2">
        <f t="shared" si="110"/>
        <v>-15728060.768379118</v>
      </c>
      <c r="R276" s="2">
        <f t="shared" si="110"/>
        <v>-17479743.403486423</v>
      </c>
      <c r="S276" s="2">
        <f t="shared" si="110"/>
        <v>-19440955.952423815</v>
      </c>
      <c r="T276" s="2">
        <f t="shared" si="110"/>
        <v>-21559095.529803459</v>
      </c>
      <c r="U276" s="2">
        <f t="shared" si="110"/>
        <v>-22542223.565743674</v>
      </c>
      <c r="V276" s="2">
        <f t="shared" si="110"/>
        <v>-23550214.72597871</v>
      </c>
      <c r="W276" s="2">
        <f t="shared" si="110"/>
        <v>-2643997.761462518</v>
      </c>
      <c r="X276" s="2">
        <f t="shared" si="110"/>
        <v>-2839220.3088842165</v>
      </c>
      <c r="Y276" s="2">
        <f t="shared" si="110"/>
        <v>-3038542.5298017696</v>
      </c>
      <c r="Z276" s="2">
        <f t="shared" si="110"/>
        <v>-3242050.5173585927</v>
      </c>
      <c r="AA276" s="2">
        <f t="shared" si="110"/>
        <v>-3449832.1726541058</v>
      </c>
      <c r="AB276" s="2">
        <f>IF(V276=0,0,IF($G$15&gt;(AA276/V276)^(1/5)-1+2%,AA276*(AA276/V276)^(1/5)/($G$15-((AA276/V276)^(1/5)-1)),AA276*(1+$G$14)/$G$16))</f>
        <v>-6339322.3748108884</v>
      </c>
    </row>
    <row r="277" spans="1:28" x14ac:dyDescent="0.25">
      <c r="E277" t="s">
        <v>173</v>
      </c>
      <c r="F277" t="s">
        <v>7</v>
      </c>
      <c r="G277" s="2">
        <f ca="1">-$G$17*G276</f>
        <v>99422401.792203873</v>
      </c>
      <c r="H277" s="2">
        <f t="shared" ref="H277:AA277" si="111">-$G$17*H276</f>
        <v>1422915.4233116538</v>
      </c>
      <c r="I277" s="2">
        <f t="shared" si="111"/>
        <v>2066216.7909086633</v>
      </c>
      <c r="J277" s="2">
        <f t="shared" si="111"/>
        <v>2793737.2122886046</v>
      </c>
      <c r="K277" s="2">
        <f t="shared" si="111"/>
        <v>3395543.6812400394</v>
      </c>
      <c r="L277" s="2">
        <f t="shared" si="111"/>
        <v>4020563.369796548</v>
      </c>
      <c r="M277" s="2">
        <f t="shared" si="111"/>
        <v>4468539.854282367</v>
      </c>
      <c r="N277" s="2">
        <f t="shared" si="111"/>
        <v>4926860.5751563767</v>
      </c>
      <c r="O277" s="2">
        <f t="shared" si="111"/>
        <v>5442663.1369069228</v>
      </c>
      <c r="P277" s="2">
        <f t="shared" si="111"/>
        <v>6498517.159301877</v>
      </c>
      <c r="Q277" s="2">
        <f t="shared" si="111"/>
        <v>7864030.3841895591</v>
      </c>
      <c r="R277" s="2">
        <f t="shared" si="111"/>
        <v>8739871.7017432116</v>
      </c>
      <c r="S277" s="2">
        <f t="shared" si="111"/>
        <v>9720477.9762119073</v>
      </c>
      <c r="T277" s="2">
        <f t="shared" si="111"/>
        <v>10779547.764901729</v>
      </c>
      <c r="U277" s="2">
        <f t="shared" si="111"/>
        <v>11271111.782871837</v>
      </c>
      <c r="V277" s="2">
        <f t="shared" si="111"/>
        <v>11775107.362989355</v>
      </c>
      <c r="W277" s="2">
        <f t="shared" si="111"/>
        <v>1321998.880731259</v>
      </c>
      <c r="X277" s="2">
        <f t="shared" si="111"/>
        <v>1419610.1544421082</v>
      </c>
      <c r="Y277" s="2">
        <f t="shared" si="111"/>
        <v>1519271.2649008848</v>
      </c>
      <c r="Z277" s="2">
        <f t="shared" si="111"/>
        <v>1621025.2586792964</v>
      </c>
      <c r="AA277" s="2">
        <f t="shared" si="111"/>
        <v>1724916.0863270529</v>
      </c>
      <c r="AB277" s="2">
        <f t="shared" ref="AB277" si="112">IF(V277=0,0,IF($G$15&gt;(AA277/V277)^(1/5)-1+2%,AA277*(AA277/V277)^(1/5)/($G$15-((AA277/V277)^(1/5)-1)),AA277*(1+$G$14)/$G$16))</f>
        <v>3169661.1874054442</v>
      </c>
    </row>
    <row r="278" spans="1:28" x14ac:dyDescent="0.25">
      <c r="E278" t="s">
        <v>23</v>
      </c>
      <c r="F278" t="s">
        <v>7</v>
      </c>
      <c r="G278" s="2">
        <f t="shared" ref="G278:AB278" ca="1" si="113">SUM(G268:G277)</f>
        <v>-585020635.61806715</v>
      </c>
      <c r="H278" s="2">
        <f t="shared" si="113"/>
        <v>-32850072.269190904</v>
      </c>
      <c r="I278" s="2">
        <f t="shared" si="113"/>
        <v>-25936759.730498403</v>
      </c>
      <c r="J278" s="2">
        <f t="shared" si="113"/>
        <v>-42545972.936345704</v>
      </c>
      <c r="K278" s="2">
        <f t="shared" si="113"/>
        <v>-36698582.822856613</v>
      </c>
      <c r="L278" s="2">
        <f t="shared" si="113"/>
        <v>-19609718.072266292</v>
      </c>
      <c r="M278" s="2">
        <f t="shared" si="113"/>
        <v>-125095390.28782706</v>
      </c>
      <c r="N278" s="2">
        <f t="shared" si="113"/>
        <v>-117522524.88449794</v>
      </c>
      <c r="O278" s="2">
        <f t="shared" si="113"/>
        <v>-83895718.667336971</v>
      </c>
      <c r="P278" s="2">
        <f t="shared" si="113"/>
        <v>-123846818.04718123</v>
      </c>
      <c r="Q278" s="2">
        <f t="shared" si="113"/>
        <v>-45237272.704158574</v>
      </c>
      <c r="R278" s="2">
        <f t="shared" si="113"/>
        <v>-26178804.84590755</v>
      </c>
      <c r="S278" s="2">
        <f t="shared" si="113"/>
        <v>-24936017.491886064</v>
      </c>
      <c r="T278" s="2">
        <f t="shared" si="113"/>
        <v>-23521267.366883203</v>
      </c>
      <c r="U278" s="2">
        <f t="shared" si="113"/>
        <v>-21441875.310988516</v>
      </c>
      <c r="V278" s="2">
        <f t="shared" si="113"/>
        <v>-19274610.64022911</v>
      </c>
      <c r="W278" s="2">
        <f t="shared" si="113"/>
        <v>29665707.059220906</v>
      </c>
      <c r="X278" s="2">
        <f t="shared" si="113"/>
        <v>30218837.61024905</v>
      </c>
      <c r="Y278" s="2">
        <f t="shared" si="113"/>
        <v>30783583.902848784</v>
      </c>
      <c r="Z278" s="2">
        <f t="shared" si="113"/>
        <v>31360189.867593117</v>
      </c>
      <c r="AA278" s="2">
        <f t="shared" si="113"/>
        <v>31948904.557597071</v>
      </c>
      <c r="AB278" s="2">
        <f t="shared" si="113"/>
        <v>1119291026.9434009</v>
      </c>
    </row>
    <row r="279" spans="1:28" x14ac:dyDescent="0.25">
      <c r="E279" t="s">
        <v>31</v>
      </c>
      <c r="F279" t="s">
        <v>7</v>
      </c>
      <c r="G279" s="2">
        <f ca="1">NPV($G$15,H278:AB278)+G278</f>
        <v>-668211547.87942433</v>
      </c>
    </row>
    <row r="280" spans="1:28" x14ac:dyDescent="0.25">
      <c r="E280" s="3" t="s">
        <v>34</v>
      </c>
      <c r="F280" s="3"/>
      <c r="G280" s="4" t="str">
        <f ca="1">IF(G279&gt;0,"N/A",IF(ABS(G279+G253)&gt;1,"Error","OK"))</f>
        <v>OK</v>
      </c>
    </row>
    <row r="282" spans="1:28" x14ac:dyDescent="0.25">
      <c r="C282" s="1" t="s">
        <v>36</v>
      </c>
      <c r="D282" s="1"/>
      <c r="G282" s="44"/>
    </row>
    <row r="283" spans="1:28" x14ac:dyDescent="0.25">
      <c r="A283" s="14">
        <f>'Notes &amp; Assumptions'!A67</f>
        <v>54</v>
      </c>
      <c r="C283" s="1"/>
      <c r="D283" s="1"/>
      <c r="E283" t="s">
        <v>42</v>
      </c>
      <c r="F283" t="s">
        <v>3</v>
      </c>
      <c r="G283" s="10"/>
      <c r="H283" s="10">
        <v>1</v>
      </c>
      <c r="I283" s="10">
        <v>1</v>
      </c>
      <c r="J283" s="10">
        <v>1</v>
      </c>
      <c r="K283" s="10">
        <v>1</v>
      </c>
      <c r="L283" s="10">
        <v>1</v>
      </c>
      <c r="M283" s="10">
        <v>1</v>
      </c>
      <c r="N283" s="10">
        <v>1</v>
      </c>
      <c r="O283" s="10">
        <v>1</v>
      </c>
      <c r="P283" s="10">
        <v>1</v>
      </c>
      <c r="Q283" s="10">
        <v>1</v>
      </c>
      <c r="R283" s="10">
        <v>1</v>
      </c>
      <c r="S283" s="10">
        <v>1</v>
      </c>
      <c r="T283" s="10">
        <v>1</v>
      </c>
      <c r="U283" s="10">
        <v>1</v>
      </c>
      <c r="V283" s="10">
        <v>1</v>
      </c>
      <c r="W283" s="10">
        <v>0</v>
      </c>
      <c r="X283" s="10">
        <v>0</v>
      </c>
      <c r="Y283" s="10">
        <v>0</v>
      </c>
      <c r="Z283" s="10">
        <v>0</v>
      </c>
      <c r="AA283" s="10">
        <v>0</v>
      </c>
    </row>
    <row r="284" spans="1:28" x14ac:dyDescent="0.25">
      <c r="E284" t="s">
        <v>37</v>
      </c>
      <c r="F284" t="s">
        <v>38</v>
      </c>
      <c r="G284" s="8">
        <f ca="1">MAX(0,-G311/(NPV($G$16,H283:AA283)+G283))</f>
        <v>55942064.48843912</v>
      </c>
      <c r="H284" s="2">
        <f t="shared" ref="H284:AA284" ca="1" si="114">G284*(1+$G$14)</f>
        <v>57116847.842696339</v>
      </c>
      <c r="I284" s="2">
        <f t="shared" ca="1" si="114"/>
        <v>58316301.647392958</v>
      </c>
      <c r="J284" s="2">
        <f t="shared" ca="1" si="114"/>
        <v>59540943.981988207</v>
      </c>
      <c r="K284" s="2">
        <f t="shared" ca="1" si="114"/>
        <v>60791303.805609956</v>
      </c>
      <c r="L284" s="2">
        <f t="shared" ca="1" si="114"/>
        <v>62067921.185527757</v>
      </c>
      <c r="M284" s="2">
        <f t="shared" ca="1" si="114"/>
        <v>63371347.530423835</v>
      </c>
      <c r="N284" s="2">
        <f t="shared" ca="1" si="114"/>
        <v>64702145.828562729</v>
      </c>
      <c r="O284" s="2">
        <f t="shared" ca="1" si="114"/>
        <v>66060890.890962541</v>
      </c>
      <c r="P284" s="2">
        <f t="shared" ca="1" si="114"/>
        <v>67448169.59967275</v>
      </c>
      <c r="Q284" s="2">
        <f t="shared" ca="1" si="114"/>
        <v>68864581.161265865</v>
      </c>
      <c r="R284" s="2">
        <f t="shared" ca="1" si="114"/>
        <v>70310737.365652442</v>
      </c>
      <c r="S284" s="2">
        <f t="shared" ca="1" si="114"/>
        <v>71787262.850331143</v>
      </c>
      <c r="T284" s="2">
        <f t="shared" ca="1" si="114"/>
        <v>73294795.370188087</v>
      </c>
      <c r="U284" s="2">
        <f t="shared" ca="1" si="114"/>
        <v>74833986.072962031</v>
      </c>
      <c r="V284" s="2">
        <f t="shared" ca="1" si="114"/>
        <v>76405499.780494228</v>
      </c>
      <c r="W284" s="2">
        <f t="shared" ca="1" si="114"/>
        <v>78010015.275884598</v>
      </c>
      <c r="X284" s="2">
        <f t="shared" ca="1" si="114"/>
        <v>79648225.596678168</v>
      </c>
      <c r="Y284" s="2">
        <f t="shared" ca="1" si="114"/>
        <v>81320838.334208399</v>
      </c>
      <c r="Z284" s="2">
        <f t="shared" ca="1" si="114"/>
        <v>83028575.939226761</v>
      </c>
      <c r="AA284" s="2">
        <f t="shared" ca="1" si="114"/>
        <v>84772176.033950523</v>
      </c>
    </row>
    <row r="285" spans="1:28" x14ac:dyDescent="0.25">
      <c r="E285" t="s">
        <v>21</v>
      </c>
      <c r="F285" t="s">
        <v>7</v>
      </c>
      <c r="G285" s="2">
        <f ca="1">G283*G284</f>
        <v>0</v>
      </c>
      <c r="H285" s="2">
        <f t="shared" ref="H285:AA285" ca="1" si="115">H283*H284</f>
        <v>57116847.842696339</v>
      </c>
      <c r="I285" s="2">
        <f t="shared" ca="1" si="115"/>
        <v>58316301.647392958</v>
      </c>
      <c r="J285" s="2">
        <f t="shared" ca="1" si="115"/>
        <v>59540943.981988207</v>
      </c>
      <c r="K285" s="2">
        <f t="shared" ca="1" si="115"/>
        <v>60791303.805609956</v>
      </c>
      <c r="L285" s="2">
        <f t="shared" ca="1" si="115"/>
        <v>62067921.185527757</v>
      </c>
      <c r="M285" s="2">
        <f t="shared" ca="1" si="115"/>
        <v>63371347.530423835</v>
      </c>
      <c r="N285" s="2">
        <f t="shared" ca="1" si="115"/>
        <v>64702145.828562729</v>
      </c>
      <c r="O285" s="2">
        <f t="shared" ca="1" si="115"/>
        <v>66060890.890962541</v>
      </c>
      <c r="P285" s="2">
        <f t="shared" ca="1" si="115"/>
        <v>67448169.59967275</v>
      </c>
      <c r="Q285" s="2">
        <f t="shared" ca="1" si="115"/>
        <v>68864581.161265865</v>
      </c>
      <c r="R285" s="2">
        <f t="shared" ca="1" si="115"/>
        <v>70310737.365652442</v>
      </c>
      <c r="S285" s="2">
        <f t="shared" ca="1" si="115"/>
        <v>71787262.850331143</v>
      </c>
      <c r="T285" s="2">
        <f t="shared" ca="1" si="115"/>
        <v>73294795.370188087</v>
      </c>
      <c r="U285" s="2">
        <f t="shared" ca="1" si="115"/>
        <v>74833986.072962031</v>
      </c>
      <c r="V285" s="2">
        <f t="shared" ca="1" si="115"/>
        <v>76405499.780494228</v>
      </c>
      <c r="W285" s="2">
        <f t="shared" ca="1" si="115"/>
        <v>0</v>
      </c>
      <c r="X285" s="2">
        <f t="shared" ca="1" si="115"/>
        <v>0</v>
      </c>
      <c r="Y285" s="2">
        <f t="shared" ca="1" si="115"/>
        <v>0</v>
      </c>
      <c r="Z285" s="2">
        <f t="shared" ca="1" si="115"/>
        <v>0</v>
      </c>
      <c r="AA285" s="2">
        <f t="shared" ca="1" si="115"/>
        <v>0</v>
      </c>
    </row>
    <row r="286" spans="1:28" x14ac:dyDescent="0.25">
      <c r="G286" s="8">
        <f ca="1">-G311/(NPV($G$16,H283:AA283)+G283)</f>
        <v>55942064.48843912</v>
      </c>
    </row>
    <row r="287" spans="1:28" x14ac:dyDescent="0.25">
      <c r="D287" t="s">
        <v>9</v>
      </c>
    </row>
    <row r="288" spans="1:28" x14ac:dyDescent="0.25">
      <c r="E288" t="s">
        <v>107</v>
      </c>
      <c r="F288" t="s">
        <v>7</v>
      </c>
      <c r="G288" s="2">
        <f t="shared" ref="G288:AA293" si="116">G222</f>
        <v>0</v>
      </c>
      <c r="H288" s="2">
        <f t="shared" si="116"/>
        <v>14701378.999999998</v>
      </c>
      <c r="I288" s="2">
        <f t="shared" si="116"/>
        <v>18665948.545999993</v>
      </c>
      <c r="J288" s="2">
        <f t="shared" si="116"/>
        <v>23202549.723026093</v>
      </c>
      <c r="K288" s="2">
        <f t="shared" si="116"/>
        <v>26725670.230554003</v>
      </c>
      <c r="L288" s="2">
        <f t="shared" si="116"/>
        <v>30103051.308622271</v>
      </c>
      <c r="M288" s="2">
        <f t="shared" si="116"/>
        <v>33367849.934139017</v>
      </c>
      <c r="N288" s="2">
        <f t="shared" si="116"/>
        <v>36513610.330377668</v>
      </c>
      <c r="O288" s="2">
        <f t="shared" si="116"/>
        <v>39564337.046540275</v>
      </c>
      <c r="P288" s="2">
        <f t="shared" si="116"/>
        <v>46435519.098488577</v>
      </c>
      <c r="Q288" s="2">
        <f t="shared" si="116"/>
        <v>54238765.862088427</v>
      </c>
      <c r="R288" s="2">
        <f t="shared" si="116"/>
        <v>58409551.515018374</v>
      </c>
      <c r="S288" s="2">
        <f t="shared" si="116"/>
        <v>63088204.100269973</v>
      </c>
      <c r="T288" s="2">
        <f t="shared" si="116"/>
        <v>68088011.420906514</v>
      </c>
      <c r="U288" s="2">
        <f t="shared" si="116"/>
        <v>69212595.352429241</v>
      </c>
      <c r="V288" s="2">
        <f t="shared" si="116"/>
        <v>70324747.202718675</v>
      </c>
      <c r="W288" s="2">
        <f t="shared" si="116"/>
        <v>0</v>
      </c>
      <c r="X288" s="2">
        <f t="shared" si="116"/>
        <v>0</v>
      </c>
      <c r="Y288" s="2">
        <f t="shared" si="116"/>
        <v>0</v>
      </c>
      <c r="Z288" s="2">
        <f t="shared" si="116"/>
        <v>0</v>
      </c>
      <c r="AA288" s="2">
        <f t="shared" si="116"/>
        <v>0</v>
      </c>
    </row>
    <row r="289" spans="4:28" customFormat="1" x14ac:dyDescent="0.25">
      <c r="E289" t="s">
        <v>11</v>
      </c>
      <c r="F289" t="s">
        <v>7</v>
      </c>
      <c r="G289" s="2">
        <f t="shared" si="116"/>
        <v>0</v>
      </c>
      <c r="H289" s="2">
        <f t="shared" si="116"/>
        <v>1051910.6031166408</v>
      </c>
      <c r="I289" s="2">
        <f t="shared" si="116"/>
        <v>2316732.0874369917</v>
      </c>
      <c r="J289" s="2">
        <f t="shared" si="116"/>
        <v>3925014.3472899627</v>
      </c>
      <c r="K289" s="2">
        <f t="shared" si="116"/>
        <v>5783212.2398057943</v>
      </c>
      <c r="L289" s="2">
        <f t="shared" si="116"/>
        <v>7890176.3862696234</v>
      </c>
      <c r="M289" s="2">
        <f t="shared" si="116"/>
        <v>10241132.059227407</v>
      </c>
      <c r="N289" s="2">
        <f t="shared" si="116"/>
        <v>12835087.006764164</v>
      </c>
      <c r="O289" s="2">
        <f t="shared" si="116"/>
        <v>15672609.692394681</v>
      </c>
      <c r="P289" s="2">
        <f t="shared" si="116"/>
        <v>19004335.9304423</v>
      </c>
      <c r="Q289" s="2">
        <f t="shared" si="116"/>
        <v>22902082.233731136</v>
      </c>
      <c r="R289" s="2">
        <f t="shared" si="116"/>
        <v>27150367.409845628</v>
      </c>
      <c r="S289" s="2">
        <f t="shared" si="116"/>
        <v>31791802.10947527</v>
      </c>
      <c r="T289" s="2">
        <f t="shared" si="116"/>
        <v>36851733.04480654</v>
      </c>
      <c r="U289" s="2">
        <f t="shared" si="116"/>
        <v>42089433.545174807</v>
      </c>
      <c r="V289" s="2">
        <f t="shared" si="116"/>
        <v>47509618.224838361</v>
      </c>
      <c r="W289" s="2">
        <f t="shared" si="116"/>
        <v>48507320.207559958</v>
      </c>
      <c r="X289" s="2">
        <f t="shared" si="116"/>
        <v>49525973.93191871</v>
      </c>
      <c r="Y289" s="2">
        <f t="shared" si="116"/>
        <v>50566019.384489</v>
      </c>
      <c r="Z289" s="2">
        <f t="shared" si="116"/>
        <v>51627905.791563265</v>
      </c>
      <c r="AA289" s="2">
        <f t="shared" si="116"/>
        <v>52712091.813186087</v>
      </c>
    </row>
    <row r="290" spans="4:28" customFormat="1" x14ac:dyDescent="0.25">
      <c r="E290" t="s">
        <v>57</v>
      </c>
      <c r="F290" t="s">
        <v>7</v>
      </c>
      <c r="G290" s="2">
        <f t="shared" si="116"/>
        <v>0</v>
      </c>
      <c r="H290" s="2">
        <f t="shared" si="116"/>
        <v>-125822.48456029275</v>
      </c>
      <c r="I290" s="2">
        <f t="shared" si="116"/>
        <v>-288056.02291850542</v>
      </c>
      <c r="J290" s="2">
        <f t="shared" si="116"/>
        <v>-492352.50135079632</v>
      </c>
      <c r="K290" s="2">
        <f t="shared" si="116"/>
        <v>-730916.47615232901</v>
      </c>
      <c r="L290" s="2">
        <f t="shared" si="116"/>
        <v>-1003242.8831687041</v>
      </c>
      <c r="M290" s="2">
        <f t="shared" si="116"/>
        <v>-1309064.1089060111</v>
      </c>
      <c r="N290" s="2">
        <f t="shared" si="116"/>
        <v>-1648077.855525607</v>
      </c>
      <c r="O290" s="2">
        <f t="shared" si="116"/>
        <v>-2020180.3833165939</v>
      </c>
      <c r="P290" s="2">
        <f t="shared" si="116"/>
        <v>-2458641.0977114318</v>
      </c>
      <c r="Q290" s="2">
        <f t="shared" si="116"/>
        <v>-2972809.9360573785</v>
      </c>
      <c r="R290" s="2">
        <f t="shared" si="116"/>
        <v>-3533341.8378492072</v>
      </c>
      <c r="S290" s="2">
        <f t="shared" si="116"/>
        <v>-4145556.4648756175</v>
      </c>
      <c r="T290" s="2">
        <f t="shared" si="116"/>
        <v>-4813255.9817171767</v>
      </c>
      <c r="U290" s="2">
        <f t="shared" si="116"/>
        <v>-5504561.189751653</v>
      </c>
      <c r="V290" s="2">
        <f t="shared" si="116"/>
        <v>-6219872.5709791174</v>
      </c>
      <c r="W290" s="2">
        <f t="shared" si="116"/>
        <v>-6350489.8949696776</v>
      </c>
      <c r="X290" s="2">
        <f t="shared" si="116"/>
        <v>-6483850.1827640412</v>
      </c>
      <c r="Y290" s="2">
        <f t="shared" si="116"/>
        <v>-6620011.0366020864</v>
      </c>
      <c r="Z290" s="2">
        <f t="shared" si="116"/>
        <v>-6759031.2683707289</v>
      </c>
      <c r="AA290" s="2">
        <f t="shared" si="116"/>
        <v>-6900970.9250065135</v>
      </c>
    </row>
    <row r="291" spans="4:28" customFormat="1" x14ac:dyDescent="0.25">
      <c r="E291" t="s">
        <v>10</v>
      </c>
      <c r="F291" t="s">
        <v>7</v>
      </c>
      <c r="G291" s="2">
        <f t="shared" si="116"/>
        <v>0</v>
      </c>
      <c r="H291" s="2">
        <f t="shared" si="116"/>
        <v>-225504.81902</v>
      </c>
      <c r="I291" s="2">
        <f t="shared" si="116"/>
        <v>-514535.05483233999</v>
      </c>
      <c r="J291" s="2">
        <f t="shared" si="116"/>
        <v>-877093.0457767779</v>
      </c>
      <c r="K291" s="2">
        <f t="shared" si="116"/>
        <v>-1299116.6953373468</v>
      </c>
      <c r="L291" s="2">
        <f t="shared" si="116"/>
        <v>-1779901.6124570537</v>
      </c>
      <c r="M291" s="2">
        <f t="shared" si="116"/>
        <v>-2318791.7152582961</v>
      </c>
      <c r="N291" s="2">
        <f t="shared" si="116"/>
        <v>-2915344.739347267</v>
      </c>
      <c r="O291" s="2">
        <f t="shared" si="116"/>
        <v>-3569470.6321917968</v>
      </c>
      <c r="P291" s="2">
        <f t="shared" si="116"/>
        <v>-4339446.1847785134</v>
      </c>
      <c r="Q291" s="2">
        <f t="shared" si="116"/>
        <v>-5241742.9414221635</v>
      </c>
      <c r="R291" s="2">
        <f t="shared" si="116"/>
        <v>-6225337.8361501014</v>
      </c>
      <c r="S291" s="2">
        <f t="shared" si="116"/>
        <v>-7299721.2417829428</v>
      </c>
      <c r="T291" s="2">
        <f t="shared" si="116"/>
        <v>-8471329.4042916596</v>
      </c>
      <c r="U291" s="2">
        <f t="shared" si="116"/>
        <v>-9684282.4102842938</v>
      </c>
      <c r="V291" s="2">
        <f t="shared" si="116"/>
        <v>-10939397.034905106</v>
      </c>
      <c r="W291" s="2">
        <f t="shared" si="116"/>
        <v>-11169124.372638112</v>
      </c>
      <c r="X291" s="2">
        <f t="shared" si="116"/>
        <v>-11403675.984463513</v>
      </c>
      <c r="Y291" s="2">
        <f t="shared" si="116"/>
        <v>-11643153.180137243</v>
      </c>
      <c r="Z291" s="2">
        <f t="shared" si="116"/>
        <v>-11887659.396920126</v>
      </c>
      <c r="AA291" s="2">
        <f t="shared" si="116"/>
        <v>-12137300.244255446</v>
      </c>
    </row>
    <row r="292" spans="4:28" customFormat="1" x14ac:dyDescent="0.25">
      <c r="E292" t="s">
        <v>12</v>
      </c>
      <c r="F292" t="s">
        <v>7</v>
      </c>
      <c r="G292" s="2">
        <f t="shared" si="116"/>
        <v>-5395535.9313984811</v>
      </c>
      <c r="H292" s="2">
        <f t="shared" si="116"/>
        <v>-5915859.4774586549</v>
      </c>
      <c r="I292" s="2">
        <f t="shared" si="116"/>
        <v>-6405310.9496283876</v>
      </c>
      <c r="J292" s="2">
        <f t="shared" si="116"/>
        <v>-7133203.7745977826</v>
      </c>
      <c r="K292" s="2">
        <f t="shared" si="116"/>
        <v>-7841891.4239365235</v>
      </c>
      <c r="L292" s="2">
        <f t="shared" si="116"/>
        <v>-8406327.4006224778</v>
      </c>
      <c r="M292" s="2">
        <f t="shared" si="116"/>
        <v>-10190860.473986333</v>
      </c>
      <c r="N292" s="2">
        <f t="shared" si="116"/>
        <v>-11939537.574559784</v>
      </c>
      <c r="O292" s="2">
        <f t="shared" si="116"/>
        <v>-13362874.810713746</v>
      </c>
      <c r="P292" s="2">
        <f t="shared" si="116"/>
        <v>-15318320.017761748</v>
      </c>
      <c r="Q292" s="2">
        <f t="shared" si="116"/>
        <v>-16499425.990409628</v>
      </c>
      <c r="R292" s="2">
        <f t="shared" si="116"/>
        <v>-17535427.905909948</v>
      </c>
      <c r="S292" s="2">
        <f t="shared" si="116"/>
        <v>-18631541.995007291</v>
      </c>
      <c r="T292" s="2">
        <f t="shared" si="116"/>
        <v>-19791507.313692689</v>
      </c>
      <c r="U292" s="2">
        <f t="shared" si="116"/>
        <v>-20972440.07842252</v>
      </c>
      <c r="V292" s="2">
        <f t="shared" si="116"/>
        <v>-22174380.068410438</v>
      </c>
      <c r="W292" s="2">
        <f t="shared" si="116"/>
        <v>-22174380.068410438</v>
      </c>
      <c r="X292" s="2">
        <f t="shared" si="116"/>
        <v>-22174380.068410438</v>
      </c>
      <c r="Y292" s="2">
        <f t="shared" si="116"/>
        <v>-22174380.068410438</v>
      </c>
      <c r="Z292" s="2">
        <f t="shared" si="116"/>
        <v>-22174380.068410438</v>
      </c>
      <c r="AA292" s="2">
        <f t="shared" si="116"/>
        <v>-22174380.068410438</v>
      </c>
    </row>
    <row r="293" spans="4:28" customFormat="1" x14ac:dyDescent="0.25">
      <c r="E293" t="s">
        <v>48</v>
      </c>
      <c r="F293" t="s">
        <v>7</v>
      </c>
      <c r="G293" s="2">
        <f t="shared" si="116"/>
        <v>0</v>
      </c>
      <c r="H293" s="2">
        <f t="shared" si="116"/>
        <v>0</v>
      </c>
      <c r="I293" s="2">
        <f t="shared" si="116"/>
        <v>0</v>
      </c>
      <c r="J293" s="2">
        <f t="shared" si="116"/>
        <v>0</v>
      </c>
      <c r="K293" s="2">
        <f t="shared" si="116"/>
        <v>0</v>
      </c>
      <c r="L293" s="2">
        <f t="shared" si="116"/>
        <v>0</v>
      </c>
      <c r="M293" s="2">
        <f t="shared" si="116"/>
        <v>0</v>
      </c>
      <c r="N293" s="2">
        <f t="shared" si="116"/>
        <v>0</v>
      </c>
      <c r="O293" s="2">
        <f t="shared" si="116"/>
        <v>0</v>
      </c>
      <c r="P293" s="2">
        <f t="shared" si="116"/>
        <v>0</v>
      </c>
      <c r="Q293" s="2">
        <f t="shared" si="116"/>
        <v>0</v>
      </c>
      <c r="R293" s="2">
        <f t="shared" si="116"/>
        <v>0</v>
      </c>
      <c r="S293" s="2">
        <f t="shared" si="116"/>
        <v>0</v>
      </c>
      <c r="T293" s="2">
        <f t="shared" si="116"/>
        <v>0</v>
      </c>
      <c r="U293" s="2">
        <f t="shared" si="116"/>
        <v>0</v>
      </c>
      <c r="V293" s="2">
        <f t="shared" si="116"/>
        <v>0</v>
      </c>
      <c r="W293" s="2">
        <f t="shared" si="116"/>
        <v>0</v>
      </c>
      <c r="X293" s="2">
        <f t="shared" si="116"/>
        <v>0</v>
      </c>
      <c r="Y293" s="2">
        <f t="shared" si="116"/>
        <v>0</v>
      </c>
      <c r="Z293" s="2">
        <f t="shared" si="116"/>
        <v>0</v>
      </c>
      <c r="AA293" s="2">
        <f t="shared" si="116"/>
        <v>0</v>
      </c>
    </row>
    <row r="294" spans="4:28" customFormat="1" x14ac:dyDescent="0.25">
      <c r="E294" t="s">
        <v>13</v>
      </c>
      <c r="F294" t="s">
        <v>7</v>
      </c>
      <c r="G294" s="2">
        <f t="shared" ref="G294:AA294" ca="1" si="117">G285</f>
        <v>0</v>
      </c>
      <c r="H294" s="2">
        <f t="shared" ca="1" si="117"/>
        <v>57116847.842696339</v>
      </c>
      <c r="I294" s="2">
        <f t="shared" ca="1" si="117"/>
        <v>58316301.647392958</v>
      </c>
      <c r="J294" s="2">
        <f t="shared" ca="1" si="117"/>
        <v>59540943.981988207</v>
      </c>
      <c r="K294" s="2">
        <f t="shared" ca="1" si="117"/>
        <v>60791303.805609956</v>
      </c>
      <c r="L294" s="2">
        <f t="shared" ca="1" si="117"/>
        <v>62067921.185527757</v>
      </c>
      <c r="M294" s="2">
        <f t="shared" ca="1" si="117"/>
        <v>63371347.530423835</v>
      </c>
      <c r="N294" s="2">
        <f t="shared" ca="1" si="117"/>
        <v>64702145.828562729</v>
      </c>
      <c r="O294" s="2">
        <f t="shared" ca="1" si="117"/>
        <v>66060890.890962541</v>
      </c>
      <c r="P294" s="2">
        <f t="shared" ca="1" si="117"/>
        <v>67448169.59967275</v>
      </c>
      <c r="Q294" s="2">
        <f t="shared" ca="1" si="117"/>
        <v>68864581.161265865</v>
      </c>
      <c r="R294" s="2">
        <f t="shared" ca="1" si="117"/>
        <v>70310737.365652442</v>
      </c>
      <c r="S294" s="2">
        <f t="shared" ca="1" si="117"/>
        <v>71787262.850331143</v>
      </c>
      <c r="T294" s="2">
        <f t="shared" ca="1" si="117"/>
        <v>73294795.370188087</v>
      </c>
      <c r="U294" s="2">
        <f t="shared" ca="1" si="117"/>
        <v>74833986.072962031</v>
      </c>
      <c r="V294" s="2">
        <f t="shared" ca="1" si="117"/>
        <v>76405499.780494228</v>
      </c>
      <c r="W294" s="2">
        <f t="shared" ca="1" si="117"/>
        <v>0</v>
      </c>
      <c r="X294" s="2">
        <f t="shared" ca="1" si="117"/>
        <v>0</v>
      </c>
      <c r="Y294" s="2">
        <f t="shared" ca="1" si="117"/>
        <v>0</v>
      </c>
      <c r="Z294" s="2">
        <f t="shared" ca="1" si="117"/>
        <v>0</v>
      </c>
      <c r="AA294" s="2">
        <f t="shared" ca="1" si="117"/>
        <v>0</v>
      </c>
    </row>
    <row r="295" spans="4:28" customFormat="1" x14ac:dyDescent="0.25"/>
    <row r="296" spans="4:28" customFormat="1" x14ac:dyDescent="0.25">
      <c r="E296" t="s">
        <v>14</v>
      </c>
      <c r="F296" t="s">
        <v>7</v>
      </c>
      <c r="G296" s="2">
        <f t="shared" ref="G296:AA296" ca="1" si="118">SUM(G288:G294)</f>
        <v>-5395535.9313984811</v>
      </c>
      <c r="H296" s="2">
        <f t="shared" ca="1" si="118"/>
        <v>66602950.66477403</v>
      </c>
      <c r="I296" s="2">
        <f t="shared" ca="1" si="118"/>
        <v>72091080.253450722</v>
      </c>
      <c r="J296" s="2">
        <f t="shared" ca="1" si="118"/>
        <v>78165858.730578899</v>
      </c>
      <c r="K296" s="2">
        <f t="shared" ca="1" si="118"/>
        <v>83428261.680543557</v>
      </c>
      <c r="L296" s="2">
        <f t="shared" ca="1" si="118"/>
        <v>88871676.98417142</v>
      </c>
      <c r="M296" s="2">
        <f t="shared" ca="1" si="118"/>
        <v>93161613.225639611</v>
      </c>
      <c r="N296" s="2">
        <f t="shared" ca="1" si="118"/>
        <v>97547882.996271908</v>
      </c>
      <c r="O296" s="2">
        <f t="shared" ca="1" si="118"/>
        <v>102345311.80367535</v>
      </c>
      <c r="P296" s="2">
        <f t="shared" ca="1" si="118"/>
        <v>110771617.32835193</v>
      </c>
      <c r="Q296" s="2">
        <f t="shared" ca="1" si="118"/>
        <v>121291450.38919626</v>
      </c>
      <c r="R296" s="2">
        <f t="shared" ca="1" si="118"/>
        <v>128576548.7106072</v>
      </c>
      <c r="S296" s="2">
        <f t="shared" ca="1" si="118"/>
        <v>136590449.35841054</v>
      </c>
      <c r="T296" s="2">
        <f t="shared" ca="1" si="118"/>
        <v>145158447.13619962</v>
      </c>
      <c r="U296" s="2">
        <f t="shared" ca="1" si="118"/>
        <v>149974731.29210761</v>
      </c>
      <c r="V296" s="2">
        <f t="shared" ca="1" si="118"/>
        <v>154906215.53375661</v>
      </c>
      <c r="W296" s="2">
        <f t="shared" ca="1" si="118"/>
        <v>8813325.8715417273</v>
      </c>
      <c r="X296" s="2">
        <f t="shared" ca="1" si="118"/>
        <v>9464067.6962807216</v>
      </c>
      <c r="Y296" s="2">
        <f t="shared" ca="1" si="118"/>
        <v>10128475.099339232</v>
      </c>
      <c r="Z296" s="2">
        <f t="shared" ca="1" si="118"/>
        <v>10806835.057861976</v>
      </c>
      <c r="AA296" s="2">
        <f t="shared" ca="1" si="118"/>
        <v>11499440.575513687</v>
      </c>
    </row>
    <row r="297" spans="4:28" customFormat="1" x14ac:dyDescent="0.25">
      <c r="E297" t="s">
        <v>15</v>
      </c>
      <c r="F297" t="s">
        <v>7</v>
      </c>
      <c r="G297" s="2">
        <f t="shared" ref="G297:AA297" ca="1" si="119">-G296*G$18</f>
        <v>1618660.7794195444</v>
      </c>
      <c r="H297" s="2">
        <f t="shared" ca="1" si="119"/>
        <v>-19980885.199432209</v>
      </c>
      <c r="I297" s="2">
        <f t="shared" ca="1" si="119"/>
        <v>-21627324.076035216</v>
      </c>
      <c r="J297" s="2">
        <f t="shared" ca="1" si="119"/>
        <v>-23449757.619173668</v>
      </c>
      <c r="K297" s="2">
        <f t="shared" ca="1" si="119"/>
        <v>-25028478.504163068</v>
      </c>
      <c r="L297" s="2">
        <f t="shared" ca="1" si="119"/>
        <v>-26661503.095251426</v>
      </c>
      <c r="M297" s="2">
        <f t="shared" ca="1" si="119"/>
        <v>-27948483.967691883</v>
      </c>
      <c r="N297" s="2">
        <f t="shared" ca="1" si="119"/>
        <v>-29264364.898881573</v>
      </c>
      <c r="O297" s="2">
        <f t="shared" ca="1" si="119"/>
        <v>-30703593.541102603</v>
      </c>
      <c r="P297" s="2">
        <f t="shared" ca="1" si="119"/>
        <v>-33231485.198505577</v>
      </c>
      <c r="Q297" s="2">
        <f t="shared" ca="1" si="119"/>
        <v>-36387435.116758876</v>
      </c>
      <c r="R297" s="2">
        <f t="shared" ca="1" si="119"/>
        <v>-38572964.613182157</v>
      </c>
      <c r="S297" s="2">
        <f t="shared" ca="1" si="119"/>
        <v>-40977134.807523161</v>
      </c>
      <c r="T297" s="2">
        <f t="shared" ca="1" si="119"/>
        <v>-43547534.140859887</v>
      </c>
      <c r="U297" s="2">
        <f t="shared" ca="1" si="119"/>
        <v>-44992419.387632281</v>
      </c>
      <c r="V297" s="2">
        <f t="shared" ca="1" si="119"/>
        <v>-46471864.660126984</v>
      </c>
      <c r="W297" s="2">
        <f t="shared" ca="1" si="119"/>
        <v>-2643997.761462518</v>
      </c>
      <c r="X297" s="2">
        <f t="shared" ca="1" si="119"/>
        <v>-2839220.3088842165</v>
      </c>
      <c r="Y297" s="2">
        <f t="shared" ca="1" si="119"/>
        <v>-3038542.5298017696</v>
      </c>
      <c r="Z297" s="2">
        <f t="shared" ca="1" si="119"/>
        <v>-3242050.5173585927</v>
      </c>
      <c r="AA297" s="2">
        <f t="shared" ca="1" si="119"/>
        <v>-3449832.1726541058</v>
      </c>
    </row>
    <row r="298" spans="4:28" customFormat="1" x14ac:dyDescent="0.25"/>
    <row r="299" spans="4:28" customFormat="1" x14ac:dyDescent="0.25">
      <c r="D299" t="s">
        <v>28</v>
      </c>
    </row>
    <row r="300" spans="4:28" customFormat="1" x14ac:dyDescent="0.25">
      <c r="E300" t="s">
        <v>1</v>
      </c>
      <c r="F300" t="s">
        <v>7</v>
      </c>
      <c r="G300" s="2">
        <f t="shared" ref="G300:AA307" si="120">G234</f>
        <v>-485598233.8258633</v>
      </c>
      <c r="H300" s="2">
        <f t="shared" si="120"/>
        <v>-32127740.145415597</v>
      </c>
      <c r="I300" s="2">
        <f t="shared" si="120"/>
        <v>-25384683.949275892</v>
      </c>
      <c r="J300" s="2">
        <f t="shared" si="120"/>
        <v>-42307804.524219491</v>
      </c>
      <c r="K300" s="2">
        <f t="shared" si="120"/>
        <v>-37056218.209932685</v>
      </c>
      <c r="L300" s="2">
        <f t="shared" si="120"/>
        <v>-20696186.593113609</v>
      </c>
      <c r="M300" s="2">
        <f t="shared" si="120"/>
        <v>-127240126.66860779</v>
      </c>
      <c r="N300" s="2">
        <f t="shared" si="120"/>
        <v>-120867328.72123285</v>
      </c>
      <c r="O300" s="2">
        <f t="shared" si="120"/>
        <v>-88536014.207316339</v>
      </c>
      <c r="P300" s="2">
        <f t="shared" si="120"/>
        <v>-129554549.53583172</v>
      </c>
      <c r="Q300" s="2">
        <f t="shared" si="120"/>
        <v>-52060771.676220611</v>
      </c>
      <c r="R300" s="2">
        <f t="shared" si="120"/>
        <v>-34830620.880010657</v>
      </c>
      <c r="S300" s="2">
        <f t="shared" si="120"/>
        <v>-35562063.918490864</v>
      </c>
      <c r="T300" s="2">
        <f t="shared" si="120"/>
        <v>-36308867.260779172</v>
      </c>
      <c r="U300" s="2">
        <f t="shared" si="120"/>
        <v>-37071353.473255537</v>
      </c>
      <c r="V300" s="2">
        <f t="shared" si="120"/>
        <v>-37849851.896193892</v>
      </c>
      <c r="W300" s="2">
        <f t="shared" si="120"/>
        <v>0</v>
      </c>
      <c r="X300" s="2">
        <f t="shared" si="120"/>
        <v>0</v>
      </c>
      <c r="Y300" s="2">
        <f t="shared" si="120"/>
        <v>0</v>
      </c>
      <c r="Z300" s="2">
        <f t="shared" si="120"/>
        <v>0</v>
      </c>
      <c r="AA300" s="2">
        <f t="shared" si="120"/>
        <v>0</v>
      </c>
    </row>
    <row r="301" spans="4:28" customFormat="1" x14ac:dyDescent="0.25">
      <c r="E301" t="s">
        <v>19</v>
      </c>
      <c r="F301" t="s">
        <v>7</v>
      </c>
      <c r="G301" s="2">
        <f t="shared" si="120"/>
        <v>0</v>
      </c>
      <c r="H301" s="2">
        <f t="shared" si="120"/>
        <v>0</v>
      </c>
      <c r="I301" s="2">
        <f t="shared" si="120"/>
        <v>0</v>
      </c>
      <c r="J301" s="2">
        <f t="shared" si="120"/>
        <v>0</v>
      </c>
      <c r="K301" s="2">
        <f t="shared" si="120"/>
        <v>0</v>
      </c>
      <c r="L301" s="2">
        <f t="shared" si="120"/>
        <v>0</v>
      </c>
      <c r="M301" s="2">
        <f t="shared" si="120"/>
        <v>0</v>
      </c>
      <c r="N301" s="2">
        <f t="shared" si="120"/>
        <v>0</v>
      </c>
      <c r="O301" s="2">
        <f t="shared" si="120"/>
        <v>0</v>
      </c>
      <c r="P301" s="2">
        <f t="shared" si="120"/>
        <v>0</v>
      </c>
      <c r="Q301" s="2">
        <f t="shared" si="120"/>
        <v>0</v>
      </c>
      <c r="R301" s="2">
        <f t="shared" si="120"/>
        <v>0</v>
      </c>
      <c r="S301" s="2">
        <f t="shared" si="120"/>
        <v>0</v>
      </c>
      <c r="T301" s="2">
        <f t="shared" si="120"/>
        <v>0</v>
      </c>
      <c r="U301" s="2">
        <f t="shared" si="120"/>
        <v>0</v>
      </c>
      <c r="V301" s="2">
        <f t="shared" si="120"/>
        <v>0</v>
      </c>
      <c r="W301" s="2">
        <f t="shared" si="120"/>
        <v>0</v>
      </c>
      <c r="X301" s="2">
        <f t="shared" si="120"/>
        <v>0</v>
      </c>
      <c r="Y301" s="2">
        <f t="shared" si="120"/>
        <v>0</v>
      </c>
      <c r="Z301" s="2">
        <f t="shared" si="120"/>
        <v>0</v>
      </c>
      <c r="AA301" s="2">
        <f t="shared" si="120"/>
        <v>0</v>
      </c>
    </row>
    <row r="302" spans="4:28" customFormat="1" x14ac:dyDescent="0.25">
      <c r="E302" t="s">
        <v>109</v>
      </c>
      <c r="F302" t="s">
        <v>7</v>
      </c>
      <c r="G302" s="2">
        <f t="shared" si="120"/>
        <v>0</v>
      </c>
      <c r="H302" s="2">
        <f t="shared" si="120"/>
        <v>0</v>
      </c>
      <c r="I302" s="2">
        <f t="shared" si="120"/>
        <v>0</v>
      </c>
      <c r="J302" s="2">
        <f t="shared" si="120"/>
        <v>0</v>
      </c>
      <c r="K302" s="2">
        <f t="shared" si="120"/>
        <v>0</v>
      </c>
      <c r="L302" s="2">
        <f t="shared" si="120"/>
        <v>0</v>
      </c>
      <c r="M302" s="2">
        <f t="shared" si="120"/>
        <v>0</v>
      </c>
      <c r="N302" s="2">
        <f t="shared" si="120"/>
        <v>0</v>
      </c>
      <c r="O302" s="2">
        <f t="shared" si="120"/>
        <v>0</v>
      </c>
      <c r="P302" s="2">
        <f t="shared" si="120"/>
        <v>0</v>
      </c>
      <c r="Q302" s="2">
        <f t="shared" si="120"/>
        <v>0</v>
      </c>
      <c r="R302" s="2">
        <f t="shared" si="120"/>
        <v>0</v>
      </c>
      <c r="S302" s="2">
        <f t="shared" si="120"/>
        <v>0</v>
      </c>
      <c r="T302" s="2">
        <f t="shared" si="120"/>
        <v>0</v>
      </c>
      <c r="U302" s="2">
        <f t="shared" si="120"/>
        <v>0</v>
      </c>
      <c r="V302" s="2">
        <f t="shared" si="120"/>
        <v>0</v>
      </c>
      <c r="W302" s="2">
        <f t="shared" si="120"/>
        <v>0</v>
      </c>
      <c r="X302" s="2">
        <f t="shared" si="120"/>
        <v>0</v>
      </c>
      <c r="Y302" s="2">
        <f t="shared" si="120"/>
        <v>0</v>
      </c>
      <c r="Z302" s="2">
        <f t="shared" si="120"/>
        <v>0</v>
      </c>
      <c r="AA302" s="2">
        <f t="shared" si="120"/>
        <v>0</v>
      </c>
    </row>
    <row r="303" spans="4:28" customFormat="1" x14ac:dyDescent="0.25">
      <c r="E303" t="s">
        <v>11</v>
      </c>
      <c r="F303" t="s">
        <v>7</v>
      </c>
      <c r="G303" s="2">
        <f t="shared" si="120"/>
        <v>0</v>
      </c>
      <c r="H303" s="2">
        <f t="shared" si="120"/>
        <v>1051910.6031166408</v>
      </c>
      <c r="I303" s="2">
        <f t="shared" si="120"/>
        <v>2316732.0874369917</v>
      </c>
      <c r="J303" s="2">
        <f t="shared" si="120"/>
        <v>3925014.3472899627</v>
      </c>
      <c r="K303" s="2">
        <f t="shared" si="120"/>
        <v>5783212.2398057943</v>
      </c>
      <c r="L303" s="2">
        <f t="shared" si="120"/>
        <v>7890176.3862696234</v>
      </c>
      <c r="M303" s="2">
        <f t="shared" si="120"/>
        <v>10241132.059227407</v>
      </c>
      <c r="N303" s="2">
        <f t="shared" si="120"/>
        <v>12835087.006764164</v>
      </c>
      <c r="O303" s="2">
        <f t="shared" si="120"/>
        <v>15672609.692394681</v>
      </c>
      <c r="P303" s="2">
        <f t="shared" si="120"/>
        <v>19004335.9304423</v>
      </c>
      <c r="Q303" s="2">
        <f t="shared" si="120"/>
        <v>22902082.233731136</v>
      </c>
      <c r="R303" s="2">
        <f t="shared" si="120"/>
        <v>27150367.409845628</v>
      </c>
      <c r="S303" s="2">
        <f t="shared" si="120"/>
        <v>31791802.10947527</v>
      </c>
      <c r="T303" s="2">
        <f t="shared" si="120"/>
        <v>36851733.04480654</v>
      </c>
      <c r="U303" s="2">
        <f t="shared" si="120"/>
        <v>42089433.545174807</v>
      </c>
      <c r="V303" s="2">
        <f t="shared" si="120"/>
        <v>47509618.224838361</v>
      </c>
      <c r="W303" s="2">
        <f t="shared" si="120"/>
        <v>48507320.207559958</v>
      </c>
      <c r="X303" s="2">
        <f t="shared" si="120"/>
        <v>49525973.93191871</v>
      </c>
      <c r="Y303" s="2">
        <f t="shared" si="120"/>
        <v>50566019.384489</v>
      </c>
      <c r="Z303" s="2">
        <f t="shared" si="120"/>
        <v>51627905.791563265</v>
      </c>
      <c r="AA303" s="2">
        <f t="shared" si="120"/>
        <v>52712091.813186087</v>
      </c>
      <c r="AB303" s="2">
        <f t="shared" ref="AB303:AB307" si="121">IF(V303=0,0,IF($G$15&gt;(AA303/V303)^(1/5)-1+2%,AA303*(AA303/V303)^(1/5)/($G$15-((AA303/V303)^(1/5)-1)),AA303*(1+$G$14)/$G$16))</f>
        <v>1757069727.1062064</v>
      </c>
    </row>
    <row r="304" spans="4:28" customFormat="1" x14ac:dyDescent="0.25">
      <c r="E304" t="s">
        <v>57</v>
      </c>
      <c r="F304" t="s">
        <v>7</v>
      </c>
      <c r="G304" s="2">
        <f t="shared" si="120"/>
        <v>0</v>
      </c>
      <c r="H304" s="2">
        <f t="shared" si="120"/>
        <v>-125822.48456029275</v>
      </c>
      <c r="I304" s="2">
        <f t="shared" si="120"/>
        <v>-288056.02291850542</v>
      </c>
      <c r="J304" s="2">
        <f t="shared" si="120"/>
        <v>-492352.50135079632</v>
      </c>
      <c r="K304" s="2">
        <f t="shared" si="120"/>
        <v>-730916.47615232901</v>
      </c>
      <c r="L304" s="2">
        <f t="shared" si="120"/>
        <v>-1003242.8831687041</v>
      </c>
      <c r="M304" s="2">
        <f t="shared" si="120"/>
        <v>-1309064.1089060111</v>
      </c>
      <c r="N304" s="2">
        <f t="shared" si="120"/>
        <v>-1648077.855525607</v>
      </c>
      <c r="O304" s="2">
        <f t="shared" si="120"/>
        <v>-2020180.3833165939</v>
      </c>
      <c r="P304" s="2">
        <f t="shared" si="120"/>
        <v>-2458641.0977114318</v>
      </c>
      <c r="Q304" s="2">
        <f t="shared" si="120"/>
        <v>-2972809.9360573785</v>
      </c>
      <c r="R304" s="2">
        <f t="shared" si="120"/>
        <v>-3533341.8378492072</v>
      </c>
      <c r="S304" s="2">
        <f t="shared" si="120"/>
        <v>-4145556.4648756175</v>
      </c>
      <c r="T304" s="2">
        <f t="shared" si="120"/>
        <v>-4813255.9817171767</v>
      </c>
      <c r="U304" s="2">
        <f t="shared" si="120"/>
        <v>-5504561.189751653</v>
      </c>
      <c r="V304" s="2">
        <f t="shared" si="120"/>
        <v>-6219872.5709791174</v>
      </c>
      <c r="W304" s="2">
        <f t="shared" si="120"/>
        <v>-6350489.8949696776</v>
      </c>
      <c r="X304" s="2">
        <f t="shared" si="120"/>
        <v>-6483850.1827640412</v>
      </c>
      <c r="Y304" s="2">
        <f t="shared" si="120"/>
        <v>-6620011.0366020864</v>
      </c>
      <c r="Z304" s="2">
        <f t="shared" si="120"/>
        <v>-6759031.2683707289</v>
      </c>
      <c r="AA304" s="2">
        <f t="shared" si="120"/>
        <v>-6900970.9250065135</v>
      </c>
      <c r="AB304" s="2">
        <f t="shared" si="121"/>
        <v>-230032364.16688424</v>
      </c>
    </row>
    <row r="305" spans="1:28" x14ac:dyDescent="0.25">
      <c r="E305" t="s">
        <v>10</v>
      </c>
      <c r="F305" t="s">
        <v>7</v>
      </c>
      <c r="G305" s="2">
        <f t="shared" si="120"/>
        <v>0</v>
      </c>
      <c r="H305" s="2">
        <f t="shared" si="120"/>
        <v>-225504.81902</v>
      </c>
      <c r="I305" s="2">
        <f t="shared" si="120"/>
        <v>-514535.05483233999</v>
      </c>
      <c r="J305" s="2">
        <f t="shared" si="120"/>
        <v>-877093.0457767779</v>
      </c>
      <c r="K305" s="2">
        <f t="shared" si="120"/>
        <v>-1299116.6953373468</v>
      </c>
      <c r="L305" s="2">
        <f t="shared" si="120"/>
        <v>-1779901.6124570537</v>
      </c>
      <c r="M305" s="2">
        <f t="shared" si="120"/>
        <v>-2318791.7152582961</v>
      </c>
      <c r="N305" s="2">
        <f t="shared" si="120"/>
        <v>-2915344.739347267</v>
      </c>
      <c r="O305" s="2">
        <f t="shared" si="120"/>
        <v>-3569470.6321917968</v>
      </c>
      <c r="P305" s="2">
        <f t="shared" si="120"/>
        <v>-4339446.1847785134</v>
      </c>
      <c r="Q305" s="2">
        <f t="shared" si="120"/>
        <v>-5241742.9414221635</v>
      </c>
      <c r="R305" s="2">
        <f t="shared" si="120"/>
        <v>-6225337.8361501014</v>
      </c>
      <c r="S305" s="2">
        <f t="shared" si="120"/>
        <v>-7299721.2417829428</v>
      </c>
      <c r="T305" s="2">
        <f t="shared" si="120"/>
        <v>-8471329.4042916596</v>
      </c>
      <c r="U305" s="2">
        <f t="shared" si="120"/>
        <v>-9684282.4102842938</v>
      </c>
      <c r="V305" s="2">
        <f t="shared" si="120"/>
        <v>-10939397.034905106</v>
      </c>
      <c r="W305" s="2">
        <f t="shared" si="120"/>
        <v>-11169124.372638112</v>
      </c>
      <c r="X305" s="2">
        <f t="shared" si="120"/>
        <v>-11403675.984463513</v>
      </c>
      <c r="Y305" s="2">
        <f t="shared" si="120"/>
        <v>-11643153.180137243</v>
      </c>
      <c r="Z305" s="2">
        <f t="shared" si="120"/>
        <v>-11887659.396920126</v>
      </c>
      <c r="AA305" s="2">
        <f t="shared" si="120"/>
        <v>-12137300.244255446</v>
      </c>
      <c r="AB305" s="2">
        <f t="shared" si="121"/>
        <v>-404576674.80851573</v>
      </c>
    </row>
    <row r="306" spans="1:28" x14ac:dyDescent="0.25">
      <c r="E306" t="s">
        <v>48</v>
      </c>
      <c r="F306" t="s">
        <v>7</v>
      </c>
      <c r="G306" s="2">
        <f t="shared" si="120"/>
        <v>0</v>
      </c>
      <c r="H306" s="2">
        <f t="shared" si="120"/>
        <v>0</v>
      </c>
      <c r="I306" s="2">
        <f t="shared" si="120"/>
        <v>0</v>
      </c>
      <c r="J306" s="2">
        <f t="shared" si="120"/>
        <v>0</v>
      </c>
      <c r="K306" s="2">
        <f t="shared" si="120"/>
        <v>0</v>
      </c>
      <c r="L306" s="2">
        <f t="shared" si="120"/>
        <v>0</v>
      </c>
      <c r="M306" s="2">
        <f t="shared" si="120"/>
        <v>0</v>
      </c>
      <c r="N306" s="2">
        <f t="shared" si="120"/>
        <v>0</v>
      </c>
      <c r="O306" s="2">
        <f t="shared" si="120"/>
        <v>0</v>
      </c>
      <c r="P306" s="2">
        <f t="shared" si="120"/>
        <v>0</v>
      </c>
      <c r="Q306" s="2">
        <f t="shared" si="120"/>
        <v>0</v>
      </c>
      <c r="R306" s="2">
        <f t="shared" si="120"/>
        <v>0</v>
      </c>
      <c r="S306" s="2">
        <f t="shared" si="120"/>
        <v>0</v>
      </c>
      <c r="T306" s="2">
        <f t="shared" si="120"/>
        <v>0</v>
      </c>
      <c r="U306" s="2">
        <f t="shared" si="120"/>
        <v>0</v>
      </c>
      <c r="V306" s="2">
        <f t="shared" si="120"/>
        <v>0</v>
      </c>
      <c r="W306" s="2">
        <f t="shared" si="120"/>
        <v>0</v>
      </c>
      <c r="X306" s="2">
        <f t="shared" si="120"/>
        <v>0</v>
      </c>
      <c r="Y306" s="2">
        <f t="shared" si="120"/>
        <v>0</v>
      </c>
      <c r="Z306" s="2">
        <f t="shared" si="120"/>
        <v>0</v>
      </c>
      <c r="AA306" s="2">
        <f t="shared" si="120"/>
        <v>0</v>
      </c>
      <c r="AB306" s="2">
        <f t="shared" si="121"/>
        <v>0</v>
      </c>
    </row>
    <row r="307" spans="1:28" x14ac:dyDescent="0.25">
      <c r="E307" t="s">
        <v>49</v>
      </c>
      <c r="F307" t="s">
        <v>7</v>
      </c>
      <c r="G307" s="2">
        <f t="shared" si="120"/>
        <v>0</v>
      </c>
      <c r="H307" s="2">
        <f t="shared" si="120"/>
        <v>0</v>
      </c>
      <c r="I307" s="2">
        <f t="shared" si="120"/>
        <v>0</v>
      </c>
      <c r="J307" s="2">
        <f t="shared" si="120"/>
        <v>0</v>
      </c>
      <c r="K307" s="2">
        <f t="shared" si="120"/>
        <v>0</v>
      </c>
      <c r="L307" s="2">
        <f t="shared" si="120"/>
        <v>0</v>
      </c>
      <c r="M307" s="2">
        <f t="shared" si="120"/>
        <v>0</v>
      </c>
      <c r="N307" s="2">
        <f t="shared" si="120"/>
        <v>0</v>
      </c>
      <c r="O307" s="2">
        <f t="shared" si="120"/>
        <v>0</v>
      </c>
      <c r="P307" s="2">
        <f t="shared" si="120"/>
        <v>0</v>
      </c>
      <c r="Q307" s="2">
        <f t="shared" si="120"/>
        <v>0</v>
      </c>
      <c r="R307" s="2">
        <f t="shared" si="120"/>
        <v>0</v>
      </c>
      <c r="S307" s="2">
        <f t="shared" si="120"/>
        <v>0</v>
      </c>
      <c r="T307" s="2">
        <f t="shared" si="120"/>
        <v>0</v>
      </c>
      <c r="U307" s="2">
        <f t="shared" si="120"/>
        <v>0</v>
      </c>
      <c r="V307" s="2">
        <f t="shared" si="120"/>
        <v>0</v>
      </c>
      <c r="W307" s="2">
        <f t="shared" si="120"/>
        <v>0</v>
      </c>
      <c r="X307" s="2">
        <f t="shared" si="120"/>
        <v>0</v>
      </c>
      <c r="Y307" s="2">
        <f t="shared" si="120"/>
        <v>0</v>
      </c>
      <c r="Z307" s="2">
        <f t="shared" si="120"/>
        <v>0</v>
      </c>
      <c r="AA307" s="2">
        <f t="shared" si="120"/>
        <v>0</v>
      </c>
      <c r="AB307" s="2">
        <f t="shared" si="121"/>
        <v>0</v>
      </c>
    </row>
    <row r="308" spans="1:28" x14ac:dyDescent="0.25">
      <c r="E308" t="s">
        <v>20</v>
      </c>
      <c r="F308" t="s">
        <v>7</v>
      </c>
      <c r="G308" s="2">
        <f t="shared" ref="G308:AA308" ca="1" si="122">G297</f>
        <v>1618660.7794195444</v>
      </c>
      <c r="H308" s="2">
        <f t="shared" ca="1" si="122"/>
        <v>-19980885.199432209</v>
      </c>
      <c r="I308" s="2">
        <f t="shared" ca="1" si="122"/>
        <v>-21627324.076035216</v>
      </c>
      <c r="J308" s="2">
        <f t="shared" ca="1" si="122"/>
        <v>-23449757.619173668</v>
      </c>
      <c r="K308" s="2">
        <f t="shared" ca="1" si="122"/>
        <v>-25028478.504163068</v>
      </c>
      <c r="L308" s="2">
        <f t="shared" ca="1" si="122"/>
        <v>-26661503.095251426</v>
      </c>
      <c r="M308" s="2">
        <f t="shared" ca="1" si="122"/>
        <v>-27948483.967691883</v>
      </c>
      <c r="N308" s="2">
        <f t="shared" ca="1" si="122"/>
        <v>-29264364.898881573</v>
      </c>
      <c r="O308" s="2">
        <f t="shared" ca="1" si="122"/>
        <v>-30703593.541102603</v>
      </c>
      <c r="P308" s="2">
        <f t="shared" ca="1" si="122"/>
        <v>-33231485.198505577</v>
      </c>
      <c r="Q308" s="2">
        <f t="shared" ca="1" si="122"/>
        <v>-36387435.116758876</v>
      </c>
      <c r="R308" s="2">
        <f t="shared" ca="1" si="122"/>
        <v>-38572964.613182157</v>
      </c>
      <c r="S308" s="2">
        <f t="shared" ca="1" si="122"/>
        <v>-40977134.807523161</v>
      </c>
      <c r="T308" s="2">
        <f t="shared" ca="1" si="122"/>
        <v>-43547534.140859887</v>
      </c>
      <c r="U308" s="2">
        <f t="shared" ca="1" si="122"/>
        <v>-44992419.387632281</v>
      </c>
      <c r="V308" s="2">
        <f t="shared" ca="1" si="122"/>
        <v>-46471864.660126984</v>
      </c>
      <c r="W308" s="2">
        <f t="shared" ca="1" si="122"/>
        <v>-2643997.761462518</v>
      </c>
      <c r="X308" s="2">
        <f t="shared" ca="1" si="122"/>
        <v>-2839220.3088842165</v>
      </c>
      <c r="Y308" s="2">
        <f t="shared" ca="1" si="122"/>
        <v>-3038542.5298017696</v>
      </c>
      <c r="Z308" s="2">
        <f t="shared" ca="1" si="122"/>
        <v>-3242050.5173585927</v>
      </c>
      <c r="AA308" s="2">
        <f t="shared" ca="1" si="122"/>
        <v>-3449832.1726541058</v>
      </c>
      <c r="AB308" s="2">
        <f ca="1">IF(V308=0,0,IF($G$15&gt;(AA308/V308)^(1/5)-1+2%,AA308*(AA308/V308)^(1/5)/($G$15-((AA308/V308)^(1/5)-1)),AA308*(1+$G$14)/$G$16))</f>
        <v>-4485805.4636019189</v>
      </c>
    </row>
    <row r="309" spans="1:28" x14ac:dyDescent="0.25">
      <c r="E309" t="s">
        <v>173</v>
      </c>
      <c r="F309" t="s">
        <v>7</v>
      </c>
      <c r="G309" s="2">
        <f ca="1">-$G$17*G308</f>
        <v>-809330.38970977219</v>
      </c>
      <c r="H309" s="2">
        <f t="shared" ref="H309:AA309" ca="1" si="123">-$G$17*H308</f>
        <v>9990442.5997161046</v>
      </c>
      <c r="I309" s="2">
        <f t="shared" ca="1" si="123"/>
        <v>10813662.038017608</v>
      </c>
      <c r="J309" s="2">
        <f t="shared" ca="1" si="123"/>
        <v>11724878.809586834</v>
      </c>
      <c r="K309" s="2">
        <f t="shared" ca="1" si="123"/>
        <v>12514239.252081534</v>
      </c>
      <c r="L309" s="2">
        <f t="shared" ca="1" si="123"/>
        <v>13330751.547625713</v>
      </c>
      <c r="M309" s="2">
        <f t="shared" ca="1" si="123"/>
        <v>13974241.983845942</v>
      </c>
      <c r="N309" s="2">
        <f t="shared" ca="1" si="123"/>
        <v>14632182.449440787</v>
      </c>
      <c r="O309" s="2">
        <f t="shared" ca="1" si="123"/>
        <v>15351796.770551302</v>
      </c>
      <c r="P309" s="2">
        <f t="shared" ca="1" si="123"/>
        <v>16615742.599252788</v>
      </c>
      <c r="Q309" s="2">
        <f t="shared" ca="1" si="123"/>
        <v>18193717.558379438</v>
      </c>
      <c r="R309" s="2">
        <f t="shared" ca="1" si="123"/>
        <v>19286482.306591079</v>
      </c>
      <c r="S309" s="2">
        <f t="shared" ca="1" si="123"/>
        <v>20488567.403761581</v>
      </c>
      <c r="T309" s="2">
        <f t="shared" ca="1" si="123"/>
        <v>21773767.070429944</v>
      </c>
      <c r="U309" s="2">
        <f t="shared" ca="1" si="123"/>
        <v>22496209.69381614</v>
      </c>
      <c r="V309" s="2">
        <f t="shared" ca="1" si="123"/>
        <v>23235932.330063492</v>
      </c>
      <c r="W309" s="2">
        <f t="shared" ca="1" si="123"/>
        <v>1321998.880731259</v>
      </c>
      <c r="X309" s="2">
        <f t="shared" ca="1" si="123"/>
        <v>1419610.1544421082</v>
      </c>
      <c r="Y309" s="2">
        <f t="shared" ca="1" si="123"/>
        <v>1519271.2649008848</v>
      </c>
      <c r="Z309" s="2">
        <f t="shared" ca="1" si="123"/>
        <v>1621025.2586792964</v>
      </c>
      <c r="AA309" s="2">
        <f t="shared" ca="1" si="123"/>
        <v>1724916.0863270529</v>
      </c>
      <c r="AB309" s="2">
        <f t="shared" ref="AB309" ca="1" si="124">IF(V309=0,0,IF($G$15&gt;(AA309/V309)^(1/5)-1+2%,AA309*(AA309/V309)^(1/5)/($G$15-((AA309/V309)^(1/5)-1)),AA309*(1+$G$14)/$G$16))</f>
        <v>2242902.7318009594</v>
      </c>
    </row>
    <row r="310" spans="1:28" x14ac:dyDescent="0.25">
      <c r="E310" t="s">
        <v>23</v>
      </c>
      <c r="F310" t="s">
        <v>7</v>
      </c>
      <c r="G310" s="2">
        <f t="shared" ref="G310:AB310" ca="1" si="125">SUM(G300:G309)</f>
        <v>-484788903.43615353</v>
      </c>
      <c r="H310" s="2">
        <f t="shared" ca="1" si="125"/>
        <v>-41417599.445595354</v>
      </c>
      <c r="I310" s="2">
        <f t="shared" ca="1" si="125"/>
        <v>-34684204.977607347</v>
      </c>
      <c r="J310" s="2">
        <f t="shared" ca="1" si="125"/>
        <v>-51477114.533643931</v>
      </c>
      <c r="K310" s="2">
        <f t="shared" ca="1" si="125"/>
        <v>-45817278.393698104</v>
      </c>
      <c r="L310" s="2">
        <f t="shared" ca="1" si="125"/>
        <v>-28919906.250095457</v>
      </c>
      <c r="M310" s="2">
        <f t="shared" ca="1" si="125"/>
        <v>-134601092.41739064</v>
      </c>
      <c r="N310" s="2">
        <f t="shared" ca="1" si="125"/>
        <v>-127227846.75878234</v>
      </c>
      <c r="O310" s="2">
        <f t="shared" ca="1" si="125"/>
        <v>-93804852.300981343</v>
      </c>
      <c r="P310" s="2">
        <f t="shared" ca="1" si="125"/>
        <v>-133964043.48713213</v>
      </c>
      <c r="Q310" s="2">
        <f t="shared" ca="1" si="125"/>
        <v>-55566959.87834844</v>
      </c>
      <c r="R310" s="2">
        <f t="shared" ca="1" si="125"/>
        <v>-36725415.450755417</v>
      </c>
      <c r="S310" s="2">
        <f t="shared" ca="1" si="125"/>
        <v>-35704106.91943574</v>
      </c>
      <c r="T310" s="2">
        <f t="shared" ca="1" si="125"/>
        <v>-34515486.672411412</v>
      </c>
      <c r="U310" s="2">
        <f t="shared" ca="1" si="125"/>
        <v>-32666973.221932814</v>
      </c>
      <c r="V310" s="2">
        <f t="shared" ca="1" si="125"/>
        <v>-30735435.607303247</v>
      </c>
      <c r="W310" s="2">
        <f t="shared" ca="1" si="125"/>
        <v>29665707.059220906</v>
      </c>
      <c r="X310" s="2">
        <f t="shared" ca="1" si="125"/>
        <v>30218837.61024905</v>
      </c>
      <c r="Y310" s="2">
        <f t="shared" ca="1" si="125"/>
        <v>30783583.902848784</v>
      </c>
      <c r="Z310" s="2">
        <f t="shared" ca="1" si="125"/>
        <v>31360189.867593117</v>
      </c>
      <c r="AA310" s="2">
        <f t="shared" ca="1" si="125"/>
        <v>31948904.557597071</v>
      </c>
      <c r="AB310" s="2">
        <f t="shared" ca="1" si="125"/>
        <v>1120217785.3990057</v>
      </c>
    </row>
    <row r="311" spans="1:28" x14ac:dyDescent="0.25">
      <c r="E311" t="s">
        <v>31</v>
      </c>
      <c r="F311" t="s">
        <v>7</v>
      </c>
      <c r="G311" s="2">
        <f ca="1">NPV($G$15,H310:AB310)+G310</f>
        <v>-667832734.48322737</v>
      </c>
    </row>
    <row r="313" spans="1:28" x14ac:dyDescent="0.25">
      <c r="E313" t="s">
        <v>13</v>
      </c>
      <c r="F313" t="s">
        <v>7</v>
      </c>
      <c r="G313" s="2">
        <f t="shared" ref="G313:AA313" ca="1" si="126">G285</f>
        <v>0</v>
      </c>
      <c r="H313" s="2">
        <f t="shared" ca="1" si="126"/>
        <v>57116847.842696339</v>
      </c>
      <c r="I313" s="2">
        <f t="shared" ca="1" si="126"/>
        <v>58316301.647392958</v>
      </c>
      <c r="J313" s="2">
        <f t="shared" ca="1" si="126"/>
        <v>59540943.981988207</v>
      </c>
      <c r="K313" s="2">
        <f t="shared" ca="1" si="126"/>
        <v>60791303.805609956</v>
      </c>
      <c r="L313" s="2">
        <f t="shared" ca="1" si="126"/>
        <v>62067921.185527757</v>
      </c>
      <c r="M313" s="2">
        <f t="shared" ca="1" si="126"/>
        <v>63371347.530423835</v>
      </c>
      <c r="N313" s="2">
        <f t="shared" ca="1" si="126"/>
        <v>64702145.828562729</v>
      </c>
      <c r="O313" s="2">
        <f t="shared" ca="1" si="126"/>
        <v>66060890.890962541</v>
      </c>
      <c r="P313" s="2">
        <f t="shared" ca="1" si="126"/>
        <v>67448169.59967275</v>
      </c>
      <c r="Q313" s="2">
        <f t="shared" ca="1" si="126"/>
        <v>68864581.161265865</v>
      </c>
      <c r="R313" s="2">
        <f t="shared" ca="1" si="126"/>
        <v>70310737.365652442</v>
      </c>
      <c r="S313" s="2">
        <f t="shared" ca="1" si="126"/>
        <v>71787262.850331143</v>
      </c>
      <c r="T313" s="2">
        <f t="shared" ca="1" si="126"/>
        <v>73294795.370188087</v>
      </c>
      <c r="U313" s="2">
        <f t="shared" ca="1" si="126"/>
        <v>74833986.072962031</v>
      </c>
      <c r="V313" s="2">
        <f t="shared" ca="1" si="126"/>
        <v>76405499.780494228</v>
      </c>
      <c r="W313" s="2">
        <f t="shared" ca="1" si="126"/>
        <v>0</v>
      </c>
      <c r="X313" s="2">
        <f t="shared" ca="1" si="126"/>
        <v>0</v>
      </c>
      <c r="Y313" s="2">
        <f t="shared" ca="1" si="126"/>
        <v>0</v>
      </c>
      <c r="Z313" s="2">
        <f t="shared" ca="1" si="126"/>
        <v>0</v>
      </c>
      <c r="AA313" s="2">
        <f t="shared" ca="1" si="126"/>
        <v>0</v>
      </c>
    </row>
    <row r="314" spans="1:28" x14ac:dyDescent="0.25">
      <c r="E314" t="s">
        <v>24</v>
      </c>
      <c r="F314" t="s">
        <v>7</v>
      </c>
      <c r="G314" s="2">
        <f ca="1">NPV($G$15,H313:AA313)+G313</f>
        <v>667832734.48322797</v>
      </c>
    </row>
    <row r="315" spans="1:28" x14ac:dyDescent="0.25">
      <c r="E315" s="3" t="s">
        <v>34</v>
      </c>
      <c r="F315" s="3"/>
      <c r="G315" s="4" t="str">
        <f ca="1">IF(G311&gt;0,"N/A",IF(ABS(G311+G314)&gt;1,"Error","OK"))</f>
        <v>OK</v>
      </c>
    </row>
    <row r="318" spans="1:28" x14ac:dyDescent="0.25">
      <c r="C318" s="1" t="s">
        <v>110</v>
      </c>
    </row>
    <row r="319" spans="1:28" x14ac:dyDescent="0.25">
      <c r="E319" t="s">
        <v>116</v>
      </c>
      <c r="F319" t="s">
        <v>117</v>
      </c>
    </row>
    <row r="320" spans="1:28" x14ac:dyDescent="0.25">
      <c r="A320" s="14">
        <f>'Notes &amp; Assumptions'!A68</f>
        <v>55</v>
      </c>
      <c r="E320" s="19" t="s">
        <v>111</v>
      </c>
      <c r="F320" s="19" t="s">
        <v>119</v>
      </c>
    </row>
    <row r="321" spans="5:6" customFormat="1" x14ac:dyDescent="0.25">
      <c r="E321" s="19" t="s">
        <v>112</v>
      </c>
      <c r="F321" s="19" t="s">
        <v>120</v>
      </c>
    </row>
    <row r="322" spans="5:6" customFormat="1" x14ac:dyDescent="0.25">
      <c r="E322" s="19" t="s">
        <v>113</v>
      </c>
      <c r="F322" s="19" t="s">
        <v>121</v>
      </c>
    </row>
  </sheetData>
  <mergeCells count="1">
    <mergeCell ref="G4:H4"/>
  </mergeCells>
  <dataValidations count="1">
    <dataValidation type="list" showInputMessage="1" showErrorMessage="1" sqref="G4" xr:uid="{00000000-0002-0000-0B00-000000000000}">
      <formula1>$E$320:$E$322</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2:AC322"/>
  <sheetViews>
    <sheetView topLeftCell="E58" zoomScale="90" zoomScaleNormal="90" workbookViewId="0">
      <selection activeCell="G21" sqref="G21"/>
    </sheetView>
  </sheetViews>
  <sheetFormatPr defaultColWidth="11" defaultRowHeight="15.75" x14ac:dyDescent="0.25"/>
  <cols>
    <col min="1" max="1" width="7.625" style="14" customWidth="1"/>
    <col min="2" max="2" width="3.125" customWidth="1"/>
    <col min="3" max="3" width="3.375" customWidth="1"/>
    <col min="4" max="4" width="2.875" customWidth="1"/>
    <col min="5" max="5" width="36.5" bestFit="1" customWidth="1"/>
    <col min="6" max="6" width="17.5" customWidth="1"/>
    <col min="7" max="27" width="15.625" customWidth="1"/>
    <col min="28" max="28" width="11.125" customWidth="1"/>
  </cols>
  <sheetData>
    <row r="2" spans="1:27" x14ac:dyDescent="0.25">
      <c r="C2" s="1" t="s">
        <v>0</v>
      </c>
      <c r="D2" s="1"/>
      <c r="G2">
        <v>0</v>
      </c>
      <c r="H2">
        <v>1</v>
      </c>
      <c r="I2">
        <v>2</v>
      </c>
      <c r="J2">
        <v>3</v>
      </c>
      <c r="K2">
        <v>4</v>
      </c>
      <c r="L2">
        <v>5</v>
      </c>
      <c r="M2">
        <v>6</v>
      </c>
      <c r="N2">
        <v>7</v>
      </c>
      <c r="O2">
        <v>8</v>
      </c>
      <c r="P2">
        <v>9</v>
      </c>
      <c r="Q2">
        <v>10</v>
      </c>
      <c r="R2">
        <v>11</v>
      </c>
      <c r="S2">
        <v>12</v>
      </c>
      <c r="T2">
        <v>13</v>
      </c>
      <c r="U2">
        <v>14</v>
      </c>
      <c r="V2">
        <v>15</v>
      </c>
      <c r="W2">
        <v>16</v>
      </c>
      <c r="X2">
        <v>17</v>
      </c>
      <c r="Y2">
        <v>18</v>
      </c>
      <c r="Z2">
        <v>19</v>
      </c>
      <c r="AA2">
        <v>20</v>
      </c>
    </row>
    <row r="4" spans="1:27" x14ac:dyDescent="0.25">
      <c r="A4" s="14">
        <f>'Notes &amp; Assumptions'!A14</f>
        <v>1</v>
      </c>
      <c r="C4" s="1" t="s">
        <v>114</v>
      </c>
      <c r="F4" t="s">
        <v>115</v>
      </c>
      <c r="G4" s="368" t="s">
        <v>112</v>
      </c>
      <c r="H4" s="368"/>
    </row>
    <row r="6" spans="1:27" x14ac:dyDescent="0.25">
      <c r="C6" s="1" t="s">
        <v>126</v>
      </c>
    </row>
    <row r="7" spans="1:27" x14ac:dyDescent="0.25">
      <c r="A7" s="14">
        <f>'Notes &amp; Assumptions'!A15</f>
        <v>2</v>
      </c>
      <c r="E7" s="10" t="s">
        <v>128</v>
      </c>
      <c r="F7" t="s">
        <v>145</v>
      </c>
      <c r="G7" s="10">
        <v>90</v>
      </c>
    </row>
    <row r="8" spans="1:27" x14ac:dyDescent="0.25">
      <c r="A8" s="14">
        <f>'Notes &amp; Assumptions'!A16</f>
        <v>3</v>
      </c>
      <c r="E8" s="10" t="s">
        <v>129</v>
      </c>
      <c r="F8" t="s">
        <v>145</v>
      </c>
      <c r="G8" s="10">
        <v>25</v>
      </c>
    </row>
    <row r="9" spans="1:27" x14ac:dyDescent="0.25">
      <c r="A9" s="14">
        <f>'Notes &amp; Assumptions'!A17</f>
        <v>4</v>
      </c>
      <c r="E9" s="10" t="s">
        <v>130</v>
      </c>
      <c r="F9" t="s">
        <v>145</v>
      </c>
      <c r="G9" s="10">
        <v>30</v>
      </c>
    </row>
    <row r="10" spans="1:27" x14ac:dyDescent="0.25">
      <c r="A10" s="14">
        <f>'Notes &amp; Assumptions'!A18</f>
        <v>5</v>
      </c>
      <c r="E10" t="s">
        <v>127</v>
      </c>
      <c r="F10" t="s">
        <v>145</v>
      </c>
      <c r="G10" s="10">
        <v>5</v>
      </c>
    </row>
    <row r="13" spans="1:27" x14ac:dyDescent="0.25">
      <c r="C13" s="1" t="s">
        <v>92</v>
      </c>
    </row>
    <row r="14" spans="1:27" x14ac:dyDescent="0.25">
      <c r="A14" s="14">
        <f>'Notes &amp; Assumptions'!A19</f>
        <v>6</v>
      </c>
      <c r="E14" t="s">
        <v>5</v>
      </c>
      <c r="F14" t="s">
        <v>8</v>
      </c>
      <c r="G14" s="17">
        <f>'20 New UGB Water'!G14</f>
        <v>2.1000000000000001E-2</v>
      </c>
    </row>
    <row r="15" spans="1:27" x14ac:dyDescent="0.25">
      <c r="A15" s="14">
        <f>'Notes &amp; Assumptions'!A20</f>
        <v>7</v>
      </c>
      <c r="E15" t="s">
        <v>32</v>
      </c>
      <c r="F15" t="s">
        <v>8</v>
      </c>
      <c r="G15" s="17">
        <f>'20 New UGB Water'!G15</f>
        <v>5.1629999999999843E-2</v>
      </c>
    </row>
    <row r="16" spans="1:27" x14ac:dyDescent="0.25">
      <c r="E16" t="s">
        <v>30</v>
      </c>
      <c r="F16" t="s">
        <v>8</v>
      </c>
      <c r="G16" s="18">
        <f>(1+G15)/(1+G14)-1</f>
        <v>3.0000000000000027E-2</v>
      </c>
    </row>
    <row r="17" spans="1:27" x14ac:dyDescent="0.25">
      <c r="E17" t="s">
        <v>171</v>
      </c>
      <c r="F17" t="s">
        <v>8</v>
      </c>
      <c r="G17" s="11">
        <v>0.5</v>
      </c>
    </row>
    <row r="18" spans="1:27" x14ac:dyDescent="0.25">
      <c r="A18" s="14">
        <f>'Notes &amp; Assumptions'!A22</f>
        <v>9</v>
      </c>
      <c r="E18" t="s">
        <v>16</v>
      </c>
      <c r="F18" t="s">
        <v>8</v>
      </c>
      <c r="G18" s="11">
        <v>0.3</v>
      </c>
      <c r="H18" s="11">
        <v>0.3</v>
      </c>
      <c r="I18" s="11">
        <v>0.3</v>
      </c>
      <c r="J18" s="11">
        <v>0.3</v>
      </c>
      <c r="K18" s="11">
        <v>0.3</v>
      </c>
      <c r="L18" s="11">
        <v>0.3</v>
      </c>
      <c r="M18" s="11">
        <v>0.3</v>
      </c>
      <c r="N18" s="11">
        <v>0.3</v>
      </c>
      <c r="O18" s="11">
        <v>0.3</v>
      </c>
      <c r="P18" s="11">
        <v>0.3</v>
      </c>
      <c r="Q18" s="11">
        <v>0.3</v>
      </c>
      <c r="R18" s="11">
        <v>0.3</v>
      </c>
      <c r="S18" s="11">
        <v>0.3</v>
      </c>
      <c r="T18" s="11">
        <v>0.3</v>
      </c>
      <c r="U18" s="11">
        <v>0.3</v>
      </c>
      <c r="V18" s="11">
        <v>0.3</v>
      </c>
      <c r="W18" s="11">
        <v>0.3</v>
      </c>
      <c r="X18" s="11">
        <v>0.3</v>
      </c>
      <c r="Y18" s="11">
        <v>0.3</v>
      </c>
      <c r="Z18" s="11">
        <v>0.3</v>
      </c>
      <c r="AA18" s="11">
        <v>0.3</v>
      </c>
    </row>
    <row r="20" spans="1:27" x14ac:dyDescent="0.25">
      <c r="A20" s="14">
        <f>'Notes &amp; Assumptions'!A23</f>
        <v>10</v>
      </c>
      <c r="C20" s="1" t="s">
        <v>1</v>
      </c>
      <c r="D20" s="1"/>
    </row>
    <row r="21" spans="1:27" x14ac:dyDescent="0.25">
      <c r="E21" s="2" t="str">
        <f>E7</f>
        <v>Pipes</v>
      </c>
      <c r="F21" t="s">
        <v>7</v>
      </c>
      <c r="G21" s="43">
        <f>IF('Key assumptions'!B3="yes",'Historical growth capex'!W88,0)</f>
        <v>14400675.703385144</v>
      </c>
      <c r="H21" s="10">
        <f>'Forecast capex'!J88*1000*(1+$G$14)^H2</f>
        <v>2191275.5063828407</v>
      </c>
      <c r="I21" s="10">
        <f>'Forecast capex'!K88*1000*(1+$G$14)^I2</f>
        <v>2280270.6482868665</v>
      </c>
      <c r="J21" s="10">
        <f>'Forecast capex'!L88*1000*(1+$G$14)^J2</f>
        <v>0</v>
      </c>
      <c r="K21" s="10">
        <f>'Forecast capex'!M88*1000*(1+$G$14)^K2</f>
        <v>0</v>
      </c>
      <c r="L21" s="10">
        <f>'Forecast capex'!N88*1000*(1+$G$14)^L2</f>
        <v>387488.09834641748</v>
      </c>
      <c r="M21" s="10">
        <f>'Forecast capex'!O88*1000*(1+$G$14)^M2</f>
        <v>1170828.1790353376</v>
      </c>
      <c r="N21" s="10">
        <f>'Forecast capex'!P88*1000*(1+$G$14)^N2</f>
        <v>0</v>
      </c>
      <c r="O21" s="10">
        <f>'Forecast capex'!Q88*1000*(1+$G$14)^O2</f>
        <v>0</v>
      </c>
      <c r="P21" s="10">
        <f>'Forecast capex'!R88*1000*(1+$G$14)^P2</f>
        <v>0</v>
      </c>
      <c r="Q21" s="10">
        <f>'Forecast capex'!S88*1000*(1+$G$14)^Q2</f>
        <v>0</v>
      </c>
      <c r="R21" s="10">
        <f>'[11]Capex Profile'!$X$145/5*(1+$G$14)^R2</f>
        <v>0</v>
      </c>
      <c r="S21" s="10">
        <f>'[11]Capex Profile'!$X$145/5*(1+$G$14)^S2</f>
        <v>0</v>
      </c>
      <c r="T21" s="10">
        <f>'[11]Capex Profile'!$X$145/5*(1+$G$14)^T2</f>
        <v>0</v>
      </c>
      <c r="U21" s="10">
        <f>'[11]Capex Profile'!$X$145/5*(1+$G$14)^U2</f>
        <v>0</v>
      </c>
      <c r="V21" s="10">
        <f>'[11]Capex Profile'!$X$145/5*(1+$G$14)^V2</f>
        <v>0</v>
      </c>
      <c r="W21" s="10"/>
      <c r="X21" s="10"/>
      <c r="Y21" s="10"/>
      <c r="Z21" s="10"/>
      <c r="AA21" s="10"/>
    </row>
    <row r="22" spans="1:27" x14ac:dyDescent="0.25">
      <c r="E22" s="2" t="str">
        <f>E8</f>
        <v>Pumps</v>
      </c>
      <c r="F22" t="s">
        <v>7</v>
      </c>
      <c r="G22" s="10"/>
      <c r="H22" s="10"/>
      <c r="I22" s="10"/>
      <c r="J22" s="10"/>
      <c r="K22" s="10"/>
      <c r="L22" s="10"/>
      <c r="M22" s="10"/>
      <c r="N22" s="10"/>
      <c r="O22" s="10"/>
      <c r="P22" s="10"/>
      <c r="Q22" s="10"/>
      <c r="R22" s="10"/>
      <c r="S22" s="10"/>
      <c r="T22" s="10"/>
      <c r="U22" s="10"/>
      <c r="V22" s="10"/>
      <c r="W22" s="10"/>
      <c r="X22" s="10"/>
      <c r="Y22" s="10"/>
      <c r="Z22" s="10"/>
      <c r="AA22" s="10"/>
    </row>
    <row r="23" spans="1:27" x14ac:dyDescent="0.25">
      <c r="E23" s="2" t="str">
        <f>E9</f>
        <v>Valves and Meters</v>
      </c>
      <c r="F23" t="s">
        <v>7</v>
      </c>
      <c r="G23" s="10"/>
      <c r="H23" s="10"/>
      <c r="I23" s="10"/>
      <c r="J23" s="10"/>
      <c r="K23" s="10"/>
      <c r="L23" s="10"/>
      <c r="M23" s="10"/>
      <c r="N23" s="10"/>
      <c r="O23" s="10"/>
      <c r="P23" s="10"/>
      <c r="Q23" s="10"/>
      <c r="R23" s="10"/>
      <c r="S23" s="10"/>
      <c r="T23" s="10"/>
      <c r="U23" s="10"/>
      <c r="V23" s="10"/>
      <c r="W23" s="10"/>
      <c r="X23" s="10"/>
      <c r="Y23" s="10"/>
      <c r="Z23" s="10"/>
      <c r="AA23" s="10"/>
    </row>
    <row r="24" spans="1:27" x14ac:dyDescent="0.25">
      <c r="E24" t="s">
        <v>127</v>
      </c>
      <c r="F24" t="s">
        <v>7</v>
      </c>
      <c r="G24" s="10"/>
      <c r="H24" s="10"/>
      <c r="I24" s="10"/>
      <c r="J24" s="10"/>
      <c r="K24" s="10"/>
      <c r="L24" s="10"/>
      <c r="M24" s="10"/>
      <c r="N24" s="10"/>
      <c r="O24" s="10"/>
      <c r="P24" s="10"/>
      <c r="Q24" s="10"/>
      <c r="R24" s="10"/>
      <c r="S24" s="10"/>
      <c r="T24" s="10"/>
      <c r="U24" s="10"/>
      <c r="V24" s="10"/>
      <c r="W24" s="10"/>
      <c r="X24" s="10"/>
      <c r="Y24" s="10"/>
      <c r="Z24" s="10"/>
      <c r="AA24" s="10"/>
    </row>
    <row r="25" spans="1:27" x14ac:dyDescent="0.25">
      <c r="E25" t="s">
        <v>131</v>
      </c>
      <c r="F25" t="s">
        <v>7</v>
      </c>
      <c r="G25" s="10"/>
      <c r="H25" s="10"/>
      <c r="I25" s="10"/>
      <c r="J25" s="10"/>
      <c r="K25" s="10"/>
      <c r="L25" s="10"/>
      <c r="M25" s="10"/>
      <c r="N25" s="10"/>
      <c r="O25" s="10"/>
      <c r="P25" s="10"/>
      <c r="Q25" s="10"/>
      <c r="R25" s="10"/>
      <c r="S25" s="10"/>
      <c r="T25" s="10"/>
      <c r="U25" s="10"/>
      <c r="V25" s="10"/>
      <c r="W25" s="10"/>
      <c r="X25" s="10"/>
      <c r="Y25" s="10"/>
      <c r="Z25" s="10"/>
      <c r="AA25" s="10"/>
    </row>
    <row r="26" spans="1:27" x14ac:dyDescent="0.25">
      <c r="G26" s="2">
        <f>SUM(G21:G25)</f>
        <v>14400675.703385144</v>
      </c>
      <c r="H26" s="2">
        <f t="shared" ref="H26:AA26" si="0">SUM(H21:H25)</f>
        <v>2191275.5063828407</v>
      </c>
      <c r="I26" s="2">
        <f t="shared" si="0"/>
        <v>2280270.6482868665</v>
      </c>
      <c r="J26" s="2">
        <f t="shared" si="0"/>
        <v>0</v>
      </c>
      <c r="K26" s="2">
        <f t="shared" si="0"/>
        <v>0</v>
      </c>
      <c r="L26" s="2">
        <f t="shared" si="0"/>
        <v>387488.09834641748</v>
      </c>
      <c r="M26" s="2">
        <f t="shared" si="0"/>
        <v>1170828.1790353376</v>
      </c>
      <c r="N26" s="2">
        <f t="shared" si="0"/>
        <v>0</v>
      </c>
      <c r="O26" s="2">
        <f t="shared" si="0"/>
        <v>0</v>
      </c>
      <c r="P26" s="2">
        <f t="shared" si="0"/>
        <v>0</v>
      </c>
      <c r="Q26" s="2">
        <f t="shared" si="0"/>
        <v>0</v>
      </c>
      <c r="R26" s="2">
        <f t="shared" si="0"/>
        <v>0</v>
      </c>
      <c r="S26" s="2">
        <f t="shared" si="0"/>
        <v>0</v>
      </c>
      <c r="T26" s="2">
        <f t="shared" si="0"/>
        <v>0</v>
      </c>
      <c r="U26" s="2">
        <f t="shared" si="0"/>
        <v>0</v>
      </c>
      <c r="V26" s="2">
        <f t="shared" si="0"/>
        <v>0</v>
      </c>
      <c r="W26" s="2">
        <f t="shared" si="0"/>
        <v>0</v>
      </c>
      <c r="X26" s="2">
        <f t="shared" si="0"/>
        <v>0</v>
      </c>
      <c r="Y26" s="2">
        <f t="shared" si="0"/>
        <v>0</v>
      </c>
      <c r="Z26" s="2">
        <f t="shared" si="0"/>
        <v>0</v>
      </c>
      <c r="AA26" s="2">
        <f t="shared" si="0"/>
        <v>0</v>
      </c>
    </row>
    <row r="27" spans="1:27" x14ac:dyDescent="0.25">
      <c r="G27" s="2"/>
      <c r="H27" s="2"/>
      <c r="I27" s="2"/>
      <c r="J27" s="2"/>
      <c r="K27" s="2"/>
      <c r="L27" s="2"/>
      <c r="M27" s="2"/>
      <c r="N27" s="2"/>
      <c r="O27" s="2"/>
      <c r="P27" s="2"/>
      <c r="Q27" s="2"/>
    </row>
    <row r="28" spans="1:27" x14ac:dyDescent="0.25">
      <c r="D28" t="s">
        <v>132</v>
      </c>
      <c r="G28" s="2"/>
      <c r="H28" s="2"/>
      <c r="I28" s="2"/>
      <c r="J28" s="2"/>
      <c r="K28" s="2"/>
      <c r="L28" s="2"/>
      <c r="M28" s="2"/>
      <c r="N28" s="2"/>
      <c r="O28" s="2"/>
      <c r="P28" s="2"/>
      <c r="Q28" s="2"/>
    </row>
    <row r="29" spans="1:27" x14ac:dyDescent="0.25">
      <c r="E29" s="2" t="str">
        <f>E21</f>
        <v>Pipes</v>
      </c>
      <c r="F29" t="s">
        <v>7</v>
      </c>
      <c r="G29" s="2">
        <f t="shared" ref="G29:AA32" si="1">G21/$G7+IF((G$2-$G7+1)&gt;0,-INDEX($G21:$AA21,1,(G$2-$G7+1))/$G7,0)</f>
        <v>160007.50781539051</v>
      </c>
      <c r="H29" s="2">
        <f t="shared" si="1"/>
        <v>24347.505626476006</v>
      </c>
      <c r="I29" s="2">
        <f t="shared" si="1"/>
        <v>25336.34053652074</v>
      </c>
      <c r="J29" s="2">
        <f t="shared" si="1"/>
        <v>0</v>
      </c>
      <c r="K29" s="2">
        <f t="shared" si="1"/>
        <v>0</v>
      </c>
      <c r="L29" s="2">
        <f t="shared" si="1"/>
        <v>4305.4233149601941</v>
      </c>
      <c r="M29" s="2">
        <f t="shared" si="1"/>
        <v>13009.20198928153</v>
      </c>
      <c r="N29" s="2">
        <f t="shared" si="1"/>
        <v>0</v>
      </c>
      <c r="O29" s="2">
        <f t="shared" si="1"/>
        <v>0</v>
      </c>
      <c r="P29" s="2">
        <f t="shared" si="1"/>
        <v>0</v>
      </c>
      <c r="Q29" s="2">
        <f t="shared" si="1"/>
        <v>0</v>
      </c>
      <c r="R29" s="2">
        <f t="shared" si="1"/>
        <v>0</v>
      </c>
      <c r="S29" s="2">
        <f t="shared" si="1"/>
        <v>0</v>
      </c>
      <c r="T29" s="2">
        <f t="shared" si="1"/>
        <v>0</v>
      </c>
      <c r="U29" s="2">
        <f t="shared" si="1"/>
        <v>0</v>
      </c>
      <c r="V29" s="2">
        <f t="shared" si="1"/>
        <v>0</v>
      </c>
      <c r="W29" s="2">
        <f t="shared" si="1"/>
        <v>0</v>
      </c>
      <c r="X29" s="2">
        <f t="shared" si="1"/>
        <v>0</v>
      </c>
      <c r="Y29" s="2">
        <f t="shared" si="1"/>
        <v>0</v>
      </c>
      <c r="Z29" s="2">
        <f t="shared" si="1"/>
        <v>0</v>
      </c>
      <c r="AA29" s="2">
        <f t="shared" si="1"/>
        <v>0</v>
      </c>
    </row>
    <row r="30" spans="1:27" x14ac:dyDescent="0.25">
      <c r="E30" s="2" t="str">
        <f t="shared" ref="E30:E32" si="2">E22</f>
        <v>Pumps</v>
      </c>
      <c r="F30" t="s">
        <v>7</v>
      </c>
      <c r="G30" s="2">
        <f t="shared" si="1"/>
        <v>0</v>
      </c>
      <c r="H30" s="2">
        <f t="shared" si="1"/>
        <v>0</v>
      </c>
      <c r="I30" s="2">
        <f t="shared" si="1"/>
        <v>0</v>
      </c>
      <c r="J30" s="2">
        <f t="shared" si="1"/>
        <v>0</v>
      </c>
      <c r="K30" s="2">
        <f t="shared" si="1"/>
        <v>0</v>
      </c>
      <c r="L30" s="2">
        <f t="shared" si="1"/>
        <v>0</v>
      </c>
      <c r="M30" s="2">
        <f t="shared" si="1"/>
        <v>0</v>
      </c>
      <c r="N30" s="2">
        <f t="shared" si="1"/>
        <v>0</v>
      </c>
      <c r="O30" s="2">
        <f t="shared" si="1"/>
        <v>0</v>
      </c>
      <c r="P30" s="2">
        <f t="shared" si="1"/>
        <v>0</v>
      </c>
      <c r="Q30" s="2">
        <f t="shared" si="1"/>
        <v>0</v>
      </c>
      <c r="R30" s="2">
        <f t="shared" si="1"/>
        <v>0</v>
      </c>
      <c r="S30" s="2">
        <f t="shared" si="1"/>
        <v>0</v>
      </c>
      <c r="T30" s="2">
        <f t="shared" si="1"/>
        <v>0</v>
      </c>
      <c r="U30" s="2">
        <f t="shared" si="1"/>
        <v>0</v>
      </c>
      <c r="V30" s="2">
        <f t="shared" si="1"/>
        <v>0</v>
      </c>
      <c r="W30" s="2">
        <f t="shared" si="1"/>
        <v>0</v>
      </c>
      <c r="X30" s="2">
        <f t="shared" si="1"/>
        <v>0</v>
      </c>
      <c r="Y30" s="2">
        <f t="shared" si="1"/>
        <v>0</v>
      </c>
      <c r="Z30" s="2">
        <f t="shared" si="1"/>
        <v>0</v>
      </c>
      <c r="AA30" s="2">
        <f t="shared" si="1"/>
        <v>0</v>
      </c>
    </row>
    <row r="31" spans="1:27" x14ac:dyDescent="0.25">
      <c r="E31" s="2" t="str">
        <f t="shared" si="2"/>
        <v>Valves and Meters</v>
      </c>
      <c r="F31" t="s">
        <v>7</v>
      </c>
      <c r="G31" s="2">
        <f t="shared" si="1"/>
        <v>0</v>
      </c>
      <c r="H31" s="2">
        <f t="shared" si="1"/>
        <v>0</v>
      </c>
      <c r="I31" s="2">
        <f t="shared" si="1"/>
        <v>0</v>
      </c>
      <c r="J31" s="2">
        <f t="shared" si="1"/>
        <v>0</v>
      </c>
      <c r="K31" s="2">
        <f t="shared" si="1"/>
        <v>0</v>
      </c>
      <c r="L31" s="2">
        <f t="shared" si="1"/>
        <v>0</v>
      </c>
      <c r="M31" s="2">
        <f t="shared" si="1"/>
        <v>0</v>
      </c>
      <c r="N31" s="2">
        <f t="shared" si="1"/>
        <v>0</v>
      </c>
      <c r="O31" s="2">
        <f t="shared" si="1"/>
        <v>0</v>
      </c>
      <c r="P31" s="2">
        <f t="shared" si="1"/>
        <v>0</v>
      </c>
      <c r="Q31" s="2">
        <f t="shared" si="1"/>
        <v>0</v>
      </c>
      <c r="R31" s="2">
        <f t="shared" si="1"/>
        <v>0</v>
      </c>
      <c r="S31" s="2">
        <f t="shared" si="1"/>
        <v>0</v>
      </c>
      <c r="T31" s="2">
        <f t="shared" si="1"/>
        <v>0</v>
      </c>
      <c r="U31" s="2">
        <f t="shared" si="1"/>
        <v>0</v>
      </c>
      <c r="V31" s="2">
        <f t="shared" si="1"/>
        <v>0</v>
      </c>
      <c r="W31" s="2">
        <f t="shared" si="1"/>
        <v>0</v>
      </c>
      <c r="X31" s="2">
        <f t="shared" si="1"/>
        <v>0</v>
      </c>
      <c r="Y31" s="2">
        <f t="shared" si="1"/>
        <v>0</v>
      </c>
      <c r="Z31" s="2">
        <f t="shared" si="1"/>
        <v>0</v>
      </c>
      <c r="AA31" s="2">
        <f t="shared" si="1"/>
        <v>0</v>
      </c>
    </row>
    <row r="32" spans="1:27" x14ac:dyDescent="0.25">
      <c r="E32" s="2" t="str">
        <f t="shared" si="2"/>
        <v>Temporary Assets</v>
      </c>
      <c r="F32" t="s">
        <v>7</v>
      </c>
      <c r="G32" s="2">
        <f t="shared" si="1"/>
        <v>0</v>
      </c>
      <c r="H32" s="2">
        <f t="shared" si="1"/>
        <v>0</v>
      </c>
      <c r="I32" s="2">
        <f t="shared" si="1"/>
        <v>0</v>
      </c>
      <c r="J32" s="2">
        <f t="shared" si="1"/>
        <v>0</v>
      </c>
      <c r="K32" s="2">
        <f t="shared" si="1"/>
        <v>0</v>
      </c>
      <c r="L32" s="2">
        <f t="shared" si="1"/>
        <v>0</v>
      </c>
      <c r="M32" s="2">
        <f t="shared" si="1"/>
        <v>0</v>
      </c>
      <c r="N32" s="2">
        <f t="shared" si="1"/>
        <v>0</v>
      </c>
      <c r="O32" s="2">
        <f t="shared" si="1"/>
        <v>0</v>
      </c>
      <c r="P32" s="2">
        <f t="shared" si="1"/>
        <v>0</v>
      </c>
      <c r="Q32" s="2">
        <f t="shared" si="1"/>
        <v>0</v>
      </c>
      <c r="R32" s="2">
        <f t="shared" si="1"/>
        <v>0</v>
      </c>
      <c r="S32" s="2">
        <f t="shared" si="1"/>
        <v>0</v>
      </c>
      <c r="T32" s="2">
        <f t="shared" si="1"/>
        <v>0</v>
      </c>
      <c r="U32" s="2">
        <f t="shared" si="1"/>
        <v>0</v>
      </c>
      <c r="V32" s="2">
        <f t="shared" si="1"/>
        <v>0</v>
      </c>
      <c r="W32" s="2">
        <f t="shared" si="1"/>
        <v>0</v>
      </c>
      <c r="X32" s="2">
        <f t="shared" si="1"/>
        <v>0</v>
      </c>
      <c r="Y32" s="2">
        <f t="shared" si="1"/>
        <v>0</v>
      </c>
      <c r="Z32" s="2">
        <f t="shared" si="1"/>
        <v>0</v>
      </c>
      <c r="AA32" s="2">
        <f t="shared" si="1"/>
        <v>0</v>
      </c>
    </row>
    <row r="33" spans="1:27" x14ac:dyDescent="0.25">
      <c r="G33" s="2"/>
      <c r="H33" s="2"/>
      <c r="I33" s="2"/>
      <c r="J33" s="2"/>
      <c r="K33" s="2"/>
      <c r="L33" s="2"/>
      <c r="M33" s="2"/>
      <c r="N33" s="2"/>
      <c r="O33" s="2"/>
      <c r="P33" s="2"/>
      <c r="Q33" s="2"/>
    </row>
    <row r="34" spans="1:27" x14ac:dyDescent="0.25">
      <c r="D34" t="s">
        <v>133</v>
      </c>
      <c r="F34" t="s">
        <v>7</v>
      </c>
      <c r="G34" s="2">
        <f>SUM($G$29:G32)</f>
        <v>160007.50781539051</v>
      </c>
      <c r="H34" s="2">
        <f>SUM($G$29:H32)</f>
        <v>184355.0134418665</v>
      </c>
      <c r="I34" s="2">
        <f>SUM($G$29:I32)</f>
        <v>209691.35397838723</v>
      </c>
      <c r="J34" s="2">
        <f>SUM($G$29:J32)</f>
        <v>209691.35397838723</v>
      </c>
      <c r="K34" s="2">
        <f>SUM($G$29:K32)</f>
        <v>209691.35397838723</v>
      </c>
      <c r="L34" s="2">
        <f>SUM($G$29:L32)</f>
        <v>213996.77729334743</v>
      </c>
      <c r="M34" s="2">
        <f>SUM($G$29:M32)</f>
        <v>227005.97928262898</v>
      </c>
      <c r="N34" s="2">
        <f>SUM($G$29:N32)</f>
        <v>227005.97928262898</v>
      </c>
      <c r="O34" s="2">
        <f>SUM($G$29:O32)</f>
        <v>227005.97928262898</v>
      </c>
      <c r="P34" s="2">
        <f>SUM($G$29:P32)</f>
        <v>227005.97928262898</v>
      </c>
      <c r="Q34" s="2">
        <f>SUM($G$29:Q32)</f>
        <v>227005.97928262898</v>
      </c>
      <c r="R34" s="2">
        <f>SUM($G$29:R32)</f>
        <v>227005.97928262898</v>
      </c>
      <c r="S34" s="2">
        <f>SUM($G$29:S32)</f>
        <v>227005.97928262898</v>
      </c>
      <c r="T34" s="2">
        <f>SUM($G$29:T32)</f>
        <v>227005.97928262898</v>
      </c>
      <c r="U34" s="2">
        <f>SUM($G$29:U32)</f>
        <v>227005.97928262898</v>
      </c>
      <c r="V34" s="2">
        <f>SUM($G$29:V32)</f>
        <v>227005.97928262898</v>
      </c>
      <c r="W34" s="2">
        <f>SUM($G$29:W32)</f>
        <v>227005.97928262898</v>
      </c>
      <c r="X34" s="2">
        <f>SUM($G$29:X32)</f>
        <v>227005.97928262898</v>
      </c>
      <c r="Y34" s="2">
        <f>SUM($G$29:Y32)</f>
        <v>227005.97928262898</v>
      </c>
      <c r="Z34" s="2">
        <f>SUM($G$29:Z32)</f>
        <v>227005.97928262898</v>
      </c>
      <c r="AA34" s="2">
        <f>SUM($G$29:AA32)</f>
        <v>227005.97928262898</v>
      </c>
    </row>
    <row r="35" spans="1:27" x14ac:dyDescent="0.25">
      <c r="G35" s="2"/>
      <c r="H35" s="2"/>
      <c r="I35" s="2"/>
      <c r="J35" s="2"/>
      <c r="K35" s="2"/>
      <c r="L35" s="2"/>
      <c r="M35" s="2"/>
      <c r="N35" s="2"/>
      <c r="O35" s="2"/>
      <c r="P35" s="2"/>
      <c r="Q35" s="2"/>
      <c r="R35" s="2"/>
      <c r="S35" s="2"/>
      <c r="T35" s="2"/>
      <c r="U35" s="2"/>
      <c r="V35" s="2"/>
      <c r="W35" s="2"/>
      <c r="X35" s="2"/>
      <c r="Y35" s="2"/>
      <c r="Z35" s="2"/>
      <c r="AA35" s="2"/>
    </row>
    <row r="36" spans="1:27" x14ac:dyDescent="0.25">
      <c r="A36" s="14">
        <f>'Notes &amp; Assumptions'!A24</f>
        <v>11</v>
      </c>
      <c r="C36" s="1" t="s">
        <v>107</v>
      </c>
      <c r="D36" s="1"/>
    </row>
    <row r="37" spans="1:27" x14ac:dyDescent="0.25">
      <c r="E37" s="2" t="str">
        <f>E7</f>
        <v>Pipes</v>
      </c>
      <c r="F37" t="s">
        <v>7</v>
      </c>
      <c r="G37" s="10"/>
      <c r="H37" s="10">
        <f>'Key assumptions'!$B32*(1+$G$14)^H2*(H90+H111+H132+H153)</f>
        <v>4509756.9999999991</v>
      </c>
      <c r="I37" s="10">
        <f>'Key assumptions'!$B32*(1+$G$14)^I2*(I90+I111+I132+I153)</f>
        <v>4597164.8099999987</v>
      </c>
      <c r="J37" s="10">
        <f>'Key assumptions'!$B32*(1+$G$14)^J2*(J90+J111+J132+J153)</f>
        <v>4771933.6921934988</v>
      </c>
      <c r="K37" s="10">
        <f>'Key assumptions'!$B32*(1+$G$14)^K2*(K90+K111+K132+K153)</f>
        <v>4723812.0376769044</v>
      </c>
      <c r="L37" s="10">
        <f>'Key assumptions'!$B32*(1+$G$14)^L2*(L90+L111+L132+L153)</f>
        <v>4659915.0632542213</v>
      </c>
      <c r="M37" s="10">
        <f>'Key assumptions'!$B32*(1+$G$14)^M2*(M90+M111+M132+M153)</f>
        <v>4599180.8369298074</v>
      </c>
      <c r="N37" s="10">
        <f>'Key assumptions'!$B32*(1+$G$14)^N2*(N90+N111+N132+N153)</f>
        <v>4533840.7505568732</v>
      </c>
      <c r="O37" s="10">
        <f>'Key assumptions'!$B32*(1+$G$14)^O2*(O90+O111+O132+O153)</f>
        <v>4467861.2234199736</v>
      </c>
      <c r="P37" s="10">
        <f>'Key assumptions'!$B32*(1+$G$14)^P2*(P90+P111+P132+P153)</f>
        <v>4810659.0123843141</v>
      </c>
      <c r="Q37" s="10">
        <f>'Key assumptions'!$B32*(1+$G$14)^Q2*(Q90+Q111+Q132+Q153)</f>
        <v>5187426.4503331911</v>
      </c>
      <c r="R37" s="10">
        <f>'Key assumptions'!$B32*(1+$G$14)^R2*(R90+R111+R132+R153)</f>
        <v>5586694.5642471267</v>
      </c>
      <c r="S37" s="10">
        <f>'Key assumptions'!$B32*(1+$G$14)^S2*(S90+S111+S132+S153)</f>
        <v>6031883.7374640554</v>
      </c>
      <c r="T37" s="10">
        <f>'Key assumptions'!$B32*(1+$G$14)^T2*(T90+T111+T132+T153)</f>
        <v>6511649.799143808</v>
      </c>
      <c r="U37" s="10">
        <f>'Key assumptions'!$B32*(1+$G$14)^U2*(U90+U111+U132+U153)</f>
        <v>6620302.6374120573</v>
      </c>
      <c r="V37" s="10">
        <f>'Key assumptions'!$B32*(1+$G$14)^V2*(V90+V111+V132+V153)</f>
        <v>6725866.9680808894</v>
      </c>
      <c r="W37" s="10">
        <f>'Key assumptions'!$B32*(1+$G$14)^W2*(W90+W111+W132+W153)</f>
        <v>0</v>
      </c>
      <c r="X37" s="10">
        <f>'Key assumptions'!$B32*(1+$G$14)^X2*(X90+X111+X132+X153)</f>
        <v>0</v>
      </c>
      <c r="Y37" s="10">
        <f>'Key assumptions'!$B32*(1+$G$14)^Y2*(Y90+Y111+Y132+Y153)</f>
        <v>0</v>
      </c>
      <c r="Z37" s="10">
        <f>'Key assumptions'!$B32*(1+$G$14)^Z2*(Z90+Z111+Z132+Z153)</f>
        <v>0</v>
      </c>
      <c r="AA37" s="10">
        <f>'Key assumptions'!$B32*(1+$G$14)^AA2*(AA90+AA111+AA132+AA153)</f>
        <v>0</v>
      </c>
    </row>
    <row r="38" spans="1:27" x14ac:dyDescent="0.25">
      <c r="E38" s="2" t="str">
        <f>E8</f>
        <v>Pumps</v>
      </c>
      <c r="F38" t="s">
        <v>7</v>
      </c>
      <c r="G38" s="10"/>
      <c r="H38" s="10"/>
      <c r="I38" s="10"/>
      <c r="J38" s="10"/>
      <c r="K38" s="10"/>
      <c r="L38" s="10"/>
      <c r="M38" s="10"/>
      <c r="N38" s="10"/>
      <c r="O38" s="10"/>
      <c r="P38" s="10"/>
      <c r="Q38" s="10"/>
      <c r="R38" s="10"/>
      <c r="S38" s="10"/>
      <c r="T38" s="10"/>
      <c r="U38" s="10"/>
      <c r="V38" s="10"/>
      <c r="W38" s="10"/>
      <c r="X38" s="10"/>
      <c r="Y38" s="10"/>
      <c r="Z38" s="10"/>
      <c r="AA38" s="10"/>
    </row>
    <row r="39" spans="1:27" x14ac:dyDescent="0.25">
      <c r="E39" s="2" t="str">
        <f>E9</f>
        <v>Valves and Meters</v>
      </c>
      <c r="F39" t="s">
        <v>7</v>
      </c>
      <c r="G39" s="10"/>
      <c r="H39" s="10"/>
      <c r="I39" s="10"/>
      <c r="J39" s="10"/>
      <c r="K39" s="10"/>
      <c r="L39" s="10"/>
      <c r="M39" s="10"/>
      <c r="N39" s="10"/>
      <c r="O39" s="10"/>
      <c r="P39" s="10"/>
      <c r="Q39" s="10"/>
      <c r="R39" s="10"/>
      <c r="S39" s="10"/>
      <c r="T39" s="10"/>
      <c r="U39" s="10"/>
      <c r="V39" s="10"/>
      <c r="W39" s="10"/>
      <c r="X39" s="10"/>
      <c r="Y39" s="10"/>
      <c r="Z39" s="10"/>
      <c r="AA39" s="10"/>
    </row>
    <row r="40" spans="1:27" x14ac:dyDescent="0.25">
      <c r="E40" s="2" t="str">
        <f>E10</f>
        <v>Temporary Assets</v>
      </c>
      <c r="F40" t="s">
        <v>7</v>
      </c>
      <c r="G40" s="10"/>
      <c r="H40" s="10"/>
      <c r="I40" s="10"/>
      <c r="J40" s="10"/>
      <c r="K40" s="10"/>
      <c r="L40" s="10"/>
      <c r="M40" s="10"/>
      <c r="N40" s="10"/>
      <c r="O40" s="10"/>
      <c r="P40" s="10"/>
      <c r="Q40" s="10"/>
      <c r="R40" s="10"/>
      <c r="S40" s="10"/>
      <c r="T40" s="10"/>
      <c r="U40" s="10"/>
      <c r="V40" s="10"/>
      <c r="W40" s="10"/>
      <c r="X40" s="10"/>
      <c r="Y40" s="10"/>
      <c r="Z40" s="10"/>
      <c r="AA40" s="10"/>
    </row>
    <row r="41" spans="1:27" x14ac:dyDescent="0.25">
      <c r="E41" t="s">
        <v>131</v>
      </c>
      <c r="F41" t="s">
        <v>7</v>
      </c>
      <c r="G41" s="10"/>
      <c r="H41" s="10"/>
      <c r="I41" s="10"/>
      <c r="J41" s="10"/>
      <c r="K41" s="10"/>
      <c r="L41" s="10"/>
      <c r="M41" s="10"/>
      <c r="N41" s="10"/>
      <c r="O41" s="10"/>
      <c r="P41" s="10"/>
      <c r="Q41" s="10"/>
      <c r="R41" s="10"/>
      <c r="S41" s="10"/>
      <c r="T41" s="10"/>
      <c r="U41" s="10"/>
      <c r="V41" s="10"/>
      <c r="W41" s="10"/>
      <c r="X41" s="10"/>
      <c r="Y41" s="10"/>
      <c r="Z41" s="10"/>
      <c r="AA41" s="10"/>
    </row>
    <row r="42" spans="1:27" x14ac:dyDescent="0.25">
      <c r="G42" s="2">
        <f>SUM(G37:G41)</f>
        <v>0</v>
      </c>
      <c r="H42" s="2">
        <f t="shared" ref="H42:AA42" si="3">SUM(H37:H41)</f>
        <v>4509756.9999999991</v>
      </c>
      <c r="I42" s="2">
        <f t="shared" si="3"/>
        <v>4597164.8099999987</v>
      </c>
      <c r="J42" s="2">
        <f t="shared" si="3"/>
        <v>4771933.6921934988</v>
      </c>
      <c r="K42" s="2">
        <f t="shared" si="3"/>
        <v>4723812.0376769044</v>
      </c>
      <c r="L42" s="2">
        <f t="shared" si="3"/>
        <v>4659915.0632542213</v>
      </c>
      <c r="M42" s="2">
        <f t="shared" si="3"/>
        <v>4599180.8369298074</v>
      </c>
      <c r="N42" s="2">
        <f t="shared" si="3"/>
        <v>4533840.7505568732</v>
      </c>
      <c r="O42" s="2">
        <f t="shared" si="3"/>
        <v>4467861.2234199736</v>
      </c>
      <c r="P42" s="2">
        <f t="shared" si="3"/>
        <v>4810659.0123843141</v>
      </c>
      <c r="Q42" s="2">
        <f t="shared" si="3"/>
        <v>5187426.4503331911</v>
      </c>
      <c r="R42" s="2">
        <f t="shared" si="3"/>
        <v>5586694.5642471267</v>
      </c>
      <c r="S42" s="2">
        <f t="shared" si="3"/>
        <v>6031883.7374640554</v>
      </c>
      <c r="T42" s="2">
        <f t="shared" si="3"/>
        <v>6511649.799143808</v>
      </c>
      <c r="U42" s="2">
        <f t="shared" si="3"/>
        <v>6620302.6374120573</v>
      </c>
      <c r="V42" s="2">
        <f t="shared" si="3"/>
        <v>6725866.9680808894</v>
      </c>
      <c r="W42" s="2">
        <f t="shared" si="3"/>
        <v>0</v>
      </c>
      <c r="X42" s="2">
        <f t="shared" si="3"/>
        <v>0</v>
      </c>
      <c r="Y42" s="2">
        <f t="shared" si="3"/>
        <v>0</v>
      </c>
      <c r="Z42" s="2">
        <f t="shared" si="3"/>
        <v>0</v>
      </c>
      <c r="AA42" s="2">
        <f t="shared" si="3"/>
        <v>0</v>
      </c>
    </row>
    <row r="43" spans="1:27" x14ac:dyDescent="0.25">
      <c r="G43" s="2"/>
      <c r="H43" s="2"/>
      <c r="I43" s="2"/>
      <c r="J43" s="2"/>
      <c r="K43" s="2"/>
      <c r="L43" s="2"/>
      <c r="M43" s="2"/>
      <c r="N43" s="2"/>
      <c r="O43" s="2"/>
      <c r="P43" s="2"/>
      <c r="Q43" s="2"/>
    </row>
    <row r="44" spans="1:27" x14ac:dyDescent="0.25">
      <c r="D44" t="s">
        <v>134</v>
      </c>
      <c r="G44" s="2"/>
      <c r="H44" s="2"/>
      <c r="I44" s="2"/>
      <c r="J44" s="2"/>
      <c r="K44" s="2"/>
      <c r="L44" s="2"/>
      <c r="M44" s="2"/>
      <c r="N44" s="2"/>
      <c r="O44" s="2"/>
      <c r="P44" s="2"/>
      <c r="Q44" s="2"/>
    </row>
    <row r="45" spans="1:27" x14ac:dyDescent="0.25">
      <c r="E45" s="2" t="str">
        <f>E37</f>
        <v>Pipes</v>
      </c>
      <c r="F45" t="s">
        <v>7</v>
      </c>
      <c r="G45" s="2">
        <f t="shared" ref="G45:AA48" si="4">G37/$G7+IF((G$2-$G7+1)&gt;0,-INDEX($G37:$AA37,1,(G$2-$G7+1))/$G7,0)</f>
        <v>0</v>
      </c>
      <c r="H45" s="2">
        <f t="shared" si="4"/>
        <v>50108.411111111098</v>
      </c>
      <c r="I45" s="2">
        <f t="shared" si="4"/>
        <v>51079.608999999982</v>
      </c>
      <c r="J45" s="2">
        <f t="shared" si="4"/>
        <v>53021.485468816652</v>
      </c>
      <c r="K45" s="2">
        <f t="shared" si="4"/>
        <v>52486.800418632272</v>
      </c>
      <c r="L45" s="2">
        <f t="shared" si="4"/>
        <v>51776.834036158012</v>
      </c>
      <c r="M45" s="2">
        <f t="shared" si="4"/>
        <v>51102.009299220081</v>
      </c>
      <c r="N45" s="2">
        <f t="shared" si="4"/>
        <v>50376.008339520813</v>
      </c>
      <c r="O45" s="2">
        <f t="shared" si="4"/>
        <v>49642.902482444151</v>
      </c>
      <c r="P45" s="2">
        <f t="shared" si="4"/>
        <v>53451.766804270155</v>
      </c>
      <c r="Q45" s="2">
        <f t="shared" si="4"/>
        <v>57638.071670368787</v>
      </c>
      <c r="R45" s="2">
        <f t="shared" si="4"/>
        <v>62074.384047190295</v>
      </c>
      <c r="S45" s="2">
        <f t="shared" si="4"/>
        <v>67020.930416267278</v>
      </c>
      <c r="T45" s="2">
        <f t="shared" si="4"/>
        <v>72351.664434931197</v>
      </c>
      <c r="U45" s="2">
        <f t="shared" si="4"/>
        <v>73558.918193467296</v>
      </c>
      <c r="V45" s="2">
        <f t="shared" si="4"/>
        <v>74731.855200898775</v>
      </c>
      <c r="W45" s="2">
        <f t="shared" si="4"/>
        <v>0</v>
      </c>
      <c r="X45" s="2">
        <f t="shared" si="4"/>
        <v>0</v>
      </c>
      <c r="Y45" s="2">
        <f t="shared" si="4"/>
        <v>0</v>
      </c>
      <c r="Z45" s="2">
        <f t="shared" si="4"/>
        <v>0</v>
      </c>
      <c r="AA45" s="2">
        <f t="shared" si="4"/>
        <v>0</v>
      </c>
    </row>
    <row r="46" spans="1:27" x14ac:dyDescent="0.25">
      <c r="E46" s="2" t="str">
        <f t="shared" ref="E46:E48" si="5">E38</f>
        <v>Pumps</v>
      </c>
      <c r="F46" t="s">
        <v>7</v>
      </c>
      <c r="G46" s="2">
        <f t="shared" si="4"/>
        <v>0</v>
      </c>
      <c r="H46" s="2">
        <f t="shared" si="4"/>
        <v>0</v>
      </c>
      <c r="I46" s="2">
        <f t="shared" si="4"/>
        <v>0</v>
      </c>
      <c r="J46" s="2">
        <f t="shared" si="4"/>
        <v>0</v>
      </c>
      <c r="K46" s="2">
        <f t="shared" si="4"/>
        <v>0</v>
      </c>
      <c r="L46" s="2">
        <f t="shared" si="4"/>
        <v>0</v>
      </c>
      <c r="M46" s="2">
        <f t="shared" si="4"/>
        <v>0</v>
      </c>
      <c r="N46" s="2">
        <f t="shared" si="4"/>
        <v>0</v>
      </c>
      <c r="O46" s="2">
        <f t="shared" si="4"/>
        <v>0</v>
      </c>
      <c r="P46" s="2">
        <f t="shared" si="4"/>
        <v>0</v>
      </c>
      <c r="Q46" s="2">
        <f t="shared" si="4"/>
        <v>0</v>
      </c>
      <c r="R46" s="2">
        <f t="shared" si="4"/>
        <v>0</v>
      </c>
      <c r="S46" s="2">
        <f t="shared" si="4"/>
        <v>0</v>
      </c>
      <c r="T46" s="2">
        <f t="shared" si="4"/>
        <v>0</v>
      </c>
      <c r="U46" s="2">
        <f t="shared" si="4"/>
        <v>0</v>
      </c>
      <c r="V46" s="2">
        <f t="shared" si="4"/>
        <v>0</v>
      </c>
      <c r="W46" s="2">
        <f t="shared" si="4"/>
        <v>0</v>
      </c>
      <c r="X46" s="2">
        <f t="shared" si="4"/>
        <v>0</v>
      </c>
      <c r="Y46" s="2">
        <f t="shared" si="4"/>
        <v>0</v>
      </c>
      <c r="Z46" s="2">
        <f t="shared" si="4"/>
        <v>0</v>
      </c>
      <c r="AA46" s="2">
        <f t="shared" si="4"/>
        <v>0</v>
      </c>
    </row>
    <row r="47" spans="1:27" x14ac:dyDescent="0.25">
      <c r="E47" s="2" t="str">
        <f t="shared" si="5"/>
        <v>Valves and Meters</v>
      </c>
      <c r="F47" t="s">
        <v>7</v>
      </c>
      <c r="G47" s="2">
        <f t="shared" si="4"/>
        <v>0</v>
      </c>
      <c r="H47" s="2">
        <f t="shared" si="4"/>
        <v>0</v>
      </c>
      <c r="I47" s="2">
        <f t="shared" si="4"/>
        <v>0</v>
      </c>
      <c r="J47" s="2">
        <f t="shared" si="4"/>
        <v>0</v>
      </c>
      <c r="K47" s="2">
        <f t="shared" si="4"/>
        <v>0</v>
      </c>
      <c r="L47" s="2">
        <f t="shared" si="4"/>
        <v>0</v>
      </c>
      <c r="M47" s="2">
        <f t="shared" si="4"/>
        <v>0</v>
      </c>
      <c r="N47" s="2">
        <f t="shared" si="4"/>
        <v>0</v>
      </c>
      <c r="O47" s="2">
        <f t="shared" si="4"/>
        <v>0</v>
      </c>
      <c r="P47" s="2">
        <f t="shared" si="4"/>
        <v>0</v>
      </c>
      <c r="Q47" s="2">
        <f t="shared" si="4"/>
        <v>0</v>
      </c>
      <c r="R47" s="2">
        <f t="shared" si="4"/>
        <v>0</v>
      </c>
      <c r="S47" s="2">
        <f t="shared" si="4"/>
        <v>0</v>
      </c>
      <c r="T47" s="2">
        <f t="shared" si="4"/>
        <v>0</v>
      </c>
      <c r="U47" s="2">
        <f t="shared" si="4"/>
        <v>0</v>
      </c>
      <c r="V47" s="2">
        <f t="shared" si="4"/>
        <v>0</v>
      </c>
      <c r="W47" s="2">
        <f t="shared" si="4"/>
        <v>0</v>
      </c>
      <c r="X47" s="2">
        <f t="shared" si="4"/>
        <v>0</v>
      </c>
      <c r="Y47" s="2">
        <f t="shared" si="4"/>
        <v>0</v>
      </c>
      <c r="Z47" s="2">
        <f t="shared" si="4"/>
        <v>0</v>
      </c>
      <c r="AA47" s="2">
        <f t="shared" si="4"/>
        <v>0</v>
      </c>
    </row>
    <row r="48" spans="1:27" x14ac:dyDescent="0.25">
      <c r="E48" s="2" t="str">
        <f t="shared" si="5"/>
        <v>Temporary Assets</v>
      </c>
      <c r="F48" t="s">
        <v>7</v>
      </c>
      <c r="G48" s="2">
        <f t="shared" si="4"/>
        <v>0</v>
      </c>
      <c r="H48" s="2">
        <f t="shared" si="4"/>
        <v>0</v>
      </c>
      <c r="I48" s="2">
        <f t="shared" si="4"/>
        <v>0</v>
      </c>
      <c r="J48" s="2">
        <f t="shared" si="4"/>
        <v>0</v>
      </c>
      <c r="K48" s="2">
        <f t="shared" si="4"/>
        <v>0</v>
      </c>
      <c r="L48" s="2">
        <f t="shared" si="4"/>
        <v>0</v>
      </c>
      <c r="M48" s="2">
        <f t="shared" si="4"/>
        <v>0</v>
      </c>
      <c r="N48" s="2">
        <f t="shared" si="4"/>
        <v>0</v>
      </c>
      <c r="O48" s="2">
        <f t="shared" si="4"/>
        <v>0</v>
      </c>
      <c r="P48" s="2">
        <f t="shared" si="4"/>
        <v>0</v>
      </c>
      <c r="Q48" s="2">
        <f t="shared" si="4"/>
        <v>0</v>
      </c>
      <c r="R48" s="2">
        <f t="shared" si="4"/>
        <v>0</v>
      </c>
      <c r="S48" s="2">
        <f t="shared" si="4"/>
        <v>0</v>
      </c>
      <c r="T48" s="2">
        <f t="shared" si="4"/>
        <v>0</v>
      </c>
      <c r="U48" s="2">
        <f t="shared" si="4"/>
        <v>0</v>
      </c>
      <c r="V48" s="2">
        <f t="shared" si="4"/>
        <v>0</v>
      </c>
      <c r="W48" s="2">
        <f t="shared" si="4"/>
        <v>0</v>
      </c>
      <c r="X48" s="2">
        <f t="shared" si="4"/>
        <v>0</v>
      </c>
      <c r="Y48" s="2">
        <f t="shared" si="4"/>
        <v>0</v>
      </c>
      <c r="Z48" s="2">
        <f t="shared" si="4"/>
        <v>0</v>
      </c>
      <c r="AA48" s="2">
        <f t="shared" si="4"/>
        <v>0</v>
      </c>
    </row>
    <row r="49" spans="1:27" x14ac:dyDescent="0.25">
      <c r="G49" s="2"/>
      <c r="H49" s="2"/>
      <c r="I49" s="2"/>
      <c r="J49" s="2"/>
      <c r="K49" s="2"/>
      <c r="L49" s="2"/>
      <c r="M49" s="2"/>
      <c r="N49" s="2"/>
      <c r="O49" s="2"/>
      <c r="P49" s="2"/>
      <c r="Q49" s="2"/>
    </row>
    <row r="50" spans="1:27" x14ac:dyDescent="0.25">
      <c r="D50" t="s">
        <v>135</v>
      </c>
      <c r="F50" t="s">
        <v>7</v>
      </c>
      <c r="G50" s="2">
        <f>SUM($G$45:G48)</f>
        <v>0</v>
      </c>
      <c r="H50" s="2">
        <f>SUM($G$45:H48)</f>
        <v>50108.411111111098</v>
      </c>
      <c r="I50" s="2">
        <f>SUM($G$45:I48)</f>
        <v>101188.02011111108</v>
      </c>
      <c r="J50" s="2">
        <f>SUM($G$45:J48)</f>
        <v>154209.50557992773</v>
      </c>
      <c r="K50" s="2">
        <f>SUM($G$45:K48)</f>
        <v>206696.30599856001</v>
      </c>
      <c r="L50" s="2">
        <f>SUM($G$45:L48)</f>
        <v>258473.14003471803</v>
      </c>
      <c r="M50" s="2">
        <f>SUM($G$45:M48)</f>
        <v>309575.14933393814</v>
      </c>
      <c r="N50" s="2">
        <f>SUM($G$45:N48)</f>
        <v>359951.15767345898</v>
      </c>
      <c r="O50" s="2">
        <f>SUM($G$45:O48)</f>
        <v>409594.06015590311</v>
      </c>
      <c r="P50" s="2">
        <f>SUM($G$45:P48)</f>
        <v>463045.82696017326</v>
      </c>
      <c r="Q50" s="2">
        <f>SUM($G$45:Q48)</f>
        <v>520683.89863054204</v>
      </c>
      <c r="R50" s="2">
        <f>SUM($G$45:R48)</f>
        <v>582758.28267773229</v>
      </c>
      <c r="S50" s="2">
        <f>SUM($G$45:S48)</f>
        <v>649779.21309399954</v>
      </c>
      <c r="T50" s="2">
        <f>SUM($G$45:T48)</f>
        <v>722130.87752893078</v>
      </c>
      <c r="U50" s="2">
        <f>SUM($G$45:U48)</f>
        <v>795689.79572239809</v>
      </c>
      <c r="V50" s="2">
        <f>SUM($G$45:V48)</f>
        <v>870421.65092329681</v>
      </c>
      <c r="W50" s="2">
        <f>SUM($G$45:W48)</f>
        <v>870421.65092329681</v>
      </c>
      <c r="X50" s="2">
        <f>SUM($G$45:X48)</f>
        <v>870421.65092329681</v>
      </c>
      <c r="Y50" s="2">
        <f>SUM($G$45:Y48)</f>
        <v>870421.65092329681</v>
      </c>
      <c r="Z50" s="2">
        <f>SUM($G$45:Z48)</f>
        <v>870421.65092329681</v>
      </c>
      <c r="AA50" s="2">
        <f>SUM($G$45:AA48)</f>
        <v>870421.65092329681</v>
      </c>
    </row>
    <row r="51" spans="1:27" x14ac:dyDescent="0.25">
      <c r="G51" s="2"/>
      <c r="H51" s="2"/>
      <c r="I51" s="2"/>
      <c r="J51" s="2"/>
      <c r="K51" s="2"/>
      <c r="L51" s="2"/>
      <c r="M51" s="2"/>
      <c r="N51" s="2"/>
      <c r="O51" s="2"/>
      <c r="P51" s="2"/>
      <c r="Q51" s="2"/>
      <c r="R51" s="2"/>
      <c r="S51" s="2"/>
      <c r="T51" s="2"/>
      <c r="U51" s="2"/>
      <c r="V51" s="2"/>
      <c r="W51" s="2"/>
      <c r="X51" s="2"/>
      <c r="Y51" s="2"/>
      <c r="Z51" s="2"/>
      <c r="AA51" s="2"/>
    </row>
    <row r="52" spans="1:27" x14ac:dyDescent="0.25">
      <c r="A52" s="14">
        <f>'Notes &amp; Assumptions'!A25</f>
        <v>12</v>
      </c>
      <c r="C52" s="1" t="s">
        <v>109</v>
      </c>
      <c r="G52" s="2"/>
      <c r="H52" s="2"/>
      <c r="I52" s="2"/>
      <c r="J52" s="2"/>
      <c r="K52" s="2"/>
      <c r="L52" s="2"/>
      <c r="M52" s="2"/>
      <c r="N52" s="2"/>
      <c r="O52" s="2"/>
      <c r="P52" s="2"/>
      <c r="Q52" s="2"/>
      <c r="R52" s="2"/>
      <c r="S52" s="2"/>
      <c r="T52" s="2"/>
      <c r="U52" s="2"/>
      <c r="V52" s="2"/>
      <c r="W52" s="2"/>
      <c r="X52" s="2"/>
      <c r="Y52" s="2"/>
      <c r="Z52" s="2"/>
      <c r="AA52" s="2"/>
    </row>
    <row r="53" spans="1:27" x14ac:dyDescent="0.25">
      <c r="E53" t="s">
        <v>109</v>
      </c>
      <c r="F53" t="s">
        <v>7</v>
      </c>
      <c r="G53" s="10"/>
      <c r="H53" s="10"/>
      <c r="I53" s="10"/>
      <c r="J53" s="10"/>
      <c r="K53" s="10"/>
      <c r="L53" s="10"/>
      <c r="M53" s="10"/>
      <c r="N53" s="10"/>
      <c r="O53" s="10"/>
      <c r="P53" s="10"/>
      <c r="Q53" s="10"/>
      <c r="R53" s="10"/>
      <c r="S53" s="10"/>
      <c r="T53" s="10"/>
      <c r="U53" s="10"/>
      <c r="V53" s="10"/>
      <c r="W53" s="10"/>
      <c r="X53" s="10"/>
      <c r="Y53" s="10"/>
      <c r="Z53" s="10"/>
      <c r="AA53" s="10"/>
    </row>
    <row r="55" spans="1:27" x14ac:dyDescent="0.25">
      <c r="C55" s="1" t="s">
        <v>25</v>
      </c>
      <c r="D55" s="1"/>
    </row>
    <row r="56" spans="1:27" x14ac:dyDescent="0.25">
      <c r="A56" s="14">
        <f>'Notes &amp; Assumptions'!A26</f>
        <v>13</v>
      </c>
      <c r="D56" t="s">
        <v>2</v>
      </c>
    </row>
    <row r="57" spans="1:27" x14ac:dyDescent="0.25">
      <c r="E57" s="2" t="str">
        <f>E7</f>
        <v>Pipes</v>
      </c>
      <c r="F57" t="s">
        <v>7</v>
      </c>
      <c r="G57" s="10"/>
      <c r="H57" s="10"/>
      <c r="I57" s="10"/>
      <c r="J57" s="10"/>
      <c r="K57" s="10"/>
      <c r="L57" s="10"/>
      <c r="M57" s="10"/>
      <c r="N57" s="10"/>
      <c r="O57" s="10"/>
      <c r="P57" s="10"/>
      <c r="Q57" s="10"/>
      <c r="R57" s="10"/>
      <c r="S57" s="10"/>
      <c r="T57" s="10"/>
      <c r="U57" s="10"/>
      <c r="V57" s="10"/>
      <c r="W57" s="10"/>
      <c r="X57" s="10"/>
      <c r="Y57" s="10"/>
      <c r="Z57" s="10"/>
      <c r="AA57" s="10"/>
    </row>
    <row r="58" spans="1:27" x14ac:dyDescent="0.25">
      <c r="E58" s="2" t="str">
        <f>E8</f>
        <v>Pumps</v>
      </c>
      <c r="F58" t="s">
        <v>7</v>
      </c>
      <c r="G58" s="10"/>
      <c r="H58" s="10"/>
      <c r="I58" s="10"/>
      <c r="J58" s="10"/>
      <c r="K58" s="10"/>
      <c r="L58" s="10"/>
      <c r="M58" s="10"/>
      <c r="N58" s="10"/>
      <c r="O58" s="10"/>
      <c r="P58" s="10"/>
      <c r="Q58" s="10"/>
      <c r="R58" s="10"/>
      <c r="S58" s="10"/>
      <c r="T58" s="10"/>
      <c r="U58" s="10"/>
      <c r="V58" s="10"/>
      <c r="W58" s="10"/>
      <c r="X58" s="10"/>
      <c r="Y58" s="10"/>
      <c r="Z58" s="10"/>
      <c r="AA58" s="10"/>
    </row>
    <row r="59" spans="1:27" x14ac:dyDescent="0.25">
      <c r="E59" s="2" t="str">
        <f>E9</f>
        <v>Valves and Meters</v>
      </c>
      <c r="F59" t="s">
        <v>7</v>
      </c>
      <c r="G59" s="10"/>
      <c r="H59" s="10"/>
      <c r="I59" s="10"/>
      <c r="J59" s="10"/>
      <c r="K59" s="10"/>
      <c r="L59" s="10"/>
      <c r="M59" s="10"/>
      <c r="N59" s="10"/>
      <c r="O59" s="10"/>
      <c r="P59" s="10"/>
      <c r="Q59" s="10"/>
      <c r="R59" s="10"/>
      <c r="S59" s="10"/>
      <c r="T59" s="10"/>
      <c r="U59" s="10"/>
      <c r="V59" s="10"/>
      <c r="W59" s="10"/>
      <c r="X59" s="10"/>
      <c r="Y59" s="10"/>
      <c r="Z59" s="10"/>
      <c r="AA59" s="10"/>
    </row>
    <row r="60" spans="1:27" x14ac:dyDescent="0.25">
      <c r="E60" t="s">
        <v>131</v>
      </c>
      <c r="F60" t="s">
        <v>7</v>
      </c>
      <c r="G60" s="10"/>
      <c r="H60" s="10"/>
      <c r="I60" s="10"/>
      <c r="J60" s="10"/>
      <c r="K60" s="10"/>
      <c r="L60" s="10"/>
      <c r="M60" s="10"/>
      <c r="N60" s="10"/>
      <c r="O60" s="10"/>
      <c r="P60" s="10"/>
      <c r="Q60" s="10"/>
      <c r="R60" s="10"/>
      <c r="S60" s="10"/>
      <c r="T60" s="10"/>
      <c r="U60" s="10"/>
      <c r="V60" s="10"/>
      <c r="W60" s="10"/>
      <c r="X60" s="10"/>
      <c r="Y60" s="10"/>
      <c r="Z60" s="10"/>
      <c r="AA60" s="10"/>
    </row>
    <row r="61" spans="1:27" x14ac:dyDescent="0.25">
      <c r="G61" s="2">
        <f>SUM(G57:G60)</f>
        <v>0</v>
      </c>
      <c r="H61" s="2">
        <f t="shared" ref="H61:AA61" si="6">SUM(H57:H60)</f>
        <v>0</v>
      </c>
      <c r="I61" s="2">
        <f t="shared" si="6"/>
        <v>0</v>
      </c>
      <c r="J61" s="2">
        <f t="shared" si="6"/>
        <v>0</v>
      </c>
      <c r="K61" s="2">
        <f t="shared" si="6"/>
        <v>0</v>
      </c>
      <c r="L61" s="2">
        <f t="shared" si="6"/>
        <v>0</v>
      </c>
      <c r="M61" s="2">
        <f t="shared" si="6"/>
        <v>0</v>
      </c>
      <c r="N61" s="2">
        <f t="shared" si="6"/>
        <v>0</v>
      </c>
      <c r="O61" s="2">
        <f t="shared" si="6"/>
        <v>0</v>
      </c>
      <c r="P61" s="2">
        <f t="shared" si="6"/>
        <v>0</v>
      </c>
      <c r="Q61" s="2">
        <f t="shared" si="6"/>
        <v>0</v>
      </c>
      <c r="R61" s="2">
        <f t="shared" si="6"/>
        <v>0</v>
      </c>
      <c r="S61" s="2">
        <f t="shared" si="6"/>
        <v>0</v>
      </c>
      <c r="T61" s="2">
        <f t="shared" si="6"/>
        <v>0</v>
      </c>
      <c r="U61" s="2">
        <f t="shared" si="6"/>
        <v>0</v>
      </c>
      <c r="V61" s="2">
        <f t="shared" si="6"/>
        <v>0</v>
      </c>
      <c r="W61" s="2">
        <f t="shared" si="6"/>
        <v>0</v>
      </c>
      <c r="X61" s="2">
        <f t="shared" si="6"/>
        <v>0</v>
      </c>
      <c r="Y61" s="2">
        <f t="shared" si="6"/>
        <v>0</v>
      </c>
      <c r="Z61" s="2">
        <f t="shared" si="6"/>
        <v>0</v>
      </c>
      <c r="AA61" s="2">
        <f t="shared" si="6"/>
        <v>0</v>
      </c>
    </row>
    <row r="63" spans="1:27" x14ac:dyDescent="0.25">
      <c r="D63" t="s">
        <v>136</v>
      </c>
      <c r="G63" s="2"/>
      <c r="H63" s="2"/>
      <c r="I63" s="2"/>
      <c r="J63" s="2"/>
      <c r="K63" s="2"/>
      <c r="L63" s="2"/>
      <c r="M63" s="2"/>
      <c r="N63" s="2"/>
      <c r="O63" s="2"/>
      <c r="P63" s="2"/>
      <c r="Q63" s="2"/>
    </row>
    <row r="64" spans="1:27" x14ac:dyDescent="0.25">
      <c r="E64" s="2" t="str">
        <f>E57</f>
        <v>Pipes</v>
      </c>
      <c r="F64" t="s">
        <v>7</v>
      </c>
      <c r="G64" s="2">
        <f t="shared" ref="G64:AA66" si="7">G57/$G7+IF((G$2-$G7+1)&gt;0,-INDEX($G57:$AA57,1,(G$2-$G7+1))/$G7,0)</f>
        <v>0</v>
      </c>
      <c r="H64" s="2">
        <f t="shared" si="7"/>
        <v>0</v>
      </c>
      <c r="I64" s="2">
        <f t="shared" si="7"/>
        <v>0</v>
      </c>
      <c r="J64" s="2">
        <f t="shared" si="7"/>
        <v>0</v>
      </c>
      <c r="K64" s="2">
        <f t="shared" si="7"/>
        <v>0</v>
      </c>
      <c r="L64" s="2">
        <f t="shared" si="7"/>
        <v>0</v>
      </c>
      <c r="M64" s="2">
        <f t="shared" si="7"/>
        <v>0</v>
      </c>
      <c r="N64" s="2">
        <f t="shared" si="7"/>
        <v>0</v>
      </c>
      <c r="O64" s="2">
        <f t="shared" si="7"/>
        <v>0</v>
      </c>
      <c r="P64" s="2">
        <f t="shared" si="7"/>
        <v>0</v>
      </c>
      <c r="Q64" s="2">
        <f t="shared" si="7"/>
        <v>0</v>
      </c>
      <c r="R64" s="2">
        <f t="shared" si="7"/>
        <v>0</v>
      </c>
      <c r="S64" s="2">
        <f t="shared" si="7"/>
        <v>0</v>
      </c>
      <c r="T64" s="2">
        <f t="shared" si="7"/>
        <v>0</v>
      </c>
      <c r="U64" s="2">
        <f t="shared" si="7"/>
        <v>0</v>
      </c>
      <c r="V64" s="2">
        <f t="shared" si="7"/>
        <v>0</v>
      </c>
      <c r="W64" s="2">
        <f t="shared" si="7"/>
        <v>0</v>
      </c>
      <c r="X64" s="2">
        <f t="shared" si="7"/>
        <v>0</v>
      </c>
      <c r="Y64" s="2">
        <f t="shared" si="7"/>
        <v>0</v>
      </c>
      <c r="Z64" s="2">
        <f t="shared" si="7"/>
        <v>0</v>
      </c>
      <c r="AA64" s="2">
        <f t="shared" si="7"/>
        <v>0</v>
      </c>
    </row>
    <row r="65" spans="1:27" x14ac:dyDescent="0.25">
      <c r="E65" s="2" t="str">
        <f t="shared" ref="E65:E66" si="8">E58</f>
        <v>Pumps</v>
      </c>
      <c r="F65" t="s">
        <v>7</v>
      </c>
      <c r="G65" s="2">
        <f t="shared" si="7"/>
        <v>0</v>
      </c>
      <c r="H65" s="2">
        <f t="shared" si="7"/>
        <v>0</v>
      </c>
      <c r="I65" s="2">
        <f t="shared" si="7"/>
        <v>0</v>
      </c>
      <c r="J65" s="2">
        <f t="shared" si="7"/>
        <v>0</v>
      </c>
      <c r="K65" s="2">
        <f t="shared" si="7"/>
        <v>0</v>
      </c>
      <c r="L65" s="2">
        <f t="shared" si="7"/>
        <v>0</v>
      </c>
      <c r="M65" s="2">
        <f t="shared" si="7"/>
        <v>0</v>
      </c>
      <c r="N65" s="2">
        <f t="shared" si="7"/>
        <v>0</v>
      </c>
      <c r="O65" s="2">
        <f t="shared" si="7"/>
        <v>0</v>
      </c>
      <c r="P65" s="2">
        <f t="shared" si="7"/>
        <v>0</v>
      </c>
      <c r="Q65" s="2">
        <f t="shared" si="7"/>
        <v>0</v>
      </c>
      <c r="R65" s="2">
        <f t="shared" si="7"/>
        <v>0</v>
      </c>
      <c r="S65" s="2">
        <f t="shared" si="7"/>
        <v>0</v>
      </c>
      <c r="T65" s="2">
        <f t="shared" si="7"/>
        <v>0</v>
      </c>
      <c r="U65" s="2">
        <f t="shared" si="7"/>
        <v>0</v>
      </c>
      <c r="V65" s="2">
        <f t="shared" si="7"/>
        <v>0</v>
      </c>
      <c r="W65" s="2">
        <f t="shared" si="7"/>
        <v>0</v>
      </c>
      <c r="X65" s="2">
        <f t="shared" si="7"/>
        <v>0</v>
      </c>
      <c r="Y65" s="2">
        <f t="shared" si="7"/>
        <v>0</v>
      </c>
      <c r="Z65" s="2">
        <f t="shared" si="7"/>
        <v>0</v>
      </c>
      <c r="AA65" s="2">
        <f t="shared" si="7"/>
        <v>0</v>
      </c>
    </row>
    <row r="66" spans="1:27" x14ac:dyDescent="0.25">
      <c r="E66" s="2" t="str">
        <f t="shared" si="8"/>
        <v>Valves and Meters</v>
      </c>
      <c r="F66" t="s">
        <v>7</v>
      </c>
      <c r="G66" s="2">
        <f t="shared" si="7"/>
        <v>0</v>
      </c>
      <c r="H66" s="2">
        <f t="shared" si="7"/>
        <v>0</v>
      </c>
      <c r="I66" s="2">
        <f t="shared" si="7"/>
        <v>0</v>
      </c>
      <c r="J66" s="2">
        <f t="shared" si="7"/>
        <v>0</v>
      </c>
      <c r="K66" s="2">
        <f t="shared" si="7"/>
        <v>0</v>
      </c>
      <c r="L66" s="2">
        <f t="shared" si="7"/>
        <v>0</v>
      </c>
      <c r="M66" s="2">
        <f t="shared" si="7"/>
        <v>0</v>
      </c>
      <c r="N66" s="2">
        <f t="shared" si="7"/>
        <v>0</v>
      </c>
      <c r="O66" s="2">
        <f t="shared" si="7"/>
        <v>0</v>
      </c>
      <c r="P66" s="2">
        <f t="shared" si="7"/>
        <v>0</v>
      </c>
      <c r="Q66" s="2">
        <f t="shared" si="7"/>
        <v>0</v>
      </c>
      <c r="R66" s="2">
        <f t="shared" si="7"/>
        <v>0</v>
      </c>
      <c r="S66" s="2">
        <f t="shared" si="7"/>
        <v>0</v>
      </c>
      <c r="T66" s="2">
        <f t="shared" si="7"/>
        <v>0</v>
      </c>
      <c r="U66" s="2">
        <f t="shared" si="7"/>
        <v>0</v>
      </c>
      <c r="V66" s="2">
        <f t="shared" si="7"/>
        <v>0</v>
      </c>
      <c r="W66" s="2">
        <f t="shared" si="7"/>
        <v>0</v>
      </c>
      <c r="X66" s="2">
        <f t="shared" si="7"/>
        <v>0</v>
      </c>
      <c r="Y66" s="2">
        <f t="shared" si="7"/>
        <v>0</v>
      </c>
      <c r="Z66" s="2">
        <f t="shared" si="7"/>
        <v>0</v>
      </c>
      <c r="AA66" s="2">
        <f t="shared" si="7"/>
        <v>0</v>
      </c>
    </row>
    <row r="68" spans="1:27" x14ac:dyDescent="0.25">
      <c r="D68" t="s">
        <v>137</v>
      </c>
      <c r="F68" t="s">
        <v>7</v>
      </c>
      <c r="G68" s="2">
        <f>SUM($G$64:G66)</f>
        <v>0</v>
      </c>
      <c r="H68" s="2">
        <f>SUM($G$64:H66)</f>
        <v>0</v>
      </c>
      <c r="I68" s="2">
        <f>SUM($G$64:I66)</f>
        <v>0</v>
      </c>
      <c r="J68" s="2">
        <f>SUM($G$64:J66)</f>
        <v>0</v>
      </c>
      <c r="K68" s="2">
        <f>SUM($G$64:K66)</f>
        <v>0</v>
      </c>
      <c r="L68" s="2">
        <f>SUM($G$64:L66)</f>
        <v>0</v>
      </c>
      <c r="M68" s="2">
        <f>SUM($G$64:M66)</f>
        <v>0</v>
      </c>
      <c r="N68" s="2">
        <f>SUM($G$64:N66)</f>
        <v>0</v>
      </c>
      <c r="O68" s="2">
        <f>SUM($G$64:O66)</f>
        <v>0</v>
      </c>
      <c r="P68" s="2">
        <f>SUM($G$64:P66)</f>
        <v>0</v>
      </c>
      <c r="Q68" s="2">
        <f>SUM($G$64:Q66)</f>
        <v>0</v>
      </c>
      <c r="R68" s="2">
        <f>SUM($G$64:R66)</f>
        <v>0</v>
      </c>
      <c r="S68" s="2">
        <f>SUM($G$64:S66)</f>
        <v>0</v>
      </c>
      <c r="T68" s="2">
        <f>SUM($G$64:T66)</f>
        <v>0</v>
      </c>
      <c r="U68" s="2">
        <f>SUM($G$64:U66)</f>
        <v>0</v>
      </c>
      <c r="V68" s="2">
        <f>SUM($G$64:V66)</f>
        <v>0</v>
      </c>
      <c r="W68" s="2">
        <f>SUM($G$64:W66)</f>
        <v>0</v>
      </c>
      <c r="X68" s="2">
        <f>SUM($G$64:X66)</f>
        <v>0</v>
      </c>
      <c r="Y68" s="2">
        <f>SUM($G$64:Y66)</f>
        <v>0</v>
      </c>
      <c r="Z68" s="2">
        <f>SUM($G$64:Z66)</f>
        <v>0</v>
      </c>
      <c r="AA68" s="2">
        <f>SUM($G$64:AA66)</f>
        <v>0</v>
      </c>
    </row>
    <row r="70" spans="1:27" x14ac:dyDescent="0.25">
      <c r="A70" s="14">
        <f>'Notes &amp; Assumptions'!A27</f>
        <v>14</v>
      </c>
      <c r="D70" t="s">
        <v>6</v>
      </c>
    </row>
    <row r="71" spans="1:27" x14ac:dyDescent="0.25">
      <c r="E71" s="2" t="str">
        <f>E7</f>
        <v>Pipes</v>
      </c>
      <c r="F71" t="s">
        <v>7</v>
      </c>
      <c r="G71" s="10"/>
      <c r="H71" s="10"/>
      <c r="I71" s="10"/>
      <c r="J71" s="10"/>
      <c r="K71" s="10"/>
      <c r="L71" s="10"/>
      <c r="M71" s="10"/>
      <c r="N71" s="10"/>
      <c r="O71" s="10"/>
      <c r="P71" s="10"/>
      <c r="Q71" s="10"/>
      <c r="R71" s="10"/>
      <c r="S71" s="10"/>
      <c r="T71" s="10"/>
      <c r="U71" s="10"/>
      <c r="V71" s="10"/>
      <c r="W71" s="10"/>
      <c r="X71" s="10"/>
      <c r="Y71" s="10"/>
      <c r="Z71" s="10"/>
      <c r="AA71" s="10"/>
    </row>
    <row r="72" spans="1:27" x14ac:dyDescent="0.25">
      <c r="E72" s="2" t="str">
        <f>E8</f>
        <v>Pumps</v>
      </c>
      <c r="F72" t="s">
        <v>7</v>
      </c>
      <c r="G72" s="10"/>
      <c r="H72" s="10"/>
      <c r="I72" s="10"/>
      <c r="J72" s="10"/>
      <c r="K72" s="10"/>
      <c r="L72" s="10"/>
      <c r="M72" s="10"/>
      <c r="N72" s="10"/>
      <c r="O72" s="10"/>
      <c r="P72" s="10"/>
      <c r="Q72" s="10"/>
      <c r="R72" s="10"/>
      <c r="S72" s="10"/>
      <c r="T72" s="10"/>
      <c r="U72" s="10"/>
      <c r="V72" s="10"/>
      <c r="W72" s="10"/>
      <c r="X72" s="10"/>
      <c r="Y72" s="10"/>
      <c r="Z72" s="10"/>
      <c r="AA72" s="10"/>
    </row>
    <row r="73" spans="1:27" x14ac:dyDescent="0.25">
      <c r="E73" s="2" t="str">
        <f>E9</f>
        <v>Valves and Meters</v>
      </c>
      <c r="F73" t="s">
        <v>7</v>
      </c>
      <c r="G73" s="10"/>
      <c r="H73" s="10"/>
      <c r="I73" s="10"/>
      <c r="J73" s="10"/>
      <c r="K73" s="10"/>
      <c r="L73" s="10"/>
      <c r="M73" s="10"/>
      <c r="N73" s="10"/>
      <c r="O73" s="10"/>
      <c r="P73" s="10"/>
      <c r="Q73" s="10"/>
      <c r="R73" s="10"/>
      <c r="S73" s="10"/>
      <c r="T73" s="10"/>
      <c r="U73" s="10"/>
      <c r="V73" s="10"/>
      <c r="W73" s="10"/>
      <c r="X73" s="10"/>
      <c r="Y73" s="10"/>
      <c r="Z73" s="10"/>
      <c r="AA73" s="10"/>
    </row>
    <row r="74" spans="1:27" x14ac:dyDescent="0.25">
      <c r="E74" t="s">
        <v>131</v>
      </c>
      <c r="F74" t="s">
        <v>7</v>
      </c>
      <c r="G74" s="10"/>
      <c r="H74" s="10"/>
      <c r="I74" s="10"/>
      <c r="J74" s="10"/>
      <c r="K74" s="10"/>
      <c r="L74" s="10"/>
      <c r="M74" s="10"/>
      <c r="N74" s="10"/>
      <c r="O74" s="10"/>
      <c r="P74" s="10"/>
      <c r="Q74" s="10"/>
      <c r="R74" s="10"/>
      <c r="S74" s="10"/>
      <c r="T74" s="10"/>
      <c r="U74" s="10"/>
      <c r="V74" s="10"/>
      <c r="W74" s="10"/>
      <c r="X74" s="10"/>
      <c r="Y74" s="10"/>
      <c r="Z74" s="10"/>
      <c r="AA74" s="10"/>
    </row>
    <row r="75" spans="1:27" x14ac:dyDescent="0.25">
      <c r="G75" s="2">
        <f>SUM(G71:G74)</f>
        <v>0</v>
      </c>
      <c r="H75" s="2">
        <f t="shared" ref="H75:AA75" si="9">SUM(H71:H74)</f>
        <v>0</v>
      </c>
      <c r="I75" s="2">
        <f t="shared" si="9"/>
        <v>0</v>
      </c>
      <c r="J75" s="2">
        <f t="shared" si="9"/>
        <v>0</v>
      </c>
      <c r="K75" s="2">
        <f t="shared" si="9"/>
        <v>0</v>
      </c>
      <c r="L75" s="2">
        <f t="shared" si="9"/>
        <v>0</v>
      </c>
      <c r="M75" s="2">
        <f t="shared" si="9"/>
        <v>0</v>
      </c>
      <c r="N75" s="2">
        <f t="shared" si="9"/>
        <v>0</v>
      </c>
      <c r="O75" s="2">
        <f t="shared" si="9"/>
        <v>0</v>
      </c>
      <c r="P75" s="2">
        <f t="shared" si="9"/>
        <v>0</v>
      </c>
      <c r="Q75" s="2">
        <f t="shared" si="9"/>
        <v>0</v>
      </c>
      <c r="R75" s="2">
        <f t="shared" si="9"/>
        <v>0</v>
      </c>
      <c r="S75" s="2">
        <f t="shared" si="9"/>
        <v>0</v>
      </c>
      <c r="T75" s="2">
        <f t="shared" si="9"/>
        <v>0</v>
      </c>
      <c r="U75" s="2">
        <f t="shared" si="9"/>
        <v>0</v>
      </c>
      <c r="V75" s="2">
        <f t="shared" si="9"/>
        <v>0</v>
      </c>
      <c r="W75" s="2">
        <f t="shared" si="9"/>
        <v>0</v>
      </c>
      <c r="X75" s="2">
        <f t="shared" si="9"/>
        <v>0</v>
      </c>
      <c r="Y75" s="2">
        <f t="shared" si="9"/>
        <v>0</v>
      </c>
      <c r="Z75" s="2">
        <f t="shared" si="9"/>
        <v>0</v>
      </c>
      <c r="AA75" s="2">
        <f t="shared" si="9"/>
        <v>0</v>
      </c>
    </row>
    <row r="76" spans="1:27" x14ac:dyDescent="0.25">
      <c r="G76" s="2"/>
      <c r="H76" s="2"/>
      <c r="I76" s="2"/>
      <c r="J76" s="2"/>
      <c r="K76" s="2"/>
      <c r="L76" s="2"/>
      <c r="M76" s="2"/>
      <c r="N76" s="2"/>
      <c r="O76" s="2"/>
      <c r="P76" s="2"/>
      <c r="Q76" s="2"/>
      <c r="R76" s="2"/>
      <c r="S76" s="2"/>
      <c r="T76" s="2"/>
      <c r="U76" s="2"/>
      <c r="V76" s="2"/>
      <c r="W76" s="2"/>
      <c r="X76" s="2"/>
      <c r="Y76" s="2"/>
      <c r="Z76" s="2"/>
      <c r="AA76" s="2"/>
    </row>
    <row r="77" spans="1:27" x14ac:dyDescent="0.25">
      <c r="D77" t="s">
        <v>136</v>
      </c>
      <c r="G77" s="2"/>
      <c r="H77" s="2"/>
      <c r="I77" s="2"/>
      <c r="J77" s="2"/>
      <c r="K77" s="2"/>
      <c r="L77" s="2"/>
      <c r="M77" s="2"/>
      <c r="N77" s="2"/>
      <c r="O77" s="2"/>
      <c r="P77" s="2"/>
      <c r="Q77" s="2"/>
    </row>
    <row r="78" spans="1:27" x14ac:dyDescent="0.25">
      <c r="E78" s="2" t="str">
        <f>E71</f>
        <v>Pipes</v>
      </c>
      <c r="F78" t="s">
        <v>7</v>
      </c>
      <c r="G78" s="2">
        <f t="shared" ref="G78:AA80" si="10">G71/$G7+IF((G$2-$G7+1)&gt;0,-INDEX($G71:$AA71,1,(G$2-$G7+1))/$G7,0)</f>
        <v>0</v>
      </c>
      <c r="H78" s="2">
        <f t="shared" si="10"/>
        <v>0</v>
      </c>
      <c r="I78" s="2">
        <f t="shared" si="10"/>
        <v>0</v>
      </c>
      <c r="J78" s="2">
        <f t="shared" si="10"/>
        <v>0</v>
      </c>
      <c r="K78" s="2">
        <f t="shared" si="10"/>
        <v>0</v>
      </c>
      <c r="L78" s="2">
        <f t="shared" si="10"/>
        <v>0</v>
      </c>
      <c r="M78" s="2">
        <f t="shared" si="10"/>
        <v>0</v>
      </c>
      <c r="N78" s="2">
        <f t="shared" si="10"/>
        <v>0</v>
      </c>
      <c r="O78" s="2">
        <f t="shared" si="10"/>
        <v>0</v>
      </c>
      <c r="P78" s="2">
        <f t="shared" si="10"/>
        <v>0</v>
      </c>
      <c r="Q78" s="2">
        <f t="shared" si="10"/>
        <v>0</v>
      </c>
      <c r="R78" s="2">
        <f t="shared" si="10"/>
        <v>0</v>
      </c>
      <c r="S78" s="2">
        <f t="shared" si="10"/>
        <v>0</v>
      </c>
      <c r="T78" s="2">
        <f t="shared" si="10"/>
        <v>0</v>
      </c>
      <c r="U78" s="2">
        <f t="shared" si="10"/>
        <v>0</v>
      </c>
      <c r="V78" s="2">
        <f t="shared" si="10"/>
        <v>0</v>
      </c>
      <c r="W78" s="2">
        <f t="shared" si="10"/>
        <v>0</v>
      </c>
      <c r="X78" s="2">
        <f t="shared" si="10"/>
        <v>0</v>
      </c>
      <c r="Y78" s="2">
        <f t="shared" si="10"/>
        <v>0</v>
      </c>
      <c r="Z78" s="2">
        <f t="shared" si="10"/>
        <v>0</v>
      </c>
      <c r="AA78" s="2">
        <f t="shared" si="10"/>
        <v>0</v>
      </c>
    </row>
    <row r="79" spans="1:27" x14ac:dyDescent="0.25">
      <c r="E79" s="2" t="str">
        <f t="shared" ref="E79:E80" si="11">E72</f>
        <v>Pumps</v>
      </c>
      <c r="F79" t="s">
        <v>7</v>
      </c>
      <c r="G79" s="2">
        <f t="shared" si="10"/>
        <v>0</v>
      </c>
      <c r="H79" s="2">
        <f t="shared" si="10"/>
        <v>0</v>
      </c>
      <c r="I79" s="2">
        <f t="shared" si="10"/>
        <v>0</v>
      </c>
      <c r="J79" s="2">
        <f t="shared" si="10"/>
        <v>0</v>
      </c>
      <c r="K79" s="2">
        <f t="shared" si="10"/>
        <v>0</v>
      </c>
      <c r="L79" s="2">
        <f t="shared" si="10"/>
        <v>0</v>
      </c>
      <c r="M79" s="2">
        <f t="shared" si="10"/>
        <v>0</v>
      </c>
      <c r="N79" s="2">
        <f t="shared" si="10"/>
        <v>0</v>
      </c>
      <c r="O79" s="2">
        <f t="shared" si="10"/>
        <v>0</v>
      </c>
      <c r="P79" s="2">
        <f t="shared" si="10"/>
        <v>0</v>
      </c>
      <c r="Q79" s="2">
        <f t="shared" si="10"/>
        <v>0</v>
      </c>
      <c r="R79" s="2">
        <f t="shared" si="10"/>
        <v>0</v>
      </c>
      <c r="S79" s="2">
        <f t="shared" si="10"/>
        <v>0</v>
      </c>
      <c r="T79" s="2">
        <f t="shared" si="10"/>
        <v>0</v>
      </c>
      <c r="U79" s="2">
        <f t="shared" si="10"/>
        <v>0</v>
      </c>
      <c r="V79" s="2">
        <f t="shared" si="10"/>
        <v>0</v>
      </c>
      <c r="W79" s="2">
        <f t="shared" si="10"/>
        <v>0</v>
      </c>
      <c r="X79" s="2">
        <f t="shared" si="10"/>
        <v>0</v>
      </c>
      <c r="Y79" s="2">
        <f t="shared" si="10"/>
        <v>0</v>
      </c>
      <c r="Z79" s="2">
        <f t="shared" si="10"/>
        <v>0</v>
      </c>
      <c r="AA79" s="2">
        <f t="shared" si="10"/>
        <v>0</v>
      </c>
    </row>
    <row r="80" spans="1:27" x14ac:dyDescent="0.25">
      <c r="E80" s="2" t="str">
        <f t="shared" si="11"/>
        <v>Valves and Meters</v>
      </c>
      <c r="F80" t="s">
        <v>7</v>
      </c>
      <c r="G80" s="2">
        <f t="shared" si="10"/>
        <v>0</v>
      </c>
      <c r="H80" s="2">
        <f t="shared" si="10"/>
        <v>0</v>
      </c>
      <c r="I80" s="2">
        <f t="shared" si="10"/>
        <v>0</v>
      </c>
      <c r="J80" s="2">
        <f t="shared" si="10"/>
        <v>0</v>
      </c>
      <c r="K80" s="2">
        <f t="shared" si="10"/>
        <v>0</v>
      </c>
      <c r="L80" s="2">
        <f t="shared" si="10"/>
        <v>0</v>
      </c>
      <c r="M80" s="2">
        <f t="shared" si="10"/>
        <v>0</v>
      </c>
      <c r="N80" s="2">
        <f t="shared" si="10"/>
        <v>0</v>
      </c>
      <c r="O80" s="2">
        <f t="shared" si="10"/>
        <v>0</v>
      </c>
      <c r="P80" s="2">
        <f t="shared" si="10"/>
        <v>0</v>
      </c>
      <c r="Q80" s="2">
        <f t="shared" si="10"/>
        <v>0</v>
      </c>
      <c r="R80" s="2">
        <f t="shared" si="10"/>
        <v>0</v>
      </c>
      <c r="S80" s="2">
        <f t="shared" si="10"/>
        <v>0</v>
      </c>
      <c r="T80" s="2">
        <f t="shared" si="10"/>
        <v>0</v>
      </c>
      <c r="U80" s="2">
        <f t="shared" si="10"/>
        <v>0</v>
      </c>
      <c r="V80" s="2">
        <f t="shared" si="10"/>
        <v>0</v>
      </c>
      <c r="W80" s="2">
        <f t="shared" si="10"/>
        <v>0</v>
      </c>
      <c r="X80" s="2">
        <f t="shared" si="10"/>
        <v>0</v>
      </c>
      <c r="Y80" s="2">
        <f t="shared" si="10"/>
        <v>0</v>
      </c>
      <c r="Z80" s="2">
        <f t="shared" si="10"/>
        <v>0</v>
      </c>
      <c r="AA80" s="2">
        <f t="shared" si="10"/>
        <v>0</v>
      </c>
    </row>
    <row r="82" spans="1:27" x14ac:dyDescent="0.25">
      <c r="D82" t="s">
        <v>137</v>
      </c>
      <c r="F82" t="s">
        <v>7</v>
      </c>
      <c r="G82" s="2">
        <f>SUM($G$77:G80)</f>
        <v>0</v>
      </c>
      <c r="H82" s="2">
        <f>SUM($G$77:H80)</f>
        <v>0</v>
      </c>
      <c r="I82" s="2">
        <f>SUM($G$77:I80)</f>
        <v>0</v>
      </c>
      <c r="J82" s="2">
        <f>SUM($G$77:J80)</f>
        <v>0</v>
      </c>
      <c r="K82" s="2">
        <f>SUM($G$77:K80)</f>
        <v>0</v>
      </c>
      <c r="L82" s="2">
        <f>SUM($G$77:L80)</f>
        <v>0</v>
      </c>
      <c r="M82" s="2">
        <f>SUM($G$77:M80)</f>
        <v>0</v>
      </c>
      <c r="N82" s="2">
        <f>SUM($G$77:N80)</f>
        <v>0</v>
      </c>
      <c r="O82" s="2">
        <f>SUM($G$77:O80)</f>
        <v>0</v>
      </c>
      <c r="P82" s="2">
        <f>SUM($G$77:P80)</f>
        <v>0</v>
      </c>
      <c r="Q82" s="2">
        <f>SUM($G$77:Q80)</f>
        <v>0</v>
      </c>
      <c r="R82" s="2">
        <f>SUM($G$77:R80)</f>
        <v>0</v>
      </c>
      <c r="S82" s="2">
        <f>SUM($G$77:S80)</f>
        <v>0</v>
      </c>
      <c r="T82" s="2">
        <f>SUM($G$77:T80)</f>
        <v>0</v>
      </c>
      <c r="U82" s="2">
        <f>SUM($G$77:U80)</f>
        <v>0</v>
      </c>
      <c r="V82" s="2">
        <f>SUM($G$77:V80)</f>
        <v>0</v>
      </c>
      <c r="W82" s="2">
        <f>SUM($G$77:W80)</f>
        <v>0</v>
      </c>
      <c r="X82" s="2">
        <f>SUM($G$77:X80)</f>
        <v>0</v>
      </c>
      <c r="Y82" s="2">
        <f>SUM($G$77:Y80)</f>
        <v>0</v>
      </c>
      <c r="Z82" s="2">
        <f>SUM($G$77:Z80)</f>
        <v>0</v>
      </c>
      <c r="AA82" s="2">
        <f>SUM($G$77:AA80)</f>
        <v>0</v>
      </c>
    </row>
    <row r="83" spans="1:27" x14ac:dyDescent="0.25">
      <c r="G83" s="2"/>
      <c r="H83" s="2"/>
      <c r="I83" s="2"/>
      <c r="J83" s="2"/>
      <c r="K83" s="2"/>
      <c r="L83" s="2"/>
      <c r="M83" s="2"/>
      <c r="N83" s="2"/>
      <c r="O83" s="2"/>
      <c r="P83" s="2"/>
      <c r="Q83" s="2"/>
      <c r="R83" s="2"/>
      <c r="S83" s="2"/>
      <c r="T83" s="2"/>
      <c r="U83" s="2"/>
      <c r="V83" s="2"/>
      <c r="W83" s="2"/>
      <c r="X83" s="2"/>
      <c r="Y83" s="2"/>
      <c r="Z83" s="2"/>
      <c r="AA83" s="2"/>
    </row>
    <row r="84" spans="1:27" x14ac:dyDescent="0.25">
      <c r="D84" t="s">
        <v>138</v>
      </c>
      <c r="F84" t="s">
        <v>7</v>
      </c>
      <c r="G84" s="2">
        <f t="shared" ref="G84:AA84" si="12">G61-G75</f>
        <v>0</v>
      </c>
      <c r="H84" s="2">
        <f t="shared" si="12"/>
        <v>0</v>
      </c>
      <c r="I84" s="2">
        <f t="shared" si="12"/>
        <v>0</v>
      </c>
      <c r="J84" s="2">
        <f t="shared" si="12"/>
        <v>0</v>
      </c>
      <c r="K84" s="2">
        <f t="shared" si="12"/>
        <v>0</v>
      </c>
      <c r="L84" s="2">
        <f t="shared" si="12"/>
        <v>0</v>
      </c>
      <c r="M84" s="2">
        <f t="shared" si="12"/>
        <v>0</v>
      </c>
      <c r="N84" s="2">
        <f t="shared" si="12"/>
        <v>0</v>
      </c>
      <c r="O84" s="2">
        <f t="shared" si="12"/>
        <v>0</v>
      </c>
      <c r="P84" s="2">
        <f t="shared" si="12"/>
        <v>0</v>
      </c>
      <c r="Q84" s="2">
        <f t="shared" si="12"/>
        <v>0</v>
      </c>
      <c r="R84" s="2">
        <f t="shared" si="12"/>
        <v>0</v>
      </c>
      <c r="S84" s="2">
        <f t="shared" si="12"/>
        <v>0</v>
      </c>
      <c r="T84" s="2">
        <f t="shared" si="12"/>
        <v>0</v>
      </c>
      <c r="U84" s="2">
        <f t="shared" si="12"/>
        <v>0</v>
      </c>
      <c r="V84" s="2">
        <f t="shared" si="12"/>
        <v>0</v>
      </c>
      <c r="W84" s="2">
        <f t="shared" si="12"/>
        <v>0</v>
      </c>
      <c r="X84" s="2">
        <f t="shared" si="12"/>
        <v>0</v>
      </c>
      <c r="Y84" s="2">
        <f t="shared" si="12"/>
        <v>0</v>
      </c>
      <c r="Z84" s="2">
        <f t="shared" si="12"/>
        <v>0</v>
      </c>
      <c r="AA84" s="2">
        <f t="shared" si="12"/>
        <v>0</v>
      </c>
    </row>
    <row r="85" spans="1:27" x14ac:dyDescent="0.25">
      <c r="D85" t="s">
        <v>139</v>
      </c>
      <c r="F85" t="s">
        <v>7</v>
      </c>
      <c r="G85" s="2">
        <f t="shared" ref="G85:AA85" si="13">-G68+G82</f>
        <v>0</v>
      </c>
      <c r="H85" s="2">
        <f t="shared" si="13"/>
        <v>0</v>
      </c>
      <c r="I85" s="2">
        <f t="shared" si="13"/>
        <v>0</v>
      </c>
      <c r="J85" s="2">
        <f t="shared" si="13"/>
        <v>0</v>
      </c>
      <c r="K85" s="2">
        <f t="shared" si="13"/>
        <v>0</v>
      </c>
      <c r="L85" s="2">
        <f t="shared" si="13"/>
        <v>0</v>
      </c>
      <c r="M85" s="2">
        <f t="shared" si="13"/>
        <v>0</v>
      </c>
      <c r="N85" s="2">
        <f t="shared" si="13"/>
        <v>0</v>
      </c>
      <c r="O85" s="2">
        <f t="shared" si="13"/>
        <v>0</v>
      </c>
      <c r="P85" s="2">
        <f t="shared" si="13"/>
        <v>0</v>
      </c>
      <c r="Q85" s="2">
        <f t="shared" si="13"/>
        <v>0</v>
      </c>
      <c r="R85" s="2">
        <f t="shared" si="13"/>
        <v>0</v>
      </c>
      <c r="S85" s="2">
        <f t="shared" si="13"/>
        <v>0</v>
      </c>
      <c r="T85" s="2">
        <f t="shared" si="13"/>
        <v>0</v>
      </c>
      <c r="U85" s="2">
        <f t="shared" si="13"/>
        <v>0</v>
      </c>
      <c r="V85" s="2">
        <f t="shared" si="13"/>
        <v>0</v>
      </c>
      <c r="W85" s="2">
        <f t="shared" si="13"/>
        <v>0</v>
      </c>
      <c r="X85" s="2">
        <f t="shared" si="13"/>
        <v>0</v>
      </c>
      <c r="Y85" s="2">
        <f t="shared" si="13"/>
        <v>0</v>
      </c>
      <c r="Z85" s="2">
        <f t="shared" si="13"/>
        <v>0</v>
      </c>
      <c r="AA85" s="2">
        <f t="shared" si="13"/>
        <v>0</v>
      </c>
    </row>
    <row r="87" spans="1:27" x14ac:dyDescent="0.25">
      <c r="C87" s="1" t="str">
        <f>"Incremental "&amp;G4&amp;" Service Revenue"</f>
        <v>Incremental Wastewater Service Revenue</v>
      </c>
      <c r="D87" s="1"/>
    </row>
    <row r="88" spans="1:27" x14ac:dyDescent="0.25">
      <c r="C88" s="1"/>
      <c r="D88" s="1"/>
    </row>
    <row r="89" spans="1:27" x14ac:dyDescent="0.25">
      <c r="C89" s="1"/>
      <c r="D89" t="s">
        <v>59</v>
      </c>
    </row>
    <row r="90" spans="1:27" x14ac:dyDescent="0.25">
      <c r="A90" s="14">
        <f>'Notes &amp; Assumptions'!A28</f>
        <v>15</v>
      </c>
      <c r="C90" s="1"/>
      <c r="D90" s="1"/>
      <c r="E90" t="s">
        <v>87</v>
      </c>
      <c r="F90" t="s">
        <v>3</v>
      </c>
      <c r="H90" s="10">
        <f>'Customer numbers'!P15</f>
        <v>631</v>
      </c>
      <c r="I90" s="10">
        <f>'Customer numbers'!Q15</f>
        <v>630</v>
      </c>
      <c r="J90" s="10">
        <f>'Customer numbers'!R15</f>
        <v>640.5</v>
      </c>
      <c r="K90" s="10">
        <f>'Customer numbers'!S15</f>
        <v>621</v>
      </c>
      <c r="L90" s="10">
        <f>'Customer numbers'!T15</f>
        <v>600</v>
      </c>
      <c r="M90" s="10">
        <f>'Customer numbers'!U15</f>
        <v>580</v>
      </c>
      <c r="N90" s="10">
        <f>'Customer numbers'!V15</f>
        <v>560</v>
      </c>
      <c r="O90" s="10">
        <f>'Customer numbers'!W15</f>
        <v>540.5</v>
      </c>
      <c r="P90" s="10">
        <f>'Customer numbers'!X15</f>
        <v>570</v>
      </c>
      <c r="Q90" s="10">
        <f>'Customer numbers'!Y15</f>
        <v>602</v>
      </c>
      <c r="R90" s="10">
        <f>'Customer numbers'!Z15</f>
        <v>635</v>
      </c>
      <c r="S90" s="10">
        <f>'Customer numbers'!AA15</f>
        <v>671.5</v>
      </c>
      <c r="T90" s="10">
        <f>'Customer numbers'!AB15</f>
        <v>710</v>
      </c>
      <c r="U90" s="10">
        <f>'Customer numbers'!AC15</f>
        <v>707</v>
      </c>
      <c r="V90" s="10">
        <f>'Customer numbers'!AD15</f>
        <v>703.5</v>
      </c>
    </row>
    <row r="91" spans="1:27" x14ac:dyDescent="0.25">
      <c r="C91" s="1"/>
      <c r="D91" s="1"/>
      <c r="E91" t="s">
        <v>60</v>
      </c>
      <c r="F91" t="s">
        <v>3</v>
      </c>
      <c r="G91">
        <f>IF('Key assumptions'!B4="yes",SUM('Customer numbers'!F15:O15),0)</f>
        <v>0</v>
      </c>
      <c r="H91" s="2">
        <f>G91+H90</f>
        <v>631</v>
      </c>
      <c r="I91" s="2">
        <f t="shared" ref="I91:AA91" si="14">H91+I90</f>
        <v>1261</v>
      </c>
      <c r="J91" s="2">
        <f t="shared" si="14"/>
        <v>1901.5</v>
      </c>
      <c r="K91" s="2">
        <f t="shared" si="14"/>
        <v>2522.5</v>
      </c>
      <c r="L91" s="2">
        <f t="shared" si="14"/>
        <v>3122.5</v>
      </c>
      <c r="M91" s="2">
        <f t="shared" si="14"/>
        <v>3702.5</v>
      </c>
      <c r="N91" s="2">
        <f t="shared" si="14"/>
        <v>4262.5</v>
      </c>
      <c r="O91" s="2">
        <f t="shared" si="14"/>
        <v>4803</v>
      </c>
      <c r="P91" s="2">
        <f t="shared" si="14"/>
        <v>5373</v>
      </c>
      <c r="Q91" s="2">
        <f t="shared" si="14"/>
        <v>5975</v>
      </c>
      <c r="R91" s="2">
        <f t="shared" si="14"/>
        <v>6610</v>
      </c>
      <c r="S91" s="2">
        <f t="shared" si="14"/>
        <v>7281.5</v>
      </c>
      <c r="T91" s="2">
        <f t="shared" si="14"/>
        <v>7991.5</v>
      </c>
      <c r="U91" s="2">
        <f t="shared" si="14"/>
        <v>8698.5</v>
      </c>
      <c r="V91" s="2">
        <f t="shared" si="14"/>
        <v>9402</v>
      </c>
      <c r="W91" s="2">
        <f t="shared" si="14"/>
        <v>9402</v>
      </c>
      <c r="X91" s="2">
        <f t="shared" si="14"/>
        <v>9402</v>
      </c>
      <c r="Y91" s="2">
        <f t="shared" si="14"/>
        <v>9402</v>
      </c>
      <c r="Z91" s="2">
        <f t="shared" si="14"/>
        <v>9402</v>
      </c>
      <c r="AA91" s="2">
        <f t="shared" si="14"/>
        <v>9402</v>
      </c>
    </row>
    <row r="92" spans="1:27" x14ac:dyDescent="0.25">
      <c r="A92" s="14">
        <f>'Notes &amp; Assumptions'!A29</f>
        <v>16</v>
      </c>
      <c r="C92" s="1"/>
      <c r="D92" s="1"/>
      <c r="E92" t="s">
        <v>61</v>
      </c>
      <c r="F92" t="s">
        <v>3</v>
      </c>
      <c r="G92" s="10">
        <v>1</v>
      </c>
    </row>
    <row r="93" spans="1:27" x14ac:dyDescent="0.25">
      <c r="C93" s="1"/>
      <c r="D93" s="1"/>
      <c r="E93" t="s">
        <v>88</v>
      </c>
      <c r="F93" t="s">
        <v>3</v>
      </c>
      <c r="H93">
        <f>H90*$G92</f>
        <v>631</v>
      </c>
      <c r="I93">
        <f t="shared" ref="I93:AA93" si="15">I90*$G92</f>
        <v>630</v>
      </c>
      <c r="J93">
        <f t="shared" si="15"/>
        <v>640.5</v>
      </c>
      <c r="K93">
        <f t="shared" si="15"/>
        <v>621</v>
      </c>
      <c r="L93">
        <f t="shared" si="15"/>
        <v>600</v>
      </c>
      <c r="M93">
        <f t="shared" si="15"/>
        <v>580</v>
      </c>
      <c r="N93">
        <f t="shared" si="15"/>
        <v>560</v>
      </c>
      <c r="O93">
        <f t="shared" si="15"/>
        <v>540.5</v>
      </c>
      <c r="P93">
        <f t="shared" si="15"/>
        <v>570</v>
      </c>
      <c r="Q93">
        <f t="shared" si="15"/>
        <v>602</v>
      </c>
      <c r="R93">
        <f t="shared" si="15"/>
        <v>635</v>
      </c>
      <c r="S93">
        <f t="shared" si="15"/>
        <v>671.5</v>
      </c>
      <c r="T93">
        <f t="shared" si="15"/>
        <v>710</v>
      </c>
      <c r="U93">
        <f t="shared" si="15"/>
        <v>707</v>
      </c>
      <c r="V93">
        <f t="shared" si="15"/>
        <v>703.5</v>
      </c>
      <c r="W93">
        <f t="shared" si="15"/>
        <v>0</v>
      </c>
      <c r="X93">
        <f t="shared" si="15"/>
        <v>0</v>
      </c>
      <c r="Y93">
        <f t="shared" si="15"/>
        <v>0</v>
      </c>
      <c r="Z93">
        <f t="shared" si="15"/>
        <v>0</v>
      </c>
      <c r="AA93">
        <f t="shared" si="15"/>
        <v>0</v>
      </c>
    </row>
    <row r="94" spans="1:27" x14ac:dyDescent="0.25">
      <c r="C94" s="1"/>
      <c r="D94" s="1"/>
      <c r="E94" t="s">
        <v>89</v>
      </c>
      <c r="F94" t="s">
        <v>3</v>
      </c>
      <c r="H94">
        <f>H91*$G92</f>
        <v>631</v>
      </c>
      <c r="I94">
        <f t="shared" ref="I94:AA94" si="16">I91*$G92</f>
        <v>1261</v>
      </c>
      <c r="J94">
        <f t="shared" si="16"/>
        <v>1901.5</v>
      </c>
      <c r="K94">
        <f t="shared" si="16"/>
        <v>2522.5</v>
      </c>
      <c r="L94">
        <f t="shared" si="16"/>
        <v>3122.5</v>
      </c>
      <c r="M94">
        <f t="shared" si="16"/>
        <v>3702.5</v>
      </c>
      <c r="N94">
        <f t="shared" si="16"/>
        <v>4262.5</v>
      </c>
      <c r="O94">
        <f t="shared" si="16"/>
        <v>4803</v>
      </c>
      <c r="P94">
        <f t="shared" si="16"/>
        <v>5373</v>
      </c>
      <c r="Q94">
        <f t="shared" si="16"/>
        <v>5975</v>
      </c>
      <c r="R94">
        <f t="shared" si="16"/>
        <v>6610</v>
      </c>
      <c r="S94">
        <f t="shared" si="16"/>
        <v>7281.5</v>
      </c>
      <c r="T94">
        <f t="shared" si="16"/>
        <v>7991.5</v>
      </c>
      <c r="U94">
        <f t="shared" si="16"/>
        <v>8698.5</v>
      </c>
      <c r="V94">
        <f t="shared" si="16"/>
        <v>9402</v>
      </c>
      <c r="W94">
        <f t="shared" si="16"/>
        <v>9402</v>
      </c>
      <c r="X94">
        <f t="shared" si="16"/>
        <v>9402</v>
      </c>
      <c r="Y94">
        <f t="shared" si="16"/>
        <v>9402</v>
      </c>
      <c r="Z94">
        <f t="shared" si="16"/>
        <v>9402</v>
      </c>
      <c r="AA94">
        <f t="shared" si="16"/>
        <v>9402</v>
      </c>
    </row>
    <row r="95" spans="1:27" x14ac:dyDescent="0.25">
      <c r="A95" s="14">
        <f>'Notes &amp; Assumptions'!A30</f>
        <v>17</v>
      </c>
      <c r="C95" s="1"/>
      <c r="D95" s="1"/>
      <c r="E95" t="s">
        <v>62</v>
      </c>
      <c r="F95" t="s">
        <v>43</v>
      </c>
      <c r="H95" s="10">
        <f>'Key assumptions'!B23</f>
        <v>112.5</v>
      </c>
      <c r="I95" s="10">
        <f>H95</f>
        <v>112.5</v>
      </c>
      <c r="J95" s="10">
        <f t="shared" ref="J95:AA95" si="17">I95</f>
        <v>112.5</v>
      </c>
      <c r="K95" s="10">
        <f t="shared" si="17"/>
        <v>112.5</v>
      </c>
      <c r="L95" s="10">
        <f t="shared" si="17"/>
        <v>112.5</v>
      </c>
      <c r="M95" s="10">
        <f t="shared" si="17"/>
        <v>112.5</v>
      </c>
      <c r="N95" s="10">
        <f t="shared" si="17"/>
        <v>112.5</v>
      </c>
      <c r="O95" s="10">
        <f t="shared" si="17"/>
        <v>112.5</v>
      </c>
      <c r="P95" s="10">
        <f t="shared" si="17"/>
        <v>112.5</v>
      </c>
      <c r="Q95" s="10">
        <f t="shared" si="17"/>
        <v>112.5</v>
      </c>
      <c r="R95" s="10">
        <f t="shared" si="17"/>
        <v>112.5</v>
      </c>
      <c r="S95" s="10">
        <f t="shared" si="17"/>
        <v>112.5</v>
      </c>
      <c r="T95" s="10">
        <f t="shared" si="17"/>
        <v>112.5</v>
      </c>
      <c r="U95" s="10">
        <f t="shared" si="17"/>
        <v>112.5</v>
      </c>
      <c r="V95" s="10">
        <f t="shared" si="17"/>
        <v>112.5</v>
      </c>
      <c r="W95" s="10">
        <f t="shared" si="17"/>
        <v>112.5</v>
      </c>
      <c r="X95" s="10">
        <f t="shared" si="17"/>
        <v>112.5</v>
      </c>
      <c r="Y95" s="10">
        <f t="shared" si="17"/>
        <v>112.5</v>
      </c>
      <c r="Z95" s="10">
        <f t="shared" si="17"/>
        <v>112.5</v>
      </c>
      <c r="AA95" s="10">
        <f t="shared" si="17"/>
        <v>112.5</v>
      </c>
    </row>
    <row r="96" spans="1:27" x14ac:dyDescent="0.25">
      <c r="C96" s="1"/>
      <c r="D96" s="1"/>
      <c r="E96" t="s">
        <v>63</v>
      </c>
      <c r="F96" t="s">
        <v>43</v>
      </c>
      <c r="H96" s="10"/>
      <c r="I96" s="10"/>
      <c r="J96" s="10"/>
      <c r="K96" s="10"/>
      <c r="L96" s="10"/>
      <c r="M96" s="10"/>
      <c r="N96" s="10"/>
      <c r="O96" s="10"/>
      <c r="P96" s="10"/>
      <c r="Q96" s="10"/>
      <c r="R96" s="10"/>
      <c r="S96" s="10"/>
      <c r="T96" s="10"/>
      <c r="U96" s="10"/>
      <c r="V96" s="10"/>
      <c r="W96" s="10"/>
      <c r="X96" s="10"/>
      <c r="Y96" s="10"/>
      <c r="Z96" s="10"/>
      <c r="AA96" s="10"/>
    </row>
    <row r="97" spans="1:27" x14ac:dyDescent="0.25">
      <c r="C97" s="1"/>
      <c r="D97" s="1"/>
      <c r="E97" t="s">
        <v>140</v>
      </c>
      <c r="F97" t="s">
        <v>43</v>
      </c>
      <c r="H97" s="10"/>
      <c r="I97" s="10"/>
      <c r="J97" s="10"/>
      <c r="K97" s="10"/>
      <c r="L97" s="10"/>
      <c r="M97" s="10"/>
      <c r="N97" s="10"/>
      <c r="O97" s="10"/>
      <c r="P97" s="10"/>
      <c r="Q97" s="10"/>
      <c r="R97" s="10"/>
      <c r="S97" s="10"/>
      <c r="T97" s="10"/>
      <c r="U97" s="10"/>
      <c r="V97" s="10"/>
      <c r="W97" s="10"/>
      <c r="X97" s="10"/>
      <c r="Y97" s="10"/>
      <c r="Z97" s="10"/>
      <c r="AA97" s="10"/>
    </row>
    <row r="98" spans="1:27" x14ac:dyDescent="0.25">
      <c r="C98" s="1"/>
      <c r="D98" s="1"/>
      <c r="E98" t="s">
        <v>64</v>
      </c>
      <c r="F98" t="s">
        <v>144</v>
      </c>
      <c r="H98" s="2">
        <f>H91*H95</f>
        <v>70987.5</v>
      </c>
      <c r="I98" s="2">
        <f t="shared" ref="I98:AA98" si="18">I91*I95</f>
        <v>141862.5</v>
      </c>
      <c r="J98" s="2">
        <f t="shared" si="18"/>
        <v>213918.75</v>
      </c>
      <c r="K98" s="2">
        <f t="shared" si="18"/>
        <v>283781.25</v>
      </c>
      <c r="L98" s="2">
        <f t="shared" si="18"/>
        <v>351281.25</v>
      </c>
      <c r="M98" s="2">
        <f t="shared" si="18"/>
        <v>416531.25</v>
      </c>
      <c r="N98" s="2">
        <f t="shared" si="18"/>
        <v>479531.25</v>
      </c>
      <c r="O98" s="2">
        <f t="shared" si="18"/>
        <v>540337.5</v>
      </c>
      <c r="P98" s="2">
        <f t="shared" si="18"/>
        <v>604462.5</v>
      </c>
      <c r="Q98" s="2">
        <f t="shared" si="18"/>
        <v>672187.5</v>
      </c>
      <c r="R98" s="2">
        <f t="shared" si="18"/>
        <v>743625</v>
      </c>
      <c r="S98" s="2">
        <f t="shared" si="18"/>
        <v>819168.75</v>
      </c>
      <c r="T98" s="2">
        <f t="shared" si="18"/>
        <v>899043.75</v>
      </c>
      <c r="U98" s="2">
        <f t="shared" si="18"/>
        <v>978581.25</v>
      </c>
      <c r="V98" s="2">
        <f t="shared" si="18"/>
        <v>1057725</v>
      </c>
      <c r="W98" s="2">
        <f t="shared" si="18"/>
        <v>1057725</v>
      </c>
      <c r="X98" s="2">
        <f t="shared" si="18"/>
        <v>1057725</v>
      </c>
      <c r="Y98" s="2">
        <f t="shared" si="18"/>
        <v>1057725</v>
      </c>
      <c r="Z98" s="2">
        <f t="shared" si="18"/>
        <v>1057725</v>
      </c>
      <c r="AA98" s="2">
        <f t="shared" si="18"/>
        <v>1057725</v>
      </c>
    </row>
    <row r="99" spans="1:27" x14ac:dyDescent="0.25">
      <c r="C99" s="1"/>
      <c r="D99" s="1"/>
      <c r="E99" t="s">
        <v>65</v>
      </c>
      <c r="F99" t="s">
        <v>144</v>
      </c>
      <c r="H99" s="2">
        <f>H91*H96</f>
        <v>0</v>
      </c>
      <c r="I99" s="2">
        <f t="shared" ref="I99:AA99" si="19">I91*I96</f>
        <v>0</v>
      </c>
      <c r="J99" s="2">
        <f t="shared" si="19"/>
        <v>0</v>
      </c>
      <c r="K99" s="2">
        <f t="shared" si="19"/>
        <v>0</v>
      </c>
      <c r="L99" s="2">
        <f t="shared" si="19"/>
        <v>0</v>
      </c>
      <c r="M99" s="2">
        <f t="shared" si="19"/>
        <v>0</v>
      </c>
      <c r="N99" s="2">
        <f t="shared" si="19"/>
        <v>0</v>
      </c>
      <c r="O99" s="2">
        <f t="shared" si="19"/>
        <v>0</v>
      </c>
      <c r="P99" s="2">
        <f t="shared" si="19"/>
        <v>0</v>
      </c>
      <c r="Q99" s="2">
        <f t="shared" si="19"/>
        <v>0</v>
      </c>
      <c r="R99" s="2">
        <f t="shared" si="19"/>
        <v>0</v>
      </c>
      <c r="S99" s="2">
        <f t="shared" si="19"/>
        <v>0</v>
      </c>
      <c r="T99" s="2">
        <f t="shared" si="19"/>
        <v>0</v>
      </c>
      <c r="U99" s="2">
        <f t="shared" si="19"/>
        <v>0</v>
      </c>
      <c r="V99" s="2">
        <f t="shared" si="19"/>
        <v>0</v>
      </c>
      <c r="W99" s="2">
        <f t="shared" si="19"/>
        <v>0</v>
      </c>
      <c r="X99" s="2">
        <f t="shared" si="19"/>
        <v>0</v>
      </c>
      <c r="Y99" s="2">
        <f t="shared" si="19"/>
        <v>0</v>
      </c>
      <c r="Z99" s="2">
        <f t="shared" si="19"/>
        <v>0</v>
      </c>
      <c r="AA99" s="2">
        <f t="shared" si="19"/>
        <v>0</v>
      </c>
    </row>
    <row r="100" spans="1:27" x14ac:dyDescent="0.25">
      <c r="C100" s="1"/>
      <c r="D100" s="1"/>
      <c r="E100" t="s">
        <v>141</v>
      </c>
      <c r="F100" t="s">
        <v>144</v>
      </c>
      <c r="H100" s="2">
        <f>H91*H97</f>
        <v>0</v>
      </c>
      <c r="I100" s="2">
        <f t="shared" ref="I100:AA100" si="20">I91*I97</f>
        <v>0</v>
      </c>
      <c r="J100" s="2">
        <f t="shared" si="20"/>
        <v>0</v>
      </c>
      <c r="K100" s="2">
        <f t="shared" si="20"/>
        <v>0</v>
      </c>
      <c r="L100" s="2">
        <f t="shared" si="20"/>
        <v>0</v>
      </c>
      <c r="M100" s="2">
        <f t="shared" si="20"/>
        <v>0</v>
      </c>
      <c r="N100" s="2">
        <f t="shared" si="20"/>
        <v>0</v>
      </c>
      <c r="O100" s="2">
        <f t="shared" si="20"/>
        <v>0</v>
      </c>
      <c r="P100" s="2">
        <f t="shared" si="20"/>
        <v>0</v>
      </c>
      <c r="Q100" s="2">
        <f t="shared" si="20"/>
        <v>0</v>
      </c>
      <c r="R100" s="2">
        <f t="shared" si="20"/>
        <v>0</v>
      </c>
      <c r="S100" s="2">
        <f t="shared" si="20"/>
        <v>0</v>
      </c>
      <c r="T100" s="2">
        <f t="shared" si="20"/>
        <v>0</v>
      </c>
      <c r="U100" s="2">
        <f t="shared" si="20"/>
        <v>0</v>
      </c>
      <c r="V100" s="2">
        <f t="shared" si="20"/>
        <v>0</v>
      </c>
      <c r="W100" s="2">
        <f t="shared" si="20"/>
        <v>0</v>
      </c>
      <c r="X100" s="2">
        <f t="shared" si="20"/>
        <v>0</v>
      </c>
      <c r="Y100" s="2">
        <f t="shared" si="20"/>
        <v>0</v>
      </c>
      <c r="Z100" s="2">
        <f t="shared" si="20"/>
        <v>0</v>
      </c>
      <c r="AA100" s="2">
        <f t="shared" si="20"/>
        <v>0</v>
      </c>
    </row>
    <row r="101" spans="1:27" x14ac:dyDescent="0.25">
      <c r="A101" s="14">
        <f>'Notes &amp; Assumptions'!A31</f>
        <v>18</v>
      </c>
      <c r="C101" s="1"/>
      <c r="D101" s="1"/>
      <c r="E101" t="s">
        <v>66</v>
      </c>
      <c r="F101" t="s">
        <v>8</v>
      </c>
      <c r="H101" s="11">
        <f>'YVW tariffs'!D29</f>
        <v>-4.24E-2</v>
      </c>
      <c r="I101" s="11">
        <f>'YVW tariffs'!E29</f>
        <v>-2.7400000000000001E-2</v>
      </c>
      <c r="J101" s="11">
        <f>'YVW tariffs'!F29</f>
        <v>0</v>
      </c>
      <c r="K101" s="11">
        <f>'YVW tariffs'!G29</f>
        <v>0</v>
      </c>
      <c r="L101" s="11">
        <f>'YVW tariffs'!H29</f>
        <v>0</v>
      </c>
      <c r="M101" s="11">
        <v>0</v>
      </c>
      <c r="N101" s="11">
        <v>0</v>
      </c>
      <c r="O101" s="11">
        <v>0</v>
      </c>
      <c r="P101" s="11">
        <v>0</v>
      </c>
      <c r="Q101" s="11">
        <v>0</v>
      </c>
      <c r="R101" s="11">
        <v>0</v>
      </c>
      <c r="S101" s="11">
        <v>0</v>
      </c>
      <c r="T101" s="11">
        <v>0</v>
      </c>
      <c r="U101" s="11">
        <v>0</v>
      </c>
      <c r="V101" s="11">
        <v>0</v>
      </c>
      <c r="W101" s="11">
        <v>0</v>
      </c>
      <c r="X101" s="11">
        <v>0</v>
      </c>
      <c r="Y101" s="11">
        <v>0</v>
      </c>
      <c r="Z101" s="11">
        <v>0</v>
      </c>
      <c r="AA101" s="11">
        <v>0</v>
      </c>
    </row>
    <row r="102" spans="1:27" x14ac:dyDescent="0.25">
      <c r="A102" s="14">
        <f>'Notes &amp; Assumptions'!A32</f>
        <v>19</v>
      </c>
      <c r="C102" s="1"/>
      <c r="D102" s="1"/>
      <c r="E102" t="s">
        <v>40</v>
      </c>
      <c r="F102" t="s">
        <v>41</v>
      </c>
      <c r="G102" s="20">
        <f>'YVW tariffs'!E14</f>
        <v>467.88345999999996</v>
      </c>
      <c r="H102" s="2">
        <f>G102*(1+$G$14)*(1+H101)</f>
        <v>457.45415052321596</v>
      </c>
      <c r="I102" s="2">
        <f t="shared" ref="I102:AA102" si="21">H102*(1+$G$14)*(1+I101)</f>
        <v>454.26322484165627</v>
      </c>
      <c r="J102" s="2">
        <f t="shared" si="21"/>
        <v>463.80275256333101</v>
      </c>
      <c r="K102" s="2">
        <f t="shared" si="21"/>
        <v>473.54261036716093</v>
      </c>
      <c r="L102" s="2">
        <f t="shared" si="21"/>
        <v>483.48700518487129</v>
      </c>
      <c r="M102" s="2">
        <f t="shared" si="21"/>
        <v>493.64023229375357</v>
      </c>
      <c r="N102" s="2">
        <f t="shared" si="21"/>
        <v>504.00667717192238</v>
      </c>
      <c r="O102" s="2">
        <f t="shared" si="21"/>
        <v>514.5908173925327</v>
      </c>
      <c r="P102" s="2">
        <f t="shared" si="21"/>
        <v>525.39722455777587</v>
      </c>
      <c r="Q102" s="2">
        <f t="shared" si="21"/>
        <v>536.43056627348915</v>
      </c>
      <c r="R102" s="2">
        <f t="shared" si="21"/>
        <v>547.69560816523233</v>
      </c>
      <c r="S102" s="2">
        <f t="shared" si="21"/>
        <v>559.19721593670215</v>
      </c>
      <c r="T102" s="2">
        <f t="shared" si="21"/>
        <v>570.94035747137286</v>
      </c>
      <c r="U102" s="2">
        <f t="shared" si="21"/>
        <v>582.93010497827163</v>
      </c>
      <c r="V102" s="2">
        <f t="shared" si="21"/>
        <v>595.17163718281529</v>
      </c>
      <c r="W102" s="2">
        <f t="shared" si="21"/>
        <v>607.67024156365437</v>
      </c>
      <c r="X102" s="2">
        <f t="shared" si="21"/>
        <v>620.43131663649103</v>
      </c>
      <c r="Y102" s="2">
        <f t="shared" si="21"/>
        <v>633.46037428585726</v>
      </c>
      <c r="Z102" s="2">
        <f t="shared" si="21"/>
        <v>646.76304214586025</v>
      </c>
      <c r="AA102" s="2">
        <f t="shared" si="21"/>
        <v>660.34506603092325</v>
      </c>
    </row>
    <row r="103" spans="1:27" x14ac:dyDescent="0.25">
      <c r="C103" s="1"/>
      <c r="D103" s="1"/>
      <c r="E103" t="s">
        <v>67</v>
      </c>
      <c r="F103" t="s">
        <v>143</v>
      </c>
      <c r="G103" s="20">
        <f>'YVW tariffs'!E15</f>
        <v>1.1665946</v>
      </c>
      <c r="H103" s="21">
        <f>G103*(1+$G$14)*(1+'YVW tariffs'!D30)</f>
        <v>0</v>
      </c>
      <c r="I103" s="21">
        <f t="shared" ref="I103:AA103" si="22">H103*(1+$G$14)*(1+I101)</f>
        <v>0</v>
      </c>
      <c r="J103" s="21">
        <f t="shared" si="22"/>
        <v>0</v>
      </c>
      <c r="K103" s="21">
        <f t="shared" si="22"/>
        <v>0</v>
      </c>
      <c r="L103" s="21">
        <f t="shared" si="22"/>
        <v>0</v>
      </c>
      <c r="M103" s="21">
        <f t="shared" si="22"/>
        <v>0</v>
      </c>
      <c r="N103" s="21">
        <f t="shared" si="22"/>
        <v>0</v>
      </c>
      <c r="O103" s="21">
        <f t="shared" si="22"/>
        <v>0</v>
      </c>
      <c r="P103" s="21">
        <f t="shared" si="22"/>
        <v>0</v>
      </c>
      <c r="Q103" s="21">
        <f t="shared" si="22"/>
        <v>0</v>
      </c>
      <c r="R103" s="21">
        <f t="shared" si="22"/>
        <v>0</v>
      </c>
      <c r="S103" s="21">
        <f t="shared" si="22"/>
        <v>0</v>
      </c>
      <c r="T103" s="21">
        <f t="shared" si="22"/>
        <v>0</v>
      </c>
      <c r="U103" s="21">
        <f t="shared" si="22"/>
        <v>0</v>
      </c>
      <c r="V103" s="21">
        <f t="shared" si="22"/>
        <v>0</v>
      </c>
      <c r="W103" s="21">
        <f t="shared" si="22"/>
        <v>0</v>
      </c>
      <c r="X103" s="21">
        <f t="shared" si="22"/>
        <v>0</v>
      </c>
      <c r="Y103" s="21">
        <f t="shared" si="22"/>
        <v>0</v>
      </c>
      <c r="Z103" s="21">
        <f t="shared" si="22"/>
        <v>0</v>
      </c>
      <c r="AA103" s="21">
        <f t="shared" si="22"/>
        <v>0</v>
      </c>
    </row>
    <row r="104" spans="1:27" x14ac:dyDescent="0.25">
      <c r="C104" s="1"/>
      <c r="D104" s="1"/>
      <c r="E104" t="s">
        <v>68</v>
      </c>
      <c r="F104" t="s">
        <v>143</v>
      </c>
      <c r="G104" s="20"/>
      <c r="H104" s="21">
        <f>G104*(1+$G$14)*(1+H101)</f>
        <v>0</v>
      </c>
      <c r="I104" s="21">
        <f t="shared" ref="I104:AA104" si="23">H104*(1+$G$14)*(1+I101)</f>
        <v>0</v>
      </c>
      <c r="J104" s="21">
        <f t="shared" si="23"/>
        <v>0</v>
      </c>
      <c r="K104" s="21">
        <f t="shared" si="23"/>
        <v>0</v>
      </c>
      <c r="L104" s="21">
        <f t="shared" si="23"/>
        <v>0</v>
      </c>
      <c r="M104" s="21">
        <f t="shared" si="23"/>
        <v>0</v>
      </c>
      <c r="N104" s="21">
        <f t="shared" si="23"/>
        <v>0</v>
      </c>
      <c r="O104" s="21">
        <f t="shared" si="23"/>
        <v>0</v>
      </c>
      <c r="P104" s="21">
        <f t="shared" si="23"/>
        <v>0</v>
      </c>
      <c r="Q104" s="21">
        <f t="shared" si="23"/>
        <v>0</v>
      </c>
      <c r="R104" s="21">
        <f t="shared" si="23"/>
        <v>0</v>
      </c>
      <c r="S104" s="21">
        <f t="shared" si="23"/>
        <v>0</v>
      </c>
      <c r="T104" s="21">
        <f t="shared" si="23"/>
        <v>0</v>
      </c>
      <c r="U104" s="21">
        <f t="shared" si="23"/>
        <v>0</v>
      </c>
      <c r="V104" s="21">
        <f t="shared" si="23"/>
        <v>0</v>
      </c>
      <c r="W104" s="21">
        <f t="shared" si="23"/>
        <v>0</v>
      </c>
      <c r="X104" s="21">
        <f t="shared" si="23"/>
        <v>0</v>
      </c>
      <c r="Y104" s="21">
        <f t="shared" si="23"/>
        <v>0</v>
      </c>
      <c r="Z104" s="21">
        <f t="shared" si="23"/>
        <v>0</v>
      </c>
      <c r="AA104" s="21">
        <f t="shared" si="23"/>
        <v>0</v>
      </c>
    </row>
    <row r="105" spans="1:27" x14ac:dyDescent="0.25">
      <c r="C105" s="1"/>
      <c r="D105" s="1"/>
      <c r="E105" t="s">
        <v>142</v>
      </c>
      <c r="F105" t="s">
        <v>143</v>
      </c>
      <c r="G105" s="20"/>
      <c r="H105" s="21">
        <f>G105*(1+$G$14)*(1+H101)</f>
        <v>0</v>
      </c>
      <c r="I105" s="21">
        <f t="shared" ref="I105:AA105" si="24">H105*(1+$G$14)*(1+I101)</f>
        <v>0</v>
      </c>
      <c r="J105" s="21">
        <f t="shared" si="24"/>
        <v>0</v>
      </c>
      <c r="K105" s="21">
        <f t="shared" si="24"/>
        <v>0</v>
      </c>
      <c r="L105" s="21">
        <f t="shared" si="24"/>
        <v>0</v>
      </c>
      <c r="M105" s="21">
        <f t="shared" si="24"/>
        <v>0</v>
      </c>
      <c r="N105" s="21">
        <f t="shared" si="24"/>
        <v>0</v>
      </c>
      <c r="O105" s="21">
        <f t="shared" si="24"/>
        <v>0</v>
      </c>
      <c r="P105" s="21">
        <f t="shared" si="24"/>
        <v>0</v>
      </c>
      <c r="Q105" s="21">
        <f t="shared" si="24"/>
        <v>0</v>
      </c>
      <c r="R105" s="21">
        <f t="shared" si="24"/>
        <v>0</v>
      </c>
      <c r="S105" s="21">
        <f t="shared" si="24"/>
        <v>0</v>
      </c>
      <c r="T105" s="21">
        <f t="shared" si="24"/>
        <v>0</v>
      </c>
      <c r="U105" s="21">
        <f t="shared" si="24"/>
        <v>0</v>
      </c>
      <c r="V105" s="21">
        <f t="shared" si="24"/>
        <v>0</v>
      </c>
      <c r="W105" s="21">
        <f t="shared" si="24"/>
        <v>0</v>
      </c>
      <c r="X105" s="21">
        <f t="shared" si="24"/>
        <v>0</v>
      </c>
      <c r="Y105" s="21">
        <f t="shared" si="24"/>
        <v>0</v>
      </c>
      <c r="Z105" s="21">
        <f t="shared" si="24"/>
        <v>0</v>
      </c>
      <c r="AA105" s="21">
        <f t="shared" si="24"/>
        <v>0</v>
      </c>
    </row>
    <row r="106" spans="1:27" x14ac:dyDescent="0.25">
      <c r="C106" s="1"/>
      <c r="D106" s="1"/>
    </row>
    <row r="107" spans="1:27" x14ac:dyDescent="0.25">
      <c r="C107" s="1"/>
      <c r="D107" s="1"/>
      <c r="E107" t="s">
        <v>69</v>
      </c>
      <c r="F107" t="s">
        <v>58</v>
      </c>
      <c r="H107" s="2">
        <f>SUM(H98:H100)/1000</f>
        <v>70.987499999999997</v>
      </c>
      <c r="I107" s="2">
        <f t="shared" ref="I107:AA107" si="25">SUM(I98:I100)/1000</f>
        <v>141.86250000000001</v>
      </c>
      <c r="J107" s="2">
        <f t="shared" si="25"/>
        <v>213.91874999999999</v>
      </c>
      <c r="K107" s="2">
        <f t="shared" si="25"/>
        <v>283.78125</v>
      </c>
      <c r="L107" s="2">
        <f t="shared" si="25"/>
        <v>351.28125</v>
      </c>
      <c r="M107" s="2">
        <f t="shared" si="25"/>
        <v>416.53125</v>
      </c>
      <c r="N107" s="2">
        <f t="shared" si="25"/>
        <v>479.53125</v>
      </c>
      <c r="O107" s="2">
        <f t="shared" si="25"/>
        <v>540.33749999999998</v>
      </c>
      <c r="P107" s="2">
        <f t="shared" si="25"/>
        <v>604.46249999999998</v>
      </c>
      <c r="Q107" s="2">
        <f t="shared" si="25"/>
        <v>672.1875</v>
      </c>
      <c r="R107" s="2">
        <f t="shared" si="25"/>
        <v>743.625</v>
      </c>
      <c r="S107" s="2">
        <f t="shared" si="25"/>
        <v>819.16875000000005</v>
      </c>
      <c r="T107" s="2">
        <f t="shared" si="25"/>
        <v>899.04375000000005</v>
      </c>
      <c r="U107" s="2">
        <f t="shared" si="25"/>
        <v>978.58124999999995</v>
      </c>
      <c r="V107" s="2">
        <f t="shared" si="25"/>
        <v>1057.7249999999999</v>
      </c>
      <c r="W107" s="2">
        <f t="shared" si="25"/>
        <v>1057.7249999999999</v>
      </c>
      <c r="X107" s="2">
        <f t="shared" si="25"/>
        <v>1057.7249999999999</v>
      </c>
      <c r="Y107" s="2">
        <f t="shared" si="25"/>
        <v>1057.7249999999999</v>
      </c>
      <c r="Z107" s="2">
        <f t="shared" si="25"/>
        <v>1057.7249999999999</v>
      </c>
      <c r="AA107" s="2">
        <f t="shared" si="25"/>
        <v>1057.7249999999999</v>
      </c>
    </row>
    <row r="108" spans="1:27" x14ac:dyDescent="0.25">
      <c r="C108" s="1"/>
      <c r="D108" s="1"/>
      <c r="E108" t="s">
        <v>70</v>
      </c>
      <c r="F108" t="s">
        <v>7</v>
      </c>
      <c r="H108" s="2">
        <f>H91*H102+H98*H103+H99*H104+H100*H105</f>
        <v>288653.56898014928</v>
      </c>
      <c r="I108" s="2">
        <f t="shared" ref="I108:AA108" si="26">I91*I102+I98*I103+I99*I104+I100*I105</f>
        <v>572825.92652532854</v>
      </c>
      <c r="J108" s="2">
        <f t="shared" si="26"/>
        <v>881920.93399917393</v>
      </c>
      <c r="K108" s="2">
        <f t="shared" si="26"/>
        <v>1194511.2346511635</v>
      </c>
      <c r="L108" s="2">
        <f t="shared" si="26"/>
        <v>1509688.1736897605</v>
      </c>
      <c r="M108" s="2">
        <f t="shared" si="26"/>
        <v>1827702.9600676226</v>
      </c>
      <c r="N108" s="2">
        <f t="shared" si="26"/>
        <v>2148328.461445319</v>
      </c>
      <c r="O108" s="2">
        <f t="shared" si="26"/>
        <v>2471579.6959363348</v>
      </c>
      <c r="P108" s="2">
        <f t="shared" si="26"/>
        <v>2822959.2875489299</v>
      </c>
      <c r="Q108" s="2">
        <f t="shared" si="26"/>
        <v>3205172.6334840977</v>
      </c>
      <c r="R108" s="2">
        <f t="shared" si="26"/>
        <v>3620267.9699721858</v>
      </c>
      <c r="S108" s="2">
        <f t="shared" si="26"/>
        <v>4071794.5278430968</v>
      </c>
      <c r="T108" s="2">
        <f t="shared" si="26"/>
        <v>4562669.8667324763</v>
      </c>
      <c r="U108" s="2">
        <f t="shared" si="26"/>
        <v>5070617.5181534961</v>
      </c>
      <c r="V108" s="2">
        <f t="shared" si="26"/>
        <v>5595803.7327928292</v>
      </c>
      <c r="W108" s="2">
        <f t="shared" si="26"/>
        <v>5713315.611181478</v>
      </c>
      <c r="X108" s="2">
        <f t="shared" si="26"/>
        <v>5833295.2390162889</v>
      </c>
      <c r="Y108" s="2">
        <f t="shared" si="26"/>
        <v>5955794.4390356299</v>
      </c>
      <c r="Z108" s="2">
        <f t="shared" si="26"/>
        <v>6080866.1222553784</v>
      </c>
      <c r="AA108" s="2">
        <f t="shared" si="26"/>
        <v>6208564.3108227402</v>
      </c>
    </row>
    <row r="109" spans="1:27" x14ac:dyDescent="0.25">
      <c r="C109" s="1"/>
      <c r="D109" s="1"/>
    </row>
    <row r="110" spans="1:27" x14ac:dyDescent="0.25">
      <c r="C110" s="1"/>
      <c r="D110" t="s">
        <v>71</v>
      </c>
    </row>
    <row r="111" spans="1:27" x14ac:dyDescent="0.25">
      <c r="A111" s="14">
        <f>'Notes &amp; Assumptions'!A33</f>
        <v>20</v>
      </c>
      <c r="C111" s="1"/>
      <c r="D111" s="1"/>
      <c r="E111" t="s">
        <v>87</v>
      </c>
      <c r="F111" t="s">
        <v>3</v>
      </c>
      <c r="H111" s="10">
        <f>'[17]Lot Split'!F67</f>
        <v>0</v>
      </c>
      <c r="I111" s="10">
        <f>'[17]Lot Split'!G67</f>
        <v>0</v>
      </c>
      <c r="J111" s="10">
        <f>'[17]Lot Split'!H67</f>
        <v>0</v>
      </c>
      <c r="K111" s="10">
        <f>'[17]Lot Split'!I67</f>
        <v>0</v>
      </c>
      <c r="L111" s="10">
        <f>'[17]Lot Split'!J67</f>
        <v>0</v>
      </c>
      <c r="M111" s="10">
        <f>'[17]Lot Split'!K67</f>
        <v>0</v>
      </c>
      <c r="N111" s="10">
        <f>'[17]Lot Split'!L67</f>
        <v>0</v>
      </c>
      <c r="O111" s="10">
        <f>'[17]Lot Split'!M67</f>
        <v>0</v>
      </c>
      <c r="P111" s="10">
        <f>'[17]Lot Split'!N67</f>
        <v>0</v>
      </c>
      <c r="Q111" s="10">
        <f>'[17]Lot Split'!O67</f>
        <v>0</v>
      </c>
      <c r="R111" s="10">
        <f>'[17]Lot Split'!P67</f>
        <v>0</v>
      </c>
      <c r="S111" s="10">
        <f>'[17]Lot Split'!Q67</f>
        <v>0</v>
      </c>
      <c r="T111" s="10">
        <f>'[17]Lot Split'!R67</f>
        <v>0</v>
      </c>
      <c r="U111" s="10">
        <f>'[17]Lot Split'!S67</f>
        <v>0</v>
      </c>
      <c r="V111" s="10">
        <f>'[17]Lot Split'!T67</f>
        <v>0</v>
      </c>
    </row>
    <row r="112" spans="1:27" x14ac:dyDescent="0.25">
      <c r="C112" s="1"/>
      <c r="D112" s="1"/>
      <c r="E112" t="s">
        <v>60</v>
      </c>
      <c r="F112" t="s">
        <v>3</v>
      </c>
      <c r="H112" s="2">
        <f>G112+H111</f>
        <v>0</v>
      </c>
      <c r="I112" s="2">
        <f t="shared" ref="I112:AA112" si="27">H112+I111</f>
        <v>0</v>
      </c>
      <c r="J112" s="2">
        <f t="shared" si="27"/>
        <v>0</v>
      </c>
      <c r="K112" s="2">
        <f t="shared" si="27"/>
        <v>0</v>
      </c>
      <c r="L112" s="2">
        <f t="shared" si="27"/>
        <v>0</v>
      </c>
      <c r="M112" s="2">
        <f t="shared" si="27"/>
        <v>0</v>
      </c>
      <c r="N112" s="2">
        <f t="shared" si="27"/>
        <v>0</v>
      </c>
      <c r="O112" s="2">
        <f t="shared" si="27"/>
        <v>0</v>
      </c>
      <c r="P112" s="2">
        <f t="shared" si="27"/>
        <v>0</v>
      </c>
      <c r="Q112" s="2">
        <f t="shared" si="27"/>
        <v>0</v>
      </c>
      <c r="R112" s="2">
        <f t="shared" si="27"/>
        <v>0</v>
      </c>
      <c r="S112" s="2">
        <f t="shared" si="27"/>
        <v>0</v>
      </c>
      <c r="T112" s="2">
        <f t="shared" si="27"/>
        <v>0</v>
      </c>
      <c r="U112" s="2">
        <f t="shared" si="27"/>
        <v>0</v>
      </c>
      <c r="V112" s="2">
        <f t="shared" si="27"/>
        <v>0</v>
      </c>
      <c r="W112" s="2">
        <f t="shared" si="27"/>
        <v>0</v>
      </c>
      <c r="X112" s="2">
        <f t="shared" si="27"/>
        <v>0</v>
      </c>
      <c r="Y112" s="2">
        <f t="shared" si="27"/>
        <v>0</v>
      </c>
      <c r="Z112" s="2">
        <f t="shared" si="27"/>
        <v>0</v>
      </c>
      <c r="AA112" s="2">
        <f t="shared" si="27"/>
        <v>0</v>
      </c>
    </row>
    <row r="113" spans="1:27" x14ac:dyDescent="0.25">
      <c r="A113" s="14">
        <f>'Notes &amp; Assumptions'!A34</f>
        <v>21</v>
      </c>
      <c r="C113" s="1"/>
      <c r="D113" s="1"/>
      <c r="E113" t="s">
        <v>61</v>
      </c>
      <c r="F113" t="s">
        <v>3</v>
      </c>
      <c r="G113" s="10">
        <v>1</v>
      </c>
    </row>
    <row r="114" spans="1:27" x14ac:dyDescent="0.25">
      <c r="C114" s="1"/>
      <c r="D114" s="1"/>
      <c r="E114" t="s">
        <v>88</v>
      </c>
      <c r="F114" t="s">
        <v>3</v>
      </c>
      <c r="H114">
        <f>H111*$G113</f>
        <v>0</v>
      </c>
      <c r="I114">
        <f t="shared" ref="I114:AA114" si="28">I111*$G113</f>
        <v>0</v>
      </c>
      <c r="J114">
        <f t="shared" si="28"/>
        <v>0</v>
      </c>
      <c r="K114">
        <f t="shared" si="28"/>
        <v>0</v>
      </c>
      <c r="L114">
        <f t="shared" si="28"/>
        <v>0</v>
      </c>
      <c r="M114">
        <f t="shared" si="28"/>
        <v>0</v>
      </c>
      <c r="N114">
        <f t="shared" si="28"/>
        <v>0</v>
      </c>
      <c r="O114">
        <f t="shared" si="28"/>
        <v>0</v>
      </c>
      <c r="P114">
        <f t="shared" si="28"/>
        <v>0</v>
      </c>
      <c r="Q114">
        <f t="shared" si="28"/>
        <v>0</v>
      </c>
      <c r="R114">
        <f t="shared" si="28"/>
        <v>0</v>
      </c>
      <c r="S114">
        <f t="shared" si="28"/>
        <v>0</v>
      </c>
      <c r="T114">
        <f t="shared" si="28"/>
        <v>0</v>
      </c>
      <c r="U114">
        <f t="shared" si="28"/>
        <v>0</v>
      </c>
      <c r="V114">
        <f t="shared" si="28"/>
        <v>0</v>
      </c>
      <c r="W114">
        <f t="shared" si="28"/>
        <v>0</v>
      </c>
      <c r="X114">
        <f t="shared" si="28"/>
        <v>0</v>
      </c>
      <c r="Y114">
        <f t="shared" si="28"/>
        <v>0</v>
      </c>
      <c r="Z114">
        <f t="shared" si="28"/>
        <v>0</v>
      </c>
      <c r="AA114">
        <f t="shared" si="28"/>
        <v>0</v>
      </c>
    </row>
    <row r="115" spans="1:27" x14ac:dyDescent="0.25">
      <c r="C115" s="1"/>
      <c r="D115" s="1"/>
      <c r="E115" t="s">
        <v>89</v>
      </c>
      <c r="F115" t="s">
        <v>3</v>
      </c>
      <c r="H115">
        <f>H112*$G113</f>
        <v>0</v>
      </c>
      <c r="I115">
        <f t="shared" ref="I115:AA115" si="29">I112*$G113</f>
        <v>0</v>
      </c>
      <c r="J115">
        <f t="shared" si="29"/>
        <v>0</v>
      </c>
      <c r="K115">
        <f t="shared" si="29"/>
        <v>0</v>
      </c>
      <c r="L115">
        <f t="shared" si="29"/>
        <v>0</v>
      </c>
      <c r="M115">
        <f t="shared" si="29"/>
        <v>0</v>
      </c>
      <c r="N115">
        <f t="shared" si="29"/>
        <v>0</v>
      </c>
      <c r="O115">
        <f t="shared" si="29"/>
        <v>0</v>
      </c>
      <c r="P115">
        <f t="shared" si="29"/>
        <v>0</v>
      </c>
      <c r="Q115">
        <f t="shared" si="29"/>
        <v>0</v>
      </c>
      <c r="R115">
        <f t="shared" si="29"/>
        <v>0</v>
      </c>
      <c r="S115">
        <f t="shared" si="29"/>
        <v>0</v>
      </c>
      <c r="T115">
        <f t="shared" si="29"/>
        <v>0</v>
      </c>
      <c r="U115">
        <f t="shared" si="29"/>
        <v>0</v>
      </c>
      <c r="V115">
        <f t="shared" si="29"/>
        <v>0</v>
      </c>
      <c r="W115">
        <f t="shared" si="29"/>
        <v>0</v>
      </c>
      <c r="X115">
        <f t="shared" si="29"/>
        <v>0</v>
      </c>
      <c r="Y115">
        <f t="shared" si="29"/>
        <v>0</v>
      </c>
      <c r="Z115">
        <f t="shared" si="29"/>
        <v>0</v>
      </c>
      <c r="AA115">
        <f t="shared" si="29"/>
        <v>0</v>
      </c>
    </row>
    <row r="116" spans="1:27" x14ac:dyDescent="0.25">
      <c r="A116" s="14">
        <f>'Notes &amp; Assumptions'!A35</f>
        <v>22</v>
      </c>
      <c r="C116" s="1"/>
      <c r="D116" s="1"/>
      <c r="E116" t="s">
        <v>62</v>
      </c>
      <c r="F116" t="s">
        <v>43</v>
      </c>
      <c r="H116" s="10">
        <f>'[17]Demand assumptions'!$T$17</f>
        <v>305</v>
      </c>
      <c r="I116" s="10">
        <f>'[17]Demand assumptions'!$T$17</f>
        <v>305</v>
      </c>
      <c r="J116" s="10">
        <f>'[17]Demand assumptions'!$T$17</f>
        <v>305</v>
      </c>
      <c r="K116" s="10">
        <f>'[17]Demand assumptions'!$T$17</f>
        <v>305</v>
      </c>
      <c r="L116" s="10">
        <f>'[17]Demand assumptions'!$T$17</f>
        <v>305</v>
      </c>
      <c r="M116" s="10">
        <f>'[17]Demand assumptions'!$T$17</f>
        <v>305</v>
      </c>
      <c r="N116" s="10">
        <f>'[17]Demand assumptions'!$T$17</f>
        <v>305</v>
      </c>
      <c r="O116" s="10">
        <f>'[17]Demand assumptions'!$T$17</f>
        <v>305</v>
      </c>
      <c r="P116" s="10">
        <f>'[17]Demand assumptions'!$T$17</f>
        <v>305</v>
      </c>
      <c r="Q116" s="10">
        <f>'[17]Demand assumptions'!$T$17</f>
        <v>305</v>
      </c>
      <c r="R116" s="10">
        <f>'[17]Demand assumptions'!$T$17</f>
        <v>305</v>
      </c>
      <c r="S116" s="10">
        <f>'[17]Demand assumptions'!$T$17</f>
        <v>305</v>
      </c>
      <c r="T116" s="10">
        <f>'[17]Demand assumptions'!$T$17</f>
        <v>305</v>
      </c>
      <c r="U116" s="10">
        <f>'[17]Demand assumptions'!$T$17</f>
        <v>305</v>
      </c>
      <c r="V116" s="10">
        <f>'[17]Demand assumptions'!$T$17</f>
        <v>305</v>
      </c>
      <c r="W116" s="10">
        <f>'[17]Demand assumptions'!$T$17</f>
        <v>305</v>
      </c>
      <c r="X116" s="10">
        <f>'[17]Demand assumptions'!$T$17</f>
        <v>305</v>
      </c>
      <c r="Y116" s="10">
        <f>'[17]Demand assumptions'!$T$17</f>
        <v>305</v>
      </c>
      <c r="Z116" s="10">
        <f>'[17]Demand assumptions'!$T$17</f>
        <v>305</v>
      </c>
      <c r="AA116" s="10">
        <f>'[17]Demand assumptions'!$T$17</f>
        <v>305</v>
      </c>
    </row>
    <row r="117" spans="1:27" x14ac:dyDescent="0.25">
      <c r="C117" s="1"/>
      <c r="D117" s="1"/>
      <c r="E117" t="s">
        <v>63</v>
      </c>
      <c r="F117" t="s">
        <v>43</v>
      </c>
      <c r="H117" s="10"/>
      <c r="I117" s="10"/>
      <c r="J117" s="10"/>
      <c r="K117" s="10"/>
      <c r="L117" s="10"/>
      <c r="M117" s="10"/>
      <c r="N117" s="10"/>
      <c r="O117" s="10"/>
      <c r="P117" s="10"/>
      <c r="Q117" s="10"/>
      <c r="R117" s="10"/>
      <c r="S117" s="10"/>
      <c r="T117" s="10"/>
      <c r="U117" s="10"/>
      <c r="V117" s="10"/>
      <c r="W117" s="10"/>
      <c r="X117" s="10"/>
      <c r="Y117" s="10"/>
      <c r="Z117" s="10"/>
      <c r="AA117" s="10"/>
    </row>
    <row r="118" spans="1:27" x14ac:dyDescent="0.25">
      <c r="C118" s="1"/>
      <c r="D118" s="1"/>
      <c r="E118" t="s">
        <v>140</v>
      </c>
      <c r="F118" t="s">
        <v>43</v>
      </c>
      <c r="H118" s="10"/>
      <c r="I118" s="10"/>
      <c r="J118" s="10"/>
      <c r="K118" s="10"/>
      <c r="L118" s="10"/>
      <c r="M118" s="10"/>
      <c r="N118" s="10"/>
      <c r="O118" s="10"/>
      <c r="P118" s="10"/>
      <c r="Q118" s="10"/>
      <c r="R118" s="10"/>
      <c r="S118" s="10"/>
      <c r="T118" s="10"/>
      <c r="U118" s="10"/>
      <c r="V118" s="10"/>
      <c r="W118" s="10"/>
      <c r="X118" s="10"/>
      <c r="Y118" s="10"/>
      <c r="Z118" s="10"/>
      <c r="AA118" s="10"/>
    </row>
    <row r="119" spans="1:27" x14ac:dyDescent="0.25">
      <c r="C119" s="1"/>
      <c r="D119" s="1"/>
      <c r="E119" t="s">
        <v>64</v>
      </c>
      <c r="F119" t="s">
        <v>144</v>
      </c>
      <c r="H119" s="2">
        <f>H112*H116</f>
        <v>0</v>
      </c>
      <c r="I119" s="2">
        <f t="shared" ref="I119:AA119" si="30">I112*I116</f>
        <v>0</v>
      </c>
      <c r="J119" s="2">
        <f t="shared" si="30"/>
        <v>0</v>
      </c>
      <c r="K119" s="2">
        <f t="shared" si="30"/>
        <v>0</v>
      </c>
      <c r="L119" s="2">
        <f t="shared" si="30"/>
        <v>0</v>
      </c>
      <c r="M119" s="2">
        <f t="shared" si="30"/>
        <v>0</v>
      </c>
      <c r="N119" s="2">
        <f t="shared" si="30"/>
        <v>0</v>
      </c>
      <c r="O119" s="2">
        <f t="shared" si="30"/>
        <v>0</v>
      </c>
      <c r="P119" s="2">
        <f t="shared" si="30"/>
        <v>0</v>
      </c>
      <c r="Q119" s="2">
        <f t="shared" si="30"/>
        <v>0</v>
      </c>
      <c r="R119" s="2">
        <f t="shared" si="30"/>
        <v>0</v>
      </c>
      <c r="S119" s="2">
        <f t="shared" si="30"/>
        <v>0</v>
      </c>
      <c r="T119" s="2">
        <f t="shared" si="30"/>
        <v>0</v>
      </c>
      <c r="U119" s="2">
        <f t="shared" si="30"/>
        <v>0</v>
      </c>
      <c r="V119" s="2">
        <f t="shared" si="30"/>
        <v>0</v>
      </c>
      <c r="W119" s="2">
        <f t="shared" si="30"/>
        <v>0</v>
      </c>
      <c r="X119" s="2">
        <f t="shared" si="30"/>
        <v>0</v>
      </c>
      <c r="Y119" s="2">
        <f t="shared" si="30"/>
        <v>0</v>
      </c>
      <c r="Z119" s="2">
        <f t="shared" si="30"/>
        <v>0</v>
      </c>
      <c r="AA119" s="2">
        <f t="shared" si="30"/>
        <v>0</v>
      </c>
    </row>
    <row r="120" spans="1:27" x14ac:dyDescent="0.25">
      <c r="C120" s="1"/>
      <c r="D120" s="1"/>
      <c r="E120" t="s">
        <v>65</v>
      </c>
      <c r="F120" t="s">
        <v>144</v>
      </c>
      <c r="H120" s="2">
        <f>H112*H117</f>
        <v>0</v>
      </c>
      <c r="I120" s="2">
        <f t="shared" ref="I120:AA120" si="31">I112*I117</f>
        <v>0</v>
      </c>
      <c r="J120" s="2">
        <f t="shared" si="31"/>
        <v>0</v>
      </c>
      <c r="K120" s="2">
        <f t="shared" si="31"/>
        <v>0</v>
      </c>
      <c r="L120" s="2">
        <f t="shared" si="31"/>
        <v>0</v>
      </c>
      <c r="M120" s="2">
        <f t="shared" si="31"/>
        <v>0</v>
      </c>
      <c r="N120" s="2">
        <f t="shared" si="31"/>
        <v>0</v>
      </c>
      <c r="O120" s="2">
        <f t="shared" si="31"/>
        <v>0</v>
      </c>
      <c r="P120" s="2">
        <f t="shared" si="31"/>
        <v>0</v>
      </c>
      <c r="Q120" s="2">
        <f t="shared" si="31"/>
        <v>0</v>
      </c>
      <c r="R120" s="2">
        <f t="shared" si="31"/>
        <v>0</v>
      </c>
      <c r="S120" s="2">
        <f t="shared" si="31"/>
        <v>0</v>
      </c>
      <c r="T120" s="2">
        <f t="shared" si="31"/>
        <v>0</v>
      </c>
      <c r="U120" s="2">
        <f t="shared" si="31"/>
        <v>0</v>
      </c>
      <c r="V120" s="2">
        <f t="shared" si="31"/>
        <v>0</v>
      </c>
      <c r="W120" s="2">
        <f t="shared" si="31"/>
        <v>0</v>
      </c>
      <c r="X120" s="2">
        <f t="shared" si="31"/>
        <v>0</v>
      </c>
      <c r="Y120" s="2">
        <f t="shared" si="31"/>
        <v>0</v>
      </c>
      <c r="Z120" s="2">
        <f t="shared" si="31"/>
        <v>0</v>
      </c>
      <c r="AA120" s="2">
        <f t="shared" si="31"/>
        <v>0</v>
      </c>
    </row>
    <row r="121" spans="1:27" x14ac:dyDescent="0.25">
      <c r="C121" s="1"/>
      <c r="D121" s="1"/>
      <c r="E121" t="s">
        <v>141</v>
      </c>
      <c r="F121" t="s">
        <v>144</v>
      </c>
      <c r="H121" s="2">
        <f>H112*H118</f>
        <v>0</v>
      </c>
      <c r="I121" s="2">
        <f t="shared" ref="I121:AA121" si="32">I112*I118</f>
        <v>0</v>
      </c>
      <c r="J121" s="2">
        <f t="shared" si="32"/>
        <v>0</v>
      </c>
      <c r="K121" s="2">
        <f t="shared" si="32"/>
        <v>0</v>
      </c>
      <c r="L121" s="2">
        <f t="shared" si="32"/>
        <v>0</v>
      </c>
      <c r="M121" s="2">
        <f t="shared" si="32"/>
        <v>0</v>
      </c>
      <c r="N121" s="2">
        <f t="shared" si="32"/>
        <v>0</v>
      </c>
      <c r="O121" s="2">
        <f t="shared" si="32"/>
        <v>0</v>
      </c>
      <c r="P121" s="2">
        <f t="shared" si="32"/>
        <v>0</v>
      </c>
      <c r="Q121" s="2">
        <f t="shared" si="32"/>
        <v>0</v>
      </c>
      <c r="R121" s="2">
        <f t="shared" si="32"/>
        <v>0</v>
      </c>
      <c r="S121" s="2">
        <f t="shared" si="32"/>
        <v>0</v>
      </c>
      <c r="T121" s="2">
        <f t="shared" si="32"/>
        <v>0</v>
      </c>
      <c r="U121" s="2">
        <f t="shared" si="32"/>
        <v>0</v>
      </c>
      <c r="V121" s="2">
        <f t="shared" si="32"/>
        <v>0</v>
      </c>
      <c r="W121" s="2">
        <f t="shared" si="32"/>
        <v>0</v>
      </c>
      <c r="X121" s="2">
        <f t="shared" si="32"/>
        <v>0</v>
      </c>
      <c r="Y121" s="2">
        <f t="shared" si="32"/>
        <v>0</v>
      </c>
      <c r="Z121" s="2">
        <f t="shared" si="32"/>
        <v>0</v>
      </c>
      <c r="AA121" s="2">
        <f t="shared" si="32"/>
        <v>0</v>
      </c>
    </row>
    <row r="122" spans="1:27" x14ac:dyDescent="0.25">
      <c r="A122" s="14">
        <f>'Notes &amp; Assumptions'!A36</f>
        <v>23</v>
      </c>
      <c r="C122" s="1"/>
      <c r="D122" s="1"/>
      <c r="E122" t="s">
        <v>66</v>
      </c>
      <c r="F122" t="s">
        <v>8</v>
      </c>
      <c r="H122" s="11">
        <f>'YVW tariffs'!D36</f>
        <v>-4.24E-2</v>
      </c>
      <c r="I122" s="11">
        <f>'YVW tariffs'!E36</f>
        <v>-2.7400000000000001E-2</v>
      </c>
      <c r="J122" s="11">
        <f>'YVW tariffs'!F36</f>
        <v>0</v>
      </c>
      <c r="K122" s="11">
        <f>'YVW tariffs'!G36</f>
        <v>0</v>
      </c>
      <c r="L122" s="11">
        <f>'YVW tariffs'!H36</f>
        <v>0</v>
      </c>
      <c r="M122" s="11"/>
      <c r="N122" s="11"/>
      <c r="O122" s="11"/>
      <c r="P122" s="11"/>
      <c r="Q122" s="11"/>
      <c r="R122" s="11"/>
      <c r="S122" s="11"/>
      <c r="T122" s="11"/>
      <c r="U122" s="11"/>
      <c r="V122" s="11"/>
      <c r="W122" s="11"/>
      <c r="X122" s="11"/>
      <c r="Y122" s="11"/>
      <c r="Z122" s="11"/>
      <c r="AA122" s="11"/>
    </row>
    <row r="123" spans="1:27" x14ac:dyDescent="0.25">
      <c r="A123" s="14">
        <f>'Notes &amp; Assumptions'!A37</f>
        <v>24</v>
      </c>
      <c r="C123" s="1"/>
      <c r="D123" s="1"/>
      <c r="E123" t="s">
        <v>40</v>
      </c>
      <c r="F123" t="s">
        <v>41</v>
      </c>
      <c r="G123" s="20">
        <f>'YVW tariffs'!E18</f>
        <v>568.75825999999984</v>
      </c>
      <c r="H123" s="2">
        <f>G123*(1+$G$14)*(1+H122)</f>
        <v>556.08041088129585</v>
      </c>
      <c r="I123" s="2">
        <f t="shared" ref="I123:AA123" si="33">H123*(1+$G$14)*(1+I122)</f>
        <v>552.20152758323445</v>
      </c>
      <c r="J123" s="2">
        <f t="shared" si="33"/>
        <v>563.79775966248235</v>
      </c>
      <c r="K123" s="2">
        <f t="shared" si="33"/>
        <v>575.63751261539437</v>
      </c>
      <c r="L123" s="2">
        <f t="shared" si="33"/>
        <v>587.72590038031763</v>
      </c>
      <c r="M123" s="2">
        <f t="shared" si="33"/>
        <v>600.06814428830421</v>
      </c>
      <c r="N123" s="2">
        <f t="shared" si="33"/>
        <v>612.66957531835851</v>
      </c>
      <c r="O123" s="2">
        <f t="shared" si="33"/>
        <v>625.53563640004393</v>
      </c>
      <c r="P123" s="2">
        <f t="shared" si="33"/>
        <v>638.67188476444483</v>
      </c>
      <c r="Q123" s="2">
        <f t="shared" si="33"/>
        <v>652.08399434449814</v>
      </c>
      <c r="R123" s="2">
        <f t="shared" si="33"/>
        <v>665.77775822573255</v>
      </c>
      <c r="S123" s="2">
        <f t="shared" si="33"/>
        <v>679.75909114847286</v>
      </c>
      <c r="T123" s="2">
        <f t="shared" si="33"/>
        <v>694.03403206259077</v>
      </c>
      <c r="U123" s="2">
        <f t="shared" si="33"/>
        <v>708.60874673590513</v>
      </c>
      <c r="V123" s="2">
        <f t="shared" si="33"/>
        <v>723.48953041735911</v>
      </c>
      <c r="W123" s="2">
        <f t="shared" si="33"/>
        <v>738.68281055612363</v>
      </c>
      <c r="X123" s="2">
        <f t="shared" si="33"/>
        <v>754.19514957780211</v>
      </c>
      <c r="Y123" s="2">
        <f t="shared" si="33"/>
        <v>770.03324771893585</v>
      </c>
      <c r="Z123" s="2">
        <f t="shared" si="33"/>
        <v>786.20394592103344</v>
      </c>
      <c r="AA123" s="2">
        <f t="shared" si="33"/>
        <v>802.7142287853751</v>
      </c>
    </row>
    <row r="124" spans="1:27" x14ac:dyDescent="0.25">
      <c r="C124" s="1"/>
      <c r="D124" s="1"/>
      <c r="E124" t="s">
        <v>67</v>
      </c>
      <c r="F124" t="s">
        <v>143</v>
      </c>
      <c r="G124" s="20">
        <f>'YVW tariffs'!E19</f>
        <v>2.0661976999999996</v>
      </c>
      <c r="H124" s="21">
        <f>G124*(1+$G$14)*(1+H122)</f>
        <v>2.0201413267879191</v>
      </c>
      <c r="I124" s="21">
        <f t="shared" ref="I124:AA124" si="34">H124*(1+$G$14)*(1+I122)</f>
        <v>2.0060500329770425</v>
      </c>
      <c r="J124" s="21">
        <f t="shared" si="34"/>
        <v>2.0481770836695601</v>
      </c>
      <c r="K124" s="21">
        <f t="shared" si="34"/>
        <v>2.0911888024266205</v>
      </c>
      <c r="L124" s="21">
        <f t="shared" si="34"/>
        <v>2.1351037672775792</v>
      </c>
      <c r="M124" s="21">
        <f t="shared" si="34"/>
        <v>2.179940946390408</v>
      </c>
      <c r="N124" s="21">
        <f t="shared" si="34"/>
        <v>2.2257197062646066</v>
      </c>
      <c r="O124" s="21">
        <f t="shared" si="34"/>
        <v>2.272459820096163</v>
      </c>
      <c r="P124" s="21">
        <f t="shared" si="34"/>
        <v>2.3201814763181821</v>
      </c>
      <c r="Q124" s="21">
        <f t="shared" si="34"/>
        <v>2.3689052873208638</v>
      </c>
      <c r="R124" s="21">
        <f t="shared" si="34"/>
        <v>2.4186522983546017</v>
      </c>
      <c r="S124" s="21">
        <f t="shared" si="34"/>
        <v>2.4694439966200483</v>
      </c>
      <c r="T124" s="21">
        <f t="shared" si="34"/>
        <v>2.521302320549069</v>
      </c>
      <c r="U124" s="21">
        <f t="shared" si="34"/>
        <v>2.5742496692805994</v>
      </c>
      <c r="V124" s="21">
        <f t="shared" si="34"/>
        <v>2.6283089123354917</v>
      </c>
      <c r="W124" s="21">
        <f t="shared" si="34"/>
        <v>2.683503399494537</v>
      </c>
      <c r="X124" s="21">
        <f t="shared" si="34"/>
        <v>2.7398569708839222</v>
      </c>
      <c r="Y124" s="21">
        <f t="shared" si="34"/>
        <v>2.7973939672724843</v>
      </c>
      <c r="Z124" s="21">
        <f t="shared" si="34"/>
        <v>2.8561392405852062</v>
      </c>
      <c r="AA124" s="21">
        <f t="shared" si="34"/>
        <v>2.9161181646374952</v>
      </c>
    </row>
    <row r="125" spans="1:27" x14ac:dyDescent="0.25">
      <c r="C125" s="1"/>
      <c r="D125" s="1"/>
      <c r="E125" t="s">
        <v>68</v>
      </c>
      <c r="F125" t="s">
        <v>143</v>
      </c>
      <c r="G125" s="20"/>
      <c r="H125" s="21">
        <f>G125*(1+$G$14)*(1+H122)</f>
        <v>0</v>
      </c>
      <c r="I125" s="21">
        <f t="shared" ref="I125:AA125" si="35">H125*(1+$G$14)*(1+I122)</f>
        <v>0</v>
      </c>
      <c r="J125" s="21">
        <f t="shared" si="35"/>
        <v>0</v>
      </c>
      <c r="K125" s="21">
        <f t="shared" si="35"/>
        <v>0</v>
      </c>
      <c r="L125" s="21">
        <f t="shared" si="35"/>
        <v>0</v>
      </c>
      <c r="M125" s="21">
        <f t="shared" si="35"/>
        <v>0</v>
      </c>
      <c r="N125" s="21">
        <f t="shared" si="35"/>
        <v>0</v>
      </c>
      <c r="O125" s="21">
        <f t="shared" si="35"/>
        <v>0</v>
      </c>
      <c r="P125" s="21">
        <f t="shared" si="35"/>
        <v>0</v>
      </c>
      <c r="Q125" s="21">
        <f t="shared" si="35"/>
        <v>0</v>
      </c>
      <c r="R125" s="21">
        <f t="shared" si="35"/>
        <v>0</v>
      </c>
      <c r="S125" s="21">
        <f t="shared" si="35"/>
        <v>0</v>
      </c>
      <c r="T125" s="21">
        <f t="shared" si="35"/>
        <v>0</v>
      </c>
      <c r="U125" s="21">
        <f t="shared" si="35"/>
        <v>0</v>
      </c>
      <c r="V125" s="21">
        <f t="shared" si="35"/>
        <v>0</v>
      </c>
      <c r="W125" s="21">
        <f t="shared" si="35"/>
        <v>0</v>
      </c>
      <c r="X125" s="21">
        <f t="shared" si="35"/>
        <v>0</v>
      </c>
      <c r="Y125" s="21">
        <f t="shared" si="35"/>
        <v>0</v>
      </c>
      <c r="Z125" s="21">
        <f t="shared" si="35"/>
        <v>0</v>
      </c>
      <c r="AA125" s="21">
        <f t="shared" si="35"/>
        <v>0</v>
      </c>
    </row>
    <row r="126" spans="1:27" x14ac:dyDescent="0.25">
      <c r="C126" s="1"/>
      <c r="D126" s="1"/>
      <c r="E126" t="s">
        <v>142</v>
      </c>
      <c r="F126" t="s">
        <v>143</v>
      </c>
      <c r="G126" s="20"/>
      <c r="H126" s="21">
        <f>G126*(1+$G$14)*(1+H122)</f>
        <v>0</v>
      </c>
      <c r="I126" s="21">
        <f t="shared" ref="I126:AA126" si="36">H126*(1+$G$14)*(1+I122)</f>
        <v>0</v>
      </c>
      <c r="J126" s="21">
        <f t="shared" si="36"/>
        <v>0</v>
      </c>
      <c r="K126" s="21">
        <f t="shared" si="36"/>
        <v>0</v>
      </c>
      <c r="L126" s="21">
        <f t="shared" si="36"/>
        <v>0</v>
      </c>
      <c r="M126" s="21">
        <f t="shared" si="36"/>
        <v>0</v>
      </c>
      <c r="N126" s="21">
        <f t="shared" si="36"/>
        <v>0</v>
      </c>
      <c r="O126" s="21">
        <f t="shared" si="36"/>
        <v>0</v>
      </c>
      <c r="P126" s="21">
        <f t="shared" si="36"/>
        <v>0</v>
      </c>
      <c r="Q126" s="21">
        <f t="shared" si="36"/>
        <v>0</v>
      </c>
      <c r="R126" s="21">
        <f t="shared" si="36"/>
        <v>0</v>
      </c>
      <c r="S126" s="21">
        <f t="shared" si="36"/>
        <v>0</v>
      </c>
      <c r="T126" s="21">
        <f t="shared" si="36"/>
        <v>0</v>
      </c>
      <c r="U126" s="21">
        <f t="shared" si="36"/>
        <v>0</v>
      </c>
      <c r="V126" s="21">
        <f t="shared" si="36"/>
        <v>0</v>
      </c>
      <c r="W126" s="21">
        <f t="shared" si="36"/>
        <v>0</v>
      </c>
      <c r="X126" s="21">
        <f t="shared" si="36"/>
        <v>0</v>
      </c>
      <c r="Y126" s="21">
        <f t="shared" si="36"/>
        <v>0</v>
      </c>
      <c r="Z126" s="21">
        <f t="shared" si="36"/>
        <v>0</v>
      </c>
      <c r="AA126" s="21">
        <f t="shared" si="36"/>
        <v>0</v>
      </c>
    </row>
    <row r="127" spans="1:27" x14ac:dyDescent="0.25">
      <c r="C127" s="1"/>
      <c r="D127" s="1"/>
    </row>
    <row r="128" spans="1:27" x14ac:dyDescent="0.25">
      <c r="C128" s="1"/>
      <c r="D128" s="1"/>
      <c r="E128" t="s">
        <v>72</v>
      </c>
      <c r="F128" t="s">
        <v>58</v>
      </c>
      <c r="H128" s="2">
        <f>SUM(H119:H121)/1000</f>
        <v>0</v>
      </c>
      <c r="I128" s="2">
        <f t="shared" ref="I128:AA128" si="37">SUM(I119:I121)/1000</f>
        <v>0</v>
      </c>
      <c r="J128" s="2">
        <f t="shared" si="37"/>
        <v>0</v>
      </c>
      <c r="K128" s="2">
        <f t="shared" si="37"/>
        <v>0</v>
      </c>
      <c r="L128" s="2">
        <f t="shared" si="37"/>
        <v>0</v>
      </c>
      <c r="M128" s="2">
        <f t="shared" si="37"/>
        <v>0</v>
      </c>
      <c r="N128" s="2">
        <f t="shared" si="37"/>
        <v>0</v>
      </c>
      <c r="O128" s="2">
        <f t="shared" si="37"/>
        <v>0</v>
      </c>
      <c r="P128" s="2">
        <f t="shared" si="37"/>
        <v>0</v>
      </c>
      <c r="Q128" s="2">
        <f t="shared" si="37"/>
        <v>0</v>
      </c>
      <c r="R128" s="2">
        <f t="shared" si="37"/>
        <v>0</v>
      </c>
      <c r="S128" s="2">
        <f t="shared" si="37"/>
        <v>0</v>
      </c>
      <c r="T128" s="2">
        <f t="shared" si="37"/>
        <v>0</v>
      </c>
      <c r="U128" s="2">
        <f t="shared" si="37"/>
        <v>0</v>
      </c>
      <c r="V128" s="2">
        <f t="shared" si="37"/>
        <v>0</v>
      </c>
      <c r="W128" s="2">
        <f t="shared" si="37"/>
        <v>0</v>
      </c>
      <c r="X128" s="2">
        <f t="shared" si="37"/>
        <v>0</v>
      </c>
      <c r="Y128" s="2">
        <f t="shared" si="37"/>
        <v>0</v>
      </c>
      <c r="Z128" s="2">
        <f t="shared" si="37"/>
        <v>0</v>
      </c>
      <c r="AA128" s="2">
        <f t="shared" si="37"/>
        <v>0</v>
      </c>
    </row>
    <row r="129" spans="1:27" x14ac:dyDescent="0.25">
      <c r="C129" s="1"/>
      <c r="D129" s="1"/>
      <c r="E129" t="s">
        <v>73</v>
      </c>
      <c r="F129" t="s">
        <v>7</v>
      </c>
      <c r="H129" s="2">
        <f>H112*H123+H119*H124+H120*H125+H121*H126</f>
        <v>0</v>
      </c>
      <c r="I129" s="2">
        <f t="shared" ref="I129:AA129" si="38">I112*I123+I119*I124+I120*I125+I121*I126</f>
        <v>0</v>
      </c>
      <c r="J129" s="2">
        <f t="shared" si="38"/>
        <v>0</v>
      </c>
      <c r="K129" s="2">
        <f t="shared" si="38"/>
        <v>0</v>
      </c>
      <c r="L129" s="2">
        <f t="shared" si="38"/>
        <v>0</v>
      </c>
      <c r="M129" s="2">
        <f t="shared" si="38"/>
        <v>0</v>
      </c>
      <c r="N129" s="2">
        <f t="shared" si="38"/>
        <v>0</v>
      </c>
      <c r="O129" s="2">
        <f t="shared" si="38"/>
        <v>0</v>
      </c>
      <c r="P129" s="2">
        <f t="shared" si="38"/>
        <v>0</v>
      </c>
      <c r="Q129" s="2">
        <f t="shared" si="38"/>
        <v>0</v>
      </c>
      <c r="R129" s="2">
        <f t="shared" si="38"/>
        <v>0</v>
      </c>
      <c r="S129" s="2">
        <f t="shared" si="38"/>
        <v>0</v>
      </c>
      <c r="T129" s="2">
        <f t="shared" si="38"/>
        <v>0</v>
      </c>
      <c r="U129" s="2">
        <f t="shared" si="38"/>
        <v>0</v>
      </c>
      <c r="V129" s="2">
        <f t="shared" si="38"/>
        <v>0</v>
      </c>
      <c r="W129" s="2">
        <f t="shared" si="38"/>
        <v>0</v>
      </c>
      <c r="X129" s="2">
        <f t="shared" si="38"/>
        <v>0</v>
      </c>
      <c r="Y129" s="2">
        <f t="shared" si="38"/>
        <v>0</v>
      </c>
      <c r="Z129" s="2">
        <f t="shared" si="38"/>
        <v>0</v>
      </c>
      <c r="AA129" s="2">
        <f t="shared" si="38"/>
        <v>0</v>
      </c>
    </row>
    <row r="130" spans="1:27" x14ac:dyDescent="0.25">
      <c r="C130" s="1"/>
      <c r="D130" s="1"/>
    </row>
    <row r="131" spans="1:27" x14ac:dyDescent="0.25">
      <c r="C131" s="1"/>
      <c r="D131" t="s">
        <v>74</v>
      </c>
    </row>
    <row r="132" spans="1:27" x14ac:dyDescent="0.25">
      <c r="A132" s="14">
        <f>'Notes &amp; Assumptions'!A38</f>
        <v>25</v>
      </c>
      <c r="C132" s="1"/>
      <c r="D132" s="1"/>
      <c r="E132" t="s">
        <v>87</v>
      </c>
      <c r="F132" t="s">
        <v>3</v>
      </c>
      <c r="H132" s="10">
        <v>0</v>
      </c>
      <c r="I132" s="10">
        <v>0</v>
      </c>
      <c r="J132" s="10">
        <v>0</v>
      </c>
      <c r="K132" s="10">
        <v>0</v>
      </c>
      <c r="L132" s="10">
        <v>0</v>
      </c>
      <c r="M132" s="10">
        <v>0</v>
      </c>
      <c r="N132" s="10">
        <v>0</v>
      </c>
      <c r="O132" s="10">
        <v>0</v>
      </c>
      <c r="P132" s="10">
        <v>0</v>
      </c>
      <c r="Q132" s="10">
        <v>0</v>
      </c>
      <c r="R132" s="10">
        <f>AVERAGE($O132:$Q132)</f>
        <v>0</v>
      </c>
      <c r="S132" s="10">
        <f t="shared" ref="S132:V132" si="39">AVERAGE($O132:$Q132)</f>
        <v>0</v>
      </c>
      <c r="T132" s="10">
        <f t="shared" si="39"/>
        <v>0</v>
      </c>
      <c r="U132" s="10">
        <f t="shared" si="39"/>
        <v>0</v>
      </c>
      <c r="V132" s="10">
        <f t="shared" si="39"/>
        <v>0</v>
      </c>
    </row>
    <row r="133" spans="1:27" x14ac:dyDescent="0.25">
      <c r="C133" s="1"/>
      <c r="D133" s="1"/>
      <c r="E133" t="s">
        <v>60</v>
      </c>
      <c r="F133" t="s">
        <v>3</v>
      </c>
      <c r="H133" s="2">
        <f>G133+H132</f>
        <v>0</v>
      </c>
      <c r="I133" s="2">
        <f t="shared" ref="I133:AA133" si="40">H133+I132</f>
        <v>0</v>
      </c>
      <c r="J133" s="2">
        <f t="shared" si="40"/>
        <v>0</v>
      </c>
      <c r="K133" s="2">
        <f t="shared" si="40"/>
        <v>0</v>
      </c>
      <c r="L133" s="2">
        <f t="shared" si="40"/>
        <v>0</v>
      </c>
      <c r="M133" s="2">
        <f t="shared" si="40"/>
        <v>0</v>
      </c>
      <c r="N133" s="2">
        <f t="shared" si="40"/>
        <v>0</v>
      </c>
      <c r="O133" s="2">
        <f t="shared" si="40"/>
        <v>0</v>
      </c>
      <c r="P133" s="2">
        <f t="shared" si="40"/>
        <v>0</v>
      </c>
      <c r="Q133" s="2">
        <f t="shared" si="40"/>
        <v>0</v>
      </c>
      <c r="R133" s="2">
        <f t="shared" si="40"/>
        <v>0</v>
      </c>
      <c r="S133" s="2">
        <f t="shared" si="40"/>
        <v>0</v>
      </c>
      <c r="T133" s="2">
        <f t="shared" si="40"/>
        <v>0</v>
      </c>
      <c r="U133" s="2">
        <f t="shared" si="40"/>
        <v>0</v>
      </c>
      <c r="V133" s="2">
        <f t="shared" si="40"/>
        <v>0</v>
      </c>
      <c r="W133" s="2">
        <f t="shared" si="40"/>
        <v>0</v>
      </c>
      <c r="X133" s="2">
        <f t="shared" si="40"/>
        <v>0</v>
      </c>
      <c r="Y133" s="2">
        <f t="shared" si="40"/>
        <v>0</v>
      </c>
      <c r="Z133" s="2">
        <f t="shared" si="40"/>
        <v>0</v>
      </c>
      <c r="AA133" s="2">
        <f t="shared" si="40"/>
        <v>0</v>
      </c>
    </row>
    <row r="134" spans="1:27" x14ac:dyDescent="0.25">
      <c r="A134" s="14">
        <f>'Notes &amp; Assumptions'!A39</f>
        <v>26</v>
      </c>
      <c r="C134" s="1"/>
      <c r="D134" s="1"/>
      <c r="E134" t="s">
        <v>61</v>
      </c>
      <c r="F134" t="s">
        <v>3</v>
      </c>
      <c r="G134" s="10">
        <v>1</v>
      </c>
    </row>
    <row r="135" spans="1:27" x14ac:dyDescent="0.25">
      <c r="C135" s="1"/>
      <c r="D135" s="1"/>
      <c r="E135" t="s">
        <v>88</v>
      </c>
      <c r="F135" t="s">
        <v>3</v>
      </c>
      <c r="H135">
        <f>H132*$G134</f>
        <v>0</v>
      </c>
      <c r="I135">
        <f t="shared" ref="I135:AA135" si="41">I132*$G134</f>
        <v>0</v>
      </c>
      <c r="J135">
        <f t="shared" si="41"/>
        <v>0</v>
      </c>
      <c r="K135">
        <f t="shared" si="41"/>
        <v>0</v>
      </c>
      <c r="L135">
        <f t="shared" si="41"/>
        <v>0</v>
      </c>
      <c r="M135">
        <f t="shared" si="41"/>
        <v>0</v>
      </c>
      <c r="N135">
        <f t="shared" si="41"/>
        <v>0</v>
      </c>
      <c r="O135">
        <f t="shared" si="41"/>
        <v>0</v>
      </c>
      <c r="P135">
        <f t="shared" si="41"/>
        <v>0</v>
      </c>
      <c r="Q135">
        <f t="shared" si="41"/>
        <v>0</v>
      </c>
      <c r="R135">
        <f t="shared" si="41"/>
        <v>0</v>
      </c>
      <c r="S135">
        <f t="shared" si="41"/>
        <v>0</v>
      </c>
      <c r="T135">
        <f t="shared" si="41"/>
        <v>0</v>
      </c>
      <c r="U135">
        <f t="shared" si="41"/>
        <v>0</v>
      </c>
      <c r="V135">
        <f t="shared" si="41"/>
        <v>0</v>
      </c>
      <c r="W135">
        <f t="shared" si="41"/>
        <v>0</v>
      </c>
      <c r="X135">
        <f t="shared" si="41"/>
        <v>0</v>
      </c>
      <c r="Y135">
        <f t="shared" si="41"/>
        <v>0</v>
      </c>
      <c r="Z135">
        <f t="shared" si="41"/>
        <v>0</v>
      </c>
      <c r="AA135">
        <f t="shared" si="41"/>
        <v>0</v>
      </c>
    </row>
    <row r="136" spans="1:27" x14ac:dyDescent="0.25">
      <c r="C136" s="1"/>
      <c r="D136" s="1"/>
      <c r="E136" t="s">
        <v>89</v>
      </c>
      <c r="F136" t="s">
        <v>3</v>
      </c>
      <c r="H136">
        <f>H133*$G134</f>
        <v>0</v>
      </c>
      <c r="I136">
        <f t="shared" ref="I136:AA136" si="42">I133*$G134</f>
        <v>0</v>
      </c>
      <c r="J136">
        <f t="shared" si="42"/>
        <v>0</v>
      </c>
      <c r="K136">
        <f t="shared" si="42"/>
        <v>0</v>
      </c>
      <c r="L136">
        <f t="shared" si="42"/>
        <v>0</v>
      </c>
      <c r="M136">
        <f t="shared" si="42"/>
        <v>0</v>
      </c>
      <c r="N136">
        <f t="shared" si="42"/>
        <v>0</v>
      </c>
      <c r="O136">
        <f t="shared" si="42"/>
        <v>0</v>
      </c>
      <c r="P136">
        <f t="shared" si="42"/>
        <v>0</v>
      </c>
      <c r="Q136">
        <f t="shared" si="42"/>
        <v>0</v>
      </c>
      <c r="R136">
        <f t="shared" si="42"/>
        <v>0</v>
      </c>
      <c r="S136">
        <f t="shared" si="42"/>
        <v>0</v>
      </c>
      <c r="T136">
        <f t="shared" si="42"/>
        <v>0</v>
      </c>
      <c r="U136">
        <f t="shared" si="42"/>
        <v>0</v>
      </c>
      <c r="V136">
        <f t="shared" si="42"/>
        <v>0</v>
      </c>
      <c r="W136">
        <f t="shared" si="42"/>
        <v>0</v>
      </c>
      <c r="X136">
        <f t="shared" si="42"/>
        <v>0</v>
      </c>
      <c r="Y136">
        <f t="shared" si="42"/>
        <v>0</v>
      </c>
      <c r="Z136">
        <f t="shared" si="42"/>
        <v>0</v>
      </c>
      <c r="AA136">
        <f t="shared" si="42"/>
        <v>0</v>
      </c>
    </row>
    <row r="137" spans="1:27" x14ac:dyDescent="0.25">
      <c r="A137" s="14">
        <f>'Notes &amp; Assumptions'!A40</f>
        <v>27</v>
      </c>
      <c r="C137" s="1"/>
      <c r="D137" s="1"/>
      <c r="E137" t="s">
        <v>62</v>
      </c>
      <c r="F137" t="s">
        <v>43</v>
      </c>
      <c r="H137" s="10"/>
      <c r="I137" s="10"/>
      <c r="J137" s="10"/>
      <c r="K137" s="10"/>
      <c r="L137" s="10"/>
      <c r="M137" s="10"/>
      <c r="N137" s="10"/>
      <c r="O137" s="10"/>
      <c r="P137" s="10"/>
      <c r="Q137" s="10"/>
      <c r="R137" s="10"/>
      <c r="S137" s="10"/>
      <c r="T137" s="10"/>
      <c r="U137" s="10"/>
      <c r="V137" s="10"/>
      <c r="W137" s="10"/>
      <c r="X137" s="10"/>
      <c r="Y137" s="10"/>
      <c r="Z137" s="10"/>
      <c r="AA137" s="10"/>
    </row>
    <row r="138" spans="1:27" x14ac:dyDescent="0.25">
      <c r="C138" s="1"/>
      <c r="D138" s="1"/>
      <c r="E138" t="s">
        <v>63</v>
      </c>
      <c r="F138" t="s">
        <v>43</v>
      </c>
      <c r="H138" s="10"/>
      <c r="I138" s="10"/>
      <c r="J138" s="10"/>
      <c r="K138" s="10"/>
      <c r="L138" s="10"/>
      <c r="M138" s="10"/>
      <c r="N138" s="10"/>
      <c r="O138" s="10"/>
      <c r="P138" s="10"/>
      <c r="Q138" s="10"/>
      <c r="R138" s="10"/>
      <c r="S138" s="10"/>
      <c r="T138" s="10"/>
      <c r="U138" s="10"/>
      <c r="V138" s="10"/>
      <c r="W138" s="10"/>
      <c r="X138" s="10"/>
      <c r="Y138" s="10"/>
      <c r="Z138" s="10"/>
      <c r="AA138" s="10"/>
    </row>
    <row r="139" spans="1:27" x14ac:dyDescent="0.25">
      <c r="A139" s="14">
        <f>'Notes &amp; Assumptions'!A41</f>
        <v>28</v>
      </c>
      <c r="C139" s="1"/>
      <c r="D139" s="1"/>
      <c r="E139" t="s">
        <v>140</v>
      </c>
      <c r="F139" t="s">
        <v>43</v>
      </c>
      <c r="H139" s="10"/>
      <c r="I139" s="10"/>
      <c r="J139" s="10"/>
      <c r="K139" s="10"/>
      <c r="L139" s="10"/>
      <c r="M139" s="10"/>
      <c r="N139" s="10"/>
      <c r="O139" s="10"/>
      <c r="P139" s="10"/>
      <c r="Q139" s="10"/>
      <c r="R139" s="10"/>
      <c r="S139" s="10"/>
      <c r="T139" s="10"/>
      <c r="U139" s="10"/>
      <c r="V139" s="10"/>
      <c r="W139" s="10"/>
      <c r="X139" s="10"/>
      <c r="Y139" s="10"/>
      <c r="Z139" s="10"/>
      <c r="AA139" s="10"/>
    </row>
    <row r="140" spans="1:27" x14ac:dyDescent="0.25">
      <c r="C140" s="1"/>
      <c r="D140" s="1"/>
      <c r="E140" t="s">
        <v>64</v>
      </c>
      <c r="F140" t="s">
        <v>144</v>
      </c>
      <c r="H140" s="2">
        <f>H133*H137</f>
        <v>0</v>
      </c>
      <c r="I140" s="2">
        <f t="shared" ref="I140:AA140" si="43">I133*I137</f>
        <v>0</v>
      </c>
      <c r="J140" s="2">
        <f t="shared" si="43"/>
        <v>0</v>
      </c>
      <c r="K140" s="2">
        <f t="shared" si="43"/>
        <v>0</v>
      </c>
      <c r="L140" s="2">
        <f t="shared" si="43"/>
        <v>0</v>
      </c>
      <c r="M140" s="2">
        <f t="shared" si="43"/>
        <v>0</v>
      </c>
      <c r="N140" s="2">
        <f t="shared" si="43"/>
        <v>0</v>
      </c>
      <c r="O140" s="2">
        <f t="shared" si="43"/>
        <v>0</v>
      </c>
      <c r="P140" s="2">
        <f t="shared" si="43"/>
        <v>0</v>
      </c>
      <c r="Q140" s="2">
        <f t="shared" si="43"/>
        <v>0</v>
      </c>
      <c r="R140" s="2">
        <f t="shared" si="43"/>
        <v>0</v>
      </c>
      <c r="S140" s="2">
        <f t="shared" si="43"/>
        <v>0</v>
      </c>
      <c r="T140" s="2">
        <f t="shared" si="43"/>
        <v>0</v>
      </c>
      <c r="U140" s="2">
        <f t="shared" si="43"/>
        <v>0</v>
      </c>
      <c r="V140" s="2">
        <f t="shared" si="43"/>
        <v>0</v>
      </c>
      <c r="W140" s="2">
        <f t="shared" si="43"/>
        <v>0</v>
      </c>
      <c r="X140" s="2">
        <f t="shared" si="43"/>
        <v>0</v>
      </c>
      <c r="Y140" s="2">
        <f t="shared" si="43"/>
        <v>0</v>
      </c>
      <c r="Z140" s="2">
        <f t="shared" si="43"/>
        <v>0</v>
      </c>
      <c r="AA140" s="2">
        <f t="shared" si="43"/>
        <v>0</v>
      </c>
    </row>
    <row r="141" spans="1:27" x14ac:dyDescent="0.25">
      <c r="C141" s="1"/>
      <c r="D141" s="1"/>
      <c r="E141" t="s">
        <v>65</v>
      </c>
      <c r="F141" t="s">
        <v>144</v>
      </c>
      <c r="H141" s="2">
        <f>H133*H138</f>
        <v>0</v>
      </c>
      <c r="I141" s="2">
        <f t="shared" ref="I141:AA141" si="44">I133*I138</f>
        <v>0</v>
      </c>
      <c r="J141" s="2">
        <f t="shared" si="44"/>
        <v>0</v>
      </c>
      <c r="K141" s="2">
        <f t="shared" si="44"/>
        <v>0</v>
      </c>
      <c r="L141" s="2">
        <f t="shared" si="44"/>
        <v>0</v>
      </c>
      <c r="M141" s="2">
        <f t="shared" si="44"/>
        <v>0</v>
      </c>
      <c r="N141" s="2">
        <f t="shared" si="44"/>
        <v>0</v>
      </c>
      <c r="O141" s="2">
        <f t="shared" si="44"/>
        <v>0</v>
      </c>
      <c r="P141" s="2">
        <f t="shared" si="44"/>
        <v>0</v>
      </c>
      <c r="Q141" s="2">
        <f t="shared" si="44"/>
        <v>0</v>
      </c>
      <c r="R141" s="2">
        <f t="shared" si="44"/>
        <v>0</v>
      </c>
      <c r="S141" s="2">
        <f t="shared" si="44"/>
        <v>0</v>
      </c>
      <c r="T141" s="2">
        <f t="shared" si="44"/>
        <v>0</v>
      </c>
      <c r="U141" s="2">
        <f t="shared" si="44"/>
        <v>0</v>
      </c>
      <c r="V141" s="2">
        <f t="shared" si="44"/>
        <v>0</v>
      </c>
      <c r="W141" s="2">
        <f t="shared" si="44"/>
        <v>0</v>
      </c>
      <c r="X141" s="2">
        <f t="shared" si="44"/>
        <v>0</v>
      </c>
      <c r="Y141" s="2">
        <f t="shared" si="44"/>
        <v>0</v>
      </c>
      <c r="Z141" s="2">
        <f t="shared" si="44"/>
        <v>0</v>
      </c>
      <c r="AA141" s="2">
        <f t="shared" si="44"/>
        <v>0</v>
      </c>
    </row>
    <row r="142" spans="1:27" x14ac:dyDescent="0.25">
      <c r="C142" s="1"/>
      <c r="D142" s="1"/>
      <c r="E142" t="s">
        <v>141</v>
      </c>
      <c r="F142" t="s">
        <v>144</v>
      </c>
      <c r="H142" s="2">
        <f>H133*H139</f>
        <v>0</v>
      </c>
      <c r="I142" s="2">
        <f t="shared" ref="I142:AA142" si="45">I133*I139</f>
        <v>0</v>
      </c>
      <c r="J142" s="2">
        <f t="shared" si="45"/>
        <v>0</v>
      </c>
      <c r="K142" s="2">
        <f t="shared" si="45"/>
        <v>0</v>
      </c>
      <c r="L142" s="2">
        <f t="shared" si="45"/>
        <v>0</v>
      </c>
      <c r="M142" s="2">
        <f t="shared" si="45"/>
        <v>0</v>
      </c>
      <c r="N142" s="2">
        <f t="shared" si="45"/>
        <v>0</v>
      </c>
      <c r="O142" s="2">
        <f t="shared" si="45"/>
        <v>0</v>
      </c>
      <c r="P142" s="2">
        <f t="shared" si="45"/>
        <v>0</v>
      </c>
      <c r="Q142" s="2">
        <f t="shared" si="45"/>
        <v>0</v>
      </c>
      <c r="R142" s="2">
        <f t="shared" si="45"/>
        <v>0</v>
      </c>
      <c r="S142" s="2">
        <f t="shared" si="45"/>
        <v>0</v>
      </c>
      <c r="T142" s="2">
        <f t="shared" si="45"/>
        <v>0</v>
      </c>
      <c r="U142" s="2">
        <f t="shared" si="45"/>
        <v>0</v>
      </c>
      <c r="V142" s="2">
        <f t="shared" si="45"/>
        <v>0</v>
      </c>
      <c r="W142" s="2">
        <f t="shared" si="45"/>
        <v>0</v>
      </c>
      <c r="X142" s="2">
        <f t="shared" si="45"/>
        <v>0</v>
      </c>
      <c r="Y142" s="2">
        <f t="shared" si="45"/>
        <v>0</v>
      </c>
      <c r="Z142" s="2">
        <f t="shared" si="45"/>
        <v>0</v>
      </c>
      <c r="AA142" s="2">
        <f t="shared" si="45"/>
        <v>0</v>
      </c>
    </row>
    <row r="143" spans="1:27" x14ac:dyDescent="0.25">
      <c r="A143" s="14">
        <f>'Notes &amp; Assumptions'!A42</f>
        <v>29</v>
      </c>
      <c r="C143" s="1"/>
      <c r="D143" s="1"/>
      <c r="E143" t="s">
        <v>66</v>
      </c>
      <c r="F143" t="s">
        <v>8</v>
      </c>
      <c r="H143" s="11"/>
      <c r="I143" s="11"/>
      <c r="J143" s="11"/>
      <c r="K143" s="11"/>
      <c r="L143" s="11"/>
      <c r="M143" s="11"/>
      <c r="N143" s="11"/>
      <c r="O143" s="11"/>
      <c r="P143" s="11"/>
      <c r="Q143" s="11"/>
      <c r="R143" s="11"/>
      <c r="S143" s="11"/>
      <c r="T143" s="11"/>
      <c r="U143" s="11"/>
      <c r="V143" s="11"/>
      <c r="W143" s="11"/>
      <c r="X143" s="11"/>
      <c r="Y143" s="11"/>
      <c r="Z143" s="11"/>
      <c r="AA143" s="11"/>
    </row>
    <row r="144" spans="1:27" x14ac:dyDescent="0.25">
      <c r="A144" s="14">
        <f>'Notes &amp; Assumptions'!A43</f>
        <v>30</v>
      </c>
      <c r="C144" s="1"/>
      <c r="D144" s="1"/>
      <c r="E144" t="s">
        <v>40</v>
      </c>
      <c r="F144" t="s">
        <v>41</v>
      </c>
      <c r="G144" s="10"/>
      <c r="H144" s="2">
        <f>G144*(1+$G$14)*(1+H143)</f>
        <v>0</v>
      </c>
      <c r="I144" s="2">
        <f t="shared" ref="I144:AA144" si="46">H144*(1+$G$14)*(1+I143)</f>
        <v>0</v>
      </c>
      <c r="J144" s="2">
        <f t="shared" si="46"/>
        <v>0</v>
      </c>
      <c r="K144" s="2">
        <f t="shared" si="46"/>
        <v>0</v>
      </c>
      <c r="L144" s="2">
        <f t="shared" si="46"/>
        <v>0</v>
      </c>
      <c r="M144" s="2">
        <f t="shared" si="46"/>
        <v>0</v>
      </c>
      <c r="N144" s="2">
        <f t="shared" si="46"/>
        <v>0</v>
      </c>
      <c r="O144" s="2">
        <f t="shared" si="46"/>
        <v>0</v>
      </c>
      <c r="P144" s="2">
        <f t="shared" si="46"/>
        <v>0</v>
      </c>
      <c r="Q144" s="2">
        <f t="shared" si="46"/>
        <v>0</v>
      </c>
      <c r="R144" s="2">
        <f t="shared" si="46"/>
        <v>0</v>
      </c>
      <c r="S144" s="2">
        <f t="shared" si="46"/>
        <v>0</v>
      </c>
      <c r="T144" s="2">
        <f t="shared" si="46"/>
        <v>0</v>
      </c>
      <c r="U144" s="2">
        <f t="shared" si="46"/>
        <v>0</v>
      </c>
      <c r="V144" s="2">
        <f t="shared" si="46"/>
        <v>0</v>
      </c>
      <c r="W144" s="2">
        <f t="shared" si="46"/>
        <v>0</v>
      </c>
      <c r="X144" s="2">
        <f t="shared" si="46"/>
        <v>0</v>
      </c>
      <c r="Y144" s="2">
        <f t="shared" si="46"/>
        <v>0</v>
      </c>
      <c r="Z144" s="2">
        <f t="shared" si="46"/>
        <v>0</v>
      </c>
      <c r="AA144" s="2">
        <f t="shared" si="46"/>
        <v>0</v>
      </c>
    </row>
    <row r="145" spans="1:27" x14ac:dyDescent="0.25">
      <c r="C145" s="1"/>
      <c r="D145" s="1"/>
      <c r="E145" t="s">
        <v>67</v>
      </c>
      <c r="F145" t="s">
        <v>143</v>
      </c>
      <c r="G145" s="20"/>
      <c r="H145" s="21">
        <f>G145*(1+$G$14)*(1+H143)</f>
        <v>0</v>
      </c>
      <c r="I145" s="21">
        <f t="shared" ref="I145:AA145" si="47">H145*(1+$G$14)*(1+I143)</f>
        <v>0</v>
      </c>
      <c r="J145" s="21">
        <f t="shared" si="47"/>
        <v>0</v>
      </c>
      <c r="K145" s="21">
        <f t="shared" si="47"/>
        <v>0</v>
      </c>
      <c r="L145" s="21">
        <f t="shared" si="47"/>
        <v>0</v>
      </c>
      <c r="M145" s="21">
        <f t="shared" si="47"/>
        <v>0</v>
      </c>
      <c r="N145" s="21">
        <f t="shared" si="47"/>
        <v>0</v>
      </c>
      <c r="O145" s="21">
        <f t="shared" si="47"/>
        <v>0</v>
      </c>
      <c r="P145" s="21">
        <f t="shared" si="47"/>
        <v>0</v>
      </c>
      <c r="Q145" s="21">
        <f t="shared" si="47"/>
        <v>0</v>
      </c>
      <c r="R145" s="21">
        <f t="shared" si="47"/>
        <v>0</v>
      </c>
      <c r="S145" s="21">
        <f t="shared" si="47"/>
        <v>0</v>
      </c>
      <c r="T145" s="21">
        <f t="shared" si="47"/>
        <v>0</v>
      </c>
      <c r="U145" s="21">
        <f t="shared" si="47"/>
        <v>0</v>
      </c>
      <c r="V145" s="21">
        <f t="shared" si="47"/>
        <v>0</v>
      </c>
      <c r="W145" s="21">
        <f t="shared" si="47"/>
        <v>0</v>
      </c>
      <c r="X145" s="21">
        <f t="shared" si="47"/>
        <v>0</v>
      </c>
      <c r="Y145" s="21">
        <f t="shared" si="47"/>
        <v>0</v>
      </c>
      <c r="Z145" s="21">
        <f t="shared" si="47"/>
        <v>0</v>
      </c>
      <c r="AA145" s="21">
        <f t="shared" si="47"/>
        <v>0</v>
      </c>
    </row>
    <row r="146" spans="1:27" x14ac:dyDescent="0.25">
      <c r="C146" s="1"/>
      <c r="D146" s="1"/>
      <c r="E146" t="s">
        <v>68</v>
      </c>
      <c r="F146" t="s">
        <v>143</v>
      </c>
      <c r="G146" s="20"/>
      <c r="H146" s="21">
        <f>G146*(1+$G$14)*(1+H143)</f>
        <v>0</v>
      </c>
      <c r="I146" s="21">
        <f t="shared" ref="I146:AA146" si="48">H146*(1+$G$14)*(1+I143)</f>
        <v>0</v>
      </c>
      <c r="J146" s="21">
        <f t="shared" si="48"/>
        <v>0</v>
      </c>
      <c r="K146" s="21">
        <f t="shared" si="48"/>
        <v>0</v>
      </c>
      <c r="L146" s="21">
        <f t="shared" si="48"/>
        <v>0</v>
      </c>
      <c r="M146" s="21">
        <f t="shared" si="48"/>
        <v>0</v>
      </c>
      <c r="N146" s="21">
        <f t="shared" si="48"/>
        <v>0</v>
      </c>
      <c r="O146" s="21">
        <f t="shared" si="48"/>
        <v>0</v>
      </c>
      <c r="P146" s="21">
        <f t="shared" si="48"/>
        <v>0</v>
      </c>
      <c r="Q146" s="21">
        <f t="shared" si="48"/>
        <v>0</v>
      </c>
      <c r="R146" s="21">
        <f t="shared" si="48"/>
        <v>0</v>
      </c>
      <c r="S146" s="21">
        <f t="shared" si="48"/>
        <v>0</v>
      </c>
      <c r="T146" s="21">
        <f t="shared" si="48"/>
        <v>0</v>
      </c>
      <c r="U146" s="21">
        <f t="shared" si="48"/>
        <v>0</v>
      </c>
      <c r="V146" s="21">
        <f t="shared" si="48"/>
        <v>0</v>
      </c>
      <c r="W146" s="21">
        <f t="shared" si="48"/>
        <v>0</v>
      </c>
      <c r="X146" s="21">
        <f t="shared" si="48"/>
        <v>0</v>
      </c>
      <c r="Y146" s="21">
        <f t="shared" si="48"/>
        <v>0</v>
      </c>
      <c r="Z146" s="21">
        <f t="shared" si="48"/>
        <v>0</v>
      </c>
      <c r="AA146" s="21">
        <f t="shared" si="48"/>
        <v>0</v>
      </c>
    </row>
    <row r="147" spans="1:27" x14ac:dyDescent="0.25">
      <c r="C147" s="1"/>
      <c r="D147" s="1"/>
      <c r="E147" t="s">
        <v>142</v>
      </c>
      <c r="F147" t="s">
        <v>143</v>
      </c>
      <c r="G147" s="20"/>
      <c r="H147" s="21">
        <f>G147*(1+$G$14)*(1+H143)</f>
        <v>0</v>
      </c>
      <c r="I147" s="21">
        <f t="shared" ref="I147:AA147" si="49">H147*(1+$G$14)*(1+I143)</f>
        <v>0</v>
      </c>
      <c r="J147" s="21">
        <f t="shared" si="49"/>
        <v>0</v>
      </c>
      <c r="K147" s="21">
        <f t="shared" si="49"/>
        <v>0</v>
      </c>
      <c r="L147" s="21">
        <f t="shared" si="49"/>
        <v>0</v>
      </c>
      <c r="M147" s="21">
        <f t="shared" si="49"/>
        <v>0</v>
      </c>
      <c r="N147" s="21">
        <f t="shared" si="49"/>
        <v>0</v>
      </c>
      <c r="O147" s="21">
        <f t="shared" si="49"/>
        <v>0</v>
      </c>
      <c r="P147" s="21">
        <f t="shared" si="49"/>
        <v>0</v>
      </c>
      <c r="Q147" s="21">
        <f t="shared" si="49"/>
        <v>0</v>
      </c>
      <c r="R147" s="21">
        <f t="shared" si="49"/>
        <v>0</v>
      </c>
      <c r="S147" s="21">
        <f t="shared" si="49"/>
        <v>0</v>
      </c>
      <c r="T147" s="21">
        <f t="shared" si="49"/>
        <v>0</v>
      </c>
      <c r="U147" s="21">
        <f t="shared" si="49"/>
        <v>0</v>
      </c>
      <c r="V147" s="21">
        <f t="shared" si="49"/>
        <v>0</v>
      </c>
      <c r="W147" s="21">
        <f t="shared" si="49"/>
        <v>0</v>
      </c>
      <c r="X147" s="21">
        <f t="shared" si="49"/>
        <v>0</v>
      </c>
      <c r="Y147" s="21">
        <f t="shared" si="49"/>
        <v>0</v>
      </c>
      <c r="Z147" s="21">
        <f t="shared" si="49"/>
        <v>0</v>
      </c>
      <c r="AA147" s="21">
        <f t="shared" si="49"/>
        <v>0</v>
      </c>
    </row>
    <row r="148" spans="1:27" x14ac:dyDescent="0.25">
      <c r="C148" s="1"/>
      <c r="D148" s="1"/>
    </row>
    <row r="149" spans="1:27" x14ac:dyDescent="0.25">
      <c r="C149" s="1"/>
      <c r="D149" s="1"/>
      <c r="E149" t="s">
        <v>75</v>
      </c>
      <c r="F149" t="s">
        <v>58</v>
      </c>
      <c r="H149" s="2">
        <f>SUM(H140:H142)/1000</f>
        <v>0</v>
      </c>
      <c r="I149" s="2">
        <f t="shared" ref="I149:AA149" si="50">SUM(I140:I142)/1000</f>
        <v>0</v>
      </c>
      <c r="J149" s="2">
        <f t="shared" si="50"/>
        <v>0</v>
      </c>
      <c r="K149" s="2">
        <f t="shared" si="50"/>
        <v>0</v>
      </c>
      <c r="L149" s="2">
        <f t="shared" si="50"/>
        <v>0</v>
      </c>
      <c r="M149" s="2">
        <f t="shared" si="50"/>
        <v>0</v>
      </c>
      <c r="N149" s="2">
        <f t="shared" si="50"/>
        <v>0</v>
      </c>
      <c r="O149" s="2">
        <f t="shared" si="50"/>
        <v>0</v>
      </c>
      <c r="P149" s="2">
        <f t="shared" si="50"/>
        <v>0</v>
      </c>
      <c r="Q149" s="2">
        <f t="shared" si="50"/>
        <v>0</v>
      </c>
      <c r="R149" s="2">
        <f t="shared" si="50"/>
        <v>0</v>
      </c>
      <c r="S149" s="2">
        <f t="shared" si="50"/>
        <v>0</v>
      </c>
      <c r="T149" s="2">
        <f t="shared" si="50"/>
        <v>0</v>
      </c>
      <c r="U149" s="2">
        <f t="shared" si="50"/>
        <v>0</v>
      </c>
      <c r="V149" s="2">
        <f t="shared" si="50"/>
        <v>0</v>
      </c>
      <c r="W149" s="2">
        <f t="shared" si="50"/>
        <v>0</v>
      </c>
      <c r="X149" s="2">
        <f t="shared" si="50"/>
        <v>0</v>
      </c>
      <c r="Y149" s="2">
        <f t="shared" si="50"/>
        <v>0</v>
      </c>
      <c r="Z149" s="2">
        <f t="shared" si="50"/>
        <v>0</v>
      </c>
      <c r="AA149" s="2">
        <f t="shared" si="50"/>
        <v>0</v>
      </c>
    </row>
    <row r="150" spans="1:27" x14ac:dyDescent="0.25">
      <c r="C150" s="1"/>
      <c r="D150" s="1"/>
      <c r="E150" t="s">
        <v>76</v>
      </c>
      <c r="F150" t="s">
        <v>7</v>
      </c>
      <c r="H150" s="2">
        <f>H133*H144+H140*H145+H141*H146+H142*H147</f>
        <v>0</v>
      </c>
      <c r="I150" s="2">
        <f t="shared" ref="I150:AA150" si="51">I133*I144+I140*I145+I141*I146+I142*I147</f>
        <v>0</v>
      </c>
      <c r="J150" s="2">
        <f t="shared" si="51"/>
        <v>0</v>
      </c>
      <c r="K150" s="2">
        <f t="shared" si="51"/>
        <v>0</v>
      </c>
      <c r="L150" s="2">
        <f t="shared" si="51"/>
        <v>0</v>
      </c>
      <c r="M150" s="2">
        <f t="shared" si="51"/>
        <v>0</v>
      </c>
      <c r="N150" s="2">
        <f t="shared" si="51"/>
        <v>0</v>
      </c>
      <c r="O150" s="2">
        <f t="shared" si="51"/>
        <v>0</v>
      </c>
      <c r="P150" s="2">
        <f t="shared" si="51"/>
        <v>0</v>
      </c>
      <c r="Q150" s="2">
        <f t="shared" si="51"/>
        <v>0</v>
      </c>
      <c r="R150" s="2">
        <f t="shared" si="51"/>
        <v>0</v>
      </c>
      <c r="S150" s="2">
        <f t="shared" si="51"/>
        <v>0</v>
      </c>
      <c r="T150" s="2">
        <f t="shared" si="51"/>
        <v>0</v>
      </c>
      <c r="U150" s="2">
        <f t="shared" si="51"/>
        <v>0</v>
      </c>
      <c r="V150" s="2">
        <f t="shared" si="51"/>
        <v>0</v>
      </c>
      <c r="W150" s="2">
        <f t="shared" si="51"/>
        <v>0</v>
      </c>
      <c r="X150" s="2">
        <f t="shared" si="51"/>
        <v>0</v>
      </c>
      <c r="Y150" s="2">
        <f t="shared" si="51"/>
        <v>0</v>
      </c>
      <c r="Z150" s="2">
        <f t="shared" si="51"/>
        <v>0</v>
      </c>
      <c r="AA150" s="2">
        <f t="shared" si="51"/>
        <v>0</v>
      </c>
    </row>
    <row r="151" spans="1:27" x14ac:dyDescent="0.25">
      <c r="C151" s="1"/>
      <c r="D151" s="1"/>
    </row>
    <row r="152" spans="1:27" x14ac:dyDescent="0.25">
      <c r="C152" s="1"/>
      <c r="D152" t="s">
        <v>77</v>
      </c>
    </row>
    <row r="153" spans="1:27" x14ac:dyDescent="0.25">
      <c r="A153" s="14">
        <f>'Notes &amp; Assumptions'!A44</f>
        <v>31</v>
      </c>
      <c r="C153" s="1"/>
      <c r="D153" s="1"/>
      <c r="E153" t="s">
        <v>87</v>
      </c>
      <c r="F153" t="s">
        <v>3</v>
      </c>
      <c r="H153" s="10">
        <v>0</v>
      </c>
      <c r="I153" s="10">
        <v>0</v>
      </c>
      <c r="J153" s="10">
        <v>0</v>
      </c>
      <c r="K153" s="10">
        <v>0</v>
      </c>
      <c r="L153" s="10">
        <v>0</v>
      </c>
      <c r="M153" s="10">
        <v>0</v>
      </c>
      <c r="N153" s="10">
        <v>0</v>
      </c>
      <c r="O153" s="10">
        <v>0</v>
      </c>
      <c r="P153" s="10">
        <v>0</v>
      </c>
      <c r="Q153" s="10">
        <v>0</v>
      </c>
      <c r="R153" s="10">
        <f>AVERAGE($O153:$Q153)</f>
        <v>0</v>
      </c>
      <c r="S153" s="10">
        <f t="shared" ref="S153:V153" si="52">AVERAGE($O153:$Q153)</f>
        <v>0</v>
      </c>
      <c r="T153" s="10">
        <f t="shared" si="52"/>
        <v>0</v>
      </c>
      <c r="U153" s="10">
        <f t="shared" si="52"/>
        <v>0</v>
      </c>
      <c r="V153" s="10">
        <f t="shared" si="52"/>
        <v>0</v>
      </c>
    </row>
    <row r="154" spans="1:27" x14ac:dyDescent="0.25">
      <c r="C154" s="1"/>
      <c r="D154" s="1"/>
      <c r="E154" t="s">
        <v>60</v>
      </c>
      <c r="F154" t="s">
        <v>3</v>
      </c>
      <c r="H154" s="2">
        <f>G154+H153</f>
        <v>0</v>
      </c>
      <c r="I154" s="2">
        <f t="shared" ref="I154:AA154" si="53">H154+I153</f>
        <v>0</v>
      </c>
      <c r="J154" s="2">
        <f t="shared" si="53"/>
        <v>0</v>
      </c>
      <c r="K154" s="2">
        <f t="shared" si="53"/>
        <v>0</v>
      </c>
      <c r="L154" s="2">
        <f t="shared" si="53"/>
        <v>0</v>
      </c>
      <c r="M154" s="2">
        <f t="shared" si="53"/>
        <v>0</v>
      </c>
      <c r="N154" s="2">
        <f t="shared" si="53"/>
        <v>0</v>
      </c>
      <c r="O154" s="2">
        <f t="shared" si="53"/>
        <v>0</v>
      </c>
      <c r="P154" s="2">
        <f t="shared" si="53"/>
        <v>0</v>
      </c>
      <c r="Q154" s="2">
        <f t="shared" si="53"/>
        <v>0</v>
      </c>
      <c r="R154" s="2">
        <f t="shared" si="53"/>
        <v>0</v>
      </c>
      <c r="S154" s="2">
        <f t="shared" si="53"/>
        <v>0</v>
      </c>
      <c r="T154" s="2">
        <f t="shared" si="53"/>
        <v>0</v>
      </c>
      <c r="U154" s="2">
        <f t="shared" si="53"/>
        <v>0</v>
      </c>
      <c r="V154" s="2">
        <f t="shared" si="53"/>
        <v>0</v>
      </c>
      <c r="W154" s="2">
        <f t="shared" si="53"/>
        <v>0</v>
      </c>
      <c r="X154" s="2">
        <f t="shared" si="53"/>
        <v>0</v>
      </c>
      <c r="Y154" s="2">
        <f t="shared" si="53"/>
        <v>0</v>
      </c>
      <c r="Z154" s="2">
        <f t="shared" si="53"/>
        <v>0</v>
      </c>
      <c r="AA154" s="2">
        <f t="shared" si="53"/>
        <v>0</v>
      </c>
    </row>
    <row r="155" spans="1:27" x14ac:dyDescent="0.25">
      <c r="A155" s="14">
        <f>'Notes &amp; Assumptions'!A45</f>
        <v>32</v>
      </c>
      <c r="C155" s="1"/>
      <c r="D155" s="1"/>
      <c r="E155" t="s">
        <v>61</v>
      </c>
      <c r="F155" t="s">
        <v>3</v>
      </c>
      <c r="G155" s="10">
        <v>1</v>
      </c>
    </row>
    <row r="156" spans="1:27" x14ac:dyDescent="0.25">
      <c r="C156" s="1"/>
      <c r="D156" s="1"/>
      <c r="E156" t="s">
        <v>88</v>
      </c>
      <c r="F156" t="s">
        <v>3</v>
      </c>
      <c r="H156">
        <f>H153*$G155</f>
        <v>0</v>
      </c>
      <c r="I156">
        <f t="shared" ref="I156:AA156" si="54">I153*$G155</f>
        <v>0</v>
      </c>
      <c r="J156">
        <f t="shared" si="54"/>
        <v>0</v>
      </c>
      <c r="K156">
        <f t="shared" si="54"/>
        <v>0</v>
      </c>
      <c r="L156">
        <f t="shared" si="54"/>
        <v>0</v>
      </c>
      <c r="M156">
        <f t="shared" si="54"/>
        <v>0</v>
      </c>
      <c r="N156">
        <f t="shared" si="54"/>
        <v>0</v>
      </c>
      <c r="O156">
        <f t="shared" si="54"/>
        <v>0</v>
      </c>
      <c r="P156">
        <f t="shared" si="54"/>
        <v>0</v>
      </c>
      <c r="Q156">
        <f t="shared" si="54"/>
        <v>0</v>
      </c>
      <c r="R156">
        <f t="shared" si="54"/>
        <v>0</v>
      </c>
      <c r="S156">
        <f t="shared" si="54"/>
        <v>0</v>
      </c>
      <c r="T156">
        <f t="shared" si="54"/>
        <v>0</v>
      </c>
      <c r="U156">
        <f t="shared" si="54"/>
        <v>0</v>
      </c>
      <c r="V156">
        <f t="shared" si="54"/>
        <v>0</v>
      </c>
      <c r="W156">
        <f t="shared" si="54"/>
        <v>0</v>
      </c>
      <c r="X156">
        <f t="shared" si="54"/>
        <v>0</v>
      </c>
      <c r="Y156">
        <f t="shared" si="54"/>
        <v>0</v>
      </c>
      <c r="Z156">
        <f t="shared" si="54"/>
        <v>0</v>
      </c>
      <c r="AA156">
        <f t="shared" si="54"/>
        <v>0</v>
      </c>
    </row>
    <row r="157" spans="1:27" x14ac:dyDescent="0.25">
      <c r="C157" s="1"/>
      <c r="D157" s="1"/>
      <c r="E157" t="s">
        <v>89</v>
      </c>
      <c r="F157" t="s">
        <v>3</v>
      </c>
      <c r="H157">
        <f>H154*$G155</f>
        <v>0</v>
      </c>
      <c r="I157">
        <f t="shared" ref="I157:AA157" si="55">I154*$G155</f>
        <v>0</v>
      </c>
      <c r="J157">
        <f t="shared" si="55"/>
        <v>0</v>
      </c>
      <c r="K157">
        <f t="shared" si="55"/>
        <v>0</v>
      </c>
      <c r="L157">
        <f t="shared" si="55"/>
        <v>0</v>
      </c>
      <c r="M157">
        <f t="shared" si="55"/>
        <v>0</v>
      </c>
      <c r="N157">
        <f t="shared" si="55"/>
        <v>0</v>
      </c>
      <c r="O157">
        <f t="shared" si="55"/>
        <v>0</v>
      </c>
      <c r="P157">
        <f t="shared" si="55"/>
        <v>0</v>
      </c>
      <c r="Q157">
        <f t="shared" si="55"/>
        <v>0</v>
      </c>
      <c r="R157">
        <f t="shared" si="55"/>
        <v>0</v>
      </c>
      <c r="S157">
        <f t="shared" si="55"/>
        <v>0</v>
      </c>
      <c r="T157">
        <f t="shared" si="55"/>
        <v>0</v>
      </c>
      <c r="U157">
        <f t="shared" si="55"/>
        <v>0</v>
      </c>
      <c r="V157">
        <f t="shared" si="55"/>
        <v>0</v>
      </c>
      <c r="W157">
        <f t="shared" si="55"/>
        <v>0</v>
      </c>
      <c r="X157">
        <f t="shared" si="55"/>
        <v>0</v>
      </c>
      <c r="Y157">
        <f t="shared" si="55"/>
        <v>0</v>
      </c>
      <c r="Z157">
        <f t="shared" si="55"/>
        <v>0</v>
      </c>
      <c r="AA157">
        <f t="shared" si="55"/>
        <v>0</v>
      </c>
    </row>
    <row r="158" spans="1:27" x14ac:dyDescent="0.25">
      <c r="A158" s="14">
        <f>'Notes &amp; Assumptions'!A46</f>
        <v>33</v>
      </c>
      <c r="C158" s="1"/>
      <c r="D158" s="1"/>
      <c r="E158" t="s">
        <v>62</v>
      </c>
      <c r="F158" t="s">
        <v>43</v>
      </c>
      <c r="H158" s="10"/>
      <c r="I158" s="10"/>
      <c r="J158" s="10"/>
      <c r="K158" s="10"/>
      <c r="L158" s="10"/>
      <c r="M158" s="10"/>
      <c r="N158" s="10"/>
      <c r="O158" s="10"/>
      <c r="P158" s="10"/>
      <c r="Q158" s="10"/>
      <c r="R158" s="10"/>
      <c r="S158" s="10"/>
      <c r="T158" s="10"/>
      <c r="U158" s="10"/>
      <c r="V158" s="10"/>
      <c r="W158" s="10"/>
      <c r="X158" s="10"/>
      <c r="Y158" s="10"/>
      <c r="Z158" s="10"/>
      <c r="AA158" s="10"/>
    </row>
    <row r="159" spans="1:27" x14ac:dyDescent="0.25">
      <c r="C159" s="1"/>
      <c r="D159" s="1"/>
      <c r="E159" t="s">
        <v>63</v>
      </c>
      <c r="F159" t="s">
        <v>43</v>
      </c>
      <c r="H159" s="10"/>
      <c r="I159" s="10"/>
      <c r="J159" s="10"/>
      <c r="K159" s="10"/>
      <c r="L159" s="10"/>
      <c r="M159" s="10"/>
      <c r="N159" s="10"/>
      <c r="O159" s="10"/>
      <c r="P159" s="10"/>
      <c r="Q159" s="10"/>
      <c r="R159" s="10"/>
      <c r="S159" s="10"/>
      <c r="T159" s="10"/>
      <c r="U159" s="10"/>
      <c r="V159" s="10"/>
      <c r="W159" s="10"/>
      <c r="X159" s="10"/>
      <c r="Y159" s="10"/>
      <c r="Z159" s="10"/>
      <c r="AA159" s="10"/>
    </row>
    <row r="160" spans="1:27" x14ac:dyDescent="0.25">
      <c r="A160" s="14">
        <f>'Notes &amp; Assumptions'!A47</f>
        <v>34</v>
      </c>
      <c r="C160" s="1"/>
      <c r="D160" s="1"/>
      <c r="E160" t="s">
        <v>140</v>
      </c>
      <c r="F160" t="s">
        <v>43</v>
      </c>
      <c r="H160" s="10"/>
      <c r="I160" s="10"/>
      <c r="J160" s="10"/>
      <c r="K160" s="10"/>
      <c r="L160" s="10"/>
      <c r="M160" s="10"/>
      <c r="N160" s="10"/>
      <c r="O160" s="10"/>
      <c r="P160" s="10"/>
      <c r="Q160" s="10"/>
      <c r="R160" s="10"/>
      <c r="S160" s="10"/>
      <c r="T160" s="10"/>
      <c r="U160" s="10"/>
      <c r="V160" s="10"/>
      <c r="W160" s="10"/>
      <c r="X160" s="10"/>
      <c r="Y160" s="10"/>
      <c r="Z160" s="10"/>
      <c r="AA160" s="10"/>
    </row>
    <row r="161" spans="1:27" x14ac:dyDescent="0.25">
      <c r="C161" s="1"/>
      <c r="D161" s="1"/>
      <c r="E161" t="s">
        <v>64</v>
      </c>
      <c r="F161" t="s">
        <v>144</v>
      </c>
      <c r="H161" s="2">
        <f>H154*H158</f>
        <v>0</v>
      </c>
      <c r="I161" s="2">
        <f t="shared" ref="I161:AA161" si="56">I154*I158</f>
        <v>0</v>
      </c>
      <c r="J161" s="2">
        <f t="shared" si="56"/>
        <v>0</v>
      </c>
      <c r="K161" s="2">
        <f t="shared" si="56"/>
        <v>0</v>
      </c>
      <c r="L161" s="2">
        <f t="shared" si="56"/>
        <v>0</v>
      </c>
      <c r="M161" s="2">
        <f t="shared" si="56"/>
        <v>0</v>
      </c>
      <c r="N161" s="2">
        <f t="shared" si="56"/>
        <v>0</v>
      </c>
      <c r="O161" s="2">
        <f t="shared" si="56"/>
        <v>0</v>
      </c>
      <c r="P161" s="2">
        <f t="shared" si="56"/>
        <v>0</v>
      </c>
      <c r="Q161" s="2">
        <f t="shared" si="56"/>
        <v>0</v>
      </c>
      <c r="R161" s="2">
        <f t="shared" si="56"/>
        <v>0</v>
      </c>
      <c r="S161" s="2">
        <f t="shared" si="56"/>
        <v>0</v>
      </c>
      <c r="T161" s="2">
        <f t="shared" si="56"/>
        <v>0</v>
      </c>
      <c r="U161" s="2">
        <f t="shared" si="56"/>
        <v>0</v>
      </c>
      <c r="V161" s="2">
        <f t="shared" si="56"/>
        <v>0</v>
      </c>
      <c r="W161" s="2">
        <f t="shared" si="56"/>
        <v>0</v>
      </c>
      <c r="X161" s="2">
        <f t="shared" si="56"/>
        <v>0</v>
      </c>
      <c r="Y161" s="2">
        <f t="shared" si="56"/>
        <v>0</v>
      </c>
      <c r="Z161" s="2">
        <f t="shared" si="56"/>
        <v>0</v>
      </c>
      <c r="AA161" s="2">
        <f t="shared" si="56"/>
        <v>0</v>
      </c>
    </row>
    <row r="162" spans="1:27" x14ac:dyDescent="0.25">
      <c r="C162" s="1"/>
      <c r="D162" s="1"/>
      <c r="E162" t="s">
        <v>65</v>
      </c>
      <c r="F162" t="s">
        <v>144</v>
      </c>
      <c r="H162" s="2">
        <f>H154*H159</f>
        <v>0</v>
      </c>
      <c r="I162" s="2">
        <f t="shared" ref="I162:AA162" si="57">I154*I159</f>
        <v>0</v>
      </c>
      <c r="J162" s="2">
        <f t="shared" si="57"/>
        <v>0</v>
      </c>
      <c r="K162" s="2">
        <f t="shared" si="57"/>
        <v>0</v>
      </c>
      <c r="L162" s="2">
        <f t="shared" si="57"/>
        <v>0</v>
      </c>
      <c r="M162" s="2">
        <f t="shared" si="57"/>
        <v>0</v>
      </c>
      <c r="N162" s="2">
        <f t="shared" si="57"/>
        <v>0</v>
      </c>
      <c r="O162" s="2">
        <f t="shared" si="57"/>
        <v>0</v>
      </c>
      <c r="P162" s="2">
        <f t="shared" si="57"/>
        <v>0</v>
      </c>
      <c r="Q162" s="2">
        <f t="shared" si="57"/>
        <v>0</v>
      </c>
      <c r="R162" s="2">
        <f t="shared" si="57"/>
        <v>0</v>
      </c>
      <c r="S162" s="2">
        <f t="shared" si="57"/>
        <v>0</v>
      </c>
      <c r="T162" s="2">
        <f t="shared" si="57"/>
        <v>0</v>
      </c>
      <c r="U162" s="2">
        <f t="shared" si="57"/>
        <v>0</v>
      </c>
      <c r="V162" s="2">
        <f t="shared" si="57"/>
        <v>0</v>
      </c>
      <c r="W162" s="2">
        <f t="shared" si="57"/>
        <v>0</v>
      </c>
      <c r="X162" s="2">
        <f t="shared" si="57"/>
        <v>0</v>
      </c>
      <c r="Y162" s="2">
        <f t="shared" si="57"/>
        <v>0</v>
      </c>
      <c r="Z162" s="2">
        <f t="shared" si="57"/>
        <v>0</v>
      </c>
      <c r="AA162" s="2">
        <f t="shared" si="57"/>
        <v>0</v>
      </c>
    </row>
    <row r="163" spans="1:27" x14ac:dyDescent="0.25">
      <c r="C163" s="1"/>
      <c r="D163" s="1"/>
      <c r="E163" t="s">
        <v>141</v>
      </c>
      <c r="F163" t="s">
        <v>144</v>
      </c>
      <c r="H163" s="2">
        <f>H154*H160</f>
        <v>0</v>
      </c>
      <c r="I163" s="2">
        <f t="shared" ref="I163:AA163" si="58">I154*I160</f>
        <v>0</v>
      </c>
      <c r="J163" s="2">
        <f t="shared" si="58"/>
        <v>0</v>
      </c>
      <c r="K163" s="2">
        <f t="shared" si="58"/>
        <v>0</v>
      </c>
      <c r="L163" s="2">
        <f t="shared" si="58"/>
        <v>0</v>
      </c>
      <c r="M163" s="2">
        <f t="shared" si="58"/>
        <v>0</v>
      </c>
      <c r="N163" s="2">
        <f t="shared" si="58"/>
        <v>0</v>
      </c>
      <c r="O163" s="2">
        <f t="shared" si="58"/>
        <v>0</v>
      </c>
      <c r="P163" s="2">
        <f t="shared" si="58"/>
        <v>0</v>
      </c>
      <c r="Q163" s="2">
        <f t="shared" si="58"/>
        <v>0</v>
      </c>
      <c r="R163" s="2">
        <f t="shared" si="58"/>
        <v>0</v>
      </c>
      <c r="S163" s="2">
        <f t="shared" si="58"/>
        <v>0</v>
      </c>
      <c r="T163" s="2">
        <f t="shared" si="58"/>
        <v>0</v>
      </c>
      <c r="U163" s="2">
        <f t="shared" si="58"/>
        <v>0</v>
      </c>
      <c r="V163" s="2">
        <f t="shared" si="58"/>
        <v>0</v>
      </c>
      <c r="W163" s="2">
        <f t="shared" si="58"/>
        <v>0</v>
      </c>
      <c r="X163" s="2">
        <f t="shared" si="58"/>
        <v>0</v>
      </c>
      <c r="Y163" s="2">
        <f t="shared" si="58"/>
        <v>0</v>
      </c>
      <c r="Z163" s="2">
        <f t="shared" si="58"/>
        <v>0</v>
      </c>
      <c r="AA163" s="2">
        <f t="shared" si="58"/>
        <v>0</v>
      </c>
    </row>
    <row r="164" spans="1:27" x14ac:dyDescent="0.25">
      <c r="A164" s="14">
        <f>'Notes &amp; Assumptions'!A48</f>
        <v>35</v>
      </c>
      <c r="C164" s="1"/>
      <c r="D164" s="1"/>
      <c r="E164" t="s">
        <v>66</v>
      </c>
      <c r="F164" t="s">
        <v>8</v>
      </c>
      <c r="H164" s="11"/>
      <c r="I164" s="11"/>
      <c r="J164" s="11"/>
      <c r="K164" s="11"/>
      <c r="L164" s="11"/>
      <c r="M164" s="11"/>
      <c r="N164" s="11"/>
      <c r="O164" s="11"/>
      <c r="P164" s="11"/>
      <c r="Q164" s="11"/>
      <c r="R164" s="11"/>
      <c r="S164" s="11"/>
      <c r="T164" s="11"/>
      <c r="U164" s="11"/>
      <c r="V164" s="11"/>
      <c r="W164" s="11"/>
      <c r="X164" s="11"/>
      <c r="Y164" s="11"/>
      <c r="Z164" s="11"/>
      <c r="AA164" s="11"/>
    </row>
    <row r="165" spans="1:27" x14ac:dyDescent="0.25">
      <c r="A165" s="14">
        <f>'Notes &amp; Assumptions'!A49</f>
        <v>36</v>
      </c>
      <c r="C165" s="1"/>
      <c r="D165" s="1"/>
      <c r="E165" t="s">
        <v>40</v>
      </c>
      <c r="F165" t="s">
        <v>41</v>
      </c>
      <c r="G165" s="10"/>
      <c r="H165" s="2">
        <f>G165*(1+$G$14)*(1+H164)</f>
        <v>0</v>
      </c>
      <c r="I165" s="2">
        <f t="shared" ref="I165:AA165" si="59">H165*(1+$G$14)*(1+I164)</f>
        <v>0</v>
      </c>
      <c r="J165" s="2">
        <f t="shared" si="59"/>
        <v>0</v>
      </c>
      <c r="K165" s="2">
        <f t="shared" si="59"/>
        <v>0</v>
      </c>
      <c r="L165" s="2">
        <f t="shared" si="59"/>
        <v>0</v>
      </c>
      <c r="M165" s="2">
        <f t="shared" si="59"/>
        <v>0</v>
      </c>
      <c r="N165" s="2">
        <f t="shared" si="59"/>
        <v>0</v>
      </c>
      <c r="O165" s="2">
        <f t="shared" si="59"/>
        <v>0</v>
      </c>
      <c r="P165" s="2">
        <f t="shared" si="59"/>
        <v>0</v>
      </c>
      <c r="Q165" s="2">
        <f t="shared" si="59"/>
        <v>0</v>
      </c>
      <c r="R165" s="2">
        <f t="shared" si="59"/>
        <v>0</v>
      </c>
      <c r="S165" s="2">
        <f t="shared" si="59"/>
        <v>0</v>
      </c>
      <c r="T165" s="2">
        <f t="shared" si="59"/>
        <v>0</v>
      </c>
      <c r="U165" s="2">
        <f t="shared" si="59"/>
        <v>0</v>
      </c>
      <c r="V165" s="2">
        <f t="shared" si="59"/>
        <v>0</v>
      </c>
      <c r="W165" s="2">
        <f t="shared" si="59"/>
        <v>0</v>
      </c>
      <c r="X165" s="2">
        <f t="shared" si="59"/>
        <v>0</v>
      </c>
      <c r="Y165" s="2">
        <f t="shared" si="59"/>
        <v>0</v>
      </c>
      <c r="Z165" s="2">
        <f t="shared" si="59"/>
        <v>0</v>
      </c>
      <c r="AA165" s="2">
        <f t="shared" si="59"/>
        <v>0</v>
      </c>
    </row>
    <row r="166" spans="1:27" x14ac:dyDescent="0.25">
      <c r="C166" s="1"/>
      <c r="D166" s="1"/>
      <c r="E166" t="s">
        <v>67</v>
      </c>
      <c r="F166" t="s">
        <v>143</v>
      </c>
      <c r="G166" s="20"/>
      <c r="H166" s="21">
        <f>G166*(1+$G$14)*(1+H164)</f>
        <v>0</v>
      </c>
      <c r="I166" s="21">
        <f t="shared" ref="I166:AA166" si="60">H166*(1+$G$14)*(1+I164)</f>
        <v>0</v>
      </c>
      <c r="J166" s="21">
        <f t="shared" si="60"/>
        <v>0</v>
      </c>
      <c r="K166" s="21">
        <f t="shared" si="60"/>
        <v>0</v>
      </c>
      <c r="L166" s="21">
        <f t="shared" si="60"/>
        <v>0</v>
      </c>
      <c r="M166" s="21">
        <f t="shared" si="60"/>
        <v>0</v>
      </c>
      <c r="N166" s="21">
        <f t="shared" si="60"/>
        <v>0</v>
      </c>
      <c r="O166" s="21">
        <f t="shared" si="60"/>
        <v>0</v>
      </c>
      <c r="P166" s="21">
        <f t="shared" si="60"/>
        <v>0</v>
      </c>
      <c r="Q166" s="21">
        <f t="shared" si="60"/>
        <v>0</v>
      </c>
      <c r="R166" s="21">
        <f t="shared" si="60"/>
        <v>0</v>
      </c>
      <c r="S166" s="21">
        <f t="shared" si="60"/>
        <v>0</v>
      </c>
      <c r="T166" s="21">
        <f t="shared" si="60"/>
        <v>0</v>
      </c>
      <c r="U166" s="21">
        <f t="shared" si="60"/>
        <v>0</v>
      </c>
      <c r="V166" s="21">
        <f t="shared" si="60"/>
        <v>0</v>
      </c>
      <c r="W166" s="21">
        <f t="shared" si="60"/>
        <v>0</v>
      </c>
      <c r="X166" s="21">
        <f t="shared" si="60"/>
        <v>0</v>
      </c>
      <c r="Y166" s="21">
        <f t="shared" si="60"/>
        <v>0</v>
      </c>
      <c r="Z166" s="21">
        <f t="shared" si="60"/>
        <v>0</v>
      </c>
      <c r="AA166" s="21">
        <f t="shared" si="60"/>
        <v>0</v>
      </c>
    </row>
    <row r="167" spans="1:27" x14ac:dyDescent="0.25">
      <c r="C167" s="1"/>
      <c r="D167" s="1"/>
      <c r="E167" t="s">
        <v>68</v>
      </c>
      <c r="F167" t="s">
        <v>143</v>
      </c>
      <c r="G167" s="20"/>
      <c r="H167" s="21">
        <f>G167*(1+$G$14)*(1+H164)</f>
        <v>0</v>
      </c>
      <c r="I167" s="21">
        <f t="shared" ref="I167:AA167" si="61">H167*(1+$G$14)*(1+I164)</f>
        <v>0</v>
      </c>
      <c r="J167" s="21">
        <f t="shared" si="61"/>
        <v>0</v>
      </c>
      <c r="K167" s="21">
        <f t="shared" si="61"/>
        <v>0</v>
      </c>
      <c r="L167" s="21">
        <f t="shared" si="61"/>
        <v>0</v>
      </c>
      <c r="M167" s="21">
        <f t="shared" si="61"/>
        <v>0</v>
      </c>
      <c r="N167" s="21">
        <f t="shared" si="61"/>
        <v>0</v>
      </c>
      <c r="O167" s="21">
        <f t="shared" si="61"/>
        <v>0</v>
      </c>
      <c r="P167" s="21">
        <f t="shared" si="61"/>
        <v>0</v>
      </c>
      <c r="Q167" s="21">
        <f t="shared" si="61"/>
        <v>0</v>
      </c>
      <c r="R167" s="21">
        <f t="shared" si="61"/>
        <v>0</v>
      </c>
      <c r="S167" s="21">
        <f t="shared" si="61"/>
        <v>0</v>
      </c>
      <c r="T167" s="21">
        <f t="shared" si="61"/>
        <v>0</v>
      </c>
      <c r="U167" s="21">
        <f t="shared" si="61"/>
        <v>0</v>
      </c>
      <c r="V167" s="21">
        <f t="shared" si="61"/>
        <v>0</v>
      </c>
      <c r="W167" s="21">
        <f t="shared" si="61"/>
        <v>0</v>
      </c>
      <c r="X167" s="21">
        <f t="shared" si="61"/>
        <v>0</v>
      </c>
      <c r="Y167" s="21">
        <f t="shared" si="61"/>
        <v>0</v>
      </c>
      <c r="Z167" s="21">
        <f t="shared" si="61"/>
        <v>0</v>
      </c>
      <c r="AA167" s="21">
        <f t="shared" si="61"/>
        <v>0</v>
      </c>
    </row>
    <row r="168" spans="1:27" x14ac:dyDescent="0.25">
      <c r="C168" s="1"/>
      <c r="D168" s="1"/>
      <c r="E168" t="s">
        <v>142</v>
      </c>
      <c r="F168" t="s">
        <v>143</v>
      </c>
      <c r="G168" s="20"/>
      <c r="H168" s="21">
        <f>G168*(1+$G$14)*(1+H164)</f>
        <v>0</v>
      </c>
      <c r="I168" s="21">
        <f t="shared" ref="I168:AA168" si="62">H168*(1+$G$14)*(1+I164)</f>
        <v>0</v>
      </c>
      <c r="J168" s="21">
        <f t="shared" si="62"/>
        <v>0</v>
      </c>
      <c r="K168" s="21">
        <f t="shared" si="62"/>
        <v>0</v>
      </c>
      <c r="L168" s="21">
        <f t="shared" si="62"/>
        <v>0</v>
      </c>
      <c r="M168" s="21">
        <f t="shared" si="62"/>
        <v>0</v>
      </c>
      <c r="N168" s="21">
        <f t="shared" si="62"/>
        <v>0</v>
      </c>
      <c r="O168" s="21">
        <f t="shared" si="62"/>
        <v>0</v>
      </c>
      <c r="P168" s="21">
        <f t="shared" si="62"/>
        <v>0</v>
      </c>
      <c r="Q168" s="21">
        <f t="shared" si="62"/>
        <v>0</v>
      </c>
      <c r="R168" s="21">
        <f t="shared" si="62"/>
        <v>0</v>
      </c>
      <c r="S168" s="21">
        <f t="shared" si="62"/>
        <v>0</v>
      </c>
      <c r="T168" s="21">
        <f t="shared" si="62"/>
        <v>0</v>
      </c>
      <c r="U168" s="21">
        <f t="shared" si="62"/>
        <v>0</v>
      </c>
      <c r="V168" s="21">
        <f t="shared" si="62"/>
        <v>0</v>
      </c>
      <c r="W168" s="21">
        <f t="shared" si="62"/>
        <v>0</v>
      </c>
      <c r="X168" s="21">
        <f t="shared" si="62"/>
        <v>0</v>
      </c>
      <c r="Y168" s="21">
        <f t="shared" si="62"/>
        <v>0</v>
      </c>
      <c r="Z168" s="21">
        <f t="shared" si="62"/>
        <v>0</v>
      </c>
      <c r="AA168" s="21">
        <f t="shared" si="62"/>
        <v>0</v>
      </c>
    </row>
    <row r="169" spans="1:27" x14ac:dyDescent="0.25">
      <c r="C169" s="1"/>
      <c r="D169" s="1"/>
    </row>
    <row r="170" spans="1:27" x14ac:dyDescent="0.25">
      <c r="C170" s="1"/>
      <c r="D170" s="1"/>
      <c r="E170" t="s">
        <v>78</v>
      </c>
      <c r="F170" t="s">
        <v>58</v>
      </c>
      <c r="H170" s="2">
        <f>SUM(H161:H163)/1000</f>
        <v>0</v>
      </c>
      <c r="I170" s="2">
        <f t="shared" ref="I170:AA170" si="63">SUM(I161:I163)/1000</f>
        <v>0</v>
      </c>
      <c r="J170" s="2">
        <f t="shared" si="63"/>
        <v>0</v>
      </c>
      <c r="K170" s="2">
        <f t="shared" si="63"/>
        <v>0</v>
      </c>
      <c r="L170" s="2">
        <f t="shared" si="63"/>
        <v>0</v>
      </c>
      <c r="M170" s="2">
        <f t="shared" si="63"/>
        <v>0</v>
      </c>
      <c r="N170" s="2">
        <f t="shared" si="63"/>
        <v>0</v>
      </c>
      <c r="O170" s="2">
        <f t="shared" si="63"/>
        <v>0</v>
      </c>
      <c r="P170" s="2">
        <f t="shared" si="63"/>
        <v>0</v>
      </c>
      <c r="Q170" s="2">
        <f t="shared" si="63"/>
        <v>0</v>
      </c>
      <c r="R170" s="2">
        <f t="shared" si="63"/>
        <v>0</v>
      </c>
      <c r="S170" s="2">
        <f t="shared" si="63"/>
        <v>0</v>
      </c>
      <c r="T170" s="2">
        <f t="shared" si="63"/>
        <v>0</v>
      </c>
      <c r="U170" s="2">
        <f t="shared" si="63"/>
        <v>0</v>
      </c>
      <c r="V170" s="2">
        <f t="shared" si="63"/>
        <v>0</v>
      </c>
      <c r="W170" s="2">
        <f t="shared" si="63"/>
        <v>0</v>
      </c>
      <c r="X170" s="2">
        <f t="shared" si="63"/>
        <v>0</v>
      </c>
      <c r="Y170" s="2">
        <f t="shared" si="63"/>
        <v>0</v>
      </c>
      <c r="Z170" s="2">
        <f t="shared" si="63"/>
        <v>0</v>
      </c>
      <c r="AA170" s="2">
        <f t="shared" si="63"/>
        <v>0</v>
      </c>
    </row>
    <row r="171" spans="1:27" x14ac:dyDescent="0.25">
      <c r="C171" s="1"/>
      <c r="D171" s="1"/>
      <c r="E171" t="s">
        <v>79</v>
      </c>
      <c r="F171" t="s">
        <v>7</v>
      </c>
      <c r="H171" s="2">
        <f>H154*H165+H161*H166+H162*H167+H163*H168</f>
        <v>0</v>
      </c>
      <c r="I171" s="2">
        <f t="shared" ref="I171:AA171" si="64">I154*I165+I161*I166+I162*I167+I163*I168</f>
        <v>0</v>
      </c>
      <c r="J171" s="2">
        <f t="shared" si="64"/>
        <v>0</v>
      </c>
      <c r="K171" s="2">
        <f t="shared" si="64"/>
        <v>0</v>
      </c>
      <c r="L171" s="2">
        <f t="shared" si="64"/>
        <v>0</v>
      </c>
      <c r="M171" s="2">
        <f t="shared" si="64"/>
        <v>0</v>
      </c>
      <c r="N171" s="2">
        <f t="shared" si="64"/>
        <v>0</v>
      </c>
      <c r="O171" s="2">
        <f t="shared" si="64"/>
        <v>0</v>
      </c>
      <c r="P171" s="2">
        <f t="shared" si="64"/>
        <v>0</v>
      </c>
      <c r="Q171" s="2">
        <f t="shared" si="64"/>
        <v>0</v>
      </c>
      <c r="R171" s="2">
        <f t="shared" si="64"/>
        <v>0</v>
      </c>
      <c r="S171" s="2">
        <f t="shared" si="64"/>
        <v>0</v>
      </c>
      <c r="T171" s="2">
        <f t="shared" si="64"/>
        <v>0</v>
      </c>
      <c r="U171" s="2">
        <f t="shared" si="64"/>
        <v>0</v>
      </c>
      <c r="V171" s="2">
        <f t="shared" si="64"/>
        <v>0</v>
      </c>
      <c r="W171" s="2">
        <f t="shared" si="64"/>
        <v>0</v>
      </c>
      <c r="X171" s="2">
        <f t="shared" si="64"/>
        <v>0</v>
      </c>
      <c r="Y171" s="2">
        <f t="shared" si="64"/>
        <v>0</v>
      </c>
      <c r="Z171" s="2">
        <f t="shared" si="64"/>
        <v>0</v>
      </c>
      <c r="AA171" s="2">
        <f t="shared" si="64"/>
        <v>0</v>
      </c>
    </row>
    <row r="172" spans="1:27" x14ac:dyDescent="0.25">
      <c r="C172" s="1"/>
      <c r="D172" s="1"/>
    </row>
    <row r="173" spans="1:27" x14ac:dyDescent="0.25">
      <c r="C173" s="1"/>
      <c r="D173" t="s">
        <v>80</v>
      </c>
    </row>
    <row r="174" spans="1:27" x14ac:dyDescent="0.25">
      <c r="C174" s="1"/>
      <c r="E174" t="s">
        <v>91</v>
      </c>
      <c r="F174" t="s">
        <v>3</v>
      </c>
      <c r="H174">
        <f t="shared" ref="H174:AA175" si="65">SUM(H93,H114,H135,H156)</f>
        <v>631</v>
      </c>
      <c r="I174">
        <f t="shared" si="65"/>
        <v>630</v>
      </c>
      <c r="J174">
        <f t="shared" si="65"/>
        <v>640.5</v>
      </c>
      <c r="K174">
        <f t="shared" si="65"/>
        <v>621</v>
      </c>
      <c r="L174">
        <f t="shared" si="65"/>
        <v>600</v>
      </c>
      <c r="M174">
        <f t="shared" si="65"/>
        <v>580</v>
      </c>
      <c r="N174">
        <f t="shared" si="65"/>
        <v>560</v>
      </c>
      <c r="O174">
        <f t="shared" si="65"/>
        <v>540.5</v>
      </c>
      <c r="P174">
        <f t="shared" si="65"/>
        <v>570</v>
      </c>
      <c r="Q174">
        <f t="shared" si="65"/>
        <v>602</v>
      </c>
      <c r="R174">
        <f t="shared" si="65"/>
        <v>635</v>
      </c>
      <c r="S174">
        <f t="shared" si="65"/>
        <v>671.5</v>
      </c>
      <c r="T174">
        <f t="shared" si="65"/>
        <v>710</v>
      </c>
      <c r="U174">
        <f t="shared" si="65"/>
        <v>707</v>
      </c>
      <c r="V174">
        <f t="shared" si="65"/>
        <v>703.5</v>
      </c>
      <c r="W174">
        <f t="shared" si="65"/>
        <v>0</v>
      </c>
      <c r="X174">
        <f t="shared" si="65"/>
        <v>0</v>
      </c>
      <c r="Y174">
        <f t="shared" si="65"/>
        <v>0</v>
      </c>
      <c r="Z174">
        <f t="shared" si="65"/>
        <v>0</v>
      </c>
      <c r="AA174">
        <f t="shared" si="65"/>
        <v>0</v>
      </c>
    </row>
    <row r="175" spans="1:27" x14ac:dyDescent="0.25">
      <c r="C175" s="1"/>
      <c r="D175" s="1"/>
      <c r="E175" t="s">
        <v>90</v>
      </c>
      <c r="F175" t="s">
        <v>3</v>
      </c>
      <c r="H175">
        <f>SUM(H94,H115,H136,H157)</f>
        <v>631</v>
      </c>
      <c r="I175">
        <f t="shared" si="65"/>
        <v>1261</v>
      </c>
      <c r="J175">
        <f t="shared" si="65"/>
        <v>1901.5</v>
      </c>
      <c r="K175">
        <f t="shared" si="65"/>
        <v>2522.5</v>
      </c>
      <c r="L175">
        <f t="shared" si="65"/>
        <v>3122.5</v>
      </c>
      <c r="M175">
        <f t="shared" si="65"/>
        <v>3702.5</v>
      </c>
      <c r="N175">
        <f t="shared" si="65"/>
        <v>4262.5</v>
      </c>
      <c r="O175">
        <f t="shared" si="65"/>
        <v>4803</v>
      </c>
      <c r="P175">
        <f t="shared" si="65"/>
        <v>5373</v>
      </c>
      <c r="Q175">
        <f t="shared" si="65"/>
        <v>5975</v>
      </c>
      <c r="R175">
        <f t="shared" si="65"/>
        <v>6610</v>
      </c>
      <c r="S175">
        <f t="shared" si="65"/>
        <v>7281.5</v>
      </c>
      <c r="T175">
        <f t="shared" si="65"/>
        <v>7991.5</v>
      </c>
      <c r="U175">
        <f t="shared" si="65"/>
        <v>8698.5</v>
      </c>
      <c r="V175">
        <f t="shared" si="65"/>
        <v>9402</v>
      </c>
      <c r="W175">
        <f t="shared" si="65"/>
        <v>9402</v>
      </c>
      <c r="X175">
        <f t="shared" si="65"/>
        <v>9402</v>
      </c>
      <c r="Y175">
        <f t="shared" si="65"/>
        <v>9402</v>
      </c>
      <c r="Z175">
        <f t="shared" si="65"/>
        <v>9402</v>
      </c>
      <c r="AA175">
        <f t="shared" si="65"/>
        <v>9402</v>
      </c>
    </row>
    <row r="176" spans="1:27" x14ac:dyDescent="0.25">
      <c r="C176" s="1"/>
      <c r="D176" s="1"/>
      <c r="E176" t="s">
        <v>81</v>
      </c>
      <c r="F176" t="s">
        <v>58</v>
      </c>
      <c r="H176" s="2">
        <f>SUM(H107,H128,H149,H170)</f>
        <v>70.987499999999997</v>
      </c>
      <c r="I176" s="2">
        <f t="shared" ref="I176:AA177" si="66">SUM(I107,I128,I149,I170)</f>
        <v>141.86250000000001</v>
      </c>
      <c r="J176" s="2">
        <f t="shared" si="66"/>
        <v>213.91874999999999</v>
      </c>
      <c r="K176" s="2">
        <f t="shared" si="66"/>
        <v>283.78125</v>
      </c>
      <c r="L176" s="2">
        <f t="shared" si="66"/>
        <v>351.28125</v>
      </c>
      <c r="M176" s="2">
        <f t="shared" si="66"/>
        <v>416.53125</v>
      </c>
      <c r="N176" s="2">
        <f t="shared" si="66"/>
        <v>479.53125</v>
      </c>
      <c r="O176" s="2">
        <f t="shared" si="66"/>
        <v>540.33749999999998</v>
      </c>
      <c r="P176" s="2">
        <f t="shared" si="66"/>
        <v>604.46249999999998</v>
      </c>
      <c r="Q176" s="2">
        <f t="shared" si="66"/>
        <v>672.1875</v>
      </c>
      <c r="R176" s="2">
        <f t="shared" si="66"/>
        <v>743.625</v>
      </c>
      <c r="S176" s="2">
        <f t="shared" si="66"/>
        <v>819.16875000000005</v>
      </c>
      <c r="T176" s="2">
        <f t="shared" si="66"/>
        <v>899.04375000000005</v>
      </c>
      <c r="U176" s="2">
        <f t="shared" si="66"/>
        <v>978.58124999999995</v>
      </c>
      <c r="V176" s="2">
        <f t="shared" si="66"/>
        <v>1057.7249999999999</v>
      </c>
      <c r="W176" s="2">
        <f t="shared" si="66"/>
        <v>1057.7249999999999</v>
      </c>
      <c r="X176" s="2">
        <f t="shared" si="66"/>
        <v>1057.7249999999999</v>
      </c>
      <c r="Y176" s="2">
        <f t="shared" si="66"/>
        <v>1057.7249999999999</v>
      </c>
      <c r="Z176" s="2">
        <f t="shared" si="66"/>
        <v>1057.7249999999999</v>
      </c>
      <c r="AA176" s="2">
        <f t="shared" si="66"/>
        <v>1057.7249999999999</v>
      </c>
    </row>
    <row r="177" spans="1:27" x14ac:dyDescent="0.25">
      <c r="C177" s="1"/>
      <c r="D177" s="1"/>
      <c r="E177" t="s">
        <v>82</v>
      </c>
      <c r="F177" t="s">
        <v>7</v>
      </c>
      <c r="H177" s="2">
        <f>SUM(H108,H129,H150,H171)</f>
        <v>288653.56898014928</v>
      </c>
      <c r="I177" s="2">
        <f t="shared" si="66"/>
        <v>572825.92652532854</v>
      </c>
      <c r="J177" s="2">
        <f t="shared" si="66"/>
        <v>881920.93399917393</v>
      </c>
      <c r="K177" s="2">
        <f t="shared" si="66"/>
        <v>1194511.2346511635</v>
      </c>
      <c r="L177" s="2">
        <f t="shared" si="66"/>
        <v>1509688.1736897605</v>
      </c>
      <c r="M177" s="2">
        <f t="shared" si="66"/>
        <v>1827702.9600676226</v>
      </c>
      <c r="N177" s="2">
        <f t="shared" si="66"/>
        <v>2148328.461445319</v>
      </c>
      <c r="O177" s="2">
        <f t="shared" si="66"/>
        <v>2471579.6959363348</v>
      </c>
      <c r="P177" s="2">
        <f t="shared" si="66"/>
        <v>2822959.2875489299</v>
      </c>
      <c r="Q177" s="2">
        <f t="shared" si="66"/>
        <v>3205172.6334840977</v>
      </c>
      <c r="R177" s="2">
        <f t="shared" si="66"/>
        <v>3620267.9699721858</v>
      </c>
      <c r="S177" s="2">
        <f t="shared" si="66"/>
        <v>4071794.5278430968</v>
      </c>
      <c r="T177" s="2">
        <f t="shared" si="66"/>
        <v>4562669.8667324763</v>
      </c>
      <c r="U177" s="2">
        <f t="shared" si="66"/>
        <v>5070617.5181534961</v>
      </c>
      <c r="V177" s="2">
        <f t="shared" si="66"/>
        <v>5595803.7327928292</v>
      </c>
      <c r="W177" s="2">
        <f t="shared" si="66"/>
        <v>5713315.611181478</v>
      </c>
      <c r="X177" s="2">
        <f t="shared" si="66"/>
        <v>5833295.2390162889</v>
      </c>
      <c r="Y177" s="2">
        <f t="shared" si="66"/>
        <v>5955794.4390356299</v>
      </c>
      <c r="Z177" s="2">
        <f t="shared" si="66"/>
        <v>6080866.1222553784</v>
      </c>
      <c r="AA177" s="2">
        <f t="shared" si="66"/>
        <v>6208564.3108227402</v>
      </c>
    </row>
    <row r="178" spans="1:27" x14ac:dyDescent="0.25">
      <c r="C178" s="1"/>
      <c r="D178" s="1"/>
    </row>
    <row r="179" spans="1:27" x14ac:dyDescent="0.25">
      <c r="C179" s="1"/>
      <c r="D179" s="1"/>
      <c r="E179" s="3" t="s">
        <v>84</v>
      </c>
      <c r="F179" s="3" t="s">
        <v>85</v>
      </c>
      <c r="G179" s="3"/>
      <c r="H179" s="9">
        <f>H176*1000/H175</f>
        <v>112.5</v>
      </c>
      <c r="I179" s="9">
        <f t="shared" ref="I179:AA179" si="67">I176*1000/I175</f>
        <v>112.5</v>
      </c>
      <c r="J179" s="9">
        <f t="shared" si="67"/>
        <v>112.5</v>
      </c>
      <c r="K179" s="9">
        <f t="shared" si="67"/>
        <v>112.5</v>
      </c>
      <c r="L179" s="9">
        <f t="shared" si="67"/>
        <v>112.5</v>
      </c>
      <c r="M179" s="9">
        <f t="shared" si="67"/>
        <v>112.5</v>
      </c>
      <c r="N179" s="9">
        <f t="shared" si="67"/>
        <v>112.5</v>
      </c>
      <c r="O179" s="9">
        <f t="shared" si="67"/>
        <v>112.5</v>
      </c>
      <c r="P179" s="9">
        <f t="shared" si="67"/>
        <v>112.5</v>
      </c>
      <c r="Q179" s="9">
        <f t="shared" si="67"/>
        <v>112.5</v>
      </c>
      <c r="R179" s="9">
        <f t="shared" si="67"/>
        <v>112.5</v>
      </c>
      <c r="S179" s="9">
        <f t="shared" si="67"/>
        <v>112.5</v>
      </c>
      <c r="T179" s="9">
        <f t="shared" si="67"/>
        <v>112.5</v>
      </c>
      <c r="U179" s="9">
        <f t="shared" si="67"/>
        <v>112.5</v>
      </c>
      <c r="V179" s="9">
        <f t="shared" si="67"/>
        <v>112.5</v>
      </c>
      <c r="W179" s="9">
        <f t="shared" si="67"/>
        <v>112.5</v>
      </c>
      <c r="X179" s="9">
        <f t="shared" si="67"/>
        <v>112.5</v>
      </c>
      <c r="Y179" s="9">
        <f t="shared" si="67"/>
        <v>112.5</v>
      </c>
      <c r="Z179" s="9">
        <f t="shared" si="67"/>
        <v>112.5</v>
      </c>
      <c r="AA179" s="9">
        <f t="shared" si="67"/>
        <v>112.5</v>
      </c>
    </row>
    <row r="180" spans="1:27" x14ac:dyDescent="0.25">
      <c r="C180" s="1"/>
      <c r="D180" s="1"/>
      <c r="E180" s="3" t="s">
        <v>83</v>
      </c>
      <c r="F180" s="3" t="s">
        <v>22</v>
      </c>
      <c r="G180" s="3"/>
      <c r="H180" s="9">
        <f>H177/H175</f>
        <v>457.45415052321596</v>
      </c>
      <c r="I180" s="9">
        <f t="shared" ref="I180:AA180" si="68">I177/I175</f>
        <v>454.26322484165627</v>
      </c>
      <c r="J180" s="9">
        <f t="shared" si="68"/>
        <v>463.80275256333101</v>
      </c>
      <c r="K180" s="9">
        <f t="shared" si="68"/>
        <v>473.54261036716093</v>
      </c>
      <c r="L180" s="9">
        <f t="shared" si="68"/>
        <v>483.48700518487124</v>
      </c>
      <c r="M180" s="9">
        <f t="shared" si="68"/>
        <v>493.64023229375357</v>
      </c>
      <c r="N180" s="9">
        <f t="shared" si="68"/>
        <v>504.00667717192232</v>
      </c>
      <c r="O180" s="9">
        <f t="shared" si="68"/>
        <v>514.5908173925327</v>
      </c>
      <c r="P180" s="9">
        <f t="shared" si="68"/>
        <v>525.39722455777587</v>
      </c>
      <c r="Q180" s="9">
        <f t="shared" si="68"/>
        <v>536.43056627348915</v>
      </c>
      <c r="R180" s="9">
        <f t="shared" si="68"/>
        <v>547.69560816523233</v>
      </c>
      <c r="S180" s="9">
        <f t="shared" si="68"/>
        <v>559.19721593670215</v>
      </c>
      <c r="T180" s="9">
        <f t="shared" si="68"/>
        <v>570.94035747137286</v>
      </c>
      <c r="U180" s="9">
        <f t="shared" si="68"/>
        <v>582.93010497827163</v>
      </c>
      <c r="V180" s="9">
        <f t="shared" si="68"/>
        <v>595.17163718281529</v>
      </c>
      <c r="W180" s="9">
        <f t="shared" si="68"/>
        <v>607.67024156365437</v>
      </c>
      <c r="X180" s="9">
        <f t="shared" si="68"/>
        <v>620.43131663649103</v>
      </c>
      <c r="Y180" s="9">
        <f t="shared" si="68"/>
        <v>633.46037428585726</v>
      </c>
      <c r="Z180" s="9">
        <f t="shared" si="68"/>
        <v>646.76304214586025</v>
      </c>
      <c r="AA180" s="9">
        <f t="shared" si="68"/>
        <v>660.34506603092325</v>
      </c>
    </row>
    <row r="181" spans="1:27" x14ac:dyDescent="0.25">
      <c r="C181" s="1"/>
      <c r="D181" s="1"/>
      <c r="E181" s="3" t="s">
        <v>86</v>
      </c>
      <c r="F181" s="3" t="s">
        <v>4</v>
      </c>
      <c r="G181" s="3"/>
      <c r="H181" s="9">
        <f>H177/H176</f>
        <v>4066.2591157619199</v>
      </c>
      <c r="I181" s="9">
        <f t="shared" ref="I181:AA181" si="69">I177/I176</f>
        <v>4037.895331925833</v>
      </c>
      <c r="J181" s="9">
        <f t="shared" si="69"/>
        <v>4122.6911338962755</v>
      </c>
      <c r="K181" s="9">
        <f t="shared" si="69"/>
        <v>4209.2676477080968</v>
      </c>
      <c r="L181" s="9">
        <f t="shared" si="69"/>
        <v>4297.6622683099667</v>
      </c>
      <c r="M181" s="9">
        <f t="shared" si="69"/>
        <v>4387.9131759444763</v>
      </c>
      <c r="N181" s="9">
        <f t="shared" si="69"/>
        <v>4480.0593526393095</v>
      </c>
      <c r="O181" s="9">
        <f t="shared" si="69"/>
        <v>4574.1405990447356</v>
      </c>
      <c r="P181" s="9">
        <f t="shared" si="69"/>
        <v>4670.1975516246748</v>
      </c>
      <c r="Q181" s="9">
        <f t="shared" si="69"/>
        <v>4768.271700208792</v>
      </c>
      <c r="R181" s="9">
        <f t="shared" si="69"/>
        <v>4868.4054059131768</v>
      </c>
      <c r="S181" s="9">
        <f t="shared" si="69"/>
        <v>4970.641919437352</v>
      </c>
      <c r="T181" s="9">
        <f t="shared" si="69"/>
        <v>5075.0253997455366</v>
      </c>
      <c r="U181" s="9">
        <f t="shared" si="69"/>
        <v>5181.6009331401929</v>
      </c>
      <c r="V181" s="9">
        <f t="shared" si="69"/>
        <v>5290.4145527361361</v>
      </c>
      <c r="W181" s="9">
        <f t="shared" si="69"/>
        <v>5401.5132583435943</v>
      </c>
      <c r="X181" s="9">
        <f t="shared" si="69"/>
        <v>5514.9450367688096</v>
      </c>
      <c r="Y181" s="9">
        <f t="shared" si="69"/>
        <v>5630.7588825409539</v>
      </c>
      <c r="Z181" s="9">
        <f t="shared" si="69"/>
        <v>5749.0048190743146</v>
      </c>
      <c r="AA181" s="9">
        <f t="shared" si="69"/>
        <v>5869.7339202748735</v>
      </c>
    </row>
    <row r="182" spans="1:27" x14ac:dyDescent="0.25">
      <c r="C182" s="1"/>
      <c r="D182" s="1"/>
    </row>
    <row r="183" spans="1:27" x14ac:dyDescent="0.25">
      <c r="C183" s="1" t="str">
        <f>"Incremental "&amp;VLOOKUP(G4,E320:F322,2,FALSE)&amp;" Charges"</f>
        <v>Incremental Bulk Wastewater Charges</v>
      </c>
      <c r="G183" t="s">
        <v>323</v>
      </c>
      <c r="H183" s="53">
        <v>0.5</v>
      </c>
      <c r="I183" s="2"/>
      <c r="J183" s="2"/>
      <c r="K183" s="2"/>
      <c r="L183" s="2"/>
      <c r="M183" s="2"/>
      <c r="N183" s="2"/>
      <c r="O183" s="2"/>
      <c r="P183" s="2"/>
      <c r="Q183" s="2"/>
      <c r="R183" s="2"/>
      <c r="S183" s="2"/>
      <c r="T183" s="2"/>
      <c r="U183" s="2"/>
      <c r="V183" s="2"/>
      <c r="W183" s="2"/>
      <c r="X183" s="2"/>
      <c r="Y183" s="2"/>
      <c r="Z183" s="2"/>
      <c r="AA183" s="2"/>
    </row>
    <row r="184" spans="1:27" x14ac:dyDescent="0.25">
      <c r="A184" s="14">
        <f>'Notes &amp; Assumptions'!A50</f>
        <v>37</v>
      </c>
      <c r="E184" t="s">
        <v>118</v>
      </c>
      <c r="F184" t="s">
        <v>8</v>
      </c>
      <c r="H184" s="11">
        <v>3.2399999999999998E-2</v>
      </c>
      <c r="I184" s="11">
        <v>3.2399999999999998E-2</v>
      </c>
      <c r="J184" s="11">
        <v>3.2399999999999998E-2</v>
      </c>
      <c r="K184" s="11">
        <v>0</v>
      </c>
      <c r="L184" s="11">
        <v>0</v>
      </c>
      <c r="M184" s="11"/>
      <c r="N184" s="11"/>
      <c r="O184" s="11"/>
      <c r="P184" s="11"/>
      <c r="Q184" s="11"/>
      <c r="R184" s="11"/>
      <c r="S184" s="11"/>
      <c r="T184" s="11"/>
      <c r="U184" s="11"/>
      <c r="V184" s="11"/>
      <c r="W184" s="11"/>
      <c r="X184" s="11"/>
      <c r="Y184" s="11"/>
      <c r="Z184" s="11"/>
      <c r="AA184" s="11"/>
    </row>
    <row r="185" spans="1:27" x14ac:dyDescent="0.25">
      <c r="A185" s="14">
        <f>'Notes &amp; Assumptions'!A51</f>
        <v>38</v>
      </c>
      <c r="E185" t="s">
        <v>122</v>
      </c>
      <c r="F185" t="s">
        <v>4</v>
      </c>
      <c r="G185" s="10">
        <f>AVERAGE('Bulk charges'!D34:D35)</f>
        <v>74.83235719999999</v>
      </c>
      <c r="H185" s="2">
        <f>G185*(1+$G$14)</f>
        <v>76.403836701199978</v>
      </c>
      <c r="I185" s="2">
        <f t="shared" ref="I185:L185" si="70">H185*(1+$G$14)</f>
        <v>78.008317271925165</v>
      </c>
      <c r="J185" s="2">
        <f t="shared" si="70"/>
        <v>79.646491934635591</v>
      </c>
      <c r="K185" s="2">
        <f t="shared" si="70"/>
        <v>81.319068265262928</v>
      </c>
      <c r="L185" s="2">
        <f t="shared" si="70"/>
        <v>83.026768698833436</v>
      </c>
      <c r="M185" s="2">
        <f t="shared" ref="M185:AA185" si="71">L185*(1+$G$14)*(1+M184)</f>
        <v>84.770330841508937</v>
      </c>
      <c r="N185" s="2">
        <f t="shared" si="71"/>
        <v>86.550507789180614</v>
      </c>
      <c r="O185" s="2">
        <f t="shared" si="71"/>
        <v>88.368068452753405</v>
      </c>
      <c r="P185" s="2">
        <f t="shared" si="71"/>
        <v>90.223797890261224</v>
      </c>
      <c r="Q185" s="2">
        <f t="shared" si="71"/>
        <v>92.118497645956708</v>
      </c>
      <c r="R185" s="2">
        <f t="shared" si="71"/>
        <v>94.052986096521792</v>
      </c>
      <c r="S185" s="2">
        <f t="shared" si="71"/>
        <v>96.028098804548748</v>
      </c>
      <c r="T185" s="2">
        <f t="shared" si="71"/>
        <v>98.044688879444266</v>
      </c>
      <c r="U185" s="2">
        <f t="shared" si="71"/>
        <v>100.10362734591259</v>
      </c>
      <c r="V185" s="2">
        <f t="shared" si="71"/>
        <v>102.20580352017674</v>
      </c>
      <c r="W185" s="2">
        <f t="shared" si="71"/>
        <v>104.35212539410044</v>
      </c>
      <c r="X185" s="2">
        <f t="shared" si="71"/>
        <v>106.54352002737654</v>
      </c>
      <c r="Y185" s="2">
        <f t="shared" si="71"/>
        <v>108.78093394795144</v>
      </c>
      <c r="Z185" s="2">
        <f t="shared" si="71"/>
        <v>111.06533356085841</v>
      </c>
      <c r="AA185" s="2">
        <f t="shared" si="71"/>
        <v>113.39770556563643</v>
      </c>
    </row>
    <row r="186" spans="1:27" x14ac:dyDescent="0.25">
      <c r="A186" s="14">
        <f>'Notes &amp; Assumptions'!A52</f>
        <v>39</v>
      </c>
      <c r="E186" t="s">
        <v>123</v>
      </c>
      <c r="F186" t="s">
        <v>7</v>
      </c>
      <c r="G186" s="23">
        <f>'Bulk charges'!D32</f>
        <v>190.24571706250899</v>
      </c>
      <c r="H186" s="10">
        <f>G186*(1+$G$14)*(1+H184)*(H154+H133+H112+H91)</f>
        <v>126537.1316514474</v>
      </c>
      <c r="I186" s="10">
        <f>H186/(H154+H133+H112+H91)*(1+$G$14)*(1+I184)*(I154+I133+I112+I91)</f>
        <v>266549.24143632175</v>
      </c>
      <c r="J186" s="10">
        <f>I186/(I154+I133+I112+I91)*(1+$G$14)*(1+J184)*(J154+J133+J112+J91)</f>
        <v>423674.60385332996</v>
      </c>
      <c r="K186" s="10">
        <f t="shared" ref="K186:AA186" si="72">J186/(J154+J133+J112+J91)*(1+$G$14)*(1+K184)*(K154+K133+K112+K91)</f>
        <v>573842.90884703933</v>
      </c>
      <c r="L186" s="10">
        <f t="shared" si="72"/>
        <v>725253.83429742418</v>
      </c>
      <c r="M186" s="10">
        <f t="shared" si="72"/>
        <v>878028.06092471525</v>
      </c>
      <c r="N186" s="10">
        <f t="shared" si="72"/>
        <v>1032056.4744078655</v>
      </c>
      <c r="O186" s="10">
        <f t="shared" si="72"/>
        <v>1187346.2894449686</v>
      </c>
      <c r="P186" s="10">
        <f t="shared" si="72"/>
        <v>1356148.960454874</v>
      </c>
      <c r="Q186" s="10">
        <f t="shared" si="72"/>
        <v>1539764.1596000271</v>
      </c>
      <c r="R186" s="10">
        <f t="shared" si="72"/>
        <v>1739175.859071173</v>
      </c>
      <c r="S186" s="10">
        <f t="shared" si="72"/>
        <v>1956089.1085024367</v>
      </c>
      <c r="T186" s="10">
        <f t="shared" si="72"/>
        <v>2191905.5028386679</v>
      </c>
      <c r="U186" s="10">
        <f t="shared" si="72"/>
        <v>2435923.4319949243</v>
      </c>
      <c r="V186" s="10">
        <f t="shared" si="72"/>
        <v>2688222.7627609614</v>
      </c>
      <c r="W186" s="10">
        <f t="shared" si="72"/>
        <v>2744675.4407789414</v>
      </c>
      <c r="X186" s="10">
        <f t="shared" si="72"/>
        <v>2802313.625035299</v>
      </c>
      <c r="Y186" s="10">
        <f t="shared" si="72"/>
        <v>2861162.2111610398</v>
      </c>
      <c r="Z186" s="10">
        <f t="shared" si="72"/>
        <v>2921246.6175954212</v>
      </c>
      <c r="AA186" s="10">
        <f t="shared" si="72"/>
        <v>2982592.7965649245</v>
      </c>
    </row>
    <row r="187" spans="1:27" x14ac:dyDescent="0.25">
      <c r="E187" t="s">
        <v>57</v>
      </c>
      <c r="F187" t="s">
        <v>7</v>
      </c>
      <c r="H187" s="2">
        <f>H185*H176*$H183+H186*$H183</f>
        <v>65980.424504636918</v>
      </c>
      <c r="I187" s="2">
        <f t="shared" ref="I187:AA187" si="73">I185*I176*$H183+I186*$H183</f>
        <v>138807.84817265513</v>
      </c>
      <c r="J187" s="2">
        <f t="shared" si="73"/>
        <v>220356.24092493614</v>
      </c>
      <c r="K187" s="2">
        <f t="shared" si="73"/>
        <v>298459.86784409551</v>
      </c>
      <c r="L187" s="2">
        <f t="shared" si="73"/>
        <v>377209.79069470562</v>
      </c>
      <c r="M187" s="2">
        <f t="shared" si="73"/>
        <v>456668.77639652125</v>
      </c>
      <c r="N187" s="2">
        <f t="shared" si="73"/>
        <v>536780.07379807299</v>
      </c>
      <c r="O187" s="2">
        <f t="shared" si="73"/>
        <v>617547.43531627906</v>
      </c>
      <c r="P187" s="2">
        <f t="shared" si="73"/>
        <v>705342.93144355796</v>
      </c>
      <c r="Q187" s="2">
        <f t="shared" si="73"/>
        <v>800842.53111820936</v>
      </c>
      <c r="R187" s="2">
        <f t="shared" si="73"/>
        <v>904558.00542859954</v>
      </c>
      <c r="S187" s="2">
        <f t="shared" si="73"/>
        <v>1017376.1630825177</v>
      </c>
      <c r="T187" s="2">
        <f t="shared" si="73"/>
        <v>1140025.9837982133</v>
      </c>
      <c r="U187" s="2">
        <f t="shared" si="73"/>
        <v>1266941.4823863108</v>
      </c>
      <c r="V187" s="2">
        <f t="shared" si="73"/>
        <v>1398164.1981446701</v>
      </c>
      <c r="W187" s="2">
        <f t="shared" si="73"/>
        <v>1427525.6463057082</v>
      </c>
      <c r="X187" s="2">
        <f t="shared" si="73"/>
        <v>1457503.6848781279</v>
      </c>
      <c r="Y187" s="2">
        <f t="shared" si="73"/>
        <v>1488111.2622605683</v>
      </c>
      <c r="Z187" s="2">
        <f t="shared" si="73"/>
        <v>1519361.5987680401</v>
      </c>
      <c r="AA187" s="2">
        <f t="shared" si="73"/>
        <v>1551268.1923421687</v>
      </c>
    </row>
    <row r="188" spans="1:27" x14ac:dyDescent="0.25">
      <c r="H188" s="2"/>
      <c r="I188" s="2"/>
      <c r="J188" s="2"/>
      <c r="K188" s="2"/>
      <c r="L188" s="2"/>
      <c r="M188" s="2"/>
      <c r="N188" s="2"/>
      <c r="O188" s="2"/>
      <c r="P188" s="2"/>
      <c r="Q188" s="2"/>
      <c r="R188" s="2"/>
      <c r="S188" s="2"/>
      <c r="T188" s="2"/>
      <c r="U188" s="2"/>
      <c r="V188" s="2"/>
      <c r="W188" s="2"/>
      <c r="X188" s="2"/>
      <c r="Y188" s="2"/>
      <c r="Z188" s="2"/>
      <c r="AA188" s="2"/>
    </row>
    <row r="189" spans="1:27" x14ac:dyDescent="0.25">
      <c r="C189" s="1" t="s">
        <v>10</v>
      </c>
      <c r="G189" s="2"/>
    </row>
    <row r="190" spans="1:27" x14ac:dyDescent="0.25">
      <c r="C190" s="1"/>
      <c r="D190" t="s">
        <v>149</v>
      </c>
      <c r="G190" s="2"/>
    </row>
    <row r="191" spans="1:27" x14ac:dyDescent="0.25">
      <c r="A191" s="14">
        <f>'Notes &amp; Assumptions'!A53</f>
        <v>40</v>
      </c>
      <c r="C191" s="1"/>
      <c r="E191" t="s">
        <v>125</v>
      </c>
      <c r="G191" s="2"/>
      <c r="H191" s="11"/>
      <c r="I191" s="11"/>
      <c r="J191" s="11"/>
      <c r="K191" s="11"/>
      <c r="L191" s="11"/>
      <c r="M191" s="11"/>
      <c r="N191" s="11"/>
      <c r="O191" s="11"/>
      <c r="P191" s="11"/>
      <c r="Q191" s="11"/>
      <c r="R191" s="11"/>
      <c r="S191" s="11"/>
      <c r="T191" s="11"/>
      <c r="U191" s="11"/>
      <c r="V191" s="11"/>
      <c r="W191" s="11"/>
      <c r="X191" s="11"/>
      <c r="Y191" s="11"/>
      <c r="Z191" s="11"/>
      <c r="AA191" s="11"/>
    </row>
    <row r="192" spans="1:27" x14ac:dyDescent="0.25">
      <c r="A192" s="14">
        <f>'Notes &amp; Assumptions'!A54</f>
        <v>41</v>
      </c>
      <c r="E192" t="s">
        <v>26</v>
      </c>
      <c r="F192" t="s">
        <v>22</v>
      </c>
      <c r="G192" s="10">
        <f>'Key assumptions'!B13</f>
        <v>72</v>
      </c>
      <c r="H192" s="2">
        <f t="shared" ref="H192:W193" si="74">G192*(1+$G$14)*(1+H$191)</f>
        <v>73.512</v>
      </c>
      <c r="I192" s="2">
        <f t="shared" si="74"/>
        <v>75.055751999999998</v>
      </c>
      <c r="J192" s="2">
        <f t="shared" si="74"/>
        <v>76.631922791999997</v>
      </c>
      <c r="K192" s="2">
        <f t="shared" si="74"/>
        <v>78.241193170631988</v>
      </c>
      <c r="L192" s="2">
        <f t="shared" si="74"/>
        <v>79.884258227215255</v>
      </c>
      <c r="M192" s="2">
        <f t="shared" si="74"/>
        <v>81.561827649986768</v>
      </c>
      <c r="N192" s="2">
        <f t="shared" si="74"/>
        <v>83.274626030636483</v>
      </c>
      <c r="O192" s="2">
        <f t="shared" si="74"/>
        <v>85.023393177279843</v>
      </c>
      <c r="P192" s="2">
        <f t="shared" si="74"/>
        <v>86.808884434002707</v>
      </c>
      <c r="Q192" s="2">
        <f t="shared" si="74"/>
        <v>88.631871007116757</v>
      </c>
      <c r="R192" s="2">
        <f t="shared" si="74"/>
        <v>90.493140298266198</v>
      </c>
      <c r="S192" s="2">
        <f t="shared" si="74"/>
        <v>92.393496244529786</v>
      </c>
      <c r="T192" s="2">
        <f t="shared" si="74"/>
        <v>94.3337596656649</v>
      </c>
      <c r="U192" s="2">
        <f t="shared" si="74"/>
        <v>96.314768618643853</v>
      </c>
      <c r="V192" s="2">
        <f t="shared" si="74"/>
        <v>98.337378759635371</v>
      </c>
      <c r="W192" s="2">
        <f t="shared" si="74"/>
        <v>100.40246371358771</v>
      </c>
      <c r="X192" s="2">
        <f t="shared" ref="X192:AA193" si="75">W192*(1+$G$14)*(1+X$191)</f>
        <v>102.51091545157304</v>
      </c>
      <c r="Y192" s="2">
        <f t="shared" si="75"/>
        <v>104.66364467605607</v>
      </c>
      <c r="Z192" s="2">
        <f t="shared" si="75"/>
        <v>106.86158121425323</v>
      </c>
      <c r="AA192" s="2">
        <f t="shared" si="75"/>
        <v>109.10567441975255</v>
      </c>
    </row>
    <row r="193" spans="1:29" x14ac:dyDescent="0.25">
      <c r="A193" s="14">
        <f>'Notes &amp; Assumptions'!A55</f>
        <v>42</v>
      </c>
      <c r="E193" t="s">
        <v>27</v>
      </c>
      <c r="F193" t="s">
        <v>4</v>
      </c>
      <c r="G193" s="10">
        <f>'Key assumptions'!B16</f>
        <v>400</v>
      </c>
      <c r="H193" s="2">
        <f>G193*(1+$G$14)*(1+H$191)</f>
        <v>408.4</v>
      </c>
      <c r="I193" s="2">
        <f t="shared" si="74"/>
        <v>416.97639999999996</v>
      </c>
      <c r="J193" s="2">
        <f t="shared" si="74"/>
        <v>425.73290439999994</v>
      </c>
      <c r="K193" s="2">
        <f t="shared" si="74"/>
        <v>434.67329539239989</v>
      </c>
      <c r="L193" s="2">
        <f t="shared" si="74"/>
        <v>443.80143459564027</v>
      </c>
      <c r="M193" s="2">
        <f t="shared" si="74"/>
        <v>453.12126472214868</v>
      </c>
      <c r="N193" s="2">
        <f t="shared" si="74"/>
        <v>462.63681128131378</v>
      </c>
      <c r="O193" s="2">
        <f t="shared" si="74"/>
        <v>472.3521843182213</v>
      </c>
      <c r="P193" s="2">
        <f t="shared" si="74"/>
        <v>482.2715801889039</v>
      </c>
      <c r="Q193" s="2">
        <f t="shared" si="74"/>
        <v>492.39928337287085</v>
      </c>
      <c r="R193" s="2">
        <f t="shared" si="74"/>
        <v>502.7396683237011</v>
      </c>
      <c r="S193" s="2">
        <f t="shared" si="74"/>
        <v>513.2972013584988</v>
      </c>
      <c r="T193" s="2">
        <f t="shared" si="74"/>
        <v>524.07644258702726</v>
      </c>
      <c r="U193" s="2">
        <f t="shared" si="74"/>
        <v>535.08204788135481</v>
      </c>
      <c r="V193" s="2">
        <f t="shared" si="74"/>
        <v>546.31877088686326</v>
      </c>
      <c r="W193" s="2">
        <f t="shared" si="74"/>
        <v>557.79146507548739</v>
      </c>
      <c r="X193" s="2">
        <f t="shared" si="75"/>
        <v>569.50508584207262</v>
      </c>
      <c r="Y193" s="2">
        <f t="shared" si="75"/>
        <v>581.46469264475604</v>
      </c>
      <c r="Z193" s="2">
        <f t="shared" si="75"/>
        <v>593.67545119029592</v>
      </c>
      <c r="AA193" s="2">
        <f t="shared" si="75"/>
        <v>606.14263566529212</v>
      </c>
    </row>
    <row r="194" spans="1:29" x14ac:dyDescent="0.25">
      <c r="A194" s="14">
        <f>'Notes &amp; Assumptions'!A56</f>
        <v>43</v>
      </c>
      <c r="E194" t="s">
        <v>39</v>
      </c>
      <c r="F194" t="s">
        <v>7</v>
      </c>
      <c r="G194" s="2"/>
      <c r="H194" s="10"/>
      <c r="I194" s="10"/>
      <c r="J194" s="10"/>
      <c r="K194" s="10"/>
      <c r="L194" s="10"/>
      <c r="M194" s="10"/>
      <c r="N194" s="10"/>
      <c r="O194" s="10"/>
      <c r="P194" s="10"/>
      <c r="Q194" s="10"/>
      <c r="R194" s="10"/>
      <c r="S194" s="10"/>
      <c r="T194" s="10"/>
      <c r="U194" s="10"/>
      <c r="V194" s="10"/>
      <c r="W194" s="10"/>
      <c r="X194" s="10"/>
      <c r="Y194" s="10"/>
      <c r="Z194" s="10"/>
      <c r="AA194" s="10"/>
    </row>
    <row r="195" spans="1:29" x14ac:dyDescent="0.25">
      <c r="B195" s="14"/>
      <c r="C195" s="14"/>
      <c r="D195" s="14"/>
      <c r="E195" s="14"/>
      <c r="F195" s="14"/>
      <c r="G195" s="14"/>
      <c r="H195" s="14"/>
      <c r="I195" s="14"/>
      <c r="J195" s="14"/>
      <c r="K195" s="14"/>
      <c r="L195" s="14"/>
      <c r="M195" s="14"/>
      <c r="N195" s="14"/>
      <c r="O195" s="14"/>
      <c r="P195" s="14"/>
      <c r="Q195" s="14"/>
      <c r="R195" s="14"/>
      <c r="S195" s="14"/>
      <c r="T195" s="14"/>
      <c r="U195" s="14"/>
      <c r="V195" s="14"/>
      <c r="W195" s="14"/>
      <c r="X195" s="14"/>
      <c r="Y195" s="14"/>
      <c r="Z195" s="14"/>
      <c r="AA195" s="14"/>
      <c r="AB195" s="14"/>
      <c r="AC195" s="14"/>
    </row>
    <row r="196" spans="1:29" x14ac:dyDescent="0.25">
      <c r="D196" t="s">
        <v>124</v>
      </c>
      <c r="G196" s="14"/>
      <c r="H196" s="14"/>
      <c r="I196" s="14"/>
      <c r="J196" s="14"/>
      <c r="K196" s="14"/>
      <c r="L196" s="14"/>
      <c r="M196" s="14"/>
      <c r="N196" s="14"/>
      <c r="O196" s="14"/>
      <c r="P196" s="14"/>
      <c r="Q196" s="14"/>
      <c r="R196" s="14"/>
      <c r="S196" s="14"/>
      <c r="T196" s="14"/>
      <c r="U196" s="14"/>
      <c r="V196" s="14"/>
      <c r="W196" s="14"/>
      <c r="X196" s="14"/>
      <c r="Y196" s="14"/>
      <c r="Z196" s="14"/>
      <c r="AA196" s="14"/>
    </row>
    <row r="197" spans="1:29" x14ac:dyDescent="0.25">
      <c r="A197" s="14">
        <f>'Notes &amp; Assumptions'!A57</f>
        <v>44</v>
      </c>
      <c r="E197" t="s">
        <v>27</v>
      </c>
      <c r="F197" t="s">
        <v>4</v>
      </c>
      <c r="G197" s="14"/>
      <c r="H197" s="10"/>
      <c r="I197" s="10"/>
      <c r="J197" s="10"/>
      <c r="K197" s="10"/>
      <c r="L197" s="10"/>
      <c r="M197" s="10"/>
      <c r="N197" s="10"/>
      <c r="O197" s="10"/>
      <c r="P197" s="10"/>
      <c r="Q197" s="10"/>
      <c r="R197" s="10"/>
      <c r="S197" s="10"/>
      <c r="T197" s="10"/>
      <c r="U197" s="10"/>
      <c r="V197" s="10"/>
      <c r="W197" s="10"/>
      <c r="X197" s="10"/>
      <c r="Y197" s="10"/>
      <c r="Z197" s="10"/>
      <c r="AA197" s="10"/>
    </row>
    <row r="198" spans="1:29" x14ac:dyDescent="0.25">
      <c r="A198" s="14">
        <f>'Notes &amp; Assumptions'!A58</f>
        <v>45</v>
      </c>
      <c r="E198" t="s">
        <v>39</v>
      </c>
      <c r="F198" t="s">
        <v>7</v>
      </c>
      <c r="G198" s="2"/>
      <c r="H198" s="10"/>
      <c r="I198" s="10"/>
      <c r="J198" s="10"/>
      <c r="K198" s="10"/>
      <c r="L198" s="10"/>
      <c r="M198" s="10"/>
      <c r="N198" s="10"/>
      <c r="O198" s="10"/>
      <c r="P198" s="10"/>
      <c r="Q198" s="10"/>
      <c r="R198" s="10"/>
      <c r="S198" s="10"/>
      <c r="T198" s="10"/>
      <c r="U198" s="10"/>
      <c r="V198" s="10"/>
      <c r="W198" s="10"/>
      <c r="X198" s="10"/>
      <c r="Y198" s="10"/>
      <c r="Z198" s="10"/>
      <c r="AA198" s="10"/>
    </row>
    <row r="199" spans="1:29" x14ac:dyDescent="0.25">
      <c r="G199" s="2"/>
    </row>
    <row r="200" spans="1:29" x14ac:dyDescent="0.25">
      <c r="E200" t="s">
        <v>10</v>
      </c>
      <c r="F200" t="s">
        <v>7</v>
      </c>
      <c r="G200" s="2"/>
      <c r="H200" s="2">
        <f>H192*H175+(H193+H197)*H176*(1-$H183)+H194+H198</f>
        <v>60881.719499999999</v>
      </c>
      <c r="I200" s="2">
        <f t="shared" ref="I200:AA200" si="76">I192*I175+(I193+I197)*I176*(1-$H183)+I194+I198</f>
        <v>124221.96054450001</v>
      </c>
      <c r="J200" s="2">
        <f t="shared" si="76"/>
        <v>191251.72656054673</v>
      </c>
      <c r="K200" s="2">
        <f t="shared" si="76"/>
        <v>259039.47532695642</v>
      </c>
      <c r="L200" s="2">
        <f t="shared" si="76"/>
        <v>327388.15766275453</v>
      </c>
      <c r="M200" s="2">
        <f t="shared" si="76"/>
        <v>396352.25027222477</v>
      </c>
      <c r="N200" s="2">
        <f t="shared" si="76"/>
        <v>465882.49766045925</v>
      </c>
      <c r="O200" s="2">
        <f t="shared" si="76"/>
        <v>535982.15662749857</v>
      </c>
      <c r="P200" s="2">
        <f t="shared" si="76"/>
        <v>612181.67858386412</v>
      </c>
      <c r="Q200" s="2">
        <f t="shared" si="76"/>
        <v>695067.75091362349</v>
      </c>
      <c r="R200" s="2">
        <f t="shared" si="76"/>
        <v>785084.55030014575</v>
      </c>
      <c r="S200" s="2">
        <f t="shared" si="76"/>
        <v>883001.75631221361</v>
      </c>
      <c r="T200" s="2">
        <f t="shared" si="76"/>
        <v>989452.06548321131</v>
      </c>
      <c r="U200" s="2">
        <f t="shared" si="76"/>
        <v>1099604.6444634215</v>
      </c>
      <c r="V200" s="2">
        <f t="shared" si="76"/>
        <v>1213495.5460662455</v>
      </c>
      <c r="W200" s="2">
        <f t="shared" si="76"/>
        <v>1238978.9525336365</v>
      </c>
      <c r="X200" s="2">
        <f t="shared" si="76"/>
        <v>1264997.5105368427</v>
      </c>
      <c r="Y200" s="2">
        <f t="shared" si="76"/>
        <v>1291562.4582581164</v>
      </c>
      <c r="Z200" s="2">
        <f t="shared" si="76"/>
        <v>1318685.2698815367</v>
      </c>
      <c r="AA200" s="2">
        <f t="shared" si="76"/>
        <v>1346377.660549049</v>
      </c>
    </row>
    <row r="201" spans="1:29" x14ac:dyDescent="0.25">
      <c r="G201" s="2"/>
      <c r="H201" s="2">
        <f>SUM(H200,H187)/H175</f>
        <v>201.04935658421064</v>
      </c>
      <c r="I201" s="2"/>
      <c r="J201" s="2"/>
      <c r="K201" s="2"/>
      <c r="L201" s="2"/>
      <c r="M201" s="2"/>
      <c r="N201" s="2"/>
      <c r="O201" s="2"/>
      <c r="P201" s="2"/>
      <c r="Q201" s="2"/>
      <c r="R201" s="2"/>
      <c r="S201" s="2"/>
      <c r="T201" s="2"/>
      <c r="U201" s="2"/>
      <c r="V201" s="2"/>
      <c r="W201" s="2"/>
      <c r="X201" s="2"/>
      <c r="Y201" s="2"/>
      <c r="Z201" s="2"/>
      <c r="AA201" s="2"/>
    </row>
    <row r="202" spans="1:29" x14ac:dyDescent="0.25">
      <c r="C202" s="1" t="s">
        <v>48</v>
      </c>
      <c r="G202" s="2"/>
      <c r="H202" s="2"/>
      <c r="I202" s="2"/>
      <c r="J202" s="2"/>
      <c r="K202" s="2"/>
      <c r="L202" s="2"/>
      <c r="M202" s="2"/>
      <c r="N202" s="2"/>
      <c r="O202" s="2"/>
      <c r="P202" s="2"/>
      <c r="Q202" s="2"/>
      <c r="R202" s="2"/>
      <c r="S202" s="2"/>
      <c r="T202" s="2"/>
      <c r="U202" s="2"/>
      <c r="V202" s="2"/>
      <c r="W202" s="2"/>
      <c r="X202" s="2"/>
      <c r="Y202" s="2"/>
      <c r="Z202" s="2"/>
      <c r="AA202" s="2"/>
    </row>
    <row r="203" spans="1:29" x14ac:dyDescent="0.25">
      <c r="A203" s="14">
        <f>'Notes &amp; Assumptions'!A59</f>
        <v>46</v>
      </c>
      <c r="E203" s="10" t="s">
        <v>44</v>
      </c>
      <c r="F203" t="s">
        <v>7</v>
      </c>
      <c r="G203" s="2"/>
      <c r="H203" s="10"/>
      <c r="I203" s="10"/>
      <c r="J203" s="10"/>
      <c r="K203" s="10"/>
      <c r="L203" s="10"/>
      <c r="M203" s="10"/>
      <c r="N203" s="10"/>
      <c r="O203" s="10"/>
      <c r="P203" s="10"/>
      <c r="Q203" s="10"/>
      <c r="R203" s="10"/>
      <c r="S203" s="10"/>
      <c r="T203" s="10"/>
      <c r="U203" s="10"/>
      <c r="V203" s="10"/>
      <c r="W203" s="10"/>
      <c r="X203" s="10"/>
      <c r="Y203" s="10"/>
      <c r="Z203" s="10"/>
      <c r="AA203" s="10"/>
    </row>
    <row r="204" spans="1:29" x14ac:dyDescent="0.25">
      <c r="A204" s="14">
        <f>'Notes &amp; Assumptions'!A60</f>
        <v>47</v>
      </c>
      <c r="E204" s="10" t="s">
        <v>45</v>
      </c>
      <c r="F204" t="s">
        <v>7</v>
      </c>
      <c r="G204" s="2"/>
      <c r="H204" s="10"/>
      <c r="I204" s="10"/>
      <c r="J204" s="10"/>
      <c r="K204" s="10"/>
      <c r="L204" s="10"/>
      <c r="M204" s="10"/>
      <c r="N204" s="10"/>
      <c r="O204" s="10"/>
      <c r="P204" s="10"/>
      <c r="Q204" s="10"/>
      <c r="R204" s="10"/>
      <c r="S204" s="10"/>
      <c r="T204" s="10"/>
      <c r="U204" s="10"/>
      <c r="V204" s="10"/>
      <c r="W204" s="10"/>
      <c r="X204" s="10"/>
      <c r="Y204" s="10"/>
      <c r="Z204" s="10"/>
      <c r="AA204" s="10"/>
    </row>
    <row r="205" spans="1:29" x14ac:dyDescent="0.25">
      <c r="A205" s="14">
        <f>'Notes &amp; Assumptions'!A61</f>
        <v>48</v>
      </c>
      <c r="E205" s="10" t="s">
        <v>46</v>
      </c>
      <c r="F205" t="s">
        <v>7</v>
      </c>
      <c r="G205" s="2"/>
      <c r="H205" s="10"/>
      <c r="I205" s="10"/>
      <c r="J205" s="10"/>
      <c r="K205" s="10"/>
      <c r="L205" s="10"/>
      <c r="M205" s="10"/>
      <c r="N205" s="10"/>
      <c r="O205" s="10"/>
      <c r="P205" s="10"/>
      <c r="Q205" s="10"/>
      <c r="R205" s="10"/>
      <c r="S205" s="10"/>
      <c r="T205" s="10"/>
      <c r="U205" s="10"/>
      <c r="V205" s="10"/>
      <c r="W205" s="10"/>
      <c r="X205" s="10"/>
      <c r="Y205" s="10"/>
      <c r="Z205" s="10"/>
      <c r="AA205" s="10"/>
    </row>
    <row r="206" spans="1:29" x14ac:dyDescent="0.25">
      <c r="A206" s="14">
        <f>'Notes &amp; Assumptions'!A62</f>
        <v>49</v>
      </c>
      <c r="E206" s="10" t="s">
        <v>47</v>
      </c>
      <c r="F206" t="s">
        <v>7</v>
      </c>
      <c r="G206" s="2"/>
      <c r="H206" s="10"/>
      <c r="I206" s="10"/>
      <c r="J206" s="10"/>
      <c r="K206" s="10"/>
      <c r="L206" s="10"/>
      <c r="M206" s="10"/>
      <c r="N206" s="10"/>
      <c r="O206" s="10"/>
      <c r="P206" s="10"/>
      <c r="Q206" s="10"/>
      <c r="R206" s="10"/>
      <c r="S206" s="10"/>
      <c r="T206" s="10"/>
      <c r="U206" s="10"/>
      <c r="V206" s="10"/>
      <c r="W206" s="10"/>
      <c r="X206" s="10"/>
      <c r="Y206" s="10"/>
      <c r="Z206" s="10"/>
      <c r="AA206" s="10"/>
    </row>
    <row r="207" spans="1:29" x14ac:dyDescent="0.25">
      <c r="E207" t="s">
        <v>17</v>
      </c>
      <c r="G207" s="2"/>
      <c r="H207" s="2">
        <f>SUM(H203:H206)</f>
        <v>0</v>
      </c>
      <c r="I207" s="2">
        <f t="shared" ref="I207:AA207" si="77">SUM(I203:I206)</f>
        <v>0</v>
      </c>
      <c r="J207" s="2">
        <f t="shared" si="77"/>
        <v>0</v>
      </c>
      <c r="K207" s="2">
        <f t="shared" si="77"/>
        <v>0</v>
      </c>
      <c r="L207" s="2">
        <f t="shared" si="77"/>
        <v>0</v>
      </c>
      <c r="M207" s="2">
        <f t="shared" si="77"/>
        <v>0</v>
      </c>
      <c r="N207" s="2">
        <f t="shared" si="77"/>
        <v>0</v>
      </c>
      <c r="O207" s="2">
        <f t="shared" si="77"/>
        <v>0</v>
      </c>
      <c r="P207" s="2">
        <f t="shared" si="77"/>
        <v>0</v>
      </c>
      <c r="Q207" s="2">
        <f t="shared" si="77"/>
        <v>0</v>
      </c>
      <c r="R207" s="2">
        <f t="shared" si="77"/>
        <v>0</v>
      </c>
      <c r="S207" s="2">
        <f t="shared" si="77"/>
        <v>0</v>
      </c>
      <c r="T207" s="2">
        <f t="shared" si="77"/>
        <v>0</v>
      </c>
      <c r="U207" s="2">
        <f t="shared" si="77"/>
        <v>0</v>
      </c>
      <c r="V207" s="2">
        <f t="shared" si="77"/>
        <v>0</v>
      </c>
      <c r="W207" s="2">
        <f t="shared" si="77"/>
        <v>0</v>
      </c>
      <c r="X207" s="2">
        <f t="shared" si="77"/>
        <v>0</v>
      </c>
      <c r="Y207" s="2">
        <f t="shared" si="77"/>
        <v>0</v>
      </c>
      <c r="Z207" s="2">
        <f t="shared" si="77"/>
        <v>0</v>
      </c>
      <c r="AA207" s="2">
        <f t="shared" si="77"/>
        <v>0</v>
      </c>
    </row>
    <row r="208" spans="1:29" x14ac:dyDescent="0.25">
      <c r="G208" s="2"/>
      <c r="H208" s="2"/>
      <c r="I208" s="2"/>
      <c r="J208" s="2"/>
      <c r="K208" s="2"/>
      <c r="L208" s="2"/>
      <c r="M208" s="2"/>
      <c r="N208" s="2"/>
      <c r="O208" s="2"/>
      <c r="P208" s="2"/>
      <c r="Q208" s="2"/>
      <c r="R208" s="2"/>
      <c r="S208" s="2"/>
      <c r="T208" s="2"/>
      <c r="U208" s="2"/>
      <c r="V208" s="2"/>
      <c r="W208" s="2"/>
      <c r="X208" s="2"/>
      <c r="Y208" s="2"/>
      <c r="Z208" s="2"/>
      <c r="AA208" s="2"/>
    </row>
    <row r="209" spans="1:27" x14ac:dyDescent="0.25">
      <c r="C209" s="1" t="s">
        <v>49</v>
      </c>
      <c r="G209" s="2"/>
      <c r="H209" s="2"/>
      <c r="I209" s="2"/>
      <c r="J209" s="2"/>
      <c r="K209" s="2"/>
      <c r="L209" s="2"/>
      <c r="M209" s="2"/>
      <c r="N209" s="2"/>
      <c r="O209" s="2"/>
      <c r="P209" s="2"/>
      <c r="Q209" s="2"/>
      <c r="R209" s="2"/>
      <c r="S209" s="2"/>
      <c r="T209" s="2"/>
      <c r="U209" s="2"/>
      <c r="V209" s="2"/>
      <c r="W209" s="2"/>
      <c r="X209" s="2"/>
      <c r="Y209" s="2"/>
      <c r="Z209" s="2"/>
      <c r="AA209" s="2"/>
    </row>
    <row r="210" spans="1:27" x14ac:dyDescent="0.25">
      <c r="A210" s="14">
        <f>'Notes &amp; Assumptions'!A63</f>
        <v>50</v>
      </c>
      <c r="E210" s="10" t="s">
        <v>174</v>
      </c>
      <c r="F210" t="s">
        <v>7</v>
      </c>
      <c r="G210" s="24">
        <v>0</v>
      </c>
      <c r="H210" s="10">
        <f>H107*($G$210*(1+$G$14)^(H2))</f>
        <v>0</v>
      </c>
      <c r="I210" s="10">
        <f>I107*($G$210*(1+$G$14)^(I2))</f>
        <v>0</v>
      </c>
      <c r="J210" s="10">
        <f t="shared" ref="J210:AA210" si="78">J107*($G$210*(1+$G$14)^(J2))</f>
        <v>0</v>
      </c>
      <c r="K210" s="10">
        <f t="shared" si="78"/>
        <v>0</v>
      </c>
      <c r="L210" s="10">
        <f t="shared" si="78"/>
        <v>0</v>
      </c>
      <c r="M210" s="10">
        <f t="shared" si="78"/>
        <v>0</v>
      </c>
      <c r="N210" s="10">
        <f t="shared" si="78"/>
        <v>0</v>
      </c>
      <c r="O210" s="10">
        <f t="shared" si="78"/>
        <v>0</v>
      </c>
      <c r="P210" s="10">
        <f t="shared" si="78"/>
        <v>0</v>
      </c>
      <c r="Q210" s="10">
        <f t="shared" si="78"/>
        <v>0</v>
      </c>
      <c r="R210" s="10">
        <f t="shared" si="78"/>
        <v>0</v>
      </c>
      <c r="S210" s="10">
        <f t="shared" si="78"/>
        <v>0</v>
      </c>
      <c r="T210" s="10">
        <f t="shared" si="78"/>
        <v>0</v>
      </c>
      <c r="U210" s="10">
        <f t="shared" si="78"/>
        <v>0</v>
      </c>
      <c r="V210" s="10">
        <f t="shared" si="78"/>
        <v>0</v>
      </c>
      <c r="W210" s="10">
        <f t="shared" si="78"/>
        <v>0</v>
      </c>
      <c r="X210" s="10">
        <f t="shared" si="78"/>
        <v>0</v>
      </c>
      <c r="Y210" s="10">
        <f t="shared" si="78"/>
        <v>0</v>
      </c>
      <c r="Z210" s="10">
        <f t="shared" si="78"/>
        <v>0</v>
      </c>
      <c r="AA210" s="10">
        <f t="shared" si="78"/>
        <v>0</v>
      </c>
    </row>
    <row r="211" spans="1:27" x14ac:dyDescent="0.25">
      <c r="A211" s="14">
        <f>'Notes &amp; Assumptions'!A64</f>
        <v>51</v>
      </c>
      <c r="E211" s="10" t="s">
        <v>50</v>
      </c>
      <c r="F211" t="s">
        <v>7</v>
      </c>
      <c r="G211" s="2"/>
      <c r="H211" s="10"/>
      <c r="I211" s="10"/>
      <c r="J211" s="10"/>
      <c r="K211" s="10"/>
      <c r="L211" s="10"/>
      <c r="M211" s="10"/>
      <c r="N211" s="10"/>
      <c r="O211" s="10"/>
      <c r="P211" s="10"/>
      <c r="Q211" s="10"/>
      <c r="R211" s="10"/>
      <c r="S211" s="10"/>
      <c r="T211" s="10"/>
      <c r="U211" s="10"/>
      <c r="V211" s="10"/>
      <c r="W211" s="10"/>
      <c r="X211" s="10"/>
      <c r="Y211" s="10"/>
      <c r="Z211" s="10"/>
      <c r="AA211" s="10"/>
    </row>
    <row r="212" spans="1:27" x14ac:dyDescent="0.25">
      <c r="A212" s="14">
        <f>'Notes &amp; Assumptions'!A65</f>
        <v>52</v>
      </c>
      <c r="E212" s="10" t="s">
        <v>51</v>
      </c>
      <c r="F212" t="s">
        <v>7</v>
      </c>
      <c r="G212" s="2"/>
      <c r="H212" s="10"/>
      <c r="I212" s="10"/>
      <c r="J212" s="10"/>
      <c r="K212" s="10"/>
      <c r="L212" s="10"/>
      <c r="M212" s="10"/>
      <c r="N212" s="10"/>
      <c r="O212" s="10"/>
      <c r="P212" s="10"/>
      <c r="Q212" s="10"/>
      <c r="R212" s="10"/>
      <c r="S212" s="10"/>
      <c r="T212" s="10"/>
      <c r="U212" s="10"/>
      <c r="V212" s="10"/>
      <c r="W212" s="10"/>
      <c r="X212" s="10"/>
      <c r="Y212" s="10"/>
      <c r="Z212" s="10"/>
      <c r="AA212" s="10"/>
    </row>
    <row r="213" spans="1:27" x14ac:dyDescent="0.25">
      <c r="A213" s="14">
        <f>'Notes &amp; Assumptions'!A66</f>
        <v>53</v>
      </c>
      <c r="E213" s="10" t="s">
        <v>52</v>
      </c>
      <c r="F213" t="s">
        <v>7</v>
      </c>
      <c r="G213" s="2"/>
      <c r="H213" s="10"/>
      <c r="I213" s="10"/>
      <c r="J213" s="10"/>
      <c r="K213" s="10"/>
      <c r="L213" s="10"/>
      <c r="M213" s="10"/>
      <c r="N213" s="10"/>
      <c r="O213" s="10"/>
      <c r="P213" s="10"/>
      <c r="Q213" s="10"/>
      <c r="R213" s="10"/>
      <c r="S213" s="10"/>
      <c r="T213" s="10"/>
      <c r="U213" s="10"/>
      <c r="V213" s="10"/>
      <c r="W213" s="10"/>
      <c r="X213" s="10"/>
      <c r="Y213" s="10"/>
      <c r="Z213" s="10"/>
      <c r="AA213" s="10"/>
    </row>
    <row r="214" spans="1:27" x14ac:dyDescent="0.25">
      <c r="E214" t="s">
        <v>17</v>
      </c>
      <c r="G214" s="2"/>
      <c r="H214" s="2">
        <f>SUM(H210:H213)</f>
        <v>0</v>
      </c>
      <c r="I214" s="2">
        <f t="shared" ref="I214:AA214" si="79">SUM(I210:I213)</f>
        <v>0</v>
      </c>
      <c r="J214" s="2">
        <f t="shared" si="79"/>
        <v>0</v>
      </c>
      <c r="K214" s="2">
        <f t="shared" si="79"/>
        <v>0</v>
      </c>
      <c r="L214" s="2">
        <f t="shared" si="79"/>
        <v>0</v>
      </c>
      <c r="M214" s="2">
        <f t="shared" si="79"/>
        <v>0</v>
      </c>
      <c r="N214" s="2">
        <f t="shared" si="79"/>
        <v>0</v>
      </c>
      <c r="O214" s="2">
        <f t="shared" si="79"/>
        <v>0</v>
      </c>
      <c r="P214" s="2">
        <f t="shared" si="79"/>
        <v>0</v>
      </c>
      <c r="Q214" s="2">
        <f t="shared" si="79"/>
        <v>0</v>
      </c>
      <c r="R214" s="2">
        <f t="shared" si="79"/>
        <v>0</v>
      </c>
      <c r="S214" s="2">
        <f t="shared" si="79"/>
        <v>0</v>
      </c>
      <c r="T214" s="2">
        <f t="shared" si="79"/>
        <v>0</v>
      </c>
      <c r="U214" s="2">
        <f t="shared" si="79"/>
        <v>0</v>
      </c>
      <c r="V214" s="2">
        <f t="shared" si="79"/>
        <v>0</v>
      </c>
      <c r="W214" s="2">
        <f t="shared" si="79"/>
        <v>0</v>
      </c>
      <c r="X214" s="2">
        <f t="shared" si="79"/>
        <v>0</v>
      </c>
      <c r="Y214" s="2">
        <f t="shared" si="79"/>
        <v>0</v>
      </c>
      <c r="Z214" s="2">
        <f t="shared" si="79"/>
        <v>0</v>
      </c>
      <c r="AA214" s="2">
        <f t="shared" si="79"/>
        <v>0</v>
      </c>
    </row>
    <row r="215" spans="1:27" x14ac:dyDescent="0.25">
      <c r="G215" s="2"/>
      <c r="H215" s="2"/>
      <c r="I215" s="2"/>
      <c r="J215" s="2"/>
      <c r="K215" s="2"/>
      <c r="L215" s="2"/>
      <c r="M215" s="2"/>
      <c r="N215" s="2"/>
      <c r="O215" s="2"/>
      <c r="P215" s="2"/>
      <c r="Q215" s="2"/>
      <c r="R215" s="2"/>
      <c r="S215" s="2"/>
      <c r="T215" s="2"/>
      <c r="U215" s="2"/>
      <c r="V215" s="2"/>
      <c r="W215" s="2"/>
      <c r="X215" s="2"/>
      <c r="Y215" s="2"/>
      <c r="Z215" s="2"/>
      <c r="AA215" s="2"/>
    </row>
    <row r="216" spans="1:27" x14ac:dyDescent="0.25">
      <c r="C216" s="1" t="s">
        <v>33</v>
      </c>
      <c r="G216" s="2"/>
      <c r="H216" s="2"/>
      <c r="I216" s="2"/>
      <c r="J216" s="2"/>
      <c r="K216" s="2"/>
      <c r="L216" s="2"/>
      <c r="M216" s="2"/>
      <c r="N216" s="2"/>
      <c r="O216" s="2"/>
      <c r="P216" s="2"/>
      <c r="Q216" s="2"/>
      <c r="R216" s="2"/>
      <c r="S216" s="2"/>
      <c r="T216" s="2"/>
      <c r="U216" s="2"/>
      <c r="V216" s="2"/>
      <c r="W216" s="2"/>
      <c r="X216" s="2"/>
      <c r="Y216" s="2"/>
      <c r="Z216" s="2"/>
      <c r="AA216" s="2"/>
    </row>
    <row r="217" spans="1:27" x14ac:dyDescent="0.25">
      <c r="C217" s="1"/>
      <c r="D217" s="1"/>
      <c r="E217" t="s">
        <v>29</v>
      </c>
      <c r="F217" t="s">
        <v>3</v>
      </c>
      <c r="G217" s="44"/>
      <c r="H217" s="2">
        <f t="shared" ref="H217:AA217" si="80">H174</f>
        <v>631</v>
      </c>
      <c r="I217" s="2">
        <f t="shared" si="80"/>
        <v>630</v>
      </c>
      <c r="J217" s="2">
        <f t="shared" si="80"/>
        <v>640.5</v>
      </c>
      <c r="K217" s="2">
        <f t="shared" si="80"/>
        <v>621</v>
      </c>
      <c r="L217" s="2">
        <f t="shared" si="80"/>
        <v>600</v>
      </c>
      <c r="M217" s="2">
        <f t="shared" si="80"/>
        <v>580</v>
      </c>
      <c r="N217" s="2">
        <f t="shared" si="80"/>
        <v>560</v>
      </c>
      <c r="O217" s="2">
        <f t="shared" si="80"/>
        <v>540.5</v>
      </c>
      <c r="P217" s="2">
        <f t="shared" si="80"/>
        <v>570</v>
      </c>
      <c r="Q217" s="2">
        <f t="shared" si="80"/>
        <v>602</v>
      </c>
      <c r="R217" s="2">
        <f t="shared" si="80"/>
        <v>635</v>
      </c>
      <c r="S217" s="2">
        <f t="shared" si="80"/>
        <v>671.5</v>
      </c>
      <c r="T217" s="2">
        <f t="shared" si="80"/>
        <v>710</v>
      </c>
      <c r="U217" s="2">
        <f t="shared" si="80"/>
        <v>707</v>
      </c>
      <c r="V217" s="2">
        <f t="shared" si="80"/>
        <v>703.5</v>
      </c>
      <c r="W217" s="2">
        <f t="shared" si="80"/>
        <v>0</v>
      </c>
      <c r="X217" s="2">
        <f t="shared" si="80"/>
        <v>0</v>
      </c>
      <c r="Y217" s="2">
        <f t="shared" si="80"/>
        <v>0</v>
      </c>
      <c r="Z217" s="2">
        <f t="shared" si="80"/>
        <v>0</v>
      </c>
      <c r="AA217" s="2">
        <f t="shared" si="80"/>
        <v>0</v>
      </c>
    </row>
    <row r="218" spans="1:27" x14ac:dyDescent="0.25">
      <c r="E218" t="s">
        <v>18</v>
      </c>
      <c r="F218" t="s">
        <v>22</v>
      </c>
      <c r="G218" s="8">
        <f ca="1">MAX(0,-G245/(NPV($G$16,H217:AA217)))</f>
        <v>0</v>
      </c>
      <c r="H218" s="2">
        <f t="shared" ref="H218:AA218" ca="1" si="81">G218*(1+$G$14)</f>
        <v>0</v>
      </c>
      <c r="I218" s="2">
        <f t="shared" ca="1" si="81"/>
        <v>0</v>
      </c>
      <c r="J218" s="2">
        <f t="shared" ca="1" si="81"/>
        <v>0</v>
      </c>
      <c r="K218" s="2">
        <f t="shared" ca="1" si="81"/>
        <v>0</v>
      </c>
      <c r="L218" s="2">
        <f t="shared" ca="1" si="81"/>
        <v>0</v>
      </c>
      <c r="M218" s="2">
        <f t="shared" ca="1" si="81"/>
        <v>0</v>
      </c>
      <c r="N218" s="2">
        <f t="shared" ca="1" si="81"/>
        <v>0</v>
      </c>
      <c r="O218" s="2">
        <f t="shared" ca="1" si="81"/>
        <v>0</v>
      </c>
      <c r="P218" s="2">
        <f t="shared" ca="1" si="81"/>
        <v>0</v>
      </c>
      <c r="Q218" s="2">
        <f t="shared" ca="1" si="81"/>
        <v>0</v>
      </c>
      <c r="R218" s="2">
        <f t="shared" ca="1" si="81"/>
        <v>0</v>
      </c>
      <c r="S218" s="2">
        <f t="shared" ca="1" si="81"/>
        <v>0</v>
      </c>
      <c r="T218" s="2">
        <f t="shared" ca="1" si="81"/>
        <v>0</v>
      </c>
      <c r="U218" s="2">
        <f t="shared" ca="1" si="81"/>
        <v>0</v>
      </c>
      <c r="V218" s="2">
        <f t="shared" ca="1" si="81"/>
        <v>0</v>
      </c>
      <c r="W218" s="2">
        <f t="shared" ca="1" si="81"/>
        <v>0</v>
      </c>
      <c r="X218" s="2">
        <f t="shared" ca="1" si="81"/>
        <v>0</v>
      </c>
      <c r="Y218" s="2">
        <f t="shared" ca="1" si="81"/>
        <v>0</v>
      </c>
      <c r="Z218" s="2">
        <f t="shared" ca="1" si="81"/>
        <v>0</v>
      </c>
      <c r="AA218" s="2">
        <f t="shared" ca="1" si="81"/>
        <v>0</v>
      </c>
    </row>
    <row r="219" spans="1:27" x14ac:dyDescent="0.25">
      <c r="E219" t="s">
        <v>21</v>
      </c>
      <c r="F219" t="s">
        <v>7</v>
      </c>
      <c r="H219" s="2">
        <f ca="1">H218*H217</f>
        <v>0</v>
      </c>
      <c r="I219" s="2">
        <f t="shared" ref="I219:AA219" ca="1" si="82">I218*I217</f>
        <v>0</v>
      </c>
      <c r="J219" s="2">
        <f t="shared" ca="1" si="82"/>
        <v>0</v>
      </c>
      <c r="K219" s="2">
        <f t="shared" ca="1" si="82"/>
        <v>0</v>
      </c>
      <c r="L219" s="2">
        <f t="shared" ca="1" si="82"/>
        <v>0</v>
      </c>
      <c r="M219" s="2">
        <f t="shared" ca="1" si="82"/>
        <v>0</v>
      </c>
      <c r="N219" s="2">
        <f t="shared" ca="1" si="82"/>
        <v>0</v>
      </c>
      <c r="O219" s="2">
        <f t="shared" ca="1" si="82"/>
        <v>0</v>
      </c>
      <c r="P219" s="2">
        <f t="shared" ca="1" si="82"/>
        <v>0</v>
      </c>
      <c r="Q219" s="2">
        <f t="shared" ca="1" si="82"/>
        <v>0</v>
      </c>
      <c r="R219" s="2">
        <f t="shared" ca="1" si="82"/>
        <v>0</v>
      </c>
      <c r="S219" s="2">
        <f t="shared" ca="1" si="82"/>
        <v>0</v>
      </c>
      <c r="T219" s="2">
        <f t="shared" ca="1" si="82"/>
        <v>0</v>
      </c>
      <c r="U219" s="2">
        <f t="shared" ca="1" si="82"/>
        <v>0</v>
      </c>
      <c r="V219" s="2">
        <f t="shared" ca="1" si="82"/>
        <v>0</v>
      </c>
      <c r="W219" s="2">
        <f t="shared" ca="1" si="82"/>
        <v>0</v>
      </c>
      <c r="X219" s="2">
        <f t="shared" ca="1" si="82"/>
        <v>0</v>
      </c>
      <c r="Y219" s="2">
        <f t="shared" ca="1" si="82"/>
        <v>0</v>
      </c>
      <c r="Z219" s="2">
        <f t="shared" ca="1" si="82"/>
        <v>0</v>
      </c>
      <c r="AA219" s="2">
        <f t="shared" ca="1" si="82"/>
        <v>0</v>
      </c>
    </row>
    <row r="220" spans="1:27" x14ac:dyDescent="0.25">
      <c r="G220" s="8">
        <f ca="1">-G245/(NPV($G$16,H217:AA217))</f>
        <v>-3763.0603461721662</v>
      </c>
    </row>
    <row r="221" spans="1:27" x14ac:dyDescent="0.25">
      <c r="D221" t="s">
        <v>9</v>
      </c>
    </row>
    <row r="222" spans="1:27" x14ac:dyDescent="0.25">
      <c r="E222" t="s">
        <v>107</v>
      </c>
      <c r="F222" t="s">
        <v>7</v>
      </c>
      <c r="G222" s="2">
        <f t="shared" ref="G222:AA222" si="83">G42</f>
        <v>0</v>
      </c>
      <c r="H222" s="2">
        <f t="shared" si="83"/>
        <v>4509756.9999999991</v>
      </c>
      <c r="I222" s="2">
        <f t="shared" si="83"/>
        <v>4597164.8099999987</v>
      </c>
      <c r="J222" s="2">
        <f t="shared" si="83"/>
        <v>4771933.6921934988</v>
      </c>
      <c r="K222" s="2">
        <f t="shared" si="83"/>
        <v>4723812.0376769044</v>
      </c>
      <c r="L222" s="2">
        <f t="shared" si="83"/>
        <v>4659915.0632542213</v>
      </c>
      <c r="M222" s="2">
        <f t="shared" si="83"/>
        <v>4599180.8369298074</v>
      </c>
      <c r="N222" s="2">
        <f t="shared" si="83"/>
        <v>4533840.7505568732</v>
      </c>
      <c r="O222" s="2">
        <f t="shared" si="83"/>
        <v>4467861.2234199736</v>
      </c>
      <c r="P222" s="2">
        <f t="shared" si="83"/>
        <v>4810659.0123843141</v>
      </c>
      <c r="Q222" s="2">
        <f t="shared" si="83"/>
        <v>5187426.4503331911</v>
      </c>
      <c r="R222" s="2">
        <f t="shared" si="83"/>
        <v>5586694.5642471267</v>
      </c>
      <c r="S222" s="2">
        <f t="shared" si="83"/>
        <v>6031883.7374640554</v>
      </c>
      <c r="T222" s="2">
        <f t="shared" si="83"/>
        <v>6511649.799143808</v>
      </c>
      <c r="U222" s="2">
        <f t="shared" si="83"/>
        <v>6620302.6374120573</v>
      </c>
      <c r="V222" s="2">
        <f t="shared" si="83"/>
        <v>6725866.9680808894</v>
      </c>
      <c r="W222" s="2">
        <f t="shared" si="83"/>
        <v>0</v>
      </c>
      <c r="X222" s="2">
        <f t="shared" si="83"/>
        <v>0</v>
      </c>
      <c r="Y222" s="2">
        <f t="shared" si="83"/>
        <v>0</v>
      </c>
      <c r="Z222" s="2">
        <f t="shared" si="83"/>
        <v>0</v>
      </c>
      <c r="AA222" s="2">
        <f t="shared" si="83"/>
        <v>0</v>
      </c>
    </row>
    <row r="223" spans="1:27" x14ac:dyDescent="0.25">
      <c r="E223" t="s">
        <v>11</v>
      </c>
      <c r="F223" t="s">
        <v>7</v>
      </c>
      <c r="G223" s="2">
        <f t="shared" ref="G223:AA223" si="84">G177</f>
        <v>0</v>
      </c>
      <c r="H223" s="2">
        <f t="shared" si="84"/>
        <v>288653.56898014928</v>
      </c>
      <c r="I223" s="2">
        <f t="shared" si="84"/>
        <v>572825.92652532854</v>
      </c>
      <c r="J223" s="2">
        <f t="shared" si="84"/>
        <v>881920.93399917393</v>
      </c>
      <c r="K223" s="2">
        <f t="shared" si="84"/>
        <v>1194511.2346511635</v>
      </c>
      <c r="L223" s="2">
        <f t="shared" si="84"/>
        <v>1509688.1736897605</v>
      </c>
      <c r="M223" s="2">
        <f t="shared" si="84"/>
        <v>1827702.9600676226</v>
      </c>
      <c r="N223" s="2">
        <f t="shared" si="84"/>
        <v>2148328.461445319</v>
      </c>
      <c r="O223" s="2">
        <f t="shared" si="84"/>
        <v>2471579.6959363348</v>
      </c>
      <c r="P223" s="2">
        <f t="shared" si="84"/>
        <v>2822959.2875489299</v>
      </c>
      <c r="Q223" s="2">
        <f t="shared" si="84"/>
        <v>3205172.6334840977</v>
      </c>
      <c r="R223" s="2">
        <f t="shared" si="84"/>
        <v>3620267.9699721858</v>
      </c>
      <c r="S223" s="2">
        <f t="shared" si="84"/>
        <v>4071794.5278430968</v>
      </c>
      <c r="T223" s="2">
        <f t="shared" si="84"/>
        <v>4562669.8667324763</v>
      </c>
      <c r="U223" s="2">
        <f t="shared" si="84"/>
        <v>5070617.5181534961</v>
      </c>
      <c r="V223" s="2">
        <f t="shared" si="84"/>
        <v>5595803.7327928292</v>
      </c>
      <c r="W223" s="2">
        <f t="shared" si="84"/>
        <v>5713315.611181478</v>
      </c>
      <c r="X223" s="2">
        <f t="shared" si="84"/>
        <v>5833295.2390162889</v>
      </c>
      <c r="Y223" s="2">
        <f t="shared" si="84"/>
        <v>5955794.4390356299</v>
      </c>
      <c r="Z223" s="2">
        <f t="shared" si="84"/>
        <v>6080866.1222553784</v>
      </c>
      <c r="AA223" s="2">
        <f t="shared" si="84"/>
        <v>6208564.3108227402</v>
      </c>
    </row>
    <row r="224" spans="1:27" x14ac:dyDescent="0.25">
      <c r="E224" t="s">
        <v>57</v>
      </c>
      <c r="F224" t="s">
        <v>7</v>
      </c>
      <c r="G224" s="2">
        <f t="shared" ref="G224:AA224" si="85">-G187</f>
        <v>0</v>
      </c>
      <c r="H224" s="2">
        <f t="shared" si="85"/>
        <v>-65980.424504636918</v>
      </c>
      <c r="I224" s="2">
        <f t="shared" si="85"/>
        <v>-138807.84817265513</v>
      </c>
      <c r="J224" s="2">
        <f t="shared" si="85"/>
        <v>-220356.24092493614</v>
      </c>
      <c r="K224" s="2">
        <f t="shared" si="85"/>
        <v>-298459.86784409551</v>
      </c>
      <c r="L224" s="2">
        <f t="shared" si="85"/>
        <v>-377209.79069470562</v>
      </c>
      <c r="M224" s="2">
        <f t="shared" si="85"/>
        <v>-456668.77639652125</v>
      </c>
      <c r="N224" s="2">
        <f t="shared" si="85"/>
        <v>-536780.07379807299</v>
      </c>
      <c r="O224" s="2">
        <f t="shared" si="85"/>
        <v>-617547.43531627906</v>
      </c>
      <c r="P224" s="2">
        <f t="shared" si="85"/>
        <v>-705342.93144355796</v>
      </c>
      <c r="Q224" s="2">
        <f t="shared" si="85"/>
        <v>-800842.53111820936</v>
      </c>
      <c r="R224" s="2">
        <f t="shared" si="85"/>
        <v>-904558.00542859954</v>
      </c>
      <c r="S224" s="2">
        <f t="shared" si="85"/>
        <v>-1017376.1630825177</v>
      </c>
      <c r="T224" s="2">
        <f t="shared" si="85"/>
        <v>-1140025.9837982133</v>
      </c>
      <c r="U224" s="2">
        <f t="shared" si="85"/>
        <v>-1266941.4823863108</v>
      </c>
      <c r="V224" s="2">
        <f t="shared" si="85"/>
        <v>-1398164.1981446701</v>
      </c>
      <c r="W224" s="2">
        <f t="shared" si="85"/>
        <v>-1427525.6463057082</v>
      </c>
      <c r="X224" s="2">
        <f t="shared" si="85"/>
        <v>-1457503.6848781279</v>
      </c>
      <c r="Y224" s="2">
        <f t="shared" si="85"/>
        <v>-1488111.2622605683</v>
      </c>
      <c r="Z224" s="2">
        <f t="shared" si="85"/>
        <v>-1519361.5987680401</v>
      </c>
      <c r="AA224" s="2">
        <f t="shared" si="85"/>
        <v>-1551268.1923421687</v>
      </c>
    </row>
    <row r="225" spans="4:28" customFormat="1" x14ac:dyDescent="0.25">
      <c r="E225" t="s">
        <v>10</v>
      </c>
      <c r="F225" t="s">
        <v>7</v>
      </c>
      <c r="G225" s="2">
        <f t="shared" ref="G225:AA225" si="86">-G200</f>
        <v>0</v>
      </c>
      <c r="H225" s="2">
        <f t="shared" si="86"/>
        <v>-60881.719499999999</v>
      </c>
      <c r="I225" s="2">
        <f t="shared" si="86"/>
        <v>-124221.96054450001</v>
      </c>
      <c r="J225" s="2">
        <f t="shared" si="86"/>
        <v>-191251.72656054673</v>
      </c>
      <c r="K225" s="2">
        <f t="shared" si="86"/>
        <v>-259039.47532695642</v>
      </c>
      <c r="L225" s="2">
        <f t="shared" si="86"/>
        <v>-327388.15766275453</v>
      </c>
      <c r="M225" s="2">
        <f t="shared" si="86"/>
        <v>-396352.25027222477</v>
      </c>
      <c r="N225" s="2">
        <f t="shared" si="86"/>
        <v>-465882.49766045925</v>
      </c>
      <c r="O225" s="2">
        <f t="shared" si="86"/>
        <v>-535982.15662749857</v>
      </c>
      <c r="P225" s="2">
        <f t="shared" si="86"/>
        <v>-612181.67858386412</v>
      </c>
      <c r="Q225" s="2">
        <f t="shared" si="86"/>
        <v>-695067.75091362349</v>
      </c>
      <c r="R225" s="2">
        <f t="shared" si="86"/>
        <v>-785084.55030014575</v>
      </c>
      <c r="S225" s="2">
        <f t="shared" si="86"/>
        <v>-883001.75631221361</v>
      </c>
      <c r="T225" s="2">
        <f t="shared" si="86"/>
        <v>-989452.06548321131</v>
      </c>
      <c r="U225" s="2">
        <f t="shared" si="86"/>
        <v>-1099604.6444634215</v>
      </c>
      <c r="V225" s="2">
        <f t="shared" si="86"/>
        <v>-1213495.5460662455</v>
      </c>
      <c r="W225" s="2">
        <f t="shared" si="86"/>
        <v>-1238978.9525336365</v>
      </c>
      <c r="X225" s="2">
        <f t="shared" si="86"/>
        <v>-1264997.5105368427</v>
      </c>
      <c r="Y225" s="2">
        <f t="shared" si="86"/>
        <v>-1291562.4582581164</v>
      </c>
      <c r="Z225" s="2">
        <f t="shared" si="86"/>
        <v>-1318685.2698815367</v>
      </c>
      <c r="AA225" s="2">
        <f t="shared" si="86"/>
        <v>-1346377.660549049</v>
      </c>
    </row>
    <row r="226" spans="4:28" customFormat="1" x14ac:dyDescent="0.25">
      <c r="E226" t="s">
        <v>12</v>
      </c>
      <c r="F226" t="s">
        <v>7</v>
      </c>
      <c r="G226" s="2">
        <f t="shared" ref="G226:AA226" si="87">-G34-G50-G85</f>
        <v>-160007.50781539051</v>
      </c>
      <c r="H226" s="2">
        <f t="shared" si="87"/>
        <v>-234463.42455297761</v>
      </c>
      <c r="I226" s="2">
        <f t="shared" si="87"/>
        <v>-310879.37408949831</v>
      </c>
      <c r="J226" s="2">
        <f t="shared" si="87"/>
        <v>-363900.85955831496</v>
      </c>
      <c r="K226" s="2">
        <f t="shared" si="87"/>
        <v>-416387.65997694724</v>
      </c>
      <c r="L226" s="2">
        <f t="shared" si="87"/>
        <v>-472469.91732806549</v>
      </c>
      <c r="M226" s="2">
        <f t="shared" si="87"/>
        <v>-536581.12861656712</v>
      </c>
      <c r="N226" s="2">
        <f t="shared" si="87"/>
        <v>-586957.13695608801</v>
      </c>
      <c r="O226" s="2">
        <f t="shared" si="87"/>
        <v>-636600.03943853208</v>
      </c>
      <c r="P226" s="2">
        <f t="shared" si="87"/>
        <v>-690051.80624280218</v>
      </c>
      <c r="Q226" s="2">
        <f t="shared" si="87"/>
        <v>-747689.87791317096</v>
      </c>
      <c r="R226" s="2">
        <f t="shared" si="87"/>
        <v>-809764.26196036127</v>
      </c>
      <c r="S226" s="2">
        <f t="shared" si="87"/>
        <v>-876785.19237662852</v>
      </c>
      <c r="T226" s="2">
        <f t="shared" si="87"/>
        <v>-949136.85681155976</v>
      </c>
      <c r="U226" s="2">
        <f t="shared" si="87"/>
        <v>-1022695.7750050271</v>
      </c>
      <c r="V226" s="2">
        <f t="shared" si="87"/>
        <v>-1097427.6302059258</v>
      </c>
      <c r="W226" s="2">
        <f t="shared" si="87"/>
        <v>-1097427.6302059258</v>
      </c>
      <c r="X226" s="2">
        <f t="shared" si="87"/>
        <v>-1097427.6302059258</v>
      </c>
      <c r="Y226" s="2">
        <f t="shared" si="87"/>
        <v>-1097427.6302059258</v>
      </c>
      <c r="Z226" s="2">
        <f t="shared" si="87"/>
        <v>-1097427.6302059258</v>
      </c>
      <c r="AA226" s="2">
        <f t="shared" si="87"/>
        <v>-1097427.6302059258</v>
      </c>
    </row>
    <row r="227" spans="4:28" customFormat="1" x14ac:dyDescent="0.25">
      <c r="E227" t="s">
        <v>48</v>
      </c>
      <c r="F227" t="s">
        <v>7</v>
      </c>
      <c r="G227" s="2">
        <f t="shared" ref="G227:AA227" si="88">G207</f>
        <v>0</v>
      </c>
      <c r="H227" s="2">
        <f t="shared" si="88"/>
        <v>0</v>
      </c>
      <c r="I227" s="2">
        <f t="shared" si="88"/>
        <v>0</v>
      </c>
      <c r="J227" s="2">
        <f t="shared" si="88"/>
        <v>0</v>
      </c>
      <c r="K227" s="2">
        <f t="shared" si="88"/>
        <v>0</v>
      </c>
      <c r="L227" s="2">
        <f t="shared" si="88"/>
        <v>0</v>
      </c>
      <c r="M227" s="2">
        <f t="shared" si="88"/>
        <v>0</v>
      </c>
      <c r="N227" s="2">
        <f t="shared" si="88"/>
        <v>0</v>
      </c>
      <c r="O227" s="2">
        <f t="shared" si="88"/>
        <v>0</v>
      </c>
      <c r="P227" s="2">
        <f t="shared" si="88"/>
        <v>0</v>
      </c>
      <c r="Q227" s="2">
        <f t="shared" si="88"/>
        <v>0</v>
      </c>
      <c r="R227" s="2">
        <f t="shared" si="88"/>
        <v>0</v>
      </c>
      <c r="S227" s="2">
        <f t="shared" si="88"/>
        <v>0</v>
      </c>
      <c r="T227" s="2">
        <f t="shared" si="88"/>
        <v>0</v>
      </c>
      <c r="U227" s="2">
        <f t="shared" si="88"/>
        <v>0</v>
      </c>
      <c r="V227" s="2">
        <f t="shared" si="88"/>
        <v>0</v>
      </c>
      <c r="W227" s="2">
        <f t="shared" si="88"/>
        <v>0</v>
      </c>
      <c r="X227" s="2">
        <f t="shared" si="88"/>
        <v>0</v>
      </c>
      <c r="Y227" s="2">
        <f t="shared" si="88"/>
        <v>0</v>
      </c>
      <c r="Z227" s="2">
        <f t="shared" si="88"/>
        <v>0</v>
      </c>
      <c r="AA227" s="2">
        <f t="shared" si="88"/>
        <v>0</v>
      </c>
    </row>
    <row r="228" spans="4:28" customFormat="1" x14ac:dyDescent="0.25">
      <c r="E228" t="s">
        <v>13</v>
      </c>
      <c r="F228" t="s">
        <v>7</v>
      </c>
      <c r="H228" s="2">
        <f t="shared" ref="H228:AA228" ca="1" si="89">H219</f>
        <v>0</v>
      </c>
      <c r="I228" s="2">
        <f t="shared" ca="1" si="89"/>
        <v>0</v>
      </c>
      <c r="J228" s="2">
        <f t="shared" ca="1" si="89"/>
        <v>0</v>
      </c>
      <c r="K228" s="2">
        <f t="shared" ca="1" si="89"/>
        <v>0</v>
      </c>
      <c r="L228" s="2">
        <f t="shared" ca="1" si="89"/>
        <v>0</v>
      </c>
      <c r="M228" s="2">
        <f t="shared" ca="1" si="89"/>
        <v>0</v>
      </c>
      <c r="N228" s="2">
        <f t="shared" ca="1" si="89"/>
        <v>0</v>
      </c>
      <c r="O228" s="2">
        <f t="shared" ca="1" si="89"/>
        <v>0</v>
      </c>
      <c r="P228" s="2">
        <f t="shared" ca="1" si="89"/>
        <v>0</v>
      </c>
      <c r="Q228" s="2">
        <f t="shared" ca="1" si="89"/>
        <v>0</v>
      </c>
      <c r="R228" s="2">
        <f t="shared" ca="1" si="89"/>
        <v>0</v>
      </c>
      <c r="S228" s="2">
        <f t="shared" ca="1" si="89"/>
        <v>0</v>
      </c>
      <c r="T228" s="2">
        <f t="shared" ca="1" si="89"/>
        <v>0</v>
      </c>
      <c r="U228" s="2">
        <f t="shared" ca="1" si="89"/>
        <v>0</v>
      </c>
      <c r="V228" s="2">
        <f t="shared" ca="1" si="89"/>
        <v>0</v>
      </c>
      <c r="W228" s="2">
        <f t="shared" ca="1" si="89"/>
        <v>0</v>
      </c>
      <c r="X228" s="2">
        <f t="shared" ca="1" si="89"/>
        <v>0</v>
      </c>
      <c r="Y228" s="2">
        <f t="shared" ca="1" si="89"/>
        <v>0</v>
      </c>
      <c r="Z228" s="2">
        <f t="shared" ca="1" si="89"/>
        <v>0</v>
      </c>
      <c r="AA228" s="2">
        <f t="shared" ca="1" si="89"/>
        <v>0</v>
      </c>
    </row>
    <row r="229" spans="4:28" customFormat="1" x14ac:dyDescent="0.25"/>
    <row r="230" spans="4:28" customFormat="1" x14ac:dyDescent="0.25">
      <c r="E230" t="s">
        <v>14</v>
      </c>
      <c r="F230" t="s">
        <v>7</v>
      </c>
      <c r="G230" s="2">
        <f t="shared" ref="G230:AA230" si="90">SUM(G222:G228)</f>
        <v>-160007.50781539051</v>
      </c>
      <c r="H230" s="2">
        <f t="shared" ca="1" si="90"/>
        <v>4437085.0004225336</v>
      </c>
      <c r="I230" s="2">
        <f t="shared" ca="1" si="90"/>
        <v>4596081.553718674</v>
      </c>
      <c r="J230" s="2">
        <f t="shared" ca="1" si="90"/>
        <v>4878345.7991488753</v>
      </c>
      <c r="K230" s="2">
        <f t="shared" ca="1" si="90"/>
        <v>4944436.2691800687</v>
      </c>
      <c r="L230" s="2">
        <f t="shared" ca="1" si="90"/>
        <v>4992535.3712584563</v>
      </c>
      <c r="M230" s="2">
        <f t="shared" ca="1" si="90"/>
        <v>5037281.641712117</v>
      </c>
      <c r="N230" s="2">
        <f t="shared" ca="1" si="90"/>
        <v>5092549.503587571</v>
      </c>
      <c r="O230" s="2">
        <f t="shared" ca="1" si="90"/>
        <v>5149311.287973999</v>
      </c>
      <c r="P230" s="2">
        <f t="shared" ca="1" si="90"/>
        <v>5626041.8836630192</v>
      </c>
      <c r="Q230" s="2">
        <f t="shared" ca="1" si="90"/>
        <v>6148998.9238722846</v>
      </c>
      <c r="R230" s="2">
        <f t="shared" ca="1" si="90"/>
        <v>6707555.7165302075</v>
      </c>
      <c r="S230" s="2">
        <f t="shared" ca="1" si="90"/>
        <v>7326515.1535357926</v>
      </c>
      <c r="T230" s="2">
        <f t="shared" ca="1" si="90"/>
        <v>7995704.7597833006</v>
      </c>
      <c r="U230" s="2">
        <f t="shared" ca="1" si="90"/>
        <v>8301678.2537107924</v>
      </c>
      <c r="V230" s="2">
        <f t="shared" ca="1" si="90"/>
        <v>8612583.3264568765</v>
      </c>
      <c r="W230" s="2">
        <f t="shared" ca="1" si="90"/>
        <v>1949383.3821362078</v>
      </c>
      <c r="X230" s="2">
        <f t="shared" ca="1" si="90"/>
        <v>2013366.4133953925</v>
      </c>
      <c r="Y230" s="2">
        <f t="shared" ca="1" si="90"/>
        <v>2078693.0883110191</v>
      </c>
      <c r="Z230" s="2">
        <f t="shared" ca="1" si="90"/>
        <v>2145391.6233998761</v>
      </c>
      <c r="AA230" s="2">
        <f t="shared" ca="1" si="90"/>
        <v>2213490.8277255967</v>
      </c>
    </row>
    <row r="231" spans="4:28" customFormat="1" x14ac:dyDescent="0.25">
      <c r="E231" t="s">
        <v>15</v>
      </c>
      <c r="F231" t="s">
        <v>7</v>
      </c>
      <c r="G231" s="2">
        <f>-G230*G$18</f>
        <v>48002.252344617147</v>
      </c>
      <c r="H231" s="2">
        <f t="shared" ref="H231:AA231" ca="1" si="91">-H230*H$18</f>
        <v>-1331125.50012676</v>
      </c>
      <c r="I231" s="2">
        <f t="shared" ca="1" si="91"/>
        <v>-1378824.4661156021</v>
      </c>
      <c r="J231" s="2">
        <f t="shared" ca="1" si="91"/>
        <v>-1463503.7397446625</v>
      </c>
      <c r="K231" s="2">
        <f t="shared" ca="1" si="91"/>
        <v>-1483330.8807540205</v>
      </c>
      <c r="L231" s="2">
        <f t="shared" ca="1" si="91"/>
        <v>-1497760.6113775368</v>
      </c>
      <c r="M231" s="2">
        <f t="shared" ca="1" si="91"/>
        <v>-1511184.492513635</v>
      </c>
      <c r="N231" s="2">
        <f t="shared" ca="1" si="91"/>
        <v>-1527764.8510762712</v>
      </c>
      <c r="O231" s="2">
        <f t="shared" ca="1" si="91"/>
        <v>-1544793.3863921997</v>
      </c>
      <c r="P231" s="2">
        <f t="shared" ca="1" si="91"/>
        <v>-1687812.5650989057</v>
      </c>
      <c r="Q231" s="2">
        <f t="shared" ca="1" si="91"/>
        <v>-1844699.6771616854</v>
      </c>
      <c r="R231" s="2">
        <f t="shared" ca="1" si="91"/>
        <v>-2012266.7149590622</v>
      </c>
      <c r="S231" s="2">
        <f t="shared" ca="1" si="91"/>
        <v>-2197954.5460607377</v>
      </c>
      <c r="T231" s="2">
        <f t="shared" ca="1" si="91"/>
        <v>-2398711.4279349903</v>
      </c>
      <c r="U231" s="2">
        <f t="shared" ca="1" si="91"/>
        <v>-2490503.4761132374</v>
      </c>
      <c r="V231" s="2">
        <f t="shared" ca="1" si="91"/>
        <v>-2583774.9979370628</v>
      </c>
      <c r="W231" s="2">
        <f t="shared" ca="1" si="91"/>
        <v>-584815.01464086236</v>
      </c>
      <c r="X231" s="2">
        <f t="shared" ca="1" si="91"/>
        <v>-604009.92401861772</v>
      </c>
      <c r="Y231" s="2">
        <f t="shared" ca="1" si="91"/>
        <v>-623607.92649330571</v>
      </c>
      <c r="Z231" s="2">
        <f t="shared" ca="1" si="91"/>
        <v>-643617.48701996275</v>
      </c>
      <c r="AA231" s="2">
        <f t="shared" ca="1" si="91"/>
        <v>-664047.24831767904</v>
      </c>
    </row>
    <row r="232" spans="4:28" customFormat="1" x14ac:dyDescent="0.25"/>
    <row r="233" spans="4:28" customFormat="1" x14ac:dyDescent="0.25">
      <c r="D233" t="s">
        <v>28</v>
      </c>
    </row>
    <row r="234" spans="4:28" customFormat="1" x14ac:dyDescent="0.25">
      <c r="E234" t="s">
        <v>1</v>
      </c>
      <c r="F234" t="s">
        <v>7</v>
      </c>
      <c r="G234" s="2">
        <f t="shared" ref="G234:AA234" si="92">-G26</f>
        <v>-14400675.703385144</v>
      </c>
      <c r="H234" s="2">
        <f t="shared" si="92"/>
        <v>-2191275.5063828407</v>
      </c>
      <c r="I234" s="2">
        <f t="shared" si="92"/>
        <v>-2280270.6482868665</v>
      </c>
      <c r="J234" s="2">
        <f t="shared" si="92"/>
        <v>0</v>
      </c>
      <c r="K234" s="2">
        <f t="shared" si="92"/>
        <v>0</v>
      </c>
      <c r="L234" s="2">
        <f t="shared" si="92"/>
        <v>-387488.09834641748</v>
      </c>
      <c r="M234" s="2">
        <f t="shared" si="92"/>
        <v>-1170828.1790353376</v>
      </c>
      <c r="N234" s="2">
        <f t="shared" si="92"/>
        <v>0</v>
      </c>
      <c r="O234" s="2">
        <f t="shared" si="92"/>
        <v>0</v>
      </c>
      <c r="P234" s="2">
        <f t="shared" si="92"/>
        <v>0</v>
      </c>
      <c r="Q234" s="2">
        <f t="shared" si="92"/>
        <v>0</v>
      </c>
      <c r="R234" s="2">
        <f t="shared" si="92"/>
        <v>0</v>
      </c>
      <c r="S234" s="2">
        <f t="shared" si="92"/>
        <v>0</v>
      </c>
      <c r="T234" s="2">
        <f t="shared" si="92"/>
        <v>0</v>
      </c>
      <c r="U234" s="2">
        <f t="shared" si="92"/>
        <v>0</v>
      </c>
      <c r="V234" s="2">
        <f t="shared" si="92"/>
        <v>0</v>
      </c>
      <c r="W234" s="2">
        <f t="shared" si="92"/>
        <v>0</v>
      </c>
      <c r="X234" s="2">
        <f t="shared" si="92"/>
        <v>0</v>
      </c>
      <c r="Y234" s="2">
        <f t="shared" si="92"/>
        <v>0</v>
      </c>
      <c r="Z234" s="2">
        <f t="shared" si="92"/>
        <v>0</v>
      </c>
      <c r="AA234" s="2">
        <f t="shared" si="92"/>
        <v>0</v>
      </c>
    </row>
    <row r="235" spans="4:28" customFormat="1" x14ac:dyDescent="0.25">
      <c r="E235" t="s">
        <v>19</v>
      </c>
      <c r="F235" t="s">
        <v>7</v>
      </c>
      <c r="G235" s="2">
        <f t="shared" ref="G235:AA235" si="93">G84</f>
        <v>0</v>
      </c>
      <c r="H235" s="2">
        <f t="shared" si="93"/>
        <v>0</v>
      </c>
      <c r="I235" s="2">
        <f t="shared" si="93"/>
        <v>0</v>
      </c>
      <c r="J235" s="2">
        <f t="shared" si="93"/>
        <v>0</v>
      </c>
      <c r="K235" s="2">
        <f t="shared" si="93"/>
        <v>0</v>
      </c>
      <c r="L235" s="2">
        <f t="shared" si="93"/>
        <v>0</v>
      </c>
      <c r="M235" s="2">
        <f t="shared" si="93"/>
        <v>0</v>
      </c>
      <c r="N235" s="2">
        <f t="shared" si="93"/>
        <v>0</v>
      </c>
      <c r="O235" s="2">
        <f t="shared" si="93"/>
        <v>0</v>
      </c>
      <c r="P235" s="2">
        <f t="shared" si="93"/>
        <v>0</v>
      </c>
      <c r="Q235" s="2">
        <f t="shared" si="93"/>
        <v>0</v>
      </c>
      <c r="R235" s="2">
        <f t="shared" si="93"/>
        <v>0</v>
      </c>
      <c r="S235" s="2">
        <f t="shared" si="93"/>
        <v>0</v>
      </c>
      <c r="T235" s="2">
        <f t="shared" si="93"/>
        <v>0</v>
      </c>
      <c r="U235" s="2">
        <f t="shared" si="93"/>
        <v>0</v>
      </c>
      <c r="V235" s="2">
        <f t="shared" si="93"/>
        <v>0</v>
      </c>
      <c r="W235" s="2">
        <f t="shared" si="93"/>
        <v>0</v>
      </c>
      <c r="X235" s="2">
        <f t="shared" si="93"/>
        <v>0</v>
      </c>
      <c r="Y235" s="2">
        <f t="shared" si="93"/>
        <v>0</v>
      </c>
      <c r="Z235" s="2">
        <f t="shared" si="93"/>
        <v>0</v>
      </c>
      <c r="AA235" s="2">
        <f t="shared" si="93"/>
        <v>0</v>
      </c>
    </row>
    <row r="236" spans="4:28" customFormat="1" x14ac:dyDescent="0.25">
      <c r="E236" t="s">
        <v>109</v>
      </c>
      <c r="F236" t="s">
        <v>7</v>
      </c>
      <c r="G236" s="2">
        <f t="shared" ref="G236:AA236" si="94">G53</f>
        <v>0</v>
      </c>
      <c r="H236" s="2">
        <f t="shared" si="94"/>
        <v>0</v>
      </c>
      <c r="I236" s="2">
        <f t="shared" si="94"/>
        <v>0</v>
      </c>
      <c r="J236" s="2">
        <f t="shared" si="94"/>
        <v>0</v>
      </c>
      <c r="K236" s="2">
        <f t="shared" si="94"/>
        <v>0</v>
      </c>
      <c r="L236" s="2">
        <f t="shared" si="94"/>
        <v>0</v>
      </c>
      <c r="M236" s="2">
        <f t="shared" si="94"/>
        <v>0</v>
      </c>
      <c r="N236" s="2">
        <f t="shared" si="94"/>
        <v>0</v>
      </c>
      <c r="O236" s="2">
        <f t="shared" si="94"/>
        <v>0</v>
      </c>
      <c r="P236" s="2">
        <f t="shared" si="94"/>
        <v>0</v>
      </c>
      <c r="Q236" s="2">
        <f t="shared" si="94"/>
        <v>0</v>
      </c>
      <c r="R236" s="2">
        <f t="shared" si="94"/>
        <v>0</v>
      </c>
      <c r="S236" s="2">
        <f t="shared" si="94"/>
        <v>0</v>
      </c>
      <c r="T236" s="2">
        <f t="shared" si="94"/>
        <v>0</v>
      </c>
      <c r="U236" s="2">
        <f t="shared" si="94"/>
        <v>0</v>
      </c>
      <c r="V236" s="2">
        <f t="shared" si="94"/>
        <v>0</v>
      </c>
      <c r="W236" s="2">
        <f t="shared" si="94"/>
        <v>0</v>
      </c>
      <c r="X236" s="2">
        <f t="shared" si="94"/>
        <v>0</v>
      </c>
      <c r="Y236" s="2">
        <f t="shared" si="94"/>
        <v>0</v>
      </c>
      <c r="Z236" s="2">
        <f t="shared" si="94"/>
        <v>0</v>
      </c>
      <c r="AA236" s="2">
        <f t="shared" si="94"/>
        <v>0</v>
      </c>
    </row>
    <row r="237" spans="4:28" customFormat="1" x14ac:dyDescent="0.25">
      <c r="E237" t="s">
        <v>11</v>
      </c>
      <c r="F237" t="s">
        <v>7</v>
      </c>
      <c r="G237" s="2">
        <f t="shared" ref="G237:AA237" si="95">G177</f>
        <v>0</v>
      </c>
      <c r="H237" s="2">
        <f t="shared" si="95"/>
        <v>288653.56898014928</v>
      </c>
      <c r="I237" s="2">
        <f t="shared" si="95"/>
        <v>572825.92652532854</v>
      </c>
      <c r="J237" s="2">
        <f>J177</f>
        <v>881920.93399917393</v>
      </c>
      <c r="K237" s="2">
        <f t="shared" si="95"/>
        <v>1194511.2346511635</v>
      </c>
      <c r="L237" s="2">
        <f t="shared" si="95"/>
        <v>1509688.1736897605</v>
      </c>
      <c r="M237" s="2">
        <f t="shared" si="95"/>
        <v>1827702.9600676226</v>
      </c>
      <c r="N237" s="2">
        <f>N177</f>
        <v>2148328.461445319</v>
      </c>
      <c r="O237" s="2">
        <f t="shared" si="95"/>
        <v>2471579.6959363348</v>
      </c>
      <c r="P237" s="2">
        <f t="shared" si="95"/>
        <v>2822959.2875489299</v>
      </c>
      <c r="Q237" s="2">
        <f t="shared" si="95"/>
        <v>3205172.6334840977</v>
      </c>
      <c r="R237" s="2">
        <f t="shared" si="95"/>
        <v>3620267.9699721858</v>
      </c>
      <c r="S237" s="2">
        <f t="shared" si="95"/>
        <v>4071794.5278430968</v>
      </c>
      <c r="T237" s="2">
        <f t="shared" si="95"/>
        <v>4562669.8667324763</v>
      </c>
      <c r="U237" s="2">
        <f t="shared" si="95"/>
        <v>5070617.5181534961</v>
      </c>
      <c r="V237" s="2">
        <f t="shared" si="95"/>
        <v>5595803.7327928292</v>
      </c>
      <c r="W237" s="2">
        <f t="shared" si="95"/>
        <v>5713315.611181478</v>
      </c>
      <c r="X237" s="2">
        <f t="shared" si="95"/>
        <v>5833295.2390162889</v>
      </c>
      <c r="Y237" s="2">
        <f t="shared" si="95"/>
        <v>5955794.4390356299</v>
      </c>
      <c r="Z237" s="2">
        <f t="shared" si="95"/>
        <v>6080866.1222553784</v>
      </c>
      <c r="AA237" s="2">
        <f t="shared" si="95"/>
        <v>6208564.3108227402</v>
      </c>
      <c r="AB237" s="2">
        <f t="shared" ref="AB237:AB241" si="96">IF(V237=0,0,IF($G$15&gt;(AA237/V237)^(1/5)-1+2%,AA237*(AA237/V237)^(1/5)/($G$15-((AA237/V237)^(1/5)-1)),AA237*(1+$G$14)/$G$16))</f>
        <v>206952143.69409177</v>
      </c>
    </row>
    <row r="238" spans="4:28" customFormat="1" x14ac:dyDescent="0.25">
      <c r="E238" t="s">
        <v>57</v>
      </c>
      <c r="F238" t="s">
        <v>7</v>
      </c>
      <c r="G238" s="2">
        <f t="shared" ref="G238:AA238" si="97">G224</f>
        <v>0</v>
      </c>
      <c r="H238" s="2">
        <f t="shared" si="97"/>
        <v>-65980.424504636918</v>
      </c>
      <c r="I238" s="2">
        <f t="shared" si="97"/>
        <v>-138807.84817265513</v>
      </c>
      <c r="J238" s="2">
        <f t="shared" si="97"/>
        <v>-220356.24092493614</v>
      </c>
      <c r="K238" s="2">
        <f t="shared" si="97"/>
        <v>-298459.86784409551</v>
      </c>
      <c r="L238" s="2">
        <f t="shared" si="97"/>
        <v>-377209.79069470562</v>
      </c>
      <c r="M238" s="2">
        <f t="shared" si="97"/>
        <v>-456668.77639652125</v>
      </c>
      <c r="N238" s="2">
        <f t="shared" si="97"/>
        <v>-536780.07379807299</v>
      </c>
      <c r="O238" s="2">
        <f t="shared" si="97"/>
        <v>-617547.43531627906</v>
      </c>
      <c r="P238" s="2">
        <f t="shared" si="97"/>
        <v>-705342.93144355796</v>
      </c>
      <c r="Q238" s="2">
        <f t="shared" si="97"/>
        <v>-800842.53111820936</v>
      </c>
      <c r="R238" s="2">
        <f t="shared" si="97"/>
        <v>-904558.00542859954</v>
      </c>
      <c r="S238" s="2">
        <f t="shared" si="97"/>
        <v>-1017376.1630825177</v>
      </c>
      <c r="T238" s="2">
        <f t="shared" si="97"/>
        <v>-1140025.9837982133</v>
      </c>
      <c r="U238" s="2">
        <f t="shared" si="97"/>
        <v>-1266941.4823863108</v>
      </c>
      <c r="V238" s="2">
        <f t="shared" si="97"/>
        <v>-1398164.1981446701</v>
      </c>
      <c r="W238" s="2">
        <f t="shared" si="97"/>
        <v>-1427525.6463057082</v>
      </c>
      <c r="X238" s="2">
        <f t="shared" si="97"/>
        <v>-1457503.6848781279</v>
      </c>
      <c r="Y238" s="2">
        <f t="shared" si="97"/>
        <v>-1488111.2622605683</v>
      </c>
      <c r="Z238" s="2">
        <f t="shared" si="97"/>
        <v>-1519361.5987680401</v>
      </c>
      <c r="AA238" s="2">
        <f t="shared" si="97"/>
        <v>-1551268.1923421687</v>
      </c>
      <c r="AB238" s="2">
        <f t="shared" si="96"/>
        <v>-51708939.744739063</v>
      </c>
    </row>
    <row r="239" spans="4:28" customFormat="1" x14ac:dyDescent="0.25">
      <c r="E239" t="s">
        <v>10</v>
      </c>
      <c r="F239" t="s">
        <v>7</v>
      </c>
      <c r="G239" s="2">
        <f t="shared" ref="G239:AA239" si="98">-G200</f>
        <v>0</v>
      </c>
      <c r="H239" s="2">
        <f t="shared" si="98"/>
        <v>-60881.719499999999</v>
      </c>
      <c r="I239" s="2">
        <f t="shared" si="98"/>
        <v>-124221.96054450001</v>
      </c>
      <c r="J239" s="2">
        <f t="shared" si="98"/>
        <v>-191251.72656054673</v>
      </c>
      <c r="K239" s="2">
        <f t="shared" si="98"/>
        <v>-259039.47532695642</v>
      </c>
      <c r="L239" s="2">
        <f t="shared" si="98"/>
        <v>-327388.15766275453</v>
      </c>
      <c r="M239" s="2">
        <f t="shared" si="98"/>
        <v>-396352.25027222477</v>
      </c>
      <c r="N239" s="2">
        <f t="shared" si="98"/>
        <v>-465882.49766045925</v>
      </c>
      <c r="O239" s="2">
        <f t="shared" si="98"/>
        <v>-535982.15662749857</v>
      </c>
      <c r="P239" s="2">
        <f t="shared" si="98"/>
        <v>-612181.67858386412</v>
      </c>
      <c r="Q239" s="2">
        <f t="shared" si="98"/>
        <v>-695067.75091362349</v>
      </c>
      <c r="R239" s="2">
        <f t="shared" si="98"/>
        <v>-785084.55030014575</v>
      </c>
      <c r="S239" s="2">
        <f t="shared" si="98"/>
        <v>-883001.75631221361</v>
      </c>
      <c r="T239" s="2">
        <f t="shared" si="98"/>
        <v>-989452.06548321131</v>
      </c>
      <c r="U239" s="2">
        <f t="shared" si="98"/>
        <v>-1099604.6444634215</v>
      </c>
      <c r="V239" s="2">
        <f t="shared" si="98"/>
        <v>-1213495.5460662455</v>
      </c>
      <c r="W239" s="2">
        <f t="shared" si="98"/>
        <v>-1238978.9525336365</v>
      </c>
      <c r="X239" s="2">
        <f t="shared" si="98"/>
        <v>-1264997.5105368427</v>
      </c>
      <c r="Y239" s="2">
        <f t="shared" si="98"/>
        <v>-1291562.4582581164</v>
      </c>
      <c r="Z239" s="2">
        <f t="shared" si="98"/>
        <v>-1318685.2698815367</v>
      </c>
      <c r="AA239" s="2">
        <f t="shared" si="98"/>
        <v>-1346377.660549049</v>
      </c>
      <c r="AB239" s="2">
        <f t="shared" si="96"/>
        <v>-44879255.351635061</v>
      </c>
    </row>
    <row r="240" spans="4:28" customFormat="1" x14ac:dyDescent="0.25">
      <c r="E240" t="s">
        <v>48</v>
      </c>
      <c r="F240" t="s">
        <v>7</v>
      </c>
      <c r="G240" s="2">
        <f t="shared" ref="G240:AA240" si="99">G207</f>
        <v>0</v>
      </c>
      <c r="H240" s="2">
        <f t="shared" si="99"/>
        <v>0</v>
      </c>
      <c r="I240" s="2">
        <f t="shared" si="99"/>
        <v>0</v>
      </c>
      <c r="J240" s="2">
        <f t="shared" si="99"/>
        <v>0</v>
      </c>
      <c r="K240" s="2">
        <f t="shared" si="99"/>
        <v>0</v>
      </c>
      <c r="L240" s="2">
        <f t="shared" si="99"/>
        <v>0</v>
      </c>
      <c r="M240" s="2">
        <f t="shared" si="99"/>
        <v>0</v>
      </c>
      <c r="N240" s="2">
        <f t="shared" si="99"/>
        <v>0</v>
      </c>
      <c r="O240" s="2">
        <f t="shared" si="99"/>
        <v>0</v>
      </c>
      <c r="P240" s="2">
        <f t="shared" si="99"/>
        <v>0</v>
      </c>
      <c r="Q240" s="2">
        <f t="shared" si="99"/>
        <v>0</v>
      </c>
      <c r="R240" s="2">
        <f t="shared" si="99"/>
        <v>0</v>
      </c>
      <c r="S240" s="2">
        <f t="shared" si="99"/>
        <v>0</v>
      </c>
      <c r="T240" s="2">
        <f t="shared" si="99"/>
        <v>0</v>
      </c>
      <c r="U240" s="2">
        <f t="shared" si="99"/>
        <v>0</v>
      </c>
      <c r="V240" s="2">
        <f t="shared" si="99"/>
        <v>0</v>
      </c>
      <c r="W240" s="2">
        <f t="shared" si="99"/>
        <v>0</v>
      </c>
      <c r="X240" s="2">
        <f t="shared" si="99"/>
        <v>0</v>
      </c>
      <c r="Y240" s="2">
        <f t="shared" si="99"/>
        <v>0</v>
      </c>
      <c r="Z240" s="2">
        <f t="shared" si="99"/>
        <v>0</v>
      </c>
      <c r="AA240" s="2">
        <f t="shared" si="99"/>
        <v>0</v>
      </c>
      <c r="AB240" s="2">
        <f t="shared" si="96"/>
        <v>0</v>
      </c>
    </row>
    <row r="241" spans="3:28" customFormat="1" x14ac:dyDescent="0.25">
      <c r="E241" t="s">
        <v>49</v>
      </c>
      <c r="F241" t="s">
        <v>7</v>
      </c>
      <c r="G241" s="2">
        <f t="shared" ref="G241:AA241" si="100">G214</f>
        <v>0</v>
      </c>
      <c r="H241" s="2">
        <f t="shared" si="100"/>
        <v>0</v>
      </c>
      <c r="I241" s="2">
        <f t="shared" si="100"/>
        <v>0</v>
      </c>
      <c r="J241" s="2">
        <f t="shared" si="100"/>
        <v>0</v>
      </c>
      <c r="K241" s="2">
        <f t="shared" si="100"/>
        <v>0</v>
      </c>
      <c r="L241" s="2">
        <f t="shared" si="100"/>
        <v>0</v>
      </c>
      <c r="M241" s="2">
        <f t="shared" si="100"/>
        <v>0</v>
      </c>
      <c r="N241" s="2">
        <f t="shared" si="100"/>
        <v>0</v>
      </c>
      <c r="O241" s="2">
        <f t="shared" si="100"/>
        <v>0</v>
      </c>
      <c r="P241" s="2">
        <f t="shared" si="100"/>
        <v>0</v>
      </c>
      <c r="Q241" s="2">
        <f t="shared" si="100"/>
        <v>0</v>
      </c>
      <c r="R241" s="2">
        <f t="shared" si="100"/>
        <v>0</v>
      </c>
      <c r="S241" s="2">
        <f t="shared" si="100"/>
        <v>0</v>
      </c>
      <c r="T241" s="2">
        <f t="shared" si="100"/>
        <v>0</v>
      </c>
      <c r="U241" s="2">
        <f t="shared" si="100"/>
        <v>0</v>
      </c>
      <c r="V241" s="2">
        <f t="shared" si="100"/>
        <v>0</v>
      </c>
      <c r="W241" s="2">
        <f t="shared" si="100"/>
        <v>0</v>
      </c>
      <c r="X241" s="2">
        <f t="shared" si="100"/>
        <v>0</v>
      </c>
      <c r="Y241" s="2">
        <f t="shared" si="100"/>
        <v>0</v>
      </c>
      <c r="Z241" s="2">
        <f t="shared" si="100"/>
        <v>0</v>
      </c>
      <c r="AA241" s="2">
        <f t="shared" si="100"/>
        <v>0</v>
      </c>
      <c r="AB241" s="2">
        <f t="shared" si="96"/>
        <v>0</v>
      </c>
    </row>
    <row r="242" spans="3:28" customFormat="1" x14ac:dyDescent="0.25">
      <c r="E242" t="s">
        <v>20</v>
      </c>
      <c r="F242" t="s">
        <v>7</v>
      </c>
      <c r="G242" s="2">
        <f t="shared" ref="G242:AA242" si="101">G231</f>
        <v>48002.252344617147</v>
      </c>
      <c r="H242" s="2">
        <f t="shared" ca="1" si="101"/>
        <v>-1331125.50012676</v>
      </c>
      <c r="I242" s="2">
        <f t="shared" ca="1" si="101"/>
        <v>-1378824.4661156021</v>
      </c>
      <c r="J242" s="2">
        <f t="shared" ca="1" si="101"/>
        <v>-1463503.7397446625</v>
      </c>
      <c r="K242" s="2">
        <f t="shared" ca="1" si="101"/>
        <v>-1483330.8807540205</v>
      </c>
      <c r="L242" s="2">
        <f t="shared" ca="1" si="101"/>
        <v>-1497760.6113775368</v>
      </c>
      <c r="M242" s="2">
        <f t="shared" ca="1" si="101"/>
        <v>-1511184.492513635</v>
      </c>
      <c r="N242" s="2">
        <f t="shared" ca="1" si="101"/>
        <v>-1527764.8510762712</v>
      </c>
      <c r="O242" s="2">
        <f t="shared" ca="1" si="101"/>
        <v>-1544793.3863921997</v>
      </c>
      <c r="P242" s="2">
        <f t="shared" ca="1" si="101"/>
        <v>-1687812.5650989057</v>
      </c>
      <c r="Q242" s="2">
        <f t="shared" ca="1" si="101"/>
        <v>-1844699.6771616854</v>
      </c>
      <c r="R242" s="2">
        <f t="shared" ca="1" si="101"/>
        <v>-2012266.7149590622</v>
      </c>
      <c r="S242" s="2">
        <f t="shared" ca="1" si="101"/>
        <v>-2197954.5460607377</v>
      </c>
      <c r="T242" s="2">
        <f t="shared" ca="1" si="101"/>
        <v>-2398711.4279349903</v>
      </c>
      <c r="U242" s="2">
        <f t="shared" ca="1" si="101"/>
        <v>-2490503.4761132374</v>
      </c>
      <c r="V242" s="2">
        <f t="shared" ca="1" si="101"/>
        <v>-2583774.9979370628</v>
      </c>
      <c r="W242" s="2">
        <f t="shared" ca="1" si="101"/>
        <v>-584815.01464086236</v>
      </c>
      <c r="X242" s="2">
        <f t="shared" ca="1" si="101"/>
        <v>-604009.92401861772</v>
      </c>
      <c r="Y242" s="2">
        <f t="shared" ca="1" si="101"/>
        <v>-623607.92649330571</v>
      </c>
      <c r="Z242" s="2">
        <f t="shared" ca="1" si="101"/>
        <v>-643617.48701996275</v>
      </c>
      <c r="AA242" s="2">
        <f t="shared" ca="1" si="101"/>
        <v>-664047.24831767904</v>
      </c>
      <c r="AB242" s="2">
        <f ca="1">IF(V242=0,0,IF($G$15&gt;(AA242/V242)^(1/5)-1+2%,AA242*(AA242/V242)^(1/5)/($G$15-((AA242/V242)^(1/5)-1)),AA242*(1+$G$14)/$G$16))</f>
        <v>-1747565.4968981957</v>
      </c>
    </row>
    <row r="243" spans="3:28" customFormat="1" x14ac:dyDescent="0.25">
      <c r="E243" t="s">
        <v>173</v>
      </c>
      <c r="F243" t="s">
        <v>7</v>
      </c>
      <c r="G243" s="2">
        <f>-$G$17*G242</f>
        <v>-24001.126172308574</v>
      </c>
      <c r="H243" s="2">
        <f t="shared" ref="H243:AA243" ca="1" si="102">-$G$17*H242</f>
        <v>665562.75006337999</v>
      </c>
      <c r="I243" s="2">
        <f t="shared" ca="1" si="102"/>
        <v>689412.23305780103</v>
      </c>
      <c r="J243" s="2">
        <f t="shared" ca="1" si="102"/>
        <v>731751.86987233127</v>
      </c>
      <c r="K243" s="2">
        <f t="shared" ca="1" si="102"/>
        <v>741665.44037701027</v>
      </c>
      <c r="L243" s="2">
        <f t="shared" ca="1" si="102"/>
        <v>748880.30568876839</v>
      </c>
      <c r="M243" s="2">
        <f t="shared" ca="1" si="102"/>
        <v>755592.24625681748</v>
      </c>
      <c r="N243" s="2">
        <f t="shared" ca="1" si="102"/>
        <v>763882.42553813558</v>
      </c>
      <c r="O243" s="2">
        <f t="shared" ca="1" si="102"/>
        <v>772396.69319609983</v>
      </c>
      <c r="P243" s="2">
        <f t="shared" ca="1" si="102"/>
        <v>843906.28254945285</v>
      </c>
      <c r="Q243" s="2">
        <f t="shared" ca="1" si="102"/>
        <v>922349.83858084271</v>
      </c>
      <c r="R243" s="2">
        <f t="shared" ca="1" si="102"/>
        <v>1006133.3574795311</v>
      </c>
      <c r="S243" s="2">
        <f t="shared" ca="1" si="102"/>
        <v>1098977.2730303688</v>
      </c>
      <c r="T243" s="2">
        <f t="shared" ca="1" si="102"/>
        <v>1199355.7139674951</v>
      </c>
      <c r="U243" s="2">
        <f t="shared" ca="1" si="102"/>
        <v>1245251.7380566187</v>
      </c>
      <c r="V243" s="2">
        <f t="shared" ca="1" si="102"/>
        <v>1291887.4989685314</v>
      </c>
      <c r="W243" s="2">
        <f t="shared" ca="1" si="102"/>
        <v>292407.50732043118</v>
      </c>
      <c r="X243" s="2">
        <f t="shared" ca="1" si="102"/>
        <v>302004.96200930886</v>
      </c>
      <c r="Y243" s="2">
        <f t="shared" ca="1" si="102"/>
        <v>311803.96324665286</v>
      </c>
      <c r="Z243" s="2">
        <f t="shared" ca="1" si="102"/>
        <v>321808.74350998137</v>
      </c>
      <c r="AA243" s="2">
        <f t="shared" ca="1" si="102"/>
        <v>332023.62415883952</v>
      </c>
      <c r="AB243" s="2">
        <f ca="1">IF(V243=0,0,IF($G$15&gt;(AA243/V243)^(1/5)-1+2%,AA243*(AA243/V243)^(1/5)/($G$15-((AA243/V243)^(1/5)-1)),AA243*(1+$G$14)/$G$16))</f>
        <v>873782.74844909785</v>
      </c>
    </row>
    <row r="244" spans="3:28" customFormat="1" x14ac:dyDescent="0.25">
      <c r="E244" t="s">
        <v>23</v>
      </c>
      <c r="F244" t="s">
        <v>7</v>
      </c>
      <c r="G244" s="2">
        <f>SUM(G234:G243)</f>
        <v>-14376674.577212835</v>
      </c>
      <c r="H244" s="2">
        <f t="shared" ref="H244:AB244" ca="1" si="103">SUM(H234:H243)</f>
        <v>-2695046.8314707084</v>
      </c>
      <c r="I244" s="2">
        <f t="shared" ca="1" si="103"/>
        <v>-2659886.7635364938</v>
      </c>
      <c r="J244" s="2">
        <f t="shared" ca="1" si="103"/>
        <v>-261438.90335864027</v>
      </c>
      <c r="K244" s="2">
        <f t="shared" ca="1" si="103"/>
        <v>-104653.54889689875</v>
      </c>
      <c r="L244" s="2">
        <f t="shared" ca="1" si="103"/>
        <v>-331278.17870288552</v>
      </c>
      <c r="M244" s="2">
        <f t="shared" ca="1" si="103"/>
        <v>-951738.49189327855</v>
      </c>
      <c r="N244" s="2">
        <f ca="1">SUM(N234:N243)</f>
        <v>381783.46444865118</v>
      </c>
      <c r="O244" s="2">
        <f t="shared" ca="1" si="103"/>
        <v>545653.41079645732</v>
      </c>
      <c r="P244" s="2">
        <f t="shared" ca="1" si="103"/>
        <v>661528.39497205487</v>
      </c>
      <c r="Q244" s="2">
        <f t="shared" ca="1" si="103"/>
        <v>786912.51287142199</v>
      </c>
      <c r="R244" s="2">
        <f t="shared" ca="1" si="103"/>
        <v>924492.05676390929</v>
      </c>
      <c r="S244" s="2">
        <f t="shared" ca="1" si="103"/>
        <v>1072439.3354179969</v>
      </c>
      <c r="T244" s="2">
        <f t="shared" ca="1" si="103"/>
        <v>1233836.1034835563</v>
      </c>
      <c r="U244" s="2">
        <f t="shared" ca="1" si="103"/>
        <v>1458819.653247145</v>
      </c>
      <c r="V244" s="2">
        <f t="shared" ca="1" si="103"/>
        <v>1692256.4896133826</v>
      </c>
      <c r="W244" s="2">
        <f t="shared" ca="1" si="103"/>
        <v>2754403.5050217025</v>
      </c>
      <c r="X244" s="2">
        <f t="shared" ca="1" si="103"/>
        <v>2808789.0815920094</v>
      </c>
      <c r="Y244" s="2">
        <f t="shared" ca="1" si="103"/>
        <v>2864316.7552702921</v>
      </c>
      <c r="Z244" s="2">
        <f t="shared" ca="1" si="103"/>
        <v>2921010.5100958208</v>
      </c>
      <c r="AA244" s="2">
        <f t="shared" ca="1" si="103"/>
        <v>2978894.8337726831</v>
      </c>
      <c r="AB244" s="2">
        <f t="shared" ca="1" si="103"/>
        <v>109490165.84926856</v>
      </c>
    </row>
    <row r="245" spans="3:28" customFormat="1" x14ac:dyDescent="0.25">
      <c r="E245" t="s">
        <v>31</v>
      </c>
      <c r="F245" t="s">
        <v>7</v>
      </c>
      <c r="G245" s="2">
        <f ca="1">NPV($G$15,H244:AB244)+G244</f>
        <v>28022081.725933768</v>
      </c>
    </row>
    <row r="247" spans="3:28" customFormat="1" x14ac:dyDescent="0.25">
      <c r="E247" t="s">
        <v>13</v>
      </c>
      <c r="F247" t="s">
        <v>7</v>
      </c>
      <c r="H247" s="2">
        <f t="shared" ref="H247:AA247" ca="1" si="104">H219</f>
        <v>0</v>
      </c>
      <c r="I247" s="2">
        <f t="shared" ca="1" si="104"/>
        <v>0</v>
      </c>
      <c r="J247" s="2">
        <f t="shared" ca="1" si="104"/>
        <v>0</v>
      </c>
      <c r="K247" s="2">
        <f t="shared" ca="1" si="104"/>
        <v>0</v>
      </c>
      <c r="L247" s="2">
        <f t="shared" ca="1" si="104"/>
        <v>0</v>
      </c>
      <c r="M247" s="2">
        <f t="shared" ca="1" si="104"/>
        <v>0</v>
      </c>
      <c r="N247" s="2">
        <f t="shared" ca="1" si="104"/>
        <v>0</v>
      </c>
      <c r="O247" s="2">
        <f t="shared" ca="1" si="104"/>
        <v>0</v>
      </c>
      <c r="P247" s="2">
        <f t="shared" ca="1" si="104"/>
        <v>0</v>
      </c>
      <c r="Q247" s="2">
        <f t="shared" ca="1" si="104"/>
        <v>0</v>
      </c>
      <c r="R247" s="2">
        <f t="shared" ca="1" si="104"/>
        <v>0</v>
      </c>
      <c r="S247" s="2">
        <f t="shared" ca="1" si="104"/>
        <v>0</v>
      </c>
      <c r="T247" s="2">
        <f t="shared" ca="1" si="104"/>
        <v>0</v>
      </c>
      <c r="U247" s="2">
        <f t="shared" ca="1" si="104"/>
        <v>0</v>
      </c>
      <c r="V247" s="2">
        <f t="shared" ca="1" si="104"/>
        <v>0</v>
      </c>
      <c r="W247" s="2">
        <f t="shared" ca="1" si="104"/>
        <v>0</v>
      </c>
      <c r="X247" s="2">
        <f t="shared" ca="1" si="104"/>
        <v>0</v>
      </c>
      <c r="Y247" s="2">
        <f t="shared" ca="1" si="104"/>
        <v>0</v>
      </c>
      <c r="Z247" s="2">
        <f t="shared" ca="1" si="104"/>
        <v>0</v>
      </c>
      <c r="AA247" s="2">
        <f t="shared" ca="1" si="104"/>
        <v>0</v>
      </c>
    </row>
    <row r="248" spans="3:28" customFormat="1" x14ac:dyDescent="0.25">
      <c r="E248" t="s">
        <v>24</v>
      </c>
      <c r="F248" t="s">
        <v>7</v>
      </c>
      <c r="G248" s="2">
        <f ca="1">NPV($G$15,H247:AA247)+G247</f>
        <v>0</v>
      </c>
    </row>
    <row r="249" spans="3:28" customFormat="1" x14ac:dyDescent="0.25">
      <c r="E249" s="3" t="s">
        <v>34</v>
      </c>
      <c r="F249" s="3"/>
      <c r="G249" s="4" t="str">
        <f ca="1">IF(G245&gt;0,"N/A",IF(ABS(G245+G248)&gt;1,"Error","OK"))</f>
        <v>N/A</v>
      </c>
    </row>
    <row r="251" spans="3:28" customFormat="1" x14ac:dyDescent="0.25">
      <c r="C251" s="1" t="s">
        <v>35</v>
      </c>
      <c r="D251" s="1"/>
    </row>
    <row r="252" spans="3:28" customFormat="1" x14ac:dyDescent="0.25">
      <c r="C252" s="1"/>
      <c r="D252" s="1"/>
      <c r="G252" s="44"/>
    </row>
    <row r="253" spans="3:28" customFormat="1" x14ac:dyDescent="0.25">
      <c r="C253" s="1"/>
      <c r="D253" t="s">
        <v>35</v>
      </c>
      <c r="F253" t="s">
        <v>7</v>
      </c>
      <c r="G253" s="8">
        <f ca="1">MAX(0,-G279)</f>
        <v>0</v>
      </c>
    </row>
    <row r="255" spans="3:28" customFormat="1" x14ac:dyDescent="0.25">
      <c r="D255" t="s">
        <v>9</v>
      </c>
    </row>
    <row r="256" spans="3:28" customFormat="1" x14ac:dyDescent="0.25">
      <c r="E256" t="s">
        <v>107</v>
      </c>
      <c r="F256" t="s">
        <v>7</v>
      </c>
      <c r="G256" s="2">
        <f t="shared" ref="G256:AA261" si="105">G222</f>
        <v>0</v>
      </c>
      <c r="H256" s="2">
        <f t="shared" si="105"/>
        <v>4509756.9999999991</v>
      </c>
      <c r="I256" s="2">
        <f t="shared" si="105"/>
        <v>4597164.8099999987</v>
      </c>
      <c r="J256" s="2">
        <f t="shared" si="105"/>
        <v>4771933.6921934988</v>
      </c>
      <c r="K256" s="2">
        <f t="shared" si="105"/>
        <v>4723812.0376769044</v>
      </c>
      <c r="L256" s="2">
        <f t="shared" si="105"/>
        <v>4659915.0632542213</v>
      </c>
      <c r="M256" s="2">
        <f t="shared" si="105"/>
        <v>4599180.8369298074</v>
      </c>
      <c r="N256" s="2">
        <f t="shared" si="105"/>
        <v>4533840.7505568732</v>
      </c>
      <c r="O256" s="2">
        <f t="shared" si="105"/>
        <v>4467861.2234199736</v>
      </c>
      <c r="P256" s="2">
        <f t="shared" si="105"/>
        <v>4810659.0123843141</v>
      </c>
      <c r="Q256" s="2">
        <f t="shared" si="105"/>
        <v>5187426.4503331911</v>
      </c>
      <c r="R256" s="2">
        <f t="shared" si="105"/>
        <v>5586694.5642471267</v>
      </c>
      <c r="S256" s="2">
        <f t="shared" si="105"/>
        <v>6031883.7374640554</v>
      </c>
      <c r="T256" s="2">
        <f t="shared" si="105"/>
        <v>6511649.799143808</v>
      </c>
      <c r="U256" s="2">
        <f t="shared" si="105"/>
        <v>6620302.6374120573</v>
      </c>
      <c r="V256" s="2">
        <f t="shared" si="105"/>
        <v>6725866.9680808894</v>
      </c>
      <c r="W256" s="2">
        <f t="shared" si="105"/>
        <v>0</v>
      </c>
      <c r="X256" s="2">
        <f t="shared" si="105"/>
        <v>0</v>
      </c>
      <c r="Y256" s="2">
        <f t="shared" si="105"/>
        <v>0</v>
      </c>
      <c r="Z256" s="2">
        <f t="shared" si="105"/>
        <v>0</v>
      </c>
      <c r="AA256" s="2">
        <f t="shared" si="105"/>
        <v>0</v>
      </c>
    </row>
    <row r="257" spans="4:28" customFormat="1" x14ac:dyDescent="0.25">
      <c r="E257" t="s">
        <v>11</v>
      </c>
      <c r="F257" t="s">
        <v>7</v>
      </c>
      <c r="G257" s="2">
        <f t="shared" si="105"/>
        <v>0</v>
      </c>
      <c r="H257" s="2">
        <f t="shared" si="105"/>
        <v>288653.56898014928</v>
      </c>
      <c r="I257" s="2">
        <f t="shared" si="105"/>
        <v>572825.92652532854</v>
      </c>
      <c r="J257" s="2">
        <f t="shared" si="105"/>
        <v>881920.93399917393</v>
      </c>
      <c r="K257" s="2">
        <f t="shared" si="105"/>
        <v>1194511.2346511635</v>
      </c>
      <c r="L257" s="2">
        <f t="shared" si="105"/>
        <v>1509688.1736897605</v>
      </c>
      <c r="M257" s="2">
        <f t="shared" si="105"/>
        <v>1827702.9600676226</v>
      </c>
      <c r="N257" s="2">
        <f t="shared" si="105"/>
        <v>2148328.461445319</v>
      </c>
      <c r="O257" s="2">
        <f t="shared" si="105"/>
        <v>2471579.6959363348</v>
      </c>
      <c r="P257" s="2">
        <f t="shared" si="105"/>
        <v>2822959.2875489299</v>
      </c>
      <c r="Q257" s="2">
        <f t="shared" si="105"/>
        <v>3205172.6334840977</v>
      </c>
      <c r="R257" s="2">
        <f t="shared" si="105"/>
        <v>3620267.9699721858</v>
      </c>
      <c r="S257" s="2">
        <f t="shared" si="105"/>
        <v>4071794.5278430968</v>
      </c>
      <c r="T257" s="2">
        <f t="shared" si="105"/>
        <v>4562669.8667324763</v>
      </c>
      <c r="U257" s="2">
        <f t="shared" si="105"/>
        <v>5070617.5181534961</v>
      </c>
      <c r="V257" s="2">
        <f t="shared" si="105"/>
        <v>5595803.7327928292</v>
      </c>
      <c r="W257" s="2">
        <f t="shared" si="105"/>
        <v>5713315.611181478</v>
      </c>
      <c r="X257" s="2">
        <f t="shared" si="105"/>
        <v>5833295.2390162889</v>
      </c>
      <c r="Y257" s="2">
        <f t="shared" si="105"/>
        <v>5955794.4390356299</v>
      </c>
      <c r="Z257" s="2">
        <f t="shared" si="105"/>
        <v>6080866.1222553784</v>
      </c>
      <c r="AA257" s="2">
        <f t="shared" si="105"/>
        <v>6208564.3108227402</v>
      </c>
    </row>
    <row r="258" spans="4:28" customFormat="1" x14ac:dyDescent="0.25">
      <c r="E258" t="s">
        <v>57</v>
      </c>
      <c r="F258" t="s">
        <v>7</v>
      </c>
      <c r="G258" s="2">
        <f t="shared" si="105"/>
        <v>0</v>
      </c>
      <c r="H258" s="2">
        <f t="shared" si="105"/>
        <v>-65980.424504636918</v>
      </c>
      <c r="I258" s="2">
        <f t="shared" si="105"/>
        <v>-138807.84817265513</v>
      </c>
      <c r="J258" s="2">
        <f t="shared" si="105"/>
        <v>-220356.24092493614</v>
      </c>
      <c r="K258" s="2">
        <f t="shared" si="105"/>
        <v>-298459.86784409551</v>
      </c>
      <c r="L258" s="2">
        <f t="shared" si="105"/>
        <v>-377209.79069470562</v>
      </c>
      <c r="M258" s="2">
        <f t="shared" si="105"/>
        <v>-456668.77639652125</v>
      </c>
      <c r="N258" s="2">
        <f t="shared" si="105"/>
        <v>-536780.07379807299</v>
      </c>
      <c r="O258" s="2">
        <f t="shared" si="105"/>
        <v>-617547.43531627906</v>
      </c>
      <c r="P258" s="2">
        <f t="shared" si="105"/>
        <v>-705342.93144355796</v>
      </c>
      <c r="Q258" s="2">
        <f t="shared" si="105"/>
        <v>-800842.53111820936</v>
      </c>
      <c r="R258" s="2">
        <f t="shared" si="105"/>
        <v>-904558.00542859954</v>
      </c>
      <c r="S258" s="2">
        <f t="shared" si="105"/>
        <v>-1017376.1630825177</v>
      </c>
      <c r="T258" s="2">
        <f t="shared" si="105"/>
        <v>-1140025.9837982133</v>
      </c>
      <c r="U258" s="2">
        <f t="shared" si="105"/>
        <v>-1266941.4823863108</v>
      </c>
      <c r="V258" s="2">
        <f t="shared" si="105"/>
        <v>-1398164.1981446701</v>
      </c>
      <c r="W258" s="2">
        <f t="shared" si="105"/>
        <v>-1427525.6463057082</v>
      </c>
      <c r="X258" s="2">
        <f t="shared" si="105"/>
        <v>-1457503.6848781279</v>
      </c>
      <c r="Y258" s="2">
        <f t="shared" si="105"/>
        <v>-1488111.2622605683</v>
      </c>
      <c r="Z258" s="2">
        <f t="shared" si="105"/>
        <v>-1519361.5987680401</v>
      </c>
      <c r="AA258" s="2">
        <f t="shared" si="105"/>
        <v>-1551268.1923421687</v>
      </c>
    </row>
    <row r="259" spans="4:28" customFormat="1" x14ac:dyDescent="0.25">
      <c r="E259" t="s">
        <v>10</v>
      </c>
      <c r="F259" t="s">
        <v>7</v>
      </c>
      <c r="G259" s="2">
        <f t="shared" si="105"/>
        <v>0</v>
      </c>
      <c r="H259" s="2">
        <f t="shared" si="105"/>
        <v>-60881.719499999999</v>
      </c>
      <c r="I259" s="2">
        <f t="shared" si="105"/>
        <v>-124221.96054450001</v>
      </c>
      <c r="J259" s="2">
        <f t="shared" si="105"/>
        <v>-191251.72656054673</v>
      </c>
      <c r="K259" s="2">
        <f t="shared" si="105"/>
        <v>-259039.47532695642</v>
      </c>
      <c r="L259" s="2">
        <f t="shared" si="105"/>
        <v>-327388.15766275453</v>
      </c>
      <c r="M259" s="2">
        <f t="shared" si="105"/>
        <v>-396352.25027222477</v>
      </c>
      <c r="N259" s="2">
        <f t="shared" si="105"/>
        <v>-465882.49766045925</v>
      </c>
      <c r="O259" s="2">
        <f t="shared" si="105"/>
        <v>-535982.15662749857</v>
      </c>
      <c r="P259" s="2">
        <f t="shared" si="105"/>
        <v>-612181.67858386412</v>
      </c>
      <c r="Q259" s="2">
        <f t="shared" si="105"/>
        <v>-695067.75091362349</v>
      </c>
      <c r="R259" s="2">
        <f t="shared" si="105"/>
        <v>-785084.55030014575</v>
      </c>
      <c r="S259" s="2">
        <f t="shared" si="105"/>
        <v>-883001.75631221361</v>
      </c>
      <c r="T259" s="2">
        <f t="shared" si="105"/>
        <v>-989452.06548321131</v>
      </c>
      <c r="U259" s="2">
        <f t="shared" si="105"/>
        <v>-1099604.6444634215</v>
      </c>
      <c r="V259" s="2">
        <f t="shared" si="105"/>
        <v>-1213495.5460662455</v>
      </c>
      <c r="W259" s="2">
        <f t="shared" si="105"/>
        <v>-1238978.9525336365</v>
      </c>
      <c r="X259" s="2">
        <f t="shared" si="105"/>
        <v>-1264997.5105368427</v>
      </c>
      <c r="Y259" s="2">
        <f t="shared" si="105"/>
        <v>-1291562.4582581164</v>
      </c>
      <c r="Z259" s="2">
        <f t="shared" si="105"/>
        <v>-1318685.2698815367</v>
      </c>
      <c r="AA259" s="2">
        <f t="shared" si="105"/>
        <v>-1346377.660549049</v>
      </c>
    </row>
    <row r="260" spans="4:28" customFormat="1" x14ac:dyDescent="0.25">
      <c r="E260" t="s">
        <v>12</v>
      </c>
      <c r="F260" t="s">
        <v>7</v>
      </c>
      <c r="G260" s="2">
        <f t="shared" si="105"/>
        <v>-160007.50781539051</v>
      </c>
      <c r="H260" s="2">
        <f t="shared" si="105"/>
        <v>-234463.42455297761</v>
      </c>
      <c r="I260" s="2">
        <f t="shared" si="105"/>
        <v>-310879.37408949831</v>
      </c>
      <c r="J260" s="2">
        <f t="shared" si="105"/>
        <v>-363900.85955831496</v>
      </c>
      <c r="K260" s="2">
        <f t="shared" si="105"/>
        <v>-416387.65997694724</v>
      </c>
      <c r="L260" s="2">
        <f t="shared" si="105"/>
        <v>-472469.91732806549</v>
      </c>
      <c r="M260" s="2">
        <f t="shared" si="105"/>
        <v>-536581.12861656712</v>
      </c>
      <c r="N260" s="2">
        <f t="shared" si="105"/>
        <v>-586957.13695608801</v>
      </c>
      <c r="O260" s="2">
        <f t="shared" si="105"/>
        <v>-636600.03943853208</v>
      </c>
      <c r="P260" s="2">
        <f t="shared" si="105"/>
        <v>-690051.80624280218</v>
      </c>
      <c r="Q260" s="2">
        <f t="shared" si="105"/>
        <v>-747689.87791317096</v>
      </c>
      <c r="R260" s="2">
        <f t="shared" si="105"/>
        <v>-809764.26196036127</v>
      </c>
      <c r="S260" s="2">
        <f t="shared" si="105"/>
        <v>-876785.19237662852</v>
      </c>
      <c r="T260" s="2">
        <f t="shared" si="105"/>
        <v>-949136.85681155976</v>
      </c>
      <c r="U260" s="2">
        <f t="shared" si="105"/>
        <v>-1022695.7750050271</v>
      </c>
      <c r="V260" s="2">
        <f t="shared" si="105"/>
        <v>-1097427.6302059258</v>
      </c>
      <c r="W260" s="2">
        <f t="shared" si="105"/>
        <v>-1097427.6302059258</v>
      </c>
      <c r="X260" s="2">
        <f t="shared" si="105"/>
        <v>-1097427.6302059258</v>
      </c>
      <c r="Y260" s="2">
        <f t="shared" si="105"/>
        <v>-1097427.6302059258</v>
      </c>
      <c r="Z260" s="2">
        <f t="shared" si="105"/>
        <v>-1097427.6302059258</v>
      </c>
      <c r="AA260" s="2">
        <f t="shared" si="105"/>
        <v>-1097427.6302059258</v>
      </c>
    </row>
    <row r="261" spans="4:28" customFormat="1" x14ac:dyDescent="0.25">
      <c r="E261" t="s">
        <v>48</v>
      </c>
      <c r="F261" t="s">
        <v>7</v>
      </c>
      <c r="G261" s="2">
        <f t="shared" si="105"/>
        <v>0</v>
      </c>
      <c r="H261" s="2">
        <f t="shared" si="105"/>
        <v>0</v>
      </c>
      <c r="I261" s="2">
        <f t="shared" si="105"/>
        <v>0</v>
      </c>
      <c r="J261" s="2">
        <f t="shared" si="105"/>
        <v>0</v>
      </c>
      <c r="K261" s="2">
        <f t="shared" si="105"/>
        <v>0</v>
      </c>
      <c r="L261" s="2">
        <f t="shared" si="105"/>
        <v>0</v>
      </c>
      <c r="M261" s="2">
        <f t="shared" si="105"/>
        <v>0</v>
      </c>
      <c r="N261" s="2">
        <f t="shared" si="105"/>
        <v>0</v>
      </c>
      <c r="O261" s="2">
        <f t="shared" si="105"/>
        <v>0</v>
      </c>
      <c r="P261" s="2">
        <f t="shared" si="105"/>
        <v>0</v>
      </c>
      <c r="Q261" s="2">
        <f t="shared" si="105"/>
        <v>0</v>
      </c>
      <c r="R261" s="2">
        <f t="shared" si="105"/>
        <v>0</v>
      </c>
      <c r="S261" s="2">
        <f t="shared" si="105"/>
        <v>0</v>
      </c>
      <c r="T261" s="2">
        <f t="shared" si="105"/>
        <v>0</v>
      </c>
      <c r="U261" s="2">
        <f t="shared" si="105"/>
        <v>0</v>
      </c>
      <c r="V261" s="2">
        <f t="shared" si="105"/>
        <v>0</v>
      </c>
      <c r="W261" s="2">
        <f t="shared" si="105"/>
        <v>0</v>
      </c>
      <c r="X261" s="2">
        <f t="shared" si="105"/>
        <v>0</v>
      </c>
      <c r="Y261" s="2">
        <f t="shared" si="105"/>
        <v>0</v>
      </c>
      <c r="Z261" s="2">
        <f t="shared" si="105"/>
        <v>0</v>
      </c>
      <c r="AA261" s="2">
        <f t="shared" si="105"/>
        <v>0</v>
      </c>
    </row>
    <row r="262" spans="4:28" customFormat="1" x14ac:dyDescent="0.25">
      <c r="E262" t="s">
        <v>13</v>
      </c>
      <c r="F262" t="s">
        <v>7</v>
      </c>
      <c r="G262" s="2">
        <f ca="1">G253</f>
        <v>0</v>
      </c>
      <c r="H262" s="2"/>
      <c r="I262" s="2"/>
      <c r="J262" s="2"/>
      <c r="K262" s="2"/>
      <c r="L262" s="2"/>
      <c r="M262" s="2"/>
      <c r="N262" s="2"/>
      <c r="O262" s="2"/>
      <c r="P262" s="2"/>
      <c r="Q262" s="2"/>
      <c r="R262" s="2"/>
      <c r="S262" s="2"/>
      <c r="T262" s="2"/>
      <c r="U262" s="2"/>
      <c r="V262" s="2"/>
      <c r="W262" s="2"/>
      <c r="X262" s="2"/>
      <c r="Y262" s="2"/>
      <c r="Z262" s="2"/>
      <c r="AA262" s="2"/>
    </row>
    <row r="263" spans="4:28" customFormat="1" x14ac:dyDescent="0.25"/>
    <row r="264" spans="4:28" customFormat="1" x14ac:dyDescent="0.25">
      <c r="E264" t="s">
        <v>14</v>
      </c>
      <c r="F264" t="s">
        <v>7</v>
      </c>
      <c r="G264" s="2">
        <f t="shared" ref="G264:AA264" ca="1" si="106">SUM(G256:G262)</f>
        <v>-160007.50781539051</v>
      </c>
      <c r="H264" s="2">
        <f t="shared" si="106"/>
        <v>4437085.0004225336</v>
      </c>
      <c r="I264" s="2">
        <f t="shared" si="106"/>
        <v>4596081.553718674</v>
      </c>
      <c r="J264" s="2">
        <f t="shared" si="106"/>
        <v>4878345.7991488753</v>
      </c>
      <c r="K264" s="2">
        <f t="shared" si="106"/>
        <v>4944436.2691800687</v>
      </c>
      <c r="L264" s="2">
        <f t="shared" si="106"/>
        <v>4992535.3712584563</v>
      </c>
      <c r="M264" s="2">
        <f t="shared" si="106"/>
        <v>5037281.641712117</v>
      </c>
      <c r="N264" s="2">
        <f t="shared" si="106"/>
        <v>5092549.503587571</v>
      </c>
      <c r="O264" s="2">
        <f t="shared" si="106"/>
        <v>5149311.287973999</v>
      </c>
      <c r="P264" s="2">
        <f t="shared" si="106"/>
        <v>5626041.8836630192</v>
      </c>
      <c r="Q264" s="2">
        <f t="shared" si="106"/>
        <v>6148998.9238722846</v>
      </c>
      <c r="R264" s="2">
        <f t="shared" si="106"/>
        <v>6707555.7165302075</v>
      </c>
      <c r="S264" s="2">
        <f t="shared" si="106"/>
        <v>7326515.1535357926</v>
      </c>
      <c r="T264" s="2">
        <f t="shared" si="106"/>
        <v>7995704.7597833006</v>
      </c>
      <c r="U264" s="2">
        <f t="shared" si="106"/>
        <v>8301678.2537107924</v>
      </c>
      <c r="V264" s="2">
        <f t="shared" si="106"/>
        <v>8612583.3264568765</v>
      </c>
      <c r="W264" s="2">
        <f t="shared" si="106"/>
        <v>1949383.3821362078</v>
      </c>
      <c r="X264" s="2">
        <f t="shared" si="106"/>
        <v>2013366.4133953925</v>
      </c>
      <c r="Y264" s="2">
        <f t="shared" si="106"/>
        <v>2078693.0883110191</v>
      </c>
      <c r="Z264" s="2">
        <f t="shared" si="106"/>
        <v>2145391.6233998761</v>
      </c>
      <c r="AA264" s="2">
        <f t="shared" si="106"/>
        <v>2213490.8277255967</v>
      </c>
    </row>
    <row r="265" spans="4:28" customFormat="1" x14ac:dyDescent="0.25">
      <c r="E265" t="s">
        <v>15</v>
      </c>
      <c r="F265" t="s">
        <v>7</v>
      </c>
      <c r="G265" s="2">
        <f ca="1">-G264*G$18</f>
        <v>48002.252344617147</v>
      </c>
      <c r="H265" s="2">
        <f t="shared" ref="H265:AA265" si="107">-H264*H$18</f>
        <v>-1331125.50012676</v>
      </c>
      <c r="I265" s="2">
        <f t="shared" si="107"/>
        <v>-1378824.4661156021</v>
      </c>
      <c r="J265" s="2">
        <f t="shared" si="107"/>
        <v>-1463503.7397446625</v>
      </c>
      <c r="K265" s="2">
        <f t="shared" si="107"/>
        <v>-1483330.8807540205</v>
      </c>
      <c r="L265" s="2">
        <f t="shared" si="107"/>
        <v>-1497760.6113775368</v>
      </c>
      <c r="M265" s="2">
        <f t="shared" si="107"/>
        <v>-1511184.492513635</v>
      </c>
      <c r="N265" s="2">
        <f t="shared" si="107"/>
        <v>-1527764.8510762712</v>
      </c>
      <c r="O265" s="2">
        <f t="shared" si="107"/>
        <v>-1544793.3863921997</v>
      </c>
      <c r="P265" s="2">
        <f t="shared" si="107"/>
        <v>-1687812.5650989057</v>
      </c>
      <c r="Q265" s="2">
        <f t="shared" si="107"/>
        <v>-1844699.6771616854</v>
      </c>
      <c r="R265" s="2">
        <f t="shared" si="107"/>
        <v>-2012266.7149590622</v>
      </c>
      <c r="S265" s="2">
        <f t="shared" si="107"/>
        <v>-2197954.5460607377</v>
      </c>
      <c r="T265" s="2">
        <f t="shared" si="107"/>
        <v>-2398711.4279349903</v>
      </c>
      <c r="U265" s="2">
        <f t="shared" si="107"/>
        <v>-2490503.4761132374</v>
      </c>
      <c r="V265" s="2">
        <f t="shared" si="107"/>
        <v>-2583774.9979370628</v>
      </c>
      <c r="W265" s="2">
        <f t="shared" si="107"/>
        <v>-584815.01464086236</v>
      </c>
      <c r="X265" s="2">
        <f t="shared" si="107"/>
        <v>-604009.92401861772</v>
      </c>
      <c r="Y265" s="2">
        <f t="shared" si="107"/>
        <v>-623607.92649330571</v>
      </c>
      <c r="Z265" s="2">
        <f t="shared" si="107"/>
        <v>-643617.48701996275</v>
      </c>
      <c r="AA265" s="2">
        <f t="shared" si="107"/>
        <v>-664047.24831767904</v>
      </c>
    </row>
    <row r="266" spans="4:28" customFormat="1" x14ac:dyDescent="0.25"/>
    <row r="267" spans="4:28" customFormat="1" x14ac:dyDescent="0.25">
      <c r="D267" t="s">
        <v>28</v>
      </c>
    </row>
    <row r="268" spans="4:28" customFormat="1" x14ac:dyDescent="0.25">
      <c r="E268" t="s">
        <v>1</v>
      </c>
      <c r="F268" t="s">
        <v>7</v>
      </c>
      <c r="G268" s="2">
        <f t="shared" ref="G268:AA275" si="108">G234</f>
        <v>-14400675.703385144</v>
      </c>
      <c r="H268" s="2">
        <f t="shared" si="108"/>
        <v>-2191275.5063828407</v>
      </c>
      <c r="I268" s="2">
        <f t="shared" si="108"/>
        <v>-2280270.6482868665</v>
      </c>
      <c r="J268" s="2">
        <f t="shared" si="108"/>
        <v>0</v>
      </c>
      <c r="K268" s="2">
        <f t="shared" si="108"/>
        <v>0</v>
      </c>
      <c r="L268" s="2">
        <f t="shared" si="108"/>
        <v>-387488.09834641748</v>
      </c>
      <c r="M268" s="2">
        <f t="shared" si="108"/>
        <v>-1170828.1790353376</v>
      </c>
      <c r="N268" s="2">
        <f t="shared" si="108"/>
        <v>0</v>
      </c>
      <c r="O268" s="2">
        <f t="shared" si="108"/>
        <v>0</v>
      </c>
      <c r="P268" s="2">
        <f t="shared" si="108"/>
        <v>0</v>
      </c>
      <c r="Q268" s="2">
        <f t="shared" si="108"/>
        <v>0</v>
      </c>
      <c r="R268" s="2">
        <f t="shared" si="108"/>
        <v>0</v>
      </c>
      <c r="S268" s="2">
        <f t="shared" si="108"/>
        <v>0</v>
      </c>
      <c r="T268" s="2">
        <f t="shared" si="108"/>
        <v>0</v>
      </c>
      <c r="U268" s="2">
        <f t="shared" si="108"/>
        <v>0</v>
      </c>
      <c r="V268" s="2">
        <f t="shared" si="108"/>
        <v>0</v>
      </c>
      <c r="W268" s="2">
        <f t="shared" si="108"/>
        <v>0</v>
      </c>
      <c r="X268" s="2">
        <f t="shared" si="108"/>
        <v>0</v>
      </c>
      <c r="Y268" s="2">
        <f t="shared" si="108"/>
        <v>0</v>
      </c>
      <c r="Z268" s="2">
        <f t="shared" si="108"/>
        <v>0</v>
      </c>
      <c r="AA268" s="2">
        <f t="shared" si="108"/>
        <v>0</v>
      </c>
    </row>
    <row r="269" spans="4:28" customFormat="1" x14ac:dyDescent="0.25">
      <c r="E269" t="s">
        <v>19</v>
      </c>
      <c r="F269" t="s">
        <v>7</v>
      </c>
      <c r="G269" s="2">
        <f t="shared" si="108"/>
        <v>0</v>
      </c>
      <c r="H269" s="2">
        <f t="shared" si="108"/>
        <v>0</v>
      </c>
      <c r="I269" s="2">
        <f t="shared" si="108"/>
        <v>0</v>
      </c>
      <c r="J269" s="2">
        <f t="shared" si="108"/>
        <v>0</v>
      </c>
      <c r="K269" s="2">
        <f t="shared" si="108"/>
        <v>0</v>
      </c>
      <c r="L269" s="2">
        <f t="shared" si="108"/>
        <v>0</v>
      </c>
      <c r="M269" s="2">
        <f t="shared" si="108"/>
        <v>0</v>
      </c>
      <c r="N269" s="2">
        <f t="shared" si="108"/>
        <v>0</v>
      </c>
      <c r="O269" s="2">
        <f t="shared" si="108"/>
        <v>0</v>
      </c>
      <c r="P269" s="2">
        <f t="shared" si="108"/>
        <v>0</v>
      </c>
      <c r="Q269" s="2">
        <f t="shared" si="108"/>
        <v>0</v>
      </c>
      <c r="R269" s="2">
        <f t="shared" si="108"/>
        <v>0</v>
      </c>
      <c r="S269" s="2">
        <f t="shared" si="108"/>
        <v>0</v>
      </c>
      <c r="T269" s="2">
        <f t="shared" si="108"/>
        <v>0</v>
      </c>
      <c r="U269" s="2">
        <f t="shared" si="108"/>
        <v>0</v>
      </c>
      <c r="V269" s="2">
        <f t="shared" si="108"/>
        <v>0</v>
      </c>
      <c r="W269" s="2">
        <f t="shared" si="108"/>
        <v>0</v>
      </c>
      <c r="X269" s="2">
        <f t="shared" si="108"/>
        <v>0</v>
      </c>
      <c r="Y269" s="2">
        <f t="shared" si="108"/>
        <v>0</v>
      </c>
      <c r="Z269" s="2">
        <f t="shared" si="108"/>
        <v>0</v>
      </c>
      <c r="AA269" s="2">
        <f t="shared" si="108"/>
        <v>0</v>
      </c>
    </row>
    <row r="270" spans="4:28" customFormat="1" x14ac:dyDescent="0.25">
      <c r="E270" t="s">
        <v>109</v>
      </c>
      <c r="F270" t="s">
        <v>7</v>
      </c>
      <c r="G270" s="2">
        <f t="shared" si="108"/>
        <v>0</v>
      </c>
      <c r="H270" s="2">
        <f t="shared" si="108"/>
        <v>0</v>
      </c>
      <c r="I270" s="2">
        <f t="shared" si="108"/>
        <v>0</v>
      </c>
      <c r="J270" s="2">
        <f t="shared" si="108"/>
        <v>0</v>
      </c>
      <c r="K270" s="2">
        <f t="shared" si="108"/>
        <v>0</v>
      </c>
      <c r="L270" s="2">
        <f t="shared" si="108"/>
        <v>0</v>
      </c>
      <c r="M270" s="2">
        <f t="shared" si="108"/>
        <v>0</v>
      </c>
      <c r="N270" s="2">
        <f t="shared" si="108"/>
        <v>0</v>
      </c>
      <c r="O270" s="2">
        <f t="shared" si="108"/>
        <v>0</v>
      </c>
      <c r="P270" s="2">
        <f t="shared" si="108"/>
        <v>0</v>
      </c>
      <c r="Q270" s="2">
        <f t="shared" si="108"/>
        <v>0</v>
      </c>
      <c r="R270" s="2">
        <f t="shared" si="108"/>
        <v>0</v>
      </c>
      <c r="S270" s="2">
        <f t="shared" si="108"/>
        <v>0</v>
      </c>
      <c r="T270" s="2">
        <f t="shared" si="108"/>
        <v>0</v>
      </c>
      <c r="U270" s="2">
        <f t="shared" si="108"/>
        <v>0</v>
      </c>
      <c r="V270" s="2">
        <f t="shared" si="108"/>
        <v>0</v>
      </c>
      <c r="W270" s="2">
        <f t="shared" si="108"/>
        <v>0</v>
      </c>
      <c r="X270" s="2">
        <f t="shared" si="108"/>
        <v>0</v>
      </c>
      <c r="Y270" s="2">
        <f t="shared" si="108"/>
        <v>0</v>
      </c>
      <c r="Z270" s="2">
        <f t="shared" si="108"/>
        <v>0</v>
      </c>
      <c r="AA270" s="2">
        <f t="shared" si="108"/>
        <v>0</v>
      </c>
    </row>
    <row r="271" spans="4:28" customFormat="1" x14ac:dyDescent="0.25">
      <c r="E271" t="s">
        <v>11</v>
      </c>
      <c r="F271" t="s">
        <v>7</v>
      </c>
      <c r="G271" s="2">
        <f t="shared" si="108"/>
        <v>0</v>
      </c>
      <c r="H271" s="2">
        <f t="shared" si="108"/>
        <v>288653.56898014928</v>
      </c>
      <c r="I271" s="2">
        <f t="shared" si="108"/>
        <v>572825.92652532854</v>
      </c>
      <c r="J271" s="2">
        <f t="shared" si="108"/>
        <v>881920.93399917393</v>
      </c>
      <c r="K271" s="2">
        <f t="shared" si="108"/>
        <v>1194511.2346511635</v>
      </c>
      <c r="L271" s="2">
        <f t="shared" si="108"/>
        <v>1509688.1736897605</v>
      </c>
      <c r="M271" s="2">
        <f t="shared" si="108"/>
        <v>1827702.9600676226</v>
      </c>
      <c r="N271" s="2">
        <f t="shared" si="108"/>
        <v>2148328.461445319</v>
      </c>
      <c r="O271" s="2">
        <f t="shared" si="108"/>
        <v>2471579.6959363348</v>
      </c>
      <c r="P271" s="2">
        <f t="shared" si="108"/>
        <v>2822959.2875489299</v>
      </c>
      <c r="Q271" s="2">
        <f t="shared" si="108"/>
        <v>3205172.6334840977</v>
      </c>
      <c r="R271" s="2">
        <f t="shared" si="108"/>
        <v>3620267.9699721858</v>
      </c>
      <c r="S271" s="2">
        <f t="shared" si="108"/>
        <v>4071794.5278430968</v>
      </c>
      <c r="T271" s="2">
        <f t="shared" si="108"/>
        <v>4562669.8667324763</v>
      </c>
      <c r="U271" s="2">
        <f t="shared" si="108"/>
        <v>5070617.5181534961</v>
      </c>
      <c r="V271" s="2">
        <f t="shared" si="108"/>
        <v>5595803.7327928292</v>
      </c>
      <c r="W271" s="2">
        <f t="shared" si="108"/>
        <v>5713315.611181478</v>
      </c>
      <c r="X271" s="2">
        <f t="shared" si="108"/>
        <v>5833295.2390162889</v>
      </c>
      <c r="Y271" s="2">
        <f t="shared" si="108"/>
        <v>5955794.4390356299</v>
      </c>
      <c r="Z271" s="2">
        <f t="shared" si="108"/>
        <v>6080866.1222553784</v>
      </c>
      <c r="AA271" s="2">
        <f t="shared" si="108"/>
        <v>6208564.3108227402</v>
      </c>
      <c r="AB271" s="2">
        <f t="shared" ref="AB271:AB275" si="109">IF(V271=0,0,IF($G$15&gt;(AA271/V271)^(1/5)-1+2%,AA271*(AA271/V271)^(1/5)/($G$15-((AA271/V271)^(1/5)-1)),AA271*(1+$G$14)/$G$16))</f>
        <v>206952143.69409177</v>
      </c>
    </row>
    <row r="272" spans="4:28" customFormat="1" x14ac:dyDescent="0.25">
      <c r="E272" t="s">
        <v>57</v>
      </c>
      <c r="F272" t="s">
        <v>7</v>
      </c>
      <c r="G272" s="2">
        <f t="shared" si="108"/>
        <v>0</v>
      </c>
      <c r="H272" s="2">
        <f t="shared" si="108"/>
        <v>-65980.424504636918</v>
      </c>
      <c r="I272" s="2">
        <f t="shared" si="108"/>
        <v>-138807.84817265513</v>
      </c>
      <c r="J272" s="2">
        <f t="shared" si="108"/>
        <v>-220356.24092493614</v>
      </c>
      <c r="K272" s="2">
        <f t="shared" si="108"/>
        <v>-298459.86784409551</v>
      </c>
      <c r="L272" s="2">
        <f t="shared" si="108"/>
        <v>-377209.79069470562</v>
      </c>
      <c r="M272" s="2">
        <f t="shared" si="108"/>
        <v>-456668.77639652125</v>
      </c>
      <c r="N272" s="2">
        <f t="shared" si="108"/>
        <v>-536780.07379807299</v>
      </c>
      <c r="O272" s="2">
        <f t="shared" si="108"/>
        <v>-617547.43531627906</v>
      </c>
      <c r="P272" s="2">
        <f t="shared" si="108"/>
        <v>-705342.93144355796</v>
      </c>
      <c r="Q272" s="2">
        <f t="shared" si="108"/>
        <v>-800842.53111820936</v>
      </c>
      <c r="R272" s="2">
        <f t="shared" si="108"/>
        <v>-904558.00542859954</v>
      </c>
      <c r="S272" s="2">
        <f t="shared" si="108"/>
        <v>-1017376.1630825177</v>
      </c>
      <c r="T272" s="2">
        <f t="shared" si="108"/>
        <v>-1140025.9837982133</v>
      </c>
      <c r="U272" s="2">
        <f t="shared" si="108"/>
        <v>-1266941.4823863108</v>
      </c>
      <c r="V272" s="2">
        <f t="shared" si="108"/>
        <v>-1398164.1981446701</v>
      </c>
      <c r="W272" s="2">
        <f t="shared" si="108"/>
        <v>-1427525.6463057082</v>
      </c>
      <c r="X272" s="2">
        <f t="shared" si="108"/>
        <v>-1457503.6848781279</v>
      </c>
      <c r="Y272" s="2">
        <f t="shared" si="108"/>
        <v>-1488111.2622605683</v>
      </c>
      <c r="Z272" s="2">
        <f t="shared" si="108"/>
        <v>-1519361.5987680401</v>
      </c>
      <c r="AA272" s="2">
        <f t="shared" si="108"/>
        <v>-1551268.1923421687</v>
      </c>
      <c r="AB272" s="2">
        <f t="shared" si="109"/>
        <v>-51708939.744739063</v>
      </c>
    </row>
    <row r="273" spans="1:28" x14ac:dyDescent="0.25">
      <c r="E273" t="s">
        <v>10</v>
      </c>
      <c r="F273" t="s">
        <v>7</v>
      </c>
      <c r="G273" s="2">
        <f t="shared" si="108"/>
        <v>0</v>
      </c>
      <c r="H273" s="2">
        <f t="shared" si="108"/>
        <v>-60881.719499999999</v>
      </c>
      <c r="I273" s="2">
        <f t="shared" si="108"/>
        <v>-124221.96054450001</v>
      </c>
      <c r="J273" s="2">
        <f t="shared" si="108"/>
        <v>-191251.72656054673</v>
      </c>
      <c r="K273" s="2">
        <f t="shared" si="108"/>
        <v>-259039.47532695642</v>
      </c>
      <c r="L273" s="2">
        <f t="shared" si="108"/>
        <v>-327388.15766275453</v>
      </c>
      <c r="M273" s="2">
        <f t="shared" si="108"/>
        <v>-396352.25027222477</v>
      </c>
      <c r="N273" s="2">
        <f t="shared" si="108"/>
        <v>-465882.49766045925</v>
      </c>
      <c r="O273" s="2">
        <f t="shared" si="108"/>
        <v>-535982.15662749857</v>
      </c>
      <c r="P273" s="2">
        <f t="shared" si="108"/>
        <v>-612181.67858386412</v>
      </c>
      <c r="Q273" s="2">
        <f t="shared" si="108"/>
        <v>-695067.75091362349</v>
      </c>
      <c r="R273" s="2">
        <f t="shared" si="108"/>
        <v>-785084.55030014575</v>
      </c>
      <c r="S273" s="2">
        <f t="shared" si="108"/>
        <v>-883001.75631221361</v>
      </c>
      <c r="T273" s="2">
        <f t="shared" si="108"/>
        <v>-989452.06548321131</v>
      </c>
      <c r="U273" s="2">
        <f t="shared" si="108"/>
        <v>-1099604.6444634215</v>
      </c>
      <c r="V273" s="2">
        <f t="shared" si="108"/>
        <v>-1213495.5460662455</v>
      </c>
      <c r="W273" s="2">
        <f t="shared" si="108"/>
        <v>-1238978.9525336365</v>
      </c>
      <c r="X273" s="2">
        <f t="shared" si="108"/>
        <v>-1264997.5105368427</v>
      </c>
      <c r="Y273" s="2">
        <f t="shared" si="108"/>
        <v>-1291562.4582581164</v>
      </c>
      <c r="Z273" s="2">
        <f t="shared" si="108"/>
        <v>-1318685.2698815367</v>
      </c>
      <c r="AA273" s="2">
        <f t="shared" si="108"/>
        <v>-1346377.660549049</v>
      </c>
      <c r="AB273" s="2">
        <f t="shared" si="109"/>
        <v>-44879255.351635061</v>
      </c>
    </row>
    <row r="274" spans="1:28" x14ac:dyDescent="0.25">
      <c r="E274" t="s">
        <v>48</v>
      </c>
      <c r="F274" t="s">
        <v>7</v>
      </c>
      <c r="G274" s="2">
        <f t="shared" si="108"/>
        <v>0</v>
      </c>
      <c r="H274" s="2">
        <f t="shared" si="108"/>
        <v>0</v>
      </c>
      <c r="I274" s="2">
        <f t="shared" si="108"/>
        <v>0</v>
      </c>
      <c r="J274" s="2">
        <f t="shared" si="108"/>
        <v>0</v>
      </c>
      <c r="K274" s="2">
        <f t="shared" si="108"/>
        <v>0</v>
      </c>
      <c r="L274" s="2">
        <f t="shared" si="108"/>
        <v>0</v>
      </c>
      <c r="M274" s="2">
        <f t="shared" si="108"/>
        <v>0</v>
      </c>
      <c r="N274" s="2">
        <f t="shared" si="108"/>
        <v>0</v>
      </c>
      <c r="O274" s="2">
        <f t="shared" si="108"/>
        <v>0</v>
      </c>
      <c r="P274" s="2">
        <f t="shared" si="108"/>
        <v>0</v>
      </c>
      <c r="Q274" s="2">
        <f t="shared" si="108"/>
        <v>0</v>
      </c>
      <c r="R274" s="2">
        <f t="shared" si="108"/>
        <v>0</v>
      </c>
      <c r="S274" s="2">
        <f t="shared" si="108"/>
        <v>0</v>
      </c>
      <c r="T274" s="2">
        <f t="shared" si="108"/>
        <v>0</v>
      </c>
      <c r="U274" s="2">
        <f t="shared" si="108"/>
        <v>0</v>
      </c>
      <c r="V274" s="2">
        <f t="shared" si="108"/>
        <v>0</v>
      </c>
      <c r="W274" s="2">
        <f t="shared" si="108"/>
        <v>0</v>
      </c>
      <c r="X274" s="2">
        <f t="shared" si="108"/>
        <v>0</v>
      </c>
      <c r="Y274" s="2">
        <f t="shared" si="108"/>
        <v>0</v>
      </c>
      <c r="Z274" s="2">
        <f t="shared" si="108"/>
        <v>0</v>
      </c>
      <c r="AA274" s="2">
        <f t="shared" si="108"/>
        <v>0</v>
      </c>
      <c r="AB274" s="2">
        <f t="shared" si="109"/>
        <v>0</v>
      </c>
    </row>
    <row r="275" spans="1:28" x14ac:dyDescent="0.25">
      <c r="E275" t="s">
        <v>49</v>
      </c>
      <c r="F275" t="s">
        <v>7</v>
      </c>
      <c r="G275" s="2">
        <f t="shared" si="108"/>
        <v>0</v>
      </c>
      <c r="H275" s="2">
        <f t="shared" si="108"/>
        <v>0</v>
      </c>
      <c r="I275" s="2">
        <f t="shared" si="108"/>
        <v>0</v>
      </c>
      <c r="J275" s="2">
        <f t="shared" si="108"/>
        <v>0</v>
      </c>
      <c r="K275" s="2">
        <f t="shared" si="108"/>
        <v>0</v>
      </c>
      <c r="L275" s="2">
        <f t="shared" si="108"/>
        <v>0</v>
      </c>
      <c r="M275" s="2">
        <f t="shared" si="108"/>
        <v>0</v>
      </c>
      <c r="N275" s="2">
        <f t="shared" si="108"/>
        <v>0</v>
      </c>
      <c r="O275" s="2">
        <f t="shared" si="108"/>
        <v>0</v>
      </c>
      <c r="P275" s="2">
        <f t="shared" si="108"/>
        <v>0</v>
      </c>
      <c r="Q275" s="2">
        <f t="shared" si="108"/>
        <v>0</v>
      </c>
      <c r="R275" s="2">
        <f t="shared" si="108"/>
        <v>0</v>
      </c>
      <c r="S275" s="2">
        <f t="shared" si="108"/>
        <v>0</v>
      </c>
      <c r="T275" s="2">
        <f t="shared" si="108"/>
        <v>0</v>
      </c>
      <c r="U275" s="2">
        <f t="shared" si="108"/>
        <v>0</v>
      </c>
      <c r="V275" s="2">
        <f t="shared" si="108"/>
        <v>0</v>
      </c>
      <c r="W275" s="2">
        <f t="shared" si="108"/>
        <v>0</v>
      </c>
      <c r="X275" s="2">
        <f t="shared" si="108"/>
        <v>0</v>
      </c>
      <c r="Y275" s="2">
        <f t="shared" si="108"/>
        <v>0</v>
      </c>
      <c r="Z275" s="2">
        <f t="shared" si="108"/>
        <v>0</v>
      </c>
      <c r="AA275" s="2">
        <f t="shared" si="108"/>
        <v>0</v>
      </c>
      <c r="AB275" s="2">
        <f t="shared" si="109"/>
        <v>0</v>
      </c>
    </row>
    <row r="276" spans="1:28" x14ac:dyDescent="0.25">
      <c r="E276" t="s">
        <v>20</v>
      </c>
      <c r="F276" t="s">
        <v>7</v>
      </c>
      <c r="G276" s="2">
        <f t="shared" ref="G276:AA276" ca="1" si="110">G265</f>
        <v>48002.252344617147</v>
      </c>
      <c r="H276" s="2">
        <f t="shared" si="110"/>
        <v>-1331125.50012676</v>
      </c>
      <c r="I276" s="2">
        <f t="shared" si="110"/>
        <v>-1378824.4661156021</v>
      </c>
      <c r="J276" s="2">
        <f t="shared" si="110"/>
        <v>-1463503.7397446625</v>
      </c>
      <c r="K276" s="2">
        <f t="shared" si="110"/>
        <v>-1483330.8807540205</v>
      </c>
      <c r="L276" s="2">
        <f t="shared" si="110"/>
        <v>-1497760.6113775368</v>
      </c>
      <c r="M276" s="2">
        <f t="shared" si="110"/>
        <v>-1511184.492513635</v>
      </c>
      <c r="N276" s="2">
        <f t="shared" si="110"/>
        <v>-1527764.8510762712</v>
      </c>
      <c r="O276" s="2">
        <f t="shared" si="110"/>
        <v>-1544793.3863921997</v>
      </c>
      <c r="P276" s="2">
        <f t="shared" si="110"/>
        <v>-1687812.5650989057</v>
      </c>
      <c r="Q276" s="2">
        <f t="shared" si="110"/>
        <v>-1844699.6771616854</v>
      </c>
      <c r="R276" s="2">
        <f t="shared" si="110"/>
        <v>-2012266.7149590622</v>
      </c>
      <c r="S276" s="2">
        <f t="shared" si="110"/>
        <v>-2197954.5460607377</v>
      </c>
      <c r="T276" s="2">
        <f t="shared" si="110"/>
        <v>-2398711.4279349903</v>
      </c>
      <c r="U276" s="2">
        <f t="shared" si="110"/>
        <v>-2490503.4761132374</v>
      </c>
      <c r="V276" s="2">
        <f t="shared" si="110"/>
        <v>-2583774.9979370628</v>
      </c>
      <c r="W276" s="2">
        <f t="shared" si="110"/>
        <v>-584815.01464086236</v>
      </c>
      <c r="X276" s="2">
        <f t="shared" si="110"/>
        <v>-604009.92401861772</v>
      </c>
      <c r="Y276" s="2">
        <f t="shared" si="110"/>
        <v>-623607.92649330571</v>
      </c>
      <c r="Z276" s="2">
        <f t="shared" si="110"/>
        <v>-643617.48701996275</v>
      </c>
      <c r="AA276" s="2">
        <f t="shared" si="110"/>
        <v>-664047.24831767904</v>
      </c>
      <c r="AB276" s="2">
        <f>IF(V276=0,0,IF($G$15&gt;(AA276/V276)^(1/5)-1+2%,AA276*(AA276/V276)^(1/5)/($G$15-((AA276/V276)^(1/5)-1)),AA276*(1+$G$14)/$G$16))</f>
        <v>-1747565.4968981957</v>
      </c>
    </row>
    <row r="277" spans="1:28" x14ac:dyDescent="0.25">
      <c r="E277" t="s">
        <v>173</v>
      </c>
      <c r="F277" t="s">
        <v>7</v>
      </c>
      <c r="G277" s="2">
        <f ca="1">-$G$17*G276</f>
        <v>-24001.126172308574</v>
      </c>
      <c r="H277" s="2">
        <f t="shared" ref="H277:AA277" si="111">-$G$17*H276</f>
        <v>665562.75006337999</v>
      </c>
      <c r="I277" s="2">
        <f t="shared" si="111"/>
        <v>689412.23305780103</v>
      </c>
      <c r="J277" s="2">
        <f t="shared" si="111"/>
        <v>731751.86987233127</v>
      </c>
      <c r="K277" s="2">
        <f t="shared" si="111"/>
        <v>741665.44037701027</v>
      </c>
      <c r="L277" s="2">
        <f t="shared" si="111"/>
        <v>748880.30568876839</v>
      </c>
      <c r="M277" s="2">
        <f t="shared" si="111"/>
        <v>755592.24625681748</v>
      </c>
      <c r="N277" s="2">
        <f t="shared" si="111"/>
        <v>763882.42553813558</v>
      </c>
      <c r="O277" s="2">
        <f t="shared" si="111"/>
        <v>772396.69319609983</v>
      </c>
      <c r="P277" s="2">
        <f t="shared" si="111"/>
        <v>843906.28254945285</v>
      </c>
      <c r="Q277" s="2">
        <f t="shared" si="111"/>
        <v>922349.83858084271</v>
      </c>
      <c r="R277" s="2">
        <f t="shared" si="111"/>
        <v>1006133.3574795311</v>
      </c>
      <c r="S277" s="2">
        <f t="shared" si="111"/>
        <v>1098977.2730303688</v>
      </c>
      <c r="T277" s="2">
        <f t="shared" si="111"/>
        <v>1199355.7139674951</v>
      </c>
      <c r="U277" s="2">
        <f t="shared" si="111"/>
        <v>1245251.7380566187</v>
      </c>
      <c r="V277" s="2">
        <f t="shared" si="111"/>
        <v>1291887.4989685314</v>
      </c>
      <c r="W277" s="2">
        <f t="shared" si="111"/>
        <v>292407.50732043118</v>
      </c>
      <c r="X277" s="2">
        <f t="shared" si="111"/>
        <v>302004.96200930886</v>
      </c>
      <c r="Y277" s="2">
        <f t="shared" si="111"/>
        <v>311803.96324665286</v>
      </c>
      <c r="Z277" s="2">
        <f t="shared" si="111"/>
        <v>321808.74350998137</v>
      </c>
      <c r="AA277" s="2">
        <f t="shared" si="111"/>
        <v>332023.62415883952</v>
      </c>
      <c r="AB277" s="2">
        <f t="shared" ref="AB277" si="112">IF(V277=0,0,IF($G$15&gt;(AA277/V277)^(1/5)-1+2%,AA277*(AA277/V277)^(1/5)/($G$15-((AA277/V277)^(1/5)-1)),AA277*(1+$G$14)/$G$16))</f>
        <v>873782.74844909785</v>
      </c>
    </row>
    <row r="278" spans="1:28" x14ac:dyDescent="0.25">
      <c r="E278" t="s">
        <v>23</v>
      </c>
      <c r="F278" t="s">
        <v>7</v>
      </c>
      <c r="G278" s="2">
        <f t="shared" ref="G278:AB278" ca="1" si="113">SUM(G268:G277)</f>
        <v>-14376674.577212835</v>
      </c>
      <c r="H278" s="2">
        <f t="shared" si="113"/>
        <v>-2695046.8314707084</v>
      </c>
      <c r="I278" s="2">
        <f t="shared" si="113"/>
        <v>-2659886.7635364938</v>
      </c>
      <c r="J278" s="2">
        <f t="shared" si="113"/>
        <v>-261438.90335864027</v>
      </c>
      <c r="K278" s="2">
        <f t="shared" si="113"/>
        <v>-104653.54889689875</v>
      </c>
      <c r="L278" s="2">
        <f t="shared" si="113"/>
        <v>-331278.17870288552</v>
      </c>
      <c r="M278" s="2">
        <f t="shared" si="113"/>
        <v>-951738.49189327855</v>
      </c>
      <c r="N278" s="2">
        <f t="shared" si="113"/>
        <v>381783.46444865118</v>
      </c>
      <c r="O278" s="2">
        <f t="shared" si="113"/>
        <v>545653.41079645732</v>
      </c>
      <c r="P278" s="2">
        <f t="shared" si="113"/>
        <v>661528.39497205487</v>
      </c>
      <c r="Q278" s="2">
        <f t="shared" si="113"/>
        <v>786912.51287142199</v>
      </c>
      <c r="R278" s="2">
        <f t="shared" si="113"/>
        <v>924492.05676390929</v>
      </c>
      <c r="S278" s="2">
        <f t="shared" si="113"/>
        <v>1072439.3354179969</v>
      </c>
      <c r="T278" s="2">
        <f t="shared" si="113"/>
        <v>1233836.1034835563</v>
      </c>
      <c r="U278" s="2">
        <f t="shared" si="113"/>
        <v>1458819.653247145</v>
      </c>
      <c r="V278" s="2">
        <f t="shared" si="113"/>
        <v>1692256.4896133826</v>
      </c>
      <c r="W278" s="2">
        <f t="shared" si="113"/>
        <v>2754403.5050217025</v>
      </c>
      <c r="X278" s="2">
        <f t="shared" si="113"/>
        <v>2808789.0815920094</v>
      </c>
      <c r="Y278" s="2">
        <f t="shared" si="113"/>
        <v>2864316.7552702921</v>
      </c>
      <c r="Z278" s="2">
        <f t="shared" si="113"/>
        <v>2921010.5100958208</v>
      </c>
      <c r="AA278" s="2">
        <f t="shared" si="113"/>
        <v>2978894.8337726831</v>
      </c>
      <c r="AB278" s="2">
        <f t="shared" si="113"/>
        <v>109490165.84926856</v>
      </c>
    </row>
    <row r="279" spans="1:28" x14ac:dyDescent="0.25">
      <c r="E279" t="s">
        <v>31</v>
      </c>
      <c r="F279" t="s">
        <v>7</v>
      </c>
      <c r="G279" s="2">
        <f ca="1">NPV($G$15,H278:AB278)+G278</f>
        <v>28022081.725933768</v>
      </c>
    </row>
    <row r="280" spans="1:28" x14ac:dyDescent="0.25">
      <c r="E280" s="3" t="s">
        <v>34</v>
      </c>
      <c r="F280" s="3"/>
      <c r="G280" s="4" t="str">
        <f ca="1">IF(G279&gt;0,"N/A",IF(ABS(G279+G253)&gt;1,"Error","OK"))</f>
        <v>N/A</v>
      </c>
    </row>
    <row r="282" spans="1:28" x14ac:dyDescent="0.25">
      <c r="C282" s="1" t="s">
        <v>36</v>
      </c>
      <c r="D282" s="1"/>
      <c r="G282" s="44"/>
    </row>
    <row r="283" spans="1:28" x14ac:dyDescent="0.25">
      <c r="A283" s="14">
        <f>'Notes &amp; Assumptions'!A67</f>
        <v>54</v>
      </c>
      <c r="C283" s="1"/>
      <c r="D283" s="1"/>
      <c r="E283" t="s">
        <v>42</v>
      </c>
      <c r="F283" t="s">
        <v>3</v>
      </c>
      <c r="G283" s="10"/>
      <c r="H283" s="10">
        <v>1</v>
      </c>
      <c r="I283" s="10">
        <v>1</v>
      </c>
      <c r="J283" s="10">
        <v>1</v>
      </c>
      <c r="K283" s="10">
        <v>1</v>
      </c>
      <c r="L283" s="10">
        <v>1</v>
      </c>
      <c r="M283" s="10">
        <v>1</v>
      </c>
      <c r="N283" s="10">
        <v>1</v>
      </c>
      <c r="O283" s="10">
        <v>1</v>
      </c>
      <c r="P283" s="10">
        <v>1</v>
      </c>
      <c r="Q283" s="10">
        <v>1</v>
      </c>
      <c r="R283" s="10">
        <v>1</v>
      </c>
      <c r="S283" s="10">
        <v>1</v>
      </c>
      <c r="T283" s="10">
        <v>1</v>
      </c>
      <c r="U283" s="10">
        <v>1</v>
      </c>
      <c r="V283" s="10">
        <v>1</v>
      </c>
      <c r="W283" s="10">
        <v>0</v>
      </c>
      <c r="X283" s="10">
        <v>0</v>
      </c>
      <c r="Y283" s="10">
        <v>0</v>
      </c>
      <c r="Z283" s="10">
        <v>0</v>
      </c>
      <c r="AA283" s="10">
        <v>0</v>
      </c>
    </row>
    <row r="284" spans="1:28" x14ac:dyDescent="0.25">
      <c r="E284" t="s">
        <v>37</v>
      </c>
      <c r="F284" t="s">
        <v>38</v>
      </c>
      <c r="G284" s="8">
        <f ca="1">MAX(0,-G311/(NPV($G$16,H283:AA283)+G283))</f>
        <v>0</v>
      </c>
      <c r="H284" s="2">
        <f t="shared" ref="H284:AA284" ca="1" si="114">G284*(1+$G$14)</f>
        <v>0</v>
      </c>
      <c r="I284" s="2">
        <f t="shared" ca="1" si="114"/>
        <v>0</v>
      </c>
      <c r="J284" s="2">
        <f t="shared" ca="1" si="114"/>
        <v>0</v>
      </c>
      <c r="K284" s="2">
        <f t="shared" ca="1" si="114"/>
        <v>0</v>
      </c>
      <c r="L284" s="2">
        <f t="shared" ca="1" si="114"/>
        <v>0</v>
      </c>
      <c r="M284" s="2">
        <f t="shared" ca="1" si="114"/>
        <v>0</v>
      </c>
      <c r="N284" s="2">
        <f t="shared" ca="1" si="114"/>
        <v>0</v>
      </c>
      <c r="O284" s="2">
        <f t="shared" ca="1" si="114"/>
        <v>0</v>
      </c>
      <c r="P284" s="2">
        <f t="shared" ca="1" si="114"/>
        <v>0</v>
      </c>
      <c r="Q284" s="2">
        <f t="shared" ca="1" si="114"/>
        <v>0</v>
      </c>
      <c r="R284" s="2">
        <f t="shared" ca="1" si="114"/>
        <v>0</v>
      </c>
      <c r="S284" s="2">
        <f t="shared" ca="1" si="114"/>
        <v>0</v>
      </c>
      <c r="T284" s="2">
        <f t="shared" ca="1" si="114"/>
        <v>0</v>
      </c>
      <c r="U284" s="2">
        <f t="shared" ca="1" si="114"/>
        <v>0</v>
      </c>
      <c r="V284" s="2">
        <f t="shared" ca="1" si="114"/>
        <v>0</v>
      </c>
      <c r="W284" s="2">
        <f t="shared" ca="1" si="114"/>
        <v>0</v>
      </c>
      <c r="X284" s="2">
        <f t="shared" ca="1" si="114"/>
        <v>0</v>
      </c>
      <c r="Y284" s="2">
        <f t="shared" ca="1" si="114"/>
        <v>0</v>
      </c>
      <c r="Z284" s="2">
        <f t="shared" ca="1" si="114"/>
        <v>0</v>
      </c>
      <c r="AA284" s="2">
        <f t="shared" ca="1" si="114"/>
        <v>0</v>
      </c>
    </row>
    <row r="285" spans="1:28" x14ac:dyDescent="0.25">
      <c r="E285" t="s">
        <v>21</v>
      </c>
      <c r="F285" t="s">
        <v>7</v>
      </c>
      <c r="G285" s="2">
        <f ca="1">G283*G284</f>
        <v>0</v>
      </c>
      <c r="H285" s="2">
        <f t="shared" ref="H285:AA285" ca="1" si="115">H283*H284</f>
        <v>0</v>
      </c>
      <c r="I285" s="2">
        <f t="shared" ca="1" si="115"/>
        <v>0</v>
      </c>
      <c r="J285" s="2">
        <f t="shared" ca="1" si="115"/>
        <v>0</v>
      </c>
      <c r="K285" s="2">
        <f t="shared" ca="1" si="115"/>
        <v>0</v>
      </c>
      <c r="L285" s="2">
        <f t="shared" ca="1" si="115"/>
        <v>0</v>
      </c>
      <c r="M285" s="2">
        <f t="shared" ca="1" si="115"/>
        <v>0</v>
      </c>
      <c r="N285" s="2">
        <f t="shared" ca="1" si="115"/>
        <v>0</v>
      </c>
      <c r="O285" s="2">
        <f t="shared" ca="1" si="115"/>
        <v>0</v>
      </c>
      <c r="P285" s="2">
        <f t="shared" ca="1" si="115"/>
        <v>0</v>
      </c>
      <c r="Q285" s="2">
        <f t="shared" ca="1" si="115"/>
        <v>0</v>
      </c>
      <c r="R285" s="2">
        <f t="shared" ca="1" si="115"/>
        <v>0</v>
      </c>
      <c r="S285" s="2">
        <f t="shared" ca="1" si="115"/>
        <v>0</v>
      </c>
      <c r="T285" s="2">
        <f t="shared" ca="1" si="115"/>
        <v>0</v>
      </c>
      <c r="U285" s="2">
        <f t="shared" ca="1" si="115"/>
        <v>0</v>
      </c>
      <c r="V285" s="2">
        <f t="shared" ca="1" si="115"/>
        <v>0</v>
      </c>
      <c r="W285" s="2">
        <f t="shared" ca="1" si="115"/>
        <v>0</v>
      </c>
      <c r="X285" s="2">
        <f t="shared" ca="1" si="115"/>
        <v>0</v>
      </c>
      <c r="Y285" s="2">
        <f t="shared" ca="1" si="115"/>
        <v>0</v>
      </c>
      <c r="Z285" s="2">
        <f t="shared" ca="1" si="115"/>
        <v>0</v>
      </c>
      <c r="AA285" s="2">
        <f t="shared" ca="1" si="115"/>
        <v>0</v>
      </c>
    </row>
    <row r="286" spans="1:28" x14ac:dyDescent="0.25">
      <c r="G286" s="8">
        <f ca="1">-G311/(NPV($G$16,H283:AA283)+G283)</f>
        <v>-2347313.9636162426</v>
      </c>
    </row>
    <row r="287" spans="1:28" x14ac:dyDescent="0.25">
      <c r="D287" t="s">
        <v>9</v>
      </c>
    </row>
    <row r="288" spans="1:28" x14ac:dyDescent="0.25">
      <c r="E288" t="s">
        <v>107</v>
      </c>
      <c r="F288" t="s">
        <v>7</v>
      </c>
      <c r="G288" s="2">
        <f t="shared" ref="G288:AA293" si="116">G222</f>
        <v>0</v>
      </c>
      <c r="H288" s="2">
        <f t="shared" si="116"/>
        <v>4509756.9999999991</v>
      </c>
      <c r="I288" s="2">
        <f t="shared" si="116"/>
        <v>4597164.8099999987</v>
      </c>
      <c r="J288" s="2">
        <f t="shared" si="116"/>
        <v>4771933.6921934988</v>
      </c>
      <c r="K288" s="2">
        <f t="shared" si="116"/>
        <v>4723812.0376769044</v>
      </c>
      <c r="L288" s="2">
        <f t="shared" si="116"/>
        <v>4659915.0632542213</v>
      </c>
      <c r="M288" s="2">
        <f t="shared" si="116"/>
        <v>4599180.8369298074</v>
      </c>
      <c r="N288" s="2">
        <f t="shared" si="116"/>
        <v>4533840.7505568732</v>
      </c>
      <c r="O288" s="2">
        <f t="shared" si="116"/>
        <v>4467861.2234199736</v>
      </c>
      <c r="P288" s="2">
        <f t="shared" si="116"/>
        <v>4810659.0123843141</v>
      </c>
      <c r="Q288" s="2">
        <f t="shared" si="116"/>
        <v>5187426.4503331911</v>
      </c>
      <c r="R288" s="2">
        <f t="shared" si="116"/>
        <v>5586694.5642471267</v>
      </c>
      <c r="S288" s="2">
        <f t="shared" si="116"/>
        <v>6031883.7374640554</v>
      </c>
      <c r="T288" s="2">
        <f t="shared" si="116"/>
        <v>6511649.799143808</v>
      </c>
      <c r="U288" s="2">
        <f t="shared" si="116"/>
        <v>6620302.6374120573</v>
      </c>
      <c r="V288" s="2">
        <f t="shared" si="116"/>
        <v>6725866.9680808894</v>
      </c>
      <c r="W288" s="2">
        <f t="shared" si="116"/>
        <v>0</v>
      </c>
      <c r="X288" s="2">
        <f t="shared" si="116"/>
        <v>0</v>
      </c>
      <c r="Y288" s="2">
        <f t="shared" si="116"/>
        <v>0</v>
      </c>
      <c r="Z288" s="2">
        <f t="shared" si="116"/>
        <v>0</v>
      </c>
      <c r="AA288" s="2">
        <f t="shared" si="116"/>
        <v>0</v>
      </c>
    </row>
    <row r="289" spans="4:28" customFormat="1" x14ac:dyDescent="0.25">
      <c r="E289" t="s">
        <v>11</v>
      </c>
      <c r="F289" t="s">
        <v>7</v>
      </c>
      <c r="G289" s="2">
        <f t="shared" si="116"/>
        <v>0</v>
      </c>
      <c r="H289" s="2">
        <f t="shared" si="116"/>
        <v>288653.56898014928</v>
      </c>
      <c r="I289" s="2">
        <f t="shared" si="116"/>
        <v>572825.92652532854</v>
      </c>
      <c r="J289" s="2">
        <f t="shared" si="116"/>
        <v>881920.93399917393</v>
      </c>
      <c r="K289" s="2">
        <f t="shared" si="116"/>
        <v>1194511.2346511635</v>
      </c>
      <c r="L289" s="2">
        <f t="shared" si="116"/>
        <v>1509688.1736897605</v>
      </c>
      <c r="M289" s="2">
        <f t="shared" si="116"/>
        <v>1827702.9600676226</v>
      </c>
      <c r="N289" s="2">
        <f t="shared" si="116"/>
        <v>2148328.461445319</v>
      </c>
      <c r="O289" s="2">
        <f t="shared" si="116"/>
        <v>2471579.6959363348</v>
      </c>
      <c r="P289" s="2">
        <f t="shared" si="116"/>
        <v>2822959.2875489299</v>
      </c>
      <c r="Q289" s="2">
        <f t="shared" si="116"/>
        <v>3205172.6334840977</v>
      </c>
      <c r="R289" s="2">
        <f t="shared" si="116"/>
        <v>3620267.9699721858</v>
      </c>
      <c r="S289" s="2">
        <f t="shared" si="116"/>
        <v>4071794.5278430968</v>
      </c>
      <c r="T289" s="2">
        <f t="shared" si="116"/>
        <v>4562669.8667324763</v>
      </c>
      <c r="U289" s="2">
        <f t="shared" si="116"/>
        <v>5070617.5181534961</v>
      </c>
      <c r="V289" s="2">
        <f t="shared" si="116"/>
        <v>5595803.7327928292</v>
      </c>
      <c r="W289" s="2">
        <f t="shared" si="116"/>
        <v>5713315.611181478</v>
      </c>
      <c r="X289" s="2">
        <f t="shared" si="116"/>
        <v>5833295.2390162889</v>
      </c>
      <c r="Y289" s="2">
        <f t="shared" si="116"/>
        <v>5955794.4390356299</v>
      </c>
      <c r="Z289" s="2">
        <f t="shared" si="116"/>
        <v>6080866.1222553784</v>
      </c>
      <c r="AA289" s="2">
        <f t="shared" si="116"/>
        <v>6208564.3108227402</v>
      </c>
    </row>
    <row r="290" spans="4:28" customFormat="1" x14ac:dyDescent="0.25">
      <c r="E290" t="s">
        <v>57</v>
      </c>
      <c r="F290" t="s">
        <v>7</v>
      </c>
      <c r="G290" s="2">
        <f t="shared" si="116"/>
        <v>0</v>
      </c>
      <c r="H290" s="2">
        <f t="shared" si="116"/>
        <v>-65980.424504636918</v>
      </c>
      <c r="I290" s="2">
        <f t="shared" si="116"/>
        <v>-138807.84817265513</v>
      </c>
      <c r="J290" s="2">
        <f t="shared" si="116"/>
        <v>-220356.24092493614</v>
      </c>
      <c r="K290" s="2">
        <f t="shared" si="116"/>
        <v>-298459.86784409551</v>
      </c>
      <c r="L290" s="2">
        <f t="shared" si="116"/>
        <v>-377209.79069470562</v>
      </c>
      <c r="M290" s="2">
        <f t="shared" si="116"/>
        <v>-456668.77639652125</v>
      </c>
      <c r="N290" s="2">
        <f t="shared" si="116"/>
        <v>-536780.07379807299</v>
      </c>
      <c r="O290" s="2">
        <f t="shared" si="116"/>
        <v>-617547.43531627906</v>
      </c>
      <c r="P290" s="2">
        <f t="shared" si="116"/>
        <v>-705342.93144355796</v>
      </c>
      <c r="Q290" s="2">
        <f t="shared" si="116"/>
        <v>-800842.53111820936</v>
      </c>
      <c r="R290" s="2">
        <f t="shared" si="116"/>
        <v>-904558.00542859954</v>
      </c>
      <c r="S290" s="2">
        <f t="shared" si="116"/>
        <v>-1017376.1630825177</v>
      </c>
      <c r="T290" s="2">
        <f t="shared" si="116"/>
        <v>-1140025.9837982133</v>
      </c>
      <c r="U290" s="2">
        <f t="shared" si="116"/>
        <v>-1266941.4823863108</v>
      </c>
      <c r="V290" s="2">
        <f t="shared" si="116"/>
        <v>-1398164.1981446701</v>
      </c>
      <c r="W290" s="2">
        <f t="shared" si="116"/>
        <v>-1427525.6463057082</v>
      </c>
      <c r="X290" s="2">
        <f t="shared" si="116"/>
        <v>-1457503.6848781279</v>
      </c>
      <c r="Y290" s="2">
        <f t="shared" si="116"/>
        <v>-1488111.2622605683</v>
      </c>
      <c r="Z290" s="2">
        <f t="shared" si="116"/>
        <v>-1519361.5987680401</v>
      </c>
      <c r="AA290" s="2">
        <f t="shared" si="116"/>
        <v>-1551268.1923421687</v>
      </c>
    </row>
    <row r="291" spans="4:28" customFormat="1" x14ac:dyDescent="0.25">
      <c r="E291" t="s">
        <v>10</v>
      </c>
      <c r="F291" t="s">
        <v>7</v>
      </c>
      <c r="G291" s="2">
        <f t="shared" si="116"/>
        <v>0</v>
      </c>
      <c r="H291" s="2">
        <f t="shared" si="116"/>
        <v>-60881.719499999999</v>
      </c>
      <c r="I291" s="2">
        <f t="shared" si="116"/>
        <v>-124221.96054450001</v>
      </c>
      <c r="J291" s="2">
        <f t="shared" si="116"/>
        <v>-191251.72656054673</v>
      </c>
      <c r="K291" s="2">
        <f t="shared" si="116"/>
        <v>-259039.47532695642</v>
      </c>
      <c r="L291" s="2">
        <f t="shared" si="116"/>
        <v>-327388.15766275453</v>
      </c>
      <c r="M291" s="2">
        <f t="shared" si="116"/>
        <v>-396352.25027222477</v>
      </c>
      <c r="N291" s="2">
        <f t="shared" si="116"/>
        <v>-465882.49766045925</v>
      </c>
      <c r="O291" s="2">
        <f t="shared" si="116"/>
        <v>-535982.15662749857</v>
      </c>
      <c r="P291" s="2">
        <f t="shared" si="116"/>
        <v>-612181.67858386412</v>
      </c>
      <c r="Q291" s="2">
        <f t="shared" si="116"/>
        <v>-695067.75091362349</v>
      </c>
      <c r="R291" s="2">
        <f t="shared" si="116"/>
        <v>-785084.55030014575</v>
      </c>
      <c r="S291" s="2">
        <f t="shared" si="116"/>
        <v>-883001.75631221361</v>
      </c>
      <c r="T291" s="2">
        <f t="shared" si="116"/>
        <v>-989452.06548321131</v>
      </c>
      <c r="U291" s="2">
        <f t="shared" si="116"/>
        <v>-1099604.6444634215</v>
      </c>
      <c r="V291" s="2">
        <f t="shared" si="116"/>
        <v>-1213495.5460662455</v>
      </c>
      <c r="W291" s="2">
        <f t="shared" si="116"/>
        <v>-1238978.9525336365</v>
      </c>
      <c r="X291" s="2">
        <f t="shared" si="116"/>
        <v>-1264997.5105368427</v>
      </c>
      <c r="Y291" s="2">
        <f t="shared" si="116"/>
        <v>-1291562.4582581164</v>
      </c>
      <c r="Z291" s="2">
        <f t="shared" si="116"/>
        <v>-1318685.2698815367</v>
      </c>
      <c r="AA291" s="2">
        <f t="shared" si="116"/>
        <v>-1346377.660549049</v>
      </c>
    </row>
    <row r="292" spans="4:28" customFormat="1" x14ac:dyDescent="0.25">
      <c r="E292" t="s">
        <v>12</v>
      </c>
      <c r="F292" t="s">
        <v>7</v>
      </c>
      <c r="G292" s="2">
        <f t="shared" si="116"/>
        <v>-160007.50781539051</v>
      </c>
      <c r="H292" s="2">
        <f t="shared" si="116"/>
        <v>-234463.42455297761</v>
      </c>
      <c r="I292" s="2">
        <f t="shared" si="116"/>
        <v>-310879.37408949831</v>
      </c>
      <c r="J292" s="2">
        <f t="shared" si="116"/>
        <v>-363900.85955831496</v>
      </c>
      <c r="K292" s="2">
        <f t="shared" si="116"/>
        <v>-416387.65997694724</v>
      </c>
      <c r="L292" s="2">
        <f t="shared" si="116"/>
        <v>-472469.91732806549</v>
      </c>
      <c r="M292" s="2">
        <f t="shared" si="116"/>
        <v>-536581.12861656712</v>
      </c>
      <c r="N292" s="2">
        <f t="shared" si="116"/>
        <v>-586957.13695608801</v>
      </c>
      <c r="O292" s="2">
        <f t="shared" si="116"/>
        <v>-636600.03943853208</v>
      </c>
      <c r="P292" s="2">
        <f t="shared" si="116"/>
        <v>-690051.80624280218</v>
      </c>
      <c r="Q292" s="2">
        <f t="shared" si="116"/>
        <v>-747689.87791317096</v>
      </c>
      <c r="R292" s="2">
        <f t="shared" si="116"/>
        <v>-809764.26196036127</v>
      </c>
      <c r="S292" s="2">
        <f t="shared" si="116"/>
        <v>-876785.19237662852</v>
      </c>
      <c r="T292" s="2">
        <f t="shared" si="116"/>
        <v>-949136.85681155976</v>
      </c>
      <c r="U292" s="2">
        <f t="shared" si="116"/>
        <v>-1022695.7750050271</v>
      </c>
      <c r="V292" s="2">
        <f t="shared" si="116"/>
        <v>-1097427.6302059258</v>
      </c>
      <c r="W292" s="2">
        <f t="shared" si="116"/>
        <v>-1097427.6302059258</v>
      </c>
      <c r="X292" s="2">
        <f t="shared" si="116"/>
        <v>-1097427.6302059258</v>
      </c>
      <c r="Y292" s="2">
        <f t="shared" si="116"/>
        <v>-1097427.6302059258</v>
      </c>
      <c r="Z292" s="2">
        <f t="shared" si="116"/>
        <v>-1097427.6302059258</v>
      </c>
      <c r="AA292" s="2">
        <f t="shared" si="116"/>
        <v>-1097427.6302059258</v>
      </c>
    </row>
    <row r="293" spans="4:28" customFormat="1" x14ac:dyDescent="0.25">
      <c r="E293" t="s">
        <v>48</v>
      </c>
      <c r="F293" t="s">
        <v>7</v>
      </c>
      <c r="G293" s="2">
        <f t="shared" si="116"/>
        <v>0</v>
      </c>
      <c r="H293" s="2">
        <f t="shared" si="116"/>
        <v>0</v>
      </c>
      <c r="I293" s="2">
        <f t="shared" si="116"/>
        <v>0</v>
      </c>
      <c r="J293" s="2">
        <f t="shared" si="116"/>
        <v>0</v>
      </c>
      <c r="K293" s="2">
        <f t="shared" si="116"/>
        <v>0</v>
      </c>
      <c r="L293" s="2">
        <f t="shared" si="116"/>
        <v>0</v>
      </c>
      <c r="M293" s="2">
        <f t="shared" si="116"/>
        <v>0</v>
      </c>
      <c r="N293" s="2">
        <f t="shared" si="116"/>
        <v>0</v>
      </c>
      <c r="O293" s="2">
        <f t="shared" si="116"/>
        <v>0</v>
      </c>
      <c r="P293" s="2">
        <f t="shared" si="116"/>
        <v>0</v>
      </c>
      <c r="Q293" s="2">
        <f t="shared" si="116"/>
        <v>0</v>
      </c>
      <c r="R293" s="2">
        <f t="shared" si="116"/>
        <v>0</v>
      </c>
      <c r="S293" s="2">
        <f t="shared" si="116"/>
        <v>0</v>
      </c>
      <c r="T293" s="2">
        <f t="shared" si="116"/>
        <v>0</v>
      </c>
      <c r="U293" s="2">
        <f t="shared" si="116"/>
        <v>0</v>
      </c>
      <c r="V293" s="2">
        <f t="shared" si="116"/>
        <v>0</v>
      </c>
      <c r="W293" s="2">
        <f t="shared" si="116"/>
        <v>0</v>
      </c>
      <c r="X293" s="2">
        <f t="shared" si="116"/>
        <v>0</v>
      </c>
      <c r="Y293" s="2">
        <f t="shared" si="116"/>
        <v>0</v>
      </c>
      <c r="Z293" s="2">
        <f t="shared" si="116"/>
        <v>0</v>
      </c>
      <c r="AA293" s="2">
        <f t="shared" si="116"/>
        <v>0</v>
      </c>
    </row>
    <row r="294" spans="4:28" customFormat="1" x14ac:dyDescent="0.25">
      <c r="E294" t="s">
        <v>13</v>
      </c>
      <c r="F294" t="s">
        <v>7</v>
      </c>
      <c r="G294" s="2">
        <f t="shared" ref="G294:AA294" ca="1" si="117">G285</f>
        <v>0</v>
      </c>
      <c r="H294" s="2">
        <f t="shared" ca="1" si="117"/>
        <v>0</v>
      </c>
      <c r="I294" s="2">
        <f t="shared" ca="1" si="117"/>
        <v>0</v>
      </c>
      <c r="J294" s="2">
        <f t="shared" ca="1" si="117"/>
        <v>0</v>
      </c>
      <c r="K294" s="2">
        <f t="shared" ca="1" si="117"/>
        <v>0</v>
      </c>
      <c r="L294" s="2">
        <f t="shared" ca="1" si="117"/>
        <v>0</v>
      </c>
      <c r="M294" s="2">
        <f t="shared" ca="1" si="117"/>
        <v>0</v>
      </c>
      <c r="N294" s="2">
        <f t="shared" ca="1" si="117"/>
        <v>0</v>
      </c>
      <c r="O294" s="2">
        <f t="shared" ca="1" si="117"/>
        <v>0</v>
      </c>
      <c r="P294" s="2">
        <f t="shared" ca="1" si="117"/>
        <v>0</v>
      </c>
      <c r="Q294" s="2">
        <f t="shared" ca="1" si="117"/>
        <v>0</v>
      </c>
      <c r="R294" s="2">
        <f t="shared" ca="1" si="117"/>
        <v>0</v>
      </c>
      <c r="S294" s="2">
        <f t="shared" ca="1" si="117"/>
        <v>0</v>
      </c>
      <c r="T294" s="2">
        <f t="shared" ca="1" si="117"/>
        <v>0</v>
      </c>
      <c r="U294" s="2">
        <f t="shared" ca="1" si="117"/>
        <v>0</v>
      </c>
      <c r="V294" s="2">
        <f t="shared" ca="1" si="117"/>
        <v>0</v>
      </c>
      <c r="W294" s="2">
        <f t="shared" ca="1" si="117"/>
        <v>0</v>
      </c>
      <c r="X294" s="2">
        <f t="shared" ca="1" si="117"/>
        <v>0</v>
      </c>
      <c r="Y294" s="2">
        <f t="shared" ca="1" si="117"/>
        <v>0</v>
      </c>
      <c r="Z294" s="2">
        <f t="shared" ca="1" si="117"/>
        <v>0</v>
      </c>
      <c r="AA294" s="2">
        <f t="shared" ca="1" si="117"/>
        <v>0</v>
      </c>
    </row>
    <row r="295" spans="4:28" customFormat="1" x14ac:dyDescent="0.25"/>
    <row r="296" spans="4:28" customFormat="1" x14ac:dyDescent="0.25">
      <c r="E296" t="s">
        <v>14</v>
      </c>
      <c r="F296" t="s">
        <v>7</v>
      </c>
      <c r="G296" s="2">
        <f t="shared" ref="G296:AA296" ca="1" si="118">SUM(G288:G294)</f>
        <v>-160007.50781539051</v>
      </c>
      <c r="H296" s="2">
        <f t="shared" ca="1" si="118"/>
        <v>4437085.0004225336</v>
      </c>
      <c r="I296" s="2">
        <f t="shared" ca="1" si="118"/>
        <v>4596081.553718674</v>
      </c>
      <c r="J296" s="2">
        <f t="shared" ca="1" si="118"/>
        <v>4878345.7991488753</v>
      </c>
      <c r="K296" s="2">
        <f t="shared" ca="1" si="118"/>
        <v>4944436.2691800687</v>
      </c>
      <c r="L296" s="2">
        <f t="shared" ca="1" si="118"/>
        <v>4992535.3712584563</v>
      </c>
      <c r="M296" s="2">
        <f t="shared" ca="1" si="118"/>
        <v>5037281.641712117</v>
      </c>
      <c r="N296" s="2">
        <f t="shared" ca="1" si="118"/>
        <v>5092549.503587571</v>
      </c>
      <c r="O296" s="2">
        <f t="shared" ca="1" si="118"/>
        <v>5149311.287973999</v>
      </c>
      <c r="P296" s="2">
        <f t="shared" ca="1" si="118"/>
        <v>5626041.8836630192</v>
      </c>
      <c r="Q296" s="2">
        <f t="shared" ca="1" si="118"/>
        <v>6148998.9238722846</v>
      </c>
      <c r="R296" s="2">
        <f t="shared" ca="1" si="118"/>
        <v>6707555.7165302075</v>
      </c>
      <c r="S296" s="2">
        <f t="shared" ca="1" si="118"/>
        <v>7326515.1535357926</v>
      </c>
      <c r="T296" s="2">
        <f t="shared" ca="1" si="118"/>
        <v>7995704.7597833006</v>
      </c>
      <c r="U296" s="2">
        <f t="shared" ca="1" si="118"/>
        <v>8301678.2537107924</v>
      </c>
      <c r="V296" s="2">
        <f t="shared" ca="1" si="118"/>
        <v>8612583.3264568765</v>
      </c>
      <c r="W296" s="2">
        <f t="shared" ca="1" si="118"/>
        <v>1949383.3821362078</v>
      </c>
      <c r="X296" s="2">
        <f t="shared" ca="1" si="118"/>
        <v>2013366.4133953925</v>
      </c>
      <c r="Y296" s="2">
        <f t="shared" ca="1" si="118"/>
        <v>2078693.0883110191</v>
      </c>
      <c r="Z296" s="2">
        <f t="shared" ca="1" si="118"/>
        <v>2145391.6233998761</v>
      </c>
      <c r="AA296" s="2">
        <f t="shared" ca="1" si="118"/>
        <v>2213490.8277255967</v>
      </c>
    </row>
    <row r="297" spans="4:28" customFormat="1" x14ac:dyDescent="0.25">
      <c r="E297" t="s">
        <v>15</v>
      </c>
      <c r="F297" t="s">
        <v>7</v>
      </c>
      <c r="G297" s="2">
        <f t="shared" ref="G297:AA297" ca="1" si="119">-G296*G$18</f>
        <v>48002.252344617147</v>
      </c>
      <c r="H297" s="2">
        <f t="shared" ca="1" si="119"/>
        <v>-1331125.50012676</v>
      </c>
      <c r="I297" s="2">
        <f t="shared" ca="1" si="119"/>
        <v>-1378824.4661156021</v>
      </c>
      <c r="J297" s="2">
        <f t="shared" ca="1" si="119"/>
        <v>-1463503.7397446625</v>
      </c>
      <c r="K297" s="2">
        <f t="shared" ca="1" si="119"/>
        <v>-1483330.8807540205</v>
      </c>
      <c r="L297" s="2">
        <f t="shared" ca="1" si="119"/>
        <v>-1497760.6113775368</v>
      </c>
      <c r="M297" s="2">
        <f t="shared" ca="1" si="119"/>
        <v>-1511184.492513635</v>
      </c>
      <c r="N297" s="2">
        <f t="shared" ca="1" si="119"/>
        <v>-1527764.8510762712</v>
      </c>
      <c r="O297" s="2">
        <f t="shared" ca="1" si="119"/>
        <v>-1544793.3863921997</v>
      </c>
      <c r="P297" s="2">
        <f t="shared" ca="1" si="119"/>
        <v>-1687812.5650989057</v>
      </c>
      <c r="Q297" s="2">
        <f t="shared" ca="1" si="119"/>
        <v>-1844699.6771616854</v>
      </c>
      <c r="R297" s="2">
        <f t="shared" ca="1" si="119"/>
        <v>-2012266.7149590622</v>
      </c>
      <c r="S297" s="2">
        <f t="shared" ca="1" si="119"/>
        <v>-2197954.5460607377</v>
      </c>
      <c r="T297" s="2">
        <f t="shared" ca="1" si="119"/>
        <v>-2398711.4279349903</v>
      </c>
      <c r="U297" s="2">
        <f t="shared" ca="1" si="119"/>
        <v>-2490503.4761132374</v>
      </c>
      <c r="V297" s="2">
        <f t="shared" ca="1" si="119"/>
        <v>-2583774.9979370628</v>
      </c>
      <c r="W297" s="2">
        <f t="shared" ca="1" si="119"/>
        <v>-584815.01464086236</v>
      </c>
      <c r="X297" s="2">
        <f t="shared" ca="1" si="119"/>
        <v>-604009.92401861772</v>
      </c>
      <c r="Y297" s="2">
        <f t="shared" ca="1" si="119"/>
        <v>-623607.92649330571</v>
      </c>
      <c r="Z297" s="2">
        <f t="shared" ca="1" si="119"/>
        <v>-643617.48701996275</v>
      </c>
      <c r="AA297" s="2">
        <f t="shared" ca="1" si="119"/>
        <v>-664047.24831767904</v>
      </c>
    </row>
    <row r="298" spans="4:28" customFormat="1" x14ac:dyDescent="0.25"/>
    <row r="299" spans="4:28" customFormat="1" x14ac:dyDescent="0.25">
      <c r="D299" t="s">
        <v>28</v>
      </c>
    </row>
    <row r="300" spans="4:28" customFormat="1" x14ac:dyDescent="0.25">
      <c r="E300" t="s">
        <v>1</v>
      </c>
      <c r="F300" t="s">
        <v>7</v>
      </c>
      <c r="G300" s="2">
        <f t="shared" ref="G300:AA307" si="120">G234</f>
        <v>-14400675.703385144</v>
      </c>
      <c r="H300" s="2">
        <f t="shared" si="120"/>
        <v>-2191275.5063828407</v>
      </c>
      <c r="I300" s="2">
        <f t="shared" si="120"/>
        <v>-2280270.6482868665</v>
      </c>
      <c r="J300" s="2">
        <f t="shared" si="120"/>
        <v>0</v>
      </c>
      <c r="K300" s="2">
        <f t="shared" si="120"/>
        <v>0</v>
      </c>
      <c r="L300" s="2">
        <f t="shared" si="120"/>
        <v>-387488.09834641748</v>
      </c>
      <c r="M300" s="2">
        <f t="shared" si="120"/>
        <v>-1170828.1790353376</v>
      </c>
      <c r="N300" s="2">
        <f t="shared" si="120"/>
        <v>0</v>
      </c>
      <c r="O300" s="2">
        <f t="shared" si="120"/>
        <v>0</v>
      </c>
      <c r="P300" s="2">
        <f t="shared" si="120"/>
        <v>0</v>
      </c>
      <c r="Q300" s="2">
        <f t="shared" si="120"/>
        <v>0</v>
      </c>
      <c r="R300" s="2">
        <f t="shared" si="120"/>
        <v>0</v>
      </c>
      <c r="S300" s="2">
        <f t="shared" si="120"/>
        <v>0</v>
      </c>
      <c r="T300" s="2">
        <f t="shared" si="120"/>
        <v>0</v>
      </c>
      <c r="U300" s="2">
        <f t="shared" si="120"/>
        <v>0</v>
      </c>
      <c r="V300" s="2">
        <f t="shared" si="120"/>
        <v>0</v>
      </c>
      <c r="W300" s="2">
        <f t="shared" si="120"/>
        <v>0</v>
      </c>
      <c r="X300" s="2">
        <f t="shared" si="120"/>
        <v>0</v>
      </c>
      <c r="Y300" s="2">
        <f t="shared" si="120"/>
        <v>0</v>
      </c>
      <c r="Z300" s="2">
        <f t="shared" si="120"/>
        <v>0</v>
      </c>
      <c r="AA300" s="2">
        <f t="shared" si="120"/>
        <v>0</v>
      </c>
    </row>
    <row r="301" spans="4:28" customFormat="1" x14ac:dyDescent="0.25">
      <c r="E301" t="s">
        <v>19</v>
      </c>
      <c r="F301" t="s">
        <v>7</v>
      </c>
      <c r="G301" s="2">
        <f t="shared" si="120"/>
        <v>0</v>
      </c>
      <c r="H301" s="2">
        <f t="shared" si="120"/>
        <v>0</v>
      </c>
      <c r="I301" s="2">
        <f t="shared" si="120"/>
        <v>0</v>
      </c>
      <c r="J301" s="2">
        <f t="shared" si="120"/>
        <v>0</v>
      </c>
      <c r="K301" s="2">
        <f t="shared" si="120"/>
        <v>0</v>
      </c>
      <c r="L301" s="2">
        <f t="shared" si="120"/>
        <v>0</v>
      </c>
      <c r="M301" s="2">
        <f t="shared" si="120"/>
        <v>0</v>
      </c>
      <c r="N301" s="2">
        <f t="shared" si="120"/>
        <v>0</v>
      </c>
      <c r="O301" s="2">
        <f t="shared" si="120"/>
        <v>0</v>
      </c>
      <c r="P301" s="2">
        <f t="shared" si="120"/>
        <v>0</v>
      </c>
      <c r="Q301" s="2">
        <f t="shared" si="120"/>
        <v>0</v>
      </c>
      <c r="R301" s="2">
        <f t="shared" si="120"/>
        <v>0</v>
      </c>
      <c r="S301" s="2">
        <f t="shared" si="120"/>
        <v>0</v>
      </c>
      <c r="T301" s="2">
        <f t="shared" si="120"/>
        <v>0</v>
      </c>
      <c r="U301" s="2">
        <f t="shared" si="120"/>
        <v>0</v>
      </c>
      <c r="V301" s="2">
        <f t="shared" si="120"/>
        <v>0</v>
      </c>
      <c r="W301" s="2">
        <f t="shared" si="120"/>
        <v>0</v>
      </c>
      <c r="X301" s="2">
        <f t="shared" si="120"/>
        <v>0</v>
      </c>
      <c r="Y301" s="2">
        <f t="shared" si="120"/>
        <v>0</v>
      </c>
      <c r="Z301" s="2">
        <f t="shared" si="120"/>
        <v>0</v>
      </c>
      <c r="AA301" s="2">
        <f t="shared" si="120"/>
        <v>0</v>
      </c>
    </row>
    <row r="302" spans="4:28" customFormat="1" x14ac:dyDescent="0.25">
      <c r="E302" t="s">
        <v>109</v>
      </c>
      <c r="F302" t="s">
        <v>7</v>
      </c>
      <c r="G302" s="2">
        <f t="shared" si="120"/>
        <v>0</v>
      </c>
      <c r="H302" s="2">
        <f t="shared" si="120"/>
        <v>0</v>
      </c>
      <c r="I302" s="2">
        <f t="shared" si="120"/>
        <v>0</v>
      </c>
      <c r="J302" s="2">
        <f t="shared" si="120"/>
        <v>0</v>
      </c>
      <c r="K302" s="2">
        <f t="shared" si="120"/>
        <v>0</v>
      </c>
      <c r="L302" s="2">
        <f t="shared" si="120"/>
        <v>0</v>
      </c>
      <c r="M302" s="2">
        <f t="shared" si="120"/>
        <v>0</v>
      </c>
      <c r="N302" s="2">
        <f t="shared" si="120"/>
        <v>0</v>
      </c>
      <c r="O302" s="2">
        <f t="shared" si="120"/>
        <v>0</v>
      </c>
      <c r="P302" s="2">
        <f t="shared" si="120"/>
        <v>0</v>
      </c>
      <c r="Q302" s="2">
        <f t="shared" si="120"/>
        <v>0</v>
      </c>
      <c r="R302" s="2">
        <f t="shared" si="120"/>
        <v>0</v>
      </c>
      <c r="S302" s="2">
        <f t="shared" si="120"/>
        <v>0</v>
      </c>
      <c r="T302" s="2">
        <f t="shared" si="120"/>
        <v>0</v>
      </c>
      <c r="U302" s="2">
        <f t="shared" si="120"/>
        <v>0</v>
      </c>
      <c r="V302" s="2">
        <f t="shared" si="120"/>
        <v>0</v>
      </c>
      <c r="W302" s="2">
        <f t="shared" si="120"/>
        <v>0</v>
      </c>
      <c r="X302" s="2">
        <f t="shared" si="120"/>
        <v>0</v>
      </c>
      <c r="Y302" s="2">
        <f t="shared" si="120"/>
        <v>0</v>
      </c>
      <c r="Z302" s="2">
        <f t="shared" si="120"/>
        <v>0</v>
      </c>
      <c r="AA302" s="2">
        <f t="shared" si="120"/>
        <v>0</v>
      </c>
    </row>
    <row r="303" spans="4:28" customFormat="1" x14ac:dyDescent="0.25">
      <c r="E303" t="s">
        <v>11</v>
      </c>
      <c r="F303" t="s">
        <v>7</v>
      </c>
      <c r="G303" s="2">
        <f t="shared" si="120"/>
        <v>0</v>
      </c>
      <c r="H303" s="2">
        <f t="shared" si="120"/>
        <v>288653.56898014928</v>
      </c>
      <c r="I303" s="2">
        <f t="shared" si="120"/>
        <v>572825.92652532854</v>
      </c>
      <c r="J303" s="2">
        <f t="shared" si="120"/>
        <v>881920.93399917393</v>
      </c>
      <c r="K303" s="2">
        <f t="shared" si="120"/>
        <v>1194511.2346511635</v>
      </c>
      <c r="L303" s="2">
        <f t="shared" si="120"/>
        <v>1509688.1736897605</v>
      </c>
      <c r="M303" s="2">
        <f t="shared" si="120"/>
        <v>1827702.9600676226</v>
      </c>
      <c r="N303" s="2">
        <f t="shared" si="120"/>
        <v>2148328.461445319</v>
      </c>
      <c r="O303" s="2">
        <f t="shared" si="120"/>
        <v>2471579.6959363348</v>
      </c>
      <c r="P303" s="2">
        <f t="shared" si="120"/>
        <v>2822959.2875489299</v>
      </c>
      <c r="Q303" s="2">
        <f t="shared" si="120"/>
        <v>3205172.6334840977</v>
      </c>
      <c r="R303" s="2">
        <f t="shared" si="120"/>
        <v>3620267.9699721858</v>
      </c>
      <c r="S303" s="2">
        <f t="shared" si="120"/>
        <v>4071794.5278430968</v>
      </c>
      <c r="T303" s="2">
        <f t="shared" si="120"/>
        <v>4562669.8667324763</v>
      </c>
      <c r="U303" s="2">
        <f t="shared" si="120"/>
        <v>5070617.5181534961</v>
      </c>
      <c r="V303" s="2">
        <f t="shared" si="120"/>
        <v>5595803.7327928292</v>
      </c>
      <c r="W303" s="2">
        <f t="shared" si="120"/>
        <v>5713315.611181478</v>
      </c>
      <c r="X303" s="2">
        <f t="shared" si="120"/>
        <v>5833295.2390162889</v>
      </c>
      <c r="Y303" s="2">
        <f t="shared" si="120"/>
        <v>5955794.4390356299</v>
      </c>
      <c r="Z303" s="2">
        <f t="shared" si="120"/>
        <v>6080866.1222553784</v>
      </c>
      <c r="AA303" s="2">
        <f t="shared" si="120"/>
        <v>6208564.3108227402</v>
      </c>
      <c r="AB303" s="2">
        <f t="shared" ref="AB303:AB307" si="121">IF(V303=0,0,IF($G$15&gt;(AA303/V303)^(1/5)-1+2%,AA303*(AA303/V303)^(1/5)/($G$15-((AA303/V303)^(1/5)-1)),AA303*(1+$G$14)/$G$16))</f>
        <v>206952143.69409177</v>
      </c>
    </row>
    <row r="304" spans="4:28" customFormat="1" x14ac:dyDescent="0.25">
      <c r="E304" t="s">
        <v>57</v>
      </c>
      <c r="F304" t="s">
        <v>7</v>
      </c>
      <c r="G304" s="2">
        <f t="shared" si="120"/>
        <v>0</v>
      </c>
      <c r="H304" s="2">
        <f t="shared" si="120"/>
        <v>-65980.424504636918</v>
      </c>
      <c r="I304" s="2">
        <f t="shared" si="120"/>
        <v>-138807.84817265513</v>
      </c>
      <c r="J304" s="2">
        <f t="shared" si="120"/>
        <v>-220356.24092493614</v>
      </c>
      <c r="K304" s="2">
        <f t="shared" si="120"/>
        <v>-298459.86784409551</v>
      </c>
      <c r="L304" s="2">
        <f t="shared" si="120"/>
        <v>-377209.79069470562</v>
      </c>
      <c r="M304" s="2">
        <f t="shared" si="120"/>
        <v>-456668.77639652125</v>
      </c>
      <c r="N304" s="2">
        <f t="shared" si="120"/>
        <v>-536780.07379807299</v>
      </c>
      <c r="O304" s="2">
        <f t="shared" si="120"/>
        <v>-617547.43531627906</v>
      </c>
      <c r="P304" s="2">
        <f t="shared" si="120"/>
        <v>-705342.93144355796</v>
      </c>
      <c r="Q304" s="2">
        <f t="shared" si="120"/>
        <v>-800842.53111820936</v>
      </c>
      <c r="R304" s="2">
        <f t="shared" si="120"/>
        <v>-904558.00542859954</v>
      </c>
      <c r="S304" s="2">
        <f t="shared" si="120"/>
        <v>-1017376.1630825177</v>
      </c>
      <c r="T304" s="2">
        <f t="shared" si="120"/>
        <v>-1140025.9837982133</v>
      </c>
      <c r="U304" s="2">
        <f t="shared" si="120"/>
        <v>-1266941.4823863108</v>
      </c>
      <c r="V304" s="2">
        <f t="shared" si="120"/>
        <v>-1398164.1981446701</v>
      </c>
      <c r="W304" s="2">
        <f t="shared" si="120"/>
        <v>-1427525.6463057082</v>
      </c>
      <c r="X304" s="2">
        <f t="shared" si="120"/>
        <v>-1457503.6848781279</v>
      </c>
      <c r="Y304" s="2">
        <f t="shared" si="120"/>
        <v>-1488111.2622605683</v>
      </c>
      <c r="Z304" s="2">
        <f t="shared" si="120"/>
        <v>-1519361.5987680401</v>
      </c>
      <c r="AA304" s="2">
        <f t="shared" si="120"/>
        <v>-1551268.1923421687</v>
      </c>
      <c r="AB304" s="2">
        <f t="shared" si="121"/>
        <v>-51708939.744739063</v>
      </c>
    </row>
    <row r="305" spans="1:28" x14ac:dyDescent="0.25">
      <c r="E305" t="s">
        <v>10</v>
      </c>
      <c r="F305" t="s">
        <v>7</v>
      </c>
      <c r="G305" s="2">
        <f t="shared" si="120"/>
        <v>0</v>
      </c>
      <c r="H305" s="2">
        <f t="shared" si="120"/>
        <v>-60881.719499999999</v>
      </c>
      <c r="I305" s="2">
        <f t="shared" si="120"/>
        <v>-124221.96054450001</v>
      </c>
      <c r="J305" s="2">
        <f t="shared" si="120"/>
        <v>-191251.72656054673</v>
      </c>
      <c r="K305" s="2">
        <f t="shared" si="120"/>
        <v>-259039.47532695642</v>
      </c>
      <c r="L305" s="2">
        <f t="shared" si="120"/>
        <v>-327388.15766275453</v>
      </c>
      <c r="M305" s="2">
        <f t="shared" si="120"/>
        <v>-396352.25027222477</v>
      </c>
      <c r="N305" s="2">
        <f t="shared" si="120"/>
        <v>-465882.49766045925</v>
      </c>
      <c r="O305" s="2">
        <f t="shared" si="120"/>
        <v>-535982.15662749857</v>
      </c>
      <c r="P305" s="2">
        <f t="shared" si="120"/>
        <v>-612181.67858386412</v>
      </c>
      <c r="Q305" s="2">
        <f t="shared" si="120"/>
        <v>-695067.75091362349</v>
      </c>
      <c r="R305" s="2">
        <f t="shared" si="120"/>
        <v>-785084.55030014575</v>
      </c>
      <c r="S305" s="2">
        <f t="shared" si="120"/>
        <v>-883001.75631221361</v>
      </c>
      <c r="T305" s="2">
        <f t="shared" si="120"/>
        <v>-989452.06548321131</v>
      </c>
      <c r="U305" s="2">
        <f t="shared" si="120"/>
        <v>-1099604.6444634215</v>
      </c>
      <c r="V305" s="2">
        <f t="shared" si="120"/>
        <v>-1213495.5460662455</v>
      </c>
      <c r="W305" s="2">
        <f t="shared" si="120"/>
        <v>-1238978.9525336365</v>
      </c>
      <c r="X305" s="2">
        <f t="shared" si="120"/>
        <v>-1264997.5105368427</v>
      </c>
      <c r="Y305" s="2">
        <f t="shared" si="120"/>
        <v>-1291562.4582581164</v>
      </c>
      <c r="Z305" s="2">
        <f t="shared" si="120"/>
        <v>-1318685.2698815367</v>
      </c>
      <c r="AA305" s="2">
        <f t="shared" si="120"/>
        <v>-1346377.660549049</v>
      </c>
      <c r="AB305" s="2">
        <f t="shared" si="121"/>
        <v>-44879255.351635061</v>
      </c>
    </row>
    <row r="306" spans="1:28" x14ac:dyDescent="0.25">
      <c r="E306" t="s">
        <v>48</v>
      </c>
      <c r="F306" t="s">
        <v>7</v>
      </c>
      <c r="G306" s="2">
        <f t="shared" si="120"/>
        <v>0</v>
      </c>
      <c r="H306" s="2">
        <f t="shared" si="120"/>
        <v>0</v>
      </c>
      <c r="I306" s="2">
        <f t="shared" si="120"/>
        <v>0</v>
      </c>
      <c r="J306" s="2">
        <f t="shared" si="120"/>
        <v>0</v>
      </c>
      <c r="K306" s="2">
        <f t="shared" si="120"/>
        <v>0</v>
      </c>
      <c r="L306" s="2">
        <f t="shared" si="120"/>
        <v>0</v>
      </c>
      <c r="M306" s="2">
        <f t="shared" si="120"/>
        <v>0</v>
      </c>
      <c r="N306" s="2">
        <f t="shared" si="120"/>
        <v>0</v>
      </c>
      <c r="O306" s="2">
        <f t="shared" si="120"/>
        <v>0</v>
      </c>
      <c r="P306" s="2">
        <f t="shared" si="120"/>
        <v>0</v>
      </c>
      <c r="Q306" s="2">
        <f t="shared" si="120"/>
        <v>0</v>
      </c>
      <c r="R306" s="2">
        <f t="shared" si="120"/>
        <v>0</v>
      </c>
      <c r="S306" s="2">
        <f t="shared" si="120"/>
        <v>0</v>
      </c>
      <c r="T306" s="2">
        <f t="shared" si="120"/>
        <v>0</v>
      </c>
      <c r="U306" s="2">
        <f t="shared" si="120"/>
        <v>0</v>
      </c>
      <c r="V306" s="2">
        <f t="shared" si="120"/>
        <v>0</v>
      </c>
      <c r="W306" s="2">
        <f t="shared" si="120"/>
        <v>0</v>
      </c>
      <c r="X306" s="2">
        <f t="shared" si="120"/>
        <v>0</v>
      </c>
      <c r="Y306" s="2">
        <f t="shared" si="120"/>
        <v>0</v>
      </c>
      <c r="Z306" s="2">
        <f t="shared" si="120"/>
        <v>0</v>
      </c>
      <c r="AA306" s="2">
        <f t="shared" si="120"/>
        <v>0</v>
      </c>
      <c r="AB306" s="2">
        <f t="shared" si="121"/>
        <v>0</v>
      </c>
    </row>
    <row r="307" spans="1:28" x14ac:dyDescent="0.25">
      <c r="E307" t="s">
        <v>49</v>
      </c>
      <c r="F307" t="s">
        <v>7</v>
      </c>
      <c r="G307" s="2">
        <f t="shared" si="120"/>
        <v>0</v>
      </c>
      <c r="H307" s="2">
        <f t="shared" si="120"/>
        <v>0</v>
      </c>
      <c r="I307" s="2">
        <f t="shared" si="120"/>
        <v>0</v>
      </c>
      <c r="J307" s="2">
        <f t="shared" si="120"/>
        <v>0</v>
      </c>
      <c r="K307" s="2">
        <f t="shared" si="120"/>
        <v>0</v>
      </c>
      <c r="L307" s="2">
        <f t="shared" si="120"/>
        <v>0</v>
      </c>
      <c r="M307" s="2">
        <f t="shared" si="120"/>
        <v>0</v>
      </c>
      <c r="N307" s="2">
        <f t="shared" si="120"/>
        <v>0</v>
      </c>
      <c r="O307" s="2">
        <f t="shared" si="120"/>
        <v>0</v>
      </c>
      <c r="P307" s="2">
        <f t="shared" si="120"/>
        <v>0</v>
      </c>
      <c r="Q307" s="2">
        <f t="shared" si="120"/>
        <v>0</v>
      </c>
      <c r="R307" s="2">
        <f t="shared" si="120"/>
        <v>0</v>
      </c>
      <c r="S307" s="2">
        <f t="shared" si="120"/>
        <v>0</v>
      </c>
      <c r="T307" s="2">
        <f t="shared" si="120"/>
        <v>0</v>
      </c>
      <c r="U307" s="2">
        <f t="shared" si="120"/>
        <v>0</v>
      </c>
      <c r="V307" s="2">
        <f t="shared" si="120"/>
        <v>0</v>
      </c>
      <c r="W307" s="2">
        <f t="shared" si="120"/>
        <v>0</v>
      </c>
      <c r="X307" s="2">
        <f t="shared" si="120"/>
        <v>0</v>
      </c>
      <c r="Y307" s="2">
        <f t="shared" si="120"/>
        <v>0</v>
      </c>
      <c r="Z307" s="2">
        <f t="shared" si="120"/>
        <v>0</v>
      </c>
      <c r="AA307" s="2">
        <f t="shared" si="120"/>
        <v>0</v>
      </c>
      <c r="AB307" s="2">
        <f t="shared" si="121"/>
        <v>0</v>
      </c>
    </row>
    <row r="308" spans="1:28" x14ac:dyDescent="0.25">
      <c r="E308" t="s">
        <v>20</v>
      </c>
      <c r="F308" t="s">
        <v>7</v>
      </c>
      <c r="G308" s="2">
        <f t="shared" ref="G308:AA308" ca="1" si="122">G297</f>
        <v>48002.252344617147</v>
      </c>
      <c r="H308" s="2">
        <f t="shared" ca="1" si="122"/>
        <v>-1331125.50012676</v>
      </c>
      <c r="I308" s="2">
        <f t="shared" ca="1" si="122"/>
        <v>-1378824.4661156021</v>
      </c>
      <c r="J308" s="2">
        <f t="shared" ca="1" si="122"/>
        <v>-1463503.7397446625</v>
      </c>
      <c r="K308" s="2">
        <f t="shared" ca="1" si="122"/>
        <v>-1483330.8807540205</v>
      </c>
      <c r="L308" s="2">
        <f t="shared" ca="1" si="122"/>
        <v>-1497760.6113775368</v>
      </c>
      <c r="M308" s="2">
        <f t="shared" ca="1" si="122"/>
        <v>-1511184.492513635</v>
      </c>
      <c r="N308" s="2">
        <f t="shared" ca="1" si="122"/>
        <v>-1527764.8510762712</v>
      </c>
      <c r="O308" s="2">
        <f t="shared" ca="1" si="122"/>
        <v>-1544793.3863921997</v>
      </c>
      <c r="P308" s="2">
        <f t="shared" ca="1" si="122"/>
        <v>-1687812.5650989057</v>
      </c>
      <c r="Q308" s="2">
        <f t="shared" ca="1" si="122"/>
        <v>-1844699.6771616854</v>
      </c>
      <c r="R308" s="2">
        <f t="shared" ca="1" si="122"/>
        <v>-2012266.7149590622</v>
      </c>
      <c r="S308" s="2">
        <f t="shared" ca="1" si="122"/>
        <v>-2197954.5460607377</v>
      </c>
      <c r="T308" s="2">
        <f t="shared" ca="1" si="122"/>
        <v>-2398711.4279349903</v>
      </c>
      <c r="U308" s="2">
        <f t="shared" ca="1" si="122"/>
        <v>-2490503.4761132374</v>
      </c>
      <c r="V308" s="2">
        <f t="shared" ca="1" si="122"/>
        <v>-2583774.9979370628</v>
      </c>
      <c r="W308" s="2">
        <f t="shared" ca="1" si="122"/>
        <v>-584815.01464086236</v>
      </c>
      <c r="X308" s="2">
        <f t="shared" ca="1" si="122"/>
        <v>-604009.92401861772</v>
      </c>
      <c r="Y308" s="2">
        <f t="shared" ca="1" si="122"/>
        <v>-623607.92649330571</v>
      </c>
      <c r="Z308" s="2">
        <f t="shared" ca="1" si="122"/>
        <v>-643617.48701996275</v>
      </c>
      <c r="AA308" s="2">
        <f t="shared" ca="1" si="122"/>
        <v>-664047.24831767904</v>
      </c>
      <c r="AB308" s="2">
        <f ca="1">IF(V308=0,0,IF($G$15&gt;(AA308/V308)^(1/5)-1+2%,AA308*(AA308/V308)^(1/5)/($G$15-((AA308/V308)^(1/5)-1)),AA308*(1+$G$14)/$G$16))</f>
        <v>-1747565.4968981957</v>
      </c>
    </row>
    <row r="309" spans="1:28" x14ac:dyDescent="0.25">
      <c r="E309" t="s">
        <v>173</v>
      </c>
      <c r="F309" t="s">
        <v>7</v>
      </c>
      <c r="G309" s="2">
        <f ca="1">-$G$17*G308</f>
        <v>-24001.126172308574</v>
      </c>
      <c r="H309" s="2">
        <f t="shared" ref="H309:AA309" ca="1" si="123">-$G$17*H308</f>
        <v>665562.75006337999</v>
      </c>
      <c r="I309" s="2">
        <f t="shared" ca="1" si="123"/>
        <v>689412.23305780103</v>
      </c>
      <c r="J309" s="2">
        <f t="shared" ca="1" si="123"/>
        <v>731751.86987233127</v>
      </c>
      <c r="K309" s="2">
        <f t="shared" ca="1" si="123"/>
        <v>741665.44037701027</v>
      </c>
      <c r="L309" s="2">
        <f t="shared" ca="1" si="123"/>
        <v>748880.30568876839</v>
      </c>
      <c r="M309" s="2">
        <f t="shared" ca="1" si="123"/>
        <v>755592.24625681748</v>
      </c>
      <c r="N309" s="2">
        <f t="shared" ca="1" si="123"/>
        <v>763882.42553813558</v>
      </c>
      <c r="O309" s="2">
        <f t="shared" ca="1" si="123"/>
        <v>772396.69319609983</v>
      </c>
      <c r="P309" s="2">
        <f t="shared" ca="1" si="123"/>
        <v>843906.28254945285</v>
      </c>
      <c r="Q309" s="2">
        <f t="shared" ca="1" si="123"/>
        <v>922349.83858084271</v>
      </c>
      <c r="R309" s="2">
        <f t="shared" ca="1" si="123"/>
        <v>1006133.3574795311</v>
      </c>
      <c r="S309" s="2">
        <f t="shared" ca="1" si="123"/>
        <v>1098977.2730303688</v>
      </c>
      <c r="T309" s="2">
        <f t="shared" ca="1" si="123"/>
        <v>1199355.7139674951</v>
      </c>
      <c r="U309" s="2">
        <f t="shared" ca="1" si="123"/>
        <v>1245251.7380566187</v>
      </c>
      <c r="V309" s="2">
        <f t="shared" ca="1" si="123"/>
        <v>1291887.4989685314</v>
      </c>
      <c r="W309" s="2">
        <f t="shared" ca="1" si="123"/>
        <v>292407.50732043118</v>
      </c>
      <c r="X309" s="2">
        <f t="shared" ca="1" si="123"/>
        <v>302004.96200930886</v>
      </c>
      <c r="Y309" s="2">
        <f t="shared" ca="1" si="123"/>
        <v>311803.96324665286</v>
      </c>
      <c r="Z309" s="2">
        <f t="shared" ca="1" si="123"/>
        <v>321808.74350998137</v>
      </c>
      <c r="AA309" s="2">
        <f t="shared" ca="1" si="123"/>
        <v>332023.62415883952</v>
      </c>
      <c r="AB309" s="2">
        <f t="shared" ref="AB309" ca="1" si="124">IF(V309=0,0,IF($G$15&gt;(AA309/V309)^(1/5)-1+2%,AA309*(AA309/V309)^(1/5)/($G$15-((AA309/V309)^(1/5)-1)),AA309*(1+$G$14)/$G$16))</f>
        <v>873782.74844909785</v>
      </c>
    </row>
    <row r="310" spans="1:28" x14ac:dyDescent="0.25">
      <c r="E310" t="s">
        <v>23</v>
      </c>
      <c r="F310" t="s">
        <v>7</v>
      </c>
      <c r="G310" s="2">
        <f t="shared" ref="G310:AB310" ca="1" si="125">SUM(G300:G309)</f>
        <v>-14376674.577212835</v>
      </c>
      <c r="H310" s="2">
        <f t="shared" ca="1" si="125"/>
        <v>-2695046.8314707084</v>
      </c>
      <c r="I310" s="2">
        <f t="shared" ca="1" si="125"/>
        <v>-2659886.7635364938</v>
      </c>
      <c r="J310" s="2">
        <f t="shared" ca="1" si="125"/>
        <v>-261438.90335864027</v>
      </c>
      <c r="K310" s="2">
        <f t="shared" ca="1" si="125"/>
        <v>-104653.54889689875</v>
      </c>
      <c r="L310" s="2">
        <f t="shared" ca="1" si="125"/>
        <v>-331278.17870288552</v>
      </c>
      <c r="M310" s="2">
        <f t="shared" ca="1" si="125"/>
        <v>-951738.49189327855</v>
      </c>
      <c r="N310" s="2">
        <f t="shared" ca="1" si="125"/>
        <v>381783.46444865118</v>
      </c>
      <c r="O310" s="2">
        <f t="shared" ca="1" si="125"/>
        <v>545653.41079645732</v>
      </c>
      <c r="P310" s="2">
        <f t="shared" ca="1" si="125"/>
        <v>661528.39497205487</v>
      </c>
      <c r="Q310" s="2">
        <f t="shared" ca="1" si="125"/>
        <v>786912.51287142199</v>
      </c>
      <c r="R310" s="2">
        <f t="shared" ca="1" si="125"/>
        <v>924492.05676390929</v>
      </c>
      <c r="S310" s="2">
        <f t="shared" ca="1" si="125"/>
        <v>1072439.3354179969</v>
      </c>
      <c r="T310" s="2">
        <f t="shared" ca="1" si="125"/>
        <v>1233836.1034835563</v>
      </c>
      <c r="U310" s="2">
        <f t="shared" ca="1" si="125"/>
        <v>1458819.653247145</v>
      </c>
      <c r="V310" s="2">
        <f t="shared" ca="1" si="125"/>
        <v>1692256.4896133826</v>
      </c>
      <c r="W310" s="2">
        <f t="shared" ca="1" si="125"/>
        <v>2754403.5050217025</v>
      </c>
      <c r="X310" s="2">
        <f t="shared" ca="1" si="125"/>
        <v>2808789.0815920094</v>
      </c>
      <c r="Y310" s="2">
        <f t="shared" ca="1" si="125"/>
        <v>2864316.7552702921</v>
      </c>
      <c r="Z310" s="2">
        <f t="shared" ca="1" si="125"/>
        <v>2921010.5100958208</v>
      </c>
      <c r="AA310" s="2">
        <f t="shared" ca="1" si="125"/>
        <v>2978894.8337726831</v>
      </c>
      <c r="AB310" s="2">
        <f t="shared" ca="1" si="125"/>
        <v>109490165.84926856</v>
      </c>
    </row>
    <row r="311" spans="1:28" x14ac:dyDescent="0.25">
      <c r="E311" t="s">
        <v>31</v>
      </c>
      <c r="F311" t="s">
        <v>7</v>
      </c>
      <c r="G311" s="2">
        <f ca="1">NPV($G$15,H310:AB310)+G310</f>
        <v>28022081.725933768</v>
      </c>
    </row>
    <row r="313" spans="1:28" x14ac:dyDescent="0.25">
      <c r="E313" t="s">
        <v>13</v>
      </c>
      <c r="F313" t="s">
        <v>7</v>
      </c>
      <c r="G313" s="2">
        <f t="shared" ref="G313:AA313" ca="1" si="126">G285</f>
        <v>0</v>
      </c>
      <c r="H313" s="2">
        <f t="shared" ca="1" si="126"/>
        <v>0</v>
      </c>
      <c r="I313" s="2">
        <f t="shared" ca="1" si="126"/>
        <v>0</v>
      </c>
      <c r="J313" s="2">
        <f t="shared" ca="1" si="126"/>
        <v>0</v>
      </c>
      <c r="K313" s="2">
        <f t="shared" ca="1" si="126"/>
        <v>0</v>
      </c>
      <c r="L313" s="2">
        <f t="shared" ca="1" si="126"/>
        <v>0</v>
      </c>
      <c r="M313" s="2">
        <f t="shared" ca="1" si="126"/>
        <v>0</v>
      </c>
      <c r="N313" s="2">
        <f t="shared" ca="1" si="126"/>
        <v>0</v>
      </c>
      <c r="O313" s="2">
        <f t="shared" ca="1" si="126"/>
        <v>0</v>
      </c>
      <c r="P313" s="2">
        <f t="shared" ca="1" si="126"/>
        <v>0</v>
      </c>
      <c r="Q313" s="2">
        <f t="shared" ca="1" si="126"/>
        <v>0</v>
      </c>
      <c r="R313" s="2">
        <f t="shared" ca="1" si="126"/>
        <v>0</v>
      </c>
      <c r="S313" s="2">
        <f t="shared" ca="1" si="126"/>
        <v>0</v>
      </c>
      <c r="T313" s="2">
        <f t="shared" ca="1" si="126"/>
        <v>0</v>
      </c>
      <c r="U313" s="2">
        <f t="shared" ca="1" si="126"/>
        <v>0</v>
      </c>
      <c r="V313" s="2">
        <f t="shared" ca="1" si="126"/>
        <v>0</v>
      </c>
      <c r="W313" s="2">
        <f t="shared" ca="1" si="126"/>
        <v>0</v>
      </c>
      <c r="X313" s="2">
        <f t="shared" ca="1" si="126"/>
        <v>0</v>
      </c>
      <c r="Y313" s="2">
        <f t="shared" ca="1" si="126"/>
        <v>0</v>
      </c>
      <c r="Z313" s="2">
        <f t="shared" ca="1" si="126"/>
        <v>0</v>
      </c>
      <c r="AA313" s="2">
        <f t="shared" ca="1" si="126"/>
        <v>0</v>
      </c>
    </row>
    <row r="314" spans="1:28" x14ac:dyDescent="0.25">
      <c r="E314" t="s">
        <v>24</v>
      </c>
      <c r="F314" t="s">
        <v>7</v>
      </c>
      <c r="G314" s="2">
        <f ca="1">NPV($G$15,H313:AA313)+G313</f>
        <v>0</v>
      </c>
    </row>
    <row r="315" spans="1:28" x14ac:dyDescent="0.25">
      <c r="E315" s="3" t="s">
        <v>34</v>
      </c>
      <c r="F315" s="3"/>
      <c r="G315" s="4" t="str">
        <f ca="1">IF(G311&gt;0,"N/A",IF(ABS(G311+G314)&gt;1,"Error","OK"))</f>
        <v>N/A</v>
      </c>
    </row>
    <row r="318" spans="1:28" x14ac:dyDescent="0.25">
      <c r="C318" s="1" t="s">
        <v>110</v>
      </c>
    </row>
    <row r="319" spans="1:28" x14ac:dyDescent="0.25">
      <c r="E319" t="s">
        <v>116</v>
      </c>
      <c r="F319" t="s">
        <v>117</v>
      </c>
    </row>
    <row r="320" spans="1:28" x14ac:dyDescent="0.25">
      <c r="A320" s="14">
        <f>'Notes &amp; Assumptions'!A68</f>
        <v>55</v>
      </c>
      <c r="E320" s="19" t="s">
        <v>111</v>
      </c>
      <c r="F320" s="19" t="s">
        <v>119</v>
      </c>
    </row>
    <row r="321" spans="5:6" customFormat="1" x14ac:dyDescent="0.25">
      <c r="E321" s="19" t="s">
        <v>112</v>
      </c>
      <c r="F321" s="19" t="s">
        <v>120</v>
      </c>
    </row>
    <row r="322" spans="5:6" customFormat="1" x14ac:dyDescent="0.25">
      <c r="E322" s="19" t="s">
        <v>113</v>
      </c>
      <c r="F322" s="19" t="s">
        <v>121</v>
      </c>
    </row>
  </sheetData>
  <mergeCells count="1">
    <mergeCell ref="G4:H4"/>
  </mergeCells>
  <dataValidations count="1">
    <dataValidation type="list" showInputMessage="1" showErrorMessage="1" sqref="G4" xr:uid="{00000000-0002-0000-0D00-000000000000}">
      <formula1>$E$320:$E$322</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2:AC322"/>
  <sheetViews>
    <sheetView zoomScale="90" zoomScaleNormal="90" workbookViewId="0">
      <selection activeCell="G21" sqref="G21"/>
    </sheetView>
  </sheetViews>
  <sheetFormatPr defaultColWidth="11" defaultRowHeight="15.75" x14ac:dyDescent="0.25"/>
  <cols>
    <col min="1" max="1" width="7.625" style="14" customWidth="1"/>
    <col min="2" max="2" width="3.125" customWidth="1"/>
    <col min="3" max="3" width="3.375" customWidth="1"/>
    <col min="4" max="4" width="2.875" customWidth="1"/>
    <col min="5" max="5" width="36.5" bestFit="1" customWidth="1"/>
    <col min="6" max="6" width="17.5" customWidth="1"/>
    <col min="7" max="27" width="15.625" customWidth="1"/>
    <col min="28" max="28" width="11.125" customWidth="1"/>
  </cols>
  <sheetData>
    <row r="2" spans="1:27" x14ac:dyDescent="0.25">
      <c r="C2" s="1" t="s">
        <v>0</v>
      </c>
      <c r="D2" s="1"/>
      <c r="G2">
        <v>0</v>
      </c>
      <c r="H2">
        <v>1</v>
      </c>
      <c r="I2">
        <v>2</v>
      </c>
      <c r="J2">
        <v>3</v>
      </c>
      <c r="K2">
        <v>4</v>
      </c>
      <c r="L2">
        <v>5</v>
      </c>
      <c r="M2">
        <v>6</v>
      </c>
      <c r="N2">
        <v>7</v>
      </c>
      <c r="O2">
        <v>8</v>
      </c>
      <c r="P2">
        <v>9</v>
      </c>
      <c r="Q2">
        <v>10</v>
      </c>
      <c r="R2">
        <v>11</v>
      </c>
      <c r="S2">
        <v>12</v>
      </c>
      <c r="T2">
        <v>13</v>
      </c>
      <c r="U2">
        <v>14</v>
      </c>
      <c r="V2">
        <v>15</v>
      </c>
      <c r="W2">
        <v>16</v>
      </c>
      <c r="X2">
        <v>17</v>
      </c>
      <c r="Y2">
        <v>18</v>
      </c>
      <c r="Z2">
        <v>19</v>
      </c>
      <c r="AA2">
        <v>20</v>
      </c>
    </row>
    <row r="4" spans="1:27" x14ac:dyDescent="0.25">
      <c r="A4" s="14">
        <f>'Notes &amp; Assumptions'!A14</f>
        <v>1</v>
      </c>
      <c r="C4" s="1" t="s">
        <v>114</v>
      </c>
      <c r="F4" t="s">
        <v>115</v>
      </c>
      <c r="G4" s="368" t="s">
        <v>112</v>
      </c>
      <c r="H4" s="368"/>
    </row>
    <row r="6" spans="1:27" x14ac:dyDescent="0.25">
      <c r="C6" s="1" t="s">
        <v>126</v>
      </c>
    </row>
    <row r="7" spans="1:27" x14ac:dyDescent="0.25">
      <c r="A7" s="14">
        <f>'Notes &amp; Assumptions'!A15</f>
        <v>2</v>
      </c>
      <c r="E7" s="10" t="s">
        <v>128</v>
      </c>
      <c r="F7" t="s">
        <v>145</v>
      </c>
      <c r="G7" s="10">
        <v>90</v>
      </c>
    </row>
    <row r="8" spans="1:27" x14ac:dyDescent="0.25">
      <c r="A8" s="14">
        <f>'Notes &amp; Assumptions'!A16</f>
        <v>3</v>
      </c>
      <c r="E8" s="10" t="s">
        <v>129</v>
      </c>
      <c r="F8" t="s">
        <v>145</v>
      </c>
      <c r="G8" s="10">
        <v>25</v>
      </c>
    </row>
    <row r="9" spans="1:27" x14ac:dyDescent="0.25">
      <c r="A9" s="14">
        <f>'Notes &amp; Assumptions'!A17</f>
        <v>4</v>
      </c>
      <c r="E9" s="10" t="s">
        <v>130</v>
      </c>
      <c r="F9" t="s">
        <v>145</v>
      </c>
      <c r="G9" s="10">
        <v>30</v>
      </c>
    </row>
    <row r="10" spans="1:27" x14ac:dyDescent="0.25">
      <c r="A10" s="14">
        <f>'Notes &amp; Assumptions'!A18</f>
        <v>5</v>
      </c>
      <c r="E10" t="s">
        <v>127</v>
      </c>
      <c r="F10" t="s">
        <v>145</v>
      </c>
      <c r="G10" s="10">
        <v>5</v>
      </c>
    </row>
    <row r="13" spans="1:27" x14ac:dyDescent="0.25">
      <c r="C13" s="1" t="s">
        <v>92</v>
      </c>
    </row>
    <row r="14" spans="1:27" x14ac:dyDescent="0.25">
      <c r="A14" s="14">
        <f>'Notes &amp; Assumptions'!A19</f>
        <v>6</v>
      </c>
      <c r="E14" t="s">
        <v>5</v>
      </c>
      <c r="F14" t="s">
        <v>8</v>
      </c>
      <c r="G14" s="17">
        <f>'20 New UGB Water'!G14</f>
        <v>2.1000000000000001E-2</v>
      </c>
    </row>
    <row r="15" spans="1:27" x14ac:dyDescent="0.25">
      <c r="A15" s="14">
        <f>'Notes &amp; Assumptions'!A20</f>
        <v>7</v>
      </c>
      <c r="E15" t="s">
        <v>32</v>
      </c>
      <c r="F15" t="s">
        <v>8</v>
      </c>
      <c r="G15" s="17">
        <f>'20 New UGB Water'!G15</f>
        <v>5.1629999999999843E-2</v>
      </c>
    </row>
    <row r="16" spans="1:27" x14ac:dyDescent="0.25">
      <c r="E16" t="s">
        <v>30</v>
      </c>
      <c r="F16" t="s">
        <v>8</v>
      </c>
      <c r="G16" s="18">
        <f>(1+G15)/(1+G14)-1</f>
        <v>3.0000000000000027E-2</v>
      </c>
    </row>
    <row r="17" spans="1:27" x14ac:dyDescent="0.25">
      <c r="E17" t="s">
        <v>171</v>
      </c>
      <c r="F17" t="s">
        <v>8</v>
      </c>
      <c r="G17" s="11">
        <v>0.5</v>
      </c>
    </row>
    <row r="18" spans="1:27" x14ac:dyDescent="0.25">
      <c r="A18" s="14">
        <f>'Notes &amp; Assumptions'!A22</f>
        <v>9</v>
      </c>
      <c r="E18" t="s">
        <v>16</v>
      </c>
      <c r="F18" t="s">
        <v>8</v>
      </c>
      <c r="G18" s="11">
        <v>0.3</v>
      </c>
      <c r="H18" s="11">
        <v>0.3</v>
      </c>
      <c r="I18" s="11">
        <v>0.3</v>
      </c>
      <c r="J18" s="11">
        <v>0.3</v>
      </c>
      <c r="K18" s="11">
        <v>0.3</v>
      </c>
      <c r="L18" s="11">
        <v>0.3</v>
      </c>
      <c r="M18" s="11">
        <v>0.3</v>
      </c>
      <c r="N18" s="11">
        <v>0.3</v>
      </c>
      <c r="O18" s="11">
        <v>0.3</v>
      </c>
      <c r="P18" s="11">
        <v>0.3</v>
      </c>
      <c r="Q18" s="11">
        <v>0.3</v>
      </c>
      <c r="R18" s="11">
        <v>0.3</v>
      </c>
      <c r="S18" s="11">
        <v>0.3</v>
      </c>
      <c r="T18" s="11">
        <v>0.3</v>
      </c>
      <c r="U18" s="11">
        <v>0.3</v>
      </c>
      <c r="V18" s="11">
        <v>0.3</v>
      </c>
      <c r="W18" s="11">
        <v>0.3</v>
      </c>
      <c r="X18" s="11">
        <v>0.3</v>
      </c>
      <c r="Y18" s="11">
        <v>0.3</v>
      </c>
      <c r="Z18" s="11">
        <v>0.3</v>
      </c>
      <c r="AA18" s="11">
        <v>0.3</v>
      </c>
    </row>
    <row r="20" spans="1:27" x14ac:dyDescent="0.25">
      <c r="A20" s="14">
        <f>'Notes &amp; Assumptions'!A23</f>
        <v>10</v>
      </c>
      <c r="C20" s="1" t="s">
        <v>1</v>
      </c>
      <c r="D20" s="1"/>
    </row>
    <row r="21" spans="1:27" x14ac:dyDescent="0.25">
      <c r="E21" s="2" t="str">
        <f>E7</f>
        <v>Pipes</v>
      </c>
      <c r="F21" t="s">
        <v>7</v>
      </c>
      <c r="G21" s="43">
        <f>IF('Key assumptions'!B3="yes",SUM('Historical growth capex'!M87:V87),0)</f>
        <v>122483859.67901799</v>
      </c>
      <c r="H21" s="10">
        <f>'Forecast capex'!J87*1000*(1+$G$14)^H2</f>
        <v>3261116.0855198246</v>
      </c>
      <c r="I21" s="10">
        <f>'Forecast capex'!K87*1000*(1+$G$14)^I2</f>
        <v>2304756.9323546155</v>
      </c>
      <c r="J21" s="10">
        <f>'Forecast capex'!L87*1000*(1+$G$14)^J2</f>
        <v>376603.71211342595</v>
      </c>
      <c r="K21" s="10">
        <f>'Forecast capex'!M87*1000*(1+$G$14)^K2</f>
        <v>946651.96324235655</v>
      </c>
      <c r="L21" s="10">
        <f>'Forecast capex'!N87*1000*(1+$G$14)^L2</f>
        <v>93963.950627298487</v>
      </c>
      <c r="M21" s="10">
        <f>'Forecast capex'!O87*1000*(1+$G$14)^M2</f>
        <v>0</v>
      </c>
      <c r="N21" s="10">
        <f>'Forecast capex'!P87*1000*(1+$G$14)^N2</f>
        <v>0</v>
      </c>
      <c r="O21" s="10">
        <f>'Forecast capex'!Q87*1000*(1+$G$14)^O2</f>
        <v>0</v>
      </c>
      <c r="P21" s="10">
        <f>'Forecast capex'!R87*1000*(1+$G$14)^P2</f>
        <v>0</v>
      </c>
      <c r="Q21" s="10">
        <f>'Forecast capex'!S87*1000*(1+$G$14)^Q2</f>
        <v>0</v>
      </c>
      <c r="R21" s="10">
        <f>('[11]Capex Profile'!$X$144/5)*(1+$G$14)^R2</f>
        <v>0</v>
      </c>
      <c r="S21" s="10">
        <f>('[11]Capex Profile'!$X$144/5)*(1+$G$14)^S2</f>
        <v>0</v>
      </c>
      <c r="T21" s="10">
        <f>('[11]Capex Profile'!$X$144/5)*(1+$G$14)^T2</f>
        <v>0</v>
      </c>
      <c r="U21" s="10">
        <f>('[11]Capex Profile'!$X$144/5)*(1+$G$14)^U2</f>
        <v>0</v>
      </c>
      <c r="V21" s="10">
        <f>('[11]Capex Profile'!$X$144/5)*(1+$G$14)^V2</f>
        <v>0</v>
      </c>
      <c r="W21" s="10"/>
      <c r="X21" s="10"/>
      <c r="Y21" s="10"/>
      <c r="Z21" s="10"/>
      <c r="AA21" s="10"/>
    </row>
    <row r="22" spans="1:27" x14ac:dyDescent="0.25">
      <c r="E22" s="2" t="str">
        <f>E8</f>
        <v>Pumps</v>
      </c>
      <c r="F22" t="s">
        <v>7</v>
      </c>
      <c r="G22" s="10"/>
      <c r="H22" s="10"/>
      <c r="I22" s="10"/>
      <c r="J22" s="10"/>
      <c r="K22" s="10"/>
      <c r="L22" s="10"/>
      <c r="M22" s="10"/>
      <c r="N22" s="10"/>
      <c r="O22" s="10"/>
      <c r="P22" s="10"/>
      <c r="Q22" s="10"/>
      <c r="R22" s="10"/>
      <c r="S22" s="10"/>
      <c r="T22" s="10"/>
      <c r="U22" s="10"/>
      <c r="V22" s="10"/>
      <c r="W22" s="10"/>
      <c r="X22" s="10"/>
      <c r="Y22" s="10"/>
      <c r="Z22" s="10"/>
      <c r="AA22" s="10"/>
    </row>
    <row r="23" spans="1:27" x14ac:dyDescent="0.25">
      <c r="E23" s="2" t="str">
        <f>E9</f>
        <v>Valves and Meters</v>
      </c>
      <c r="F23" t="s">
        <v>7</v>
      </c>
      <c r="G23" s="10"/>
      <c r="H23" s="10"/>
      <c r="I23" s="10"/>
      <c r="J23" s="10"/>
      <c r="K23" s="10"/>
      <c r="L23" s="10"/>
      <c r="M23" s="10"/>
      <c r="N23" s="10"/>
      <c r="O23" s="10"/>
      <c r="P23" s="10"/>
      <c r="Q23" s="10"/>
      <c r="R23" s="10"/>
      <c r="S23" s="10"/>
      <c r="T23" s="10"/>
      <c r="U23" s="10"/>
      <c r="V23" s="10"/>
      <c r="W23" s="10"/>
      <c r="X23" s="10"/>
      <c r="Y23" s="10"/>
      <c r="Z23" s="10"/>
      <c r="AA23" s="10"/>
    </row>
    <row r="24" spans="1:27" x14ac:dyDescent="0.25">
      <c r="E24" t="s">
        <v>127</v>
      </c>
      <c r="F24" t="s">
        <v>7</v>
      </c>
      <c r="G24" s="10"/>
      <c r="H24" s="10"/>
      <c r="I24" s="10"/>
      <c r="J24" s="10"/>
      <c r="K24" s="10"/>
      <c r="L24" s="10"/>
      <c r="M24" s="10"/>
      <c r="N24" s="10"/>
      <c r="O24" s="10"/>
      <c r="P24" s="10"/>
      <c r="Q24" s="10"/>
      <c r="R24" s="10"/>
      <c r="S24" s="10"/>
      <c r="T24" s="10"/>
      <c r="U24" s="10"/>
      <c r="V24" s="10"/>
      <c r="W24" s="10"/>
      <c r="X24" s="10"/>
      <c r="Y24" s="10"/>
      <c r="Z24" s="10"/>
      <c r="AA24" s="10"/>
    </row>
    <row r="25" spans="1:27" x14ac:dyDescent="0.25">
      <c r="E25" t="s">
        <v>131</v>
      </c>
      <c r="F25" t="s">
        <v>7</v>
      </c>
      <c r="G25" s="10"/>
      <c r="H25" s="10"/>
      <c r="I25" s="10"/>
      <c r="J25" s="10"/>
      <c r="K25" s="10"/>
      <c r="L25" s="10"/>
      <c r="M25" s="10"/>
      <c r="N25" s="10"/>
      <c r="O25" s="10"/>
      <c r="P25" s="10"/>
      <c r="Q25" s="10"/>
      <c r="R25" s="10"/>
      <c r="S25" s="10"/>
      <c r="T25" s="10"/>
      <c r="U25" s="10"/>
      <c r="V25" s="10"/>
      <c r="W25" s="10"/>
      <c r="X25" s="10"/>
      <c r="Y25" s="10"/>
      <c r="Z25" s="10"/>
      <c r="AA25" s="10"/>
    </row>
    <row r="26" spans="1:27" x14ac:dyDescent="0.25">
      <c r="G26" s="2">
        <f>SUM(G21:G25)</f>
        <v>122483859.67901799</v>
      </c>
      <c r="H26" s="2">
        <f t="shared" ref="H26:AA26" si="0">SUM(H21:H25)</f>
        <v>3261116.0855198246</v>
      </c>
      <c r="I26" s="2">
        <f t="shared" si="0"/>
        <v>2304756.9323546155</v>
      </c>
      <c r="J26" s="2">
        <f t="shared" si="0"/>
        <v>376603.71211342595</v>
      </c>
      <c r="K26" s="2">
        <f t="shared" si="0"/>
        <v>946651.96324235655</v>
      </c>
      <c r="L26" s="2">
        <f t="shared" si="0"/>
        <v>93963.950627298487</v>
      </c>
      <c r="M26" s="2">
        <f t="shared" si="0"/>
        <v>0</v>
      </c>
      <c r="N26" s="2">
        <f t="shared" si="0"/>
        <v>0</v>
      </c>
      <c r="O26" s="2">
        <f t="shared" si="0"/>
        <v>0</v>
      </c>
      <c r="P26" s="2">
        <f t="shared" si="0"/>
        <v>0</v>
      </c>
      <c r="Q26" s="2">
        <f t="shared" si="0"/>
        <v>0</v>
      </c>
      <c r="R26" s="2">
        <f t="shared" si="0"/>
        <v>0</v>
      </c>
      <c r="S26" s="2">
        <f t="shared" si="0"/>
        <v>0</v>
      </c>
      <c r="T26" s="2">
        <f t="shared" si="0"/>
        <v>0</v>
      </c>
      <c r="U26" s="2">
        <f t="shared" si="0"/>
        <v>0</v>
      </c>
      <c r="V26" s="2">
        <f t="shared" si="0"/>
        <v>0</v>
      </c>
      <c r="W26" s="2">
        <f t="shared" si="0"/>
        <v>0</v>
      </c>
      <c r="X26" s="2">
        <f t="shared" si="0"/>
        <v>0</v>
      </c>
      <c r="Y26" s="2">
        <f t="shared" si="0"/>
        <v>0</v>
      </c>
      <c r="Z26" s="2">
        <f t="shared" si="0"/>
        <v>0</v>
      </c>
      <c r="AA26" s="2">
        <f t="shared" si="0"/>
        <v>0</v>
      </c>
    </row>
    <row r="27" spans="1:27" x14ac:dyDescent="0.25">
      <c r="G27" s="2"/>
      <c r="H27" s="2"/>
      <c r="I27" s="2"/>
      <c r="J27" s="2"/>
      <c r="K27" s="2"/>
      <c r="L27" s="2"/>
      <c r="M27" s="2"/>
      <c r="N27" s="2"/>
      <c r="O27" s="2"/>
      <c r="P27" s="2"/>
      <c r="Q27" s="2"/>
    </row>
    <row r="28" spans="1:27" x14ac:dyDescent="0.25">
      <c r="D28" t="s">
        <v>132</v>
      </c>
      <c r="G28" s="2"/>
      <c r="H28" s="2"/>
      <c r="I28" s="2"/>
      <c r="J28" s="2"/>
      <c r="K28" s="2"/>
      <c r="L28" s="2"/>
      <c r="M28" s="2"/>
      <c r="N28" s="2"/>
      <c r="O28" s="2"/>
      <c r="P28" s="2"/>
      <c r="Q28" s="2"/>
    </row>
    <row r="29" spans="1:27" x14ac:dyDescent="0.25">
      <c r="E29" s="2" t="str">
        <f>E21</f>
        <v>Pipes</v>
      </c>
      <c r="F29" t="s">
        <v>7</v>
      </c>
      <c r="G29" s="2">
        <f t="shared" ref="G29:AA32" si="1">G21/$G7+IF((G$2-$G7+1)&gt;0,-INDEX($G21:$AA21,1,(G$2-$G7+1))/$G7,0)</f>
        <v>1360931.774211311</v>
      </c>
      <c r="H29" s="2">
        <f t="shared" si="1"/>
        <v>36234.623172442494</v>
      </c>
      <c r="I29" s="2">
        <f t="shared" si="1"/>
        <v>25608.410359495727</v>
      </c>
      <c r="J29" s="2">
        <f t="shared" si="1"/>
        <v>4184.4856901491776</v>
      </c>
      <c r="K29" s="2">
        <f t="shared" si="1"/>
        <v>10518.355147137296</v>
      </c>
      <c r="L29" s="2">
        <f t="shared" si="1"/>
        <v>1044.043895858872</v>
      </c>
      <c r="M29" s="2">
        <f t="shared" si="1"/>
        <v>0</v>
      </c>
      <c r="N29" s="2">
        <f t="shared" si="1"/>
        <v>0</v>
      </c>
      <c r="O29" s="2">
        <f t="shared" si="1"/>
        <v>0</v>
      </c>
      <c r="P29" s="2">
        <f t="shared" si="1"/>
        <v>0</v>
      </c>
      <c r="Q29" s="2">
        <f t="shared" si="1"/>
        <v>0</v>
      </c>
      <c r="R29" s="2">
        <f t="shared" si="1"/>
        <v>0</v>
      </c>
      <c r="S29" s="2">
        <f t="shared" si="1"/>
        <v>0</v>
      </c>
      <c r="T29" s="2">
        <f t="shared" si="1"/>
        <v>0</v>
      </c>
      <c r="U29" s="2">
        <f t="shared" si="1"/>
        <v>0</v>
      </c>
      <c r="V29" s="2">
        <f t="shared" si="1"/>
        <v>0</v>
      </c>
      <c r="W29" s="2">
        <f t="shared" si="1"/>
        <v>0</v>
      </c>
      <c r="X29" s="2">
        <f t="shared" si="1"/>
        <v>0</v>
      </c>
      <c r="Y29" s="2">
        <f t="shared" si="1"/>
        <v>0</v>
      </c>
      <c r="Z29" s="2">
        <f t="shared" si="1"/>
        <v>0</v>
      </c>
      <c r="AA29" s="2">
        <f t="shared" si="1"/>
        <v>0</v>
      </c>
    </row>
    <row r="30" spans="1:27" x14ac:dyDescent="0.25">
      <c r="E30" s="2" t="str">
        <f t="shared" ref="E30:E32" si="2">E22</f>
        <v>Pumps</v>
      </c>
      <c r="F30" t="s">
        <v>7</v>
      </c>
      <c r="G30" s="2">
        <f t="shared" si="1"/>
        <v>0</v>
      </c>
      <c r="H30" s="2">
        <f t="shared" si="1"/>
        <v>0</v>
      </c>
      <c r="I30" s="2">
        <f t="shared" si="1"/>
        <v>0</v>
      </c>
      <c r="J30" s="2">
        <f t="shared" si="1"/>
        <v>0</v>
      </c>
      <c r="K30" s="2">
        <f t="shared" si="1"/>
        <v>0</v>
      </c>
      <c r="L30" s="2">
        <f t="shared" si="1"/>
        <v>0</v>
      </c>
      <c r="M30" s="2">
        <f t="shared" si="1"/>
        <v>0</v>
      </c>
      <c r="N30" s="2">
        <f t="shared" si="1"/>
        <v>0</v>
      </c>
      <c r="O30" s="2">
        <f t="shared" si="1"/>
        <v>0</v>
      </c>
      <c r="P30" s="2">
        <f t="shared" si="1"/>
        <v>0</v>
      </c>
      <c r="Q30" s="2">
        <f t="shared" si="1"/>
        <v>0</v>
      </c>
      <c r="R30" s="2">
        <f t="shared" si="1"/>
        <v>0</v>
      </c>
      <c r="S30" s="2">
        <f t="shared" si="1"/>
        <v>0</v>
      </c>
      <c r="T30" s="2">
        <f t="shared" si="1"/>
        <v>0</v>
      </c>
      <c r="U30" s="2">
        <f t="shared" si="1"/>
        <v>0</v>
      </c>
      <c r="V30" s="2">
        <f t="shared" si="1"/>
        <v>0</v>
      </c>
      <c r="W30" s="2">
        <f t="shared" si="1"/>
        <v>0</v>
      </c>
      <c r="X30" s="2">
        <f t="shared" si="1"/>
        <v>0</v>
      </c>
      <c r="Y30" s="2">
        <f t="shared" si="1"/>
        <v>0</v>
      </c>
      <c r="Z30" s="2">
        <f t="shared" si="1"/>
        <v>0</v>
      </c>
      <c r="AA30" s="2">
        <f t="shared" si="1"/>
        <v>0</v>
      </c>
    </row>
    <row r="31" spans="1:27" x14ac:dyDescent="0.25">
      <c r="E31" s="2" t="str">
        <f t="shared" si="2"/>
        <v>Valves and Meters</v>
      </c>
      <c r="F31" t="s">
        <v>7</v>
      </c>
      <c r="G31" s="2">
        <f t="shared" si="1"/>
        <v>0</v>
      </c>
      <c r="H31" s="2">
        <f t="shared" si="1"/>
        <v>0</v>
      </c>
      <c r="I31" s="2">
        <f t="shared" si="1"/>
        <v>0</v>
      </c>
      <c r="J31" s="2">
        <f t="shared" si="1"/>
        <v>0</v>
      </c>
      <c r="K31" s="2">
        <f t="shared" si="1"/>
        <v>0</v>
      </c>
      <c r="L31" s="2">
        <f t="shared" si="1"/>
        <v>0</v>
      </c>
      <c r="M31" s="2">
        <f t="shared" si="1"/>
        <v>0</v>
      </c>
      <c r="N31" s="2">
        <f t="shared" si="1"/>
        <v>0</v>
      </c>
      <c r="O31" s="2">
        <f t="shared" si="1"/>
        <v>0</v>
      </c>
      <c r="P31" s="2">
        <f t="shared" si="1"/>
        <v>0</v>
      </c>
      <c r="Q31" s="2">
        <f t="shared" si="1"/>
        <v>0</v>
      </c>
      <c r="R31" s="2">
        <f t="shared" si="1"/>
        <v>0</v>
      </c>
      <c r="S31" s="2">
        <f t="shared" si="1"/>
        <v>0</v>
      </c>
      <c r="T31" s="2">
        <f t="shared" si="1"/>
        <v>0</v>
      </c>
      <c r="U31" s="2">
        <f t="shared" si="1"/>
        <v>0</v>
      </c>
      <c r="V31" s="2">
        <f t="shared" si="1"/>
        <v>0</v>
      </c>
      <c r="W31" s="2">
        <f t="shared" si="1"/>
        <v>0</v>
      </c>
      <c r="X31" s="2">
        <f t="shared" si="1"/>
        <v>0</v>
      </c>
      <c r="Y31" s="2">
        <f t="shared" si="1"/>
        <v>0</v>
      </c>
      <c r="Z31" s="2">
        <f t="shared" si="1"/>
        <v>0</v>
      </c>
      <c r="AA31" s="2">
        <f t="shared" si="1"/>
        <v>0</v>
      </c>
    </row>
    <row r="32" spans="1:27" x14ac:dyDescent="0.25">
      <c r="E32" s="2" t="str">
        <f t="shared" si="2"/>
        <v>Temporary Assets</v>
      </c>
      <c r="F32" t="s">
        <v>7</v>
      </c>
      <c r="G32" s="2">
        <f t="shared" si="1"/>
        <v>0</v>
      </c>
      <c r="H32" s="2">
        <f t="shared" si="1"/>
        <v>0</v>
      </c>
      <c r="I32" s="2">
        <f t="shared" si="1"/>
        <v>0</v>
      </c>
      <c r="J32" s="2">
        <f t="shared" si="1"/>
        <v>0</v>
      </c>
      <c r="K32" s="2">
        <f t="shared" si="1"/>
        <v>0</v>
      </c>
      <c r="L32" s="2">
        <f t="shared" si="1"/>
        <v>0</v>
      </c>
      <c r="M32" s="2">
        <f t="shared" si="1"/>
        <v>0</v>
      </c>
      <c r="N32" s="2">
        <f t="shared" si="1"/>
        <v>0</v>
      </c>
      <c r="O32" s="2">
        <f t="shared" si="1"/>
        <v>0</v>
      </c>
      <c r="P32" s="2">
        <f t="shared" si="1"/>
        <v>0</v>
      </c>
      <c r="Q32" s="2">
        <f t="shared" si="1"/>
        <v>0</v>
      </c>
      <c r="R32" s="2">
        <f t="shared" si="1"/>
        <v>0</v>
      </c>
      <c r="S32" s="2">
        <f t="shared" si="1"/>
        <v>0</v>
      </c>
      <c r="T32" s="2">
        <f t="shared" si="1"/>
        <v>0</v>
      </c>
      <c r="U32" s="2">
        <f t="shared" si="1"/>
        <v>0</v>
      </c>
      <c r="V32" s="2">
        <f t="shared" si="1"/>
        <v>0</v>
      </c>
      <c r="W32" s="2">
        <f t="shared" si="1"/>
        <v>0</v>
      </c>
      <c r="X32" s="2">
        <f t="shared" si="1"/>
        <v>0</v>
      </c>
      <c r="Y32" s="2">
        <f t="shared" si="1"/>
        <v>0</v>
      </c>
      <c r="Z32" s="2">
        <f t="shared" si="1"/>
        <v>0</v>
      </c>
      <c r="AA32" s="2">
        <f t="shared" si="1"/>
        <v>0</v>
      </c>
    </row>
    <row r="33" spans="1:27" x14ac:dyDescent="0.25">
      <c r="G33" s="2"/>
      <c r="H33" s="2"/>
      <c r="I33" s="2"/>
      <c r="J33" s="2"/>
      <c r="K33" s="2"/>
      <c r="L33" s="2"/>
      <c r="M33" s="2"/>
      <c r="N33" s="2"/>
      <c r="O33" s="2"/>
      <c r="P33" s="2"/>
      <c r="Q33" s="2"/>
    </row>
    <row r="34" spans="1:27" x14ac:dyDescent="0.25">
      <c r="D34" t="s">
        <v>133</v>
      </c>
      <c r="F34" t="s">
        <v>7</v>
      </c>
      <c r="G34" s="2">
        <f>SUM($G$29:G32)</f>
        <v>1360931.774211311</v>
      </c>
      <c r="H34" s="2">
        <f>SUM($G$29:H32)</f>
        <v>1397166.3973837534</v>
      </c>
      <c r="I34" s="2">
        <f>SUM($G$29:I32)</f>
        <v>1422774.8077432492</v>
      </c>
      <c r="J34" s="2">
        <f>SUM($G$29:J32)</f>
        <v>1426959.2934333985</v>
      </c>
      <c r="K34" s="2">
        <f>SUM($G$29:K32)</f>
        <v>1437477.6485805358</v>
      </c>
      <c r="L34" s="2">
        <f>SUM($G$29:L32)</f>
        <v>1438521.6924763946</v>
      </c>
      <c r="M34" s="2">
        <f>SUM($G$29:M32)</f>
        <v>1438521.6924763946</v>
      </c>
      <c r="N34" s="2">
        <f>SUM($G$29:N32)</f>
        <v>1438521.6924763946</v>
      </c>
      <c r="O34" s="2">
        <f>SUM($G$29:O32)</f>
        <v>1438521.6924763946</v>
      </c>
      <c r="P34" s="2">
        <f>SUM($G$29:P32)</f>
        <v>1438521.6924763946</v>
      </c>
      <c r="Q34" s="2">
        <f>SUM($G$29:Q32)</f>
        <v>1438521.6924763946</v>
      </c>
      <c r="R34" s="2">
        <f>SUM($G$29:R32)</f>
        <v>1438521.6924763946</v>
      </c>
      <c r="S34" s="2">
        <f>SUM($G$29:S32)</f>
        <v>1438521.6924763946</v>
      </c>
      <c r="T34" s="2">
        <f>SUM($G$29:T32)</f>
        <v>1438521.6924763946</v>
      </c>
      <c r="U34" s="2">
        <f>SUM($G$29:U32)</f>
        <v>1438521.6924763946</v>
      </c>
      <c r="V34" s="2">
        <f>SUM($G$29:V32)</f>
        <v>1438521.6924763946</v>
      </c>
      <c r="W34" s="2">
        <f>SUM($G$29:W32)</f>
        <v>1438521.6924763946</v>
      </c>
      <c r="X34" s="2">
        <f>SUM($G$29:X32)</f>
        <v>1438521.6924763946</v>
      </c>
      <c r="Y34" s="2">
        <f>SUM($G$29:Y32)</f>
        <v>1438521.6924763946</v>
      </c>
      <c r="Z34" s="2">
        <f>SUM($G$29:Z32)</f>
        <v>1438521.6924763946</v>
      </c>
      <c r="AA34" s="2">
        <f>SUM($G$29:AA32)</f>
        <v>1438521.6924763946</v>
      </c>
    </row>
    <row r="35" spans="1:27" x14ac:dyDescent="0.25">
      <c r="G35" s="2"/>
      <c r="H35" s="2"/>
      <c r="I35" s="2"/>
      <c r="J35" s="2"/>
      <c r="K35" s="2"/>
      <c r="L35" s="2"/>
      <c r="M35" s="2"/>
      <c r="N35" s="2"/>
      <c r="O35" s="2"/>
      <c r="P35" s="2"/>
      <c r="Q35" s="2"/>
      <c r="R35" s="2"/>
      <c r="S35" s="2"/>
      <c r="T35" s="2"/>
      <c r="U35" s="2"/>
      <c r="V35" s="2"/>
      <c r="W35" s="2"/>
      <c r="X35" s="2"/>
      <c r="Y35" s="2"/>
      <c r="Z35" s="2"/>
      <c r="AA35" s="2"/>
    </row>
    <row r="36" spans="1:27" x14ac:dyDescent="0.25">
      <c r="A36" s="14">
        <f>'Notes &amp; Assumptions'!A24</f>
        <v>11</v>
      </c>
      <c r="C36" s="1" t="s">
        <v>107</v>
      </c>
      <c r="D36" s="1"/>
    </row>
    <row r="37" spans="1:27" x14ac:dyDescent="0.25">
      <c r="E37" s="2" t="str">
        <f>E7</f>
        <v>Pipes</v>
      </c>
      <c r="F37" t="s">
        <v>7</v>
      </c>
      <c r="G37" s="10"/>
      <c r="H37" s="10">
        <f>'Key assumptions'!$B32*(1+$G$14)^H2*(H90+H111+H132+H153)</f>
        <v>5095810.9999999991</v>
      </c>
      <c r="I37" s="10">
        <f>'Key assumptions'!$B32*(1+$G$14)^I2*(I90+I111+I132+I153)</f>
        <v>5195525.9439999983</v>
      </c>
      <c r="J37" s="10">
        <f>'Key assumptions'!$B32*(1+$G$14)^J2*(J90+J111+J132+J153)</f>
        <v>5397761.0616614986</v>
      </c>
      <c r="K37" s="10">
        <f>'Key assumptions'!$B32*(1+$G$14)^K2*(K90+K111+K132+K153)</f>
        <v>5332354.6512262644</v>
      </c>
      <c r="L37" s="10">
        <f>'Key assumptions'!$B32*(1+$G$14)^L2*(L90+L111+L132+L153)</f>
        <v>5265704.0214772699</v>
      </c>
      <c r="M37" s="10">
        <f>'Key assumptions'!$B32*(1+$G$14)^M2*(M90+M111+M132+M153)</f>
        <v>5185972.8747449899</v>
      </c>
      <c r="N37" s="10">
        <f>'Key assumptions'!$B32*(1+$G$14)^N2*(N90+N111+N132+N153)</f>
        <v>5108666.988573906</v>
      </c>
      <c r="O37" s="10">
        <f>'Key assumptions'!$B32*(1+$G$14)^O2*(O90+O111+O132+O153)</f>
        <v>5038226.4859842258</v>
      </c>
      <c r="P37" s="10">
        <f>'Key assumptions'!$B32*(1+$G$14)^P2*(P90+P111+P132+P153)</f>
        <v>5418321.2034223322</v>
      </c>
      <c r="Q37" s="10">
        <f>'Key assumptions'!$B32*(1+$G$14)^Q2*(Q90+Q111+Q132+Q153)</f>
        <v>5850934.4846781343</v>
      </c>
      <c r="R37" s="10">
        <f>'Key assumptions'!$B32*(1+$G$14)^R2*(R90+R111+R132+R153)</f>
        <v>6299328.0440959726</v>
      </c>
      <c r="S37" s="10">
        <f>'Key assumptions'!$B32*(1+$G$14)^S2*(S90+S111+S132+S153)</f>
        <v>6813378.7265323689</v>
      </c>
      <c r="T37" s="10">
        <f>'Key assumptions'!$B32*(1+$G$14)^T2*(T90+T111+T132+T153)</f>
        <v>7346241.5339636486</v>
      </c>
      <c r="U37" s="10">
        <f>'Key assumptions'!$B32*(1+$G$14)^U2*(U90+U111+U132+U153)</f>
        <v>7463056.8628251906</v>
      </c>
      <c r="V37" s="10">
        <f>'Key assumptions'!$B32*(1+$G$14)^V2*(V90+V111+V132+V153)</f>
        <v>7586319.0322276978</v>
      </c>
      <c r="W37" s="10">
        <f>'Key assumptions'!$B32*(1+$G$14)^W2*(W90+W111+W132+W153)</f>
        <v>0</v>
      </c>
      <c r="X37" s="10">
        <f>'Key assumptions'!$B32*(1+$G$14)^X2*(X90+X111+X132+X153)</f>
        <v>0</v>
      </c>
      <c r="Y37" s="10">
        <f>'Key assumptions'!$B32*(1+$G$14)^Y2*(Y90+Y111+Y132+Y153)</f>
        <v>0</v>
      </c>
      <c r="Z37" s="10">
        <f>'Key assumptions'!$B32*(1+$G$14)^Z2*(Z90+Z111+Z132+Z153)</f>
        <v>0</v>
      </c>
      <c r="AA37" s="10">
        <f>'Key assumptions'!$B32*(1+$G$14)^AA2*(AA90+AA111+AA132+AA153)</f>
        <v>0</v>
      </c>
    </row>
    <row r="38" spans="1:27" x14ac:dyDescent="0.25">
      <c r="E38" s="2" t="str">
        <f>E8</f>
        <v>Pumps</v>
      </c>
      <c r="F38" t="s">
        <v>7</v>
      </c>
      <c r="G38" s="10"/>
      <c r="H38" s="10"/>
      <c r="I38" s="10"/>
      <c r="J38" s="10"/>
      <c r="K38" s="10"/>
      <c r="L38" s="10"/>
      <c r="M38" s="10"/>
      <c r="N38" s="10"/>
      <c r="O38" s="10"/>
      <c r="P38" s="10"/>
      <c r="Q38" s="10"/>
      <c r="R38" s="10"/>
      <c r="S38" s="10"/>
      <c r="T38" s="10"/>
      <c r="U38" s="10"/>
      <c r="V38" s="10"/>
      <c r="W38" s="10"/>
      <c r="X38" s="10"/>
      <c r="Y38" s="10"/>
      <c r="Z38" s="10"/>
      <c r="AA38" s="10"/>
    </row>
    <row r="39" spans="1:27" x14ac:dyDescent="0.25">
      <c r="E39" s="2" t="str">
        <f>E9</f>
        <v>Valves and Meters</v>
      </c>
      <c r="F39" t="s">
        <v>7</v>
      </c>
      <c r="G39" s="10"/>
      <c r="H39" s="10"/>
      <c r="I39" s="10"/>
      <c r="J39" s="10"/>
      <c r="K39" s="10"/>
      <c r="L39" s="10"/>
      <c r="M39" s="10"/>
      <c r="N39" s="10"/>
      <c r="O39" s="10"/>
      <c r="P39" s="10"/>
      <c r="Q39" s="10"/>
      <c r="R39" s="10"/>
      <c r="S39" s="10"/>
      <c r="T39" s="10"/>
      <c r="U39" s="10"/>
      <c r="V39" s="10"/>
      <c r="W39" s="10"/>
      <c r="X39" s="10"/>
      <c r="Y39" s="10"/>
      <c r="Z39" s="10"/>
      <c r="AA39" s="10"/>
    </row>
    <row r="40" spans="1:27" x14ac:dyDescent="0.25">
      <c r="E40" s="2" t="str">
        <f>E10</f>
        <v>Temporary Assets</v>
      </c>
      <c r="F40" t="s">
        <v>7</v>
      </c>
      <c r="G40" s="10"/>
      <c r="H40" s="10"/>
      <c r="I40" s="10"/>
      <c r="J40" s="10"/>
      <c r="K40" s="10"/>
      <c r="L40" s="10"/>
      <c r="M40" s="10"/>
      <c r="N40" s="10"/>
      <c r="O40" s="10"/>
      <c r="P40" s="10"/>
      <c r="Q40" s="10"/>
      <c r="R40" s="10"/>
      <c r="S40" s="10"/>
      <c r="T40" s="10"/>
      <c r="U40" s="10"/>
      <c r="V40" s="10"/>
      <c r="W40" s="10"/>
      <c r="X40" s="10"/>
      <c r="Y40" s="10"/>
      <c r="Z40" s="10"/>
      <c r="AA40" s="10"/>
    </row>
    <row r="41" spans="1:27" x14ac:dyDescent="0.25">
      <c r="E41" t="s">
        <v>131</v>
      </c>
      <c r="F41" t="s">
        <v>7</v>
      </c>
      <c r="G41" s="10"/>
      <c r="H41" s="10"/>
      <c r="I41" s="10"/>
      <c r="J41" s="10"/>
      <c r="K41" s="10"/>
      <c r="L41" s="10"/>
      <c r="M41" s="10"/>
      <c r="N41" s="10"/>
      <c r="O41" s="10"/>
      <c r="P41" s="10"/>
      <c r="Q41" s="10"/>
      <c r="R41" s="10"/>
      <c r="S41" s="10"/>
      <c r="T41" s="10"/>
      <c r="U41" s="10"/>
      <c r="V41" s="10"/>
      <c r="W41" s="10"/>
      <c r="X41" s="10"/>
      <c r="Y41" s="10"/>
      <c r="Z41" s="10"/>
      <c r="AA41" s="10"/>
    </row>
    <row r="42" spans="1:27" x14ac:dyDescent="0.25">
      <c r="G42" s="2">
        <f>SUM(G37:G41)</f>
        <v>0</v>
      </c>
      <c r="H42" s="2">
        <f t="shared" ref="H42:AA42" si="3">SUM(H37:H41)</f>
        <v>5095810.9999999991</v>
      </c>
      <c r="I42" s="2">
        <f t="shared" si="3"/>
        <v>5195525.9439999983</v>
      </c>
      <c r="J42" s="2">
        <f t="shared" si="3"/>
        <v>5397761.0616614986</v>
      </c>
      <c r="K42" s="2">
        <f t="shared" si="3"/>
        <v>5332354.6512262644</v>
      </c>
      <c r="L42" s="2">
        <f t="shared" si="3"/>
        <v>5265704.0214772699</v>
      </c>
      <c r="M42" s="2">
        <f t="shared" si="3"/>
        <v>5185972.8747449899</v>
      </c>
      <c r="N42" s="2">
        <f t="shared" si="3"/>
        <v>5108666.988573906</v>
      </c>
      <c r="O42" s="2">
        <f t="shared" si="3"/>
        <v>5038226.4859842258</v>
      </c>
      <c r="P42" s="2">
        <f t="shared" si="3"/>
        <v>5418321.2034223322</v>
      </c>
      <c r="Q42" s="2">
        <f t="shared" si="3"/>
        <v>5850934.4846781343</v>
      </c>
      <c r="R42" s="2">
        <f t="shared" si="3"/>
        <v>6299328.0440959726</v>
      </c>
      <c r="S42" s="2">
        <f t="shared" si="3"/>
        <v>6813378.7265323689</v>
      </c>
      <c r="T42" s="2">
        <f t="shared" si="3"/>
        <v>7346241.5339636486</v>
      </c>
      <c r="U42" s="2">
        <f t="shared" si="3"/>
        <v>7463056.8628251906</v>
      </c>
      <c r="V42" s="2">
        <f t="shared" si="3"/>
        <v>7586319.0322276978</v>
      </c>
      <c r="W42" s="2">
        <f t="shared" si="3"/>
        <v>0</v>
      </c>
      <c r="X42" s="2">
        <f t="shared" si="3"/>
        <v>0</v>
      </c>
      <c r="Y42" s="2">
        <f t="shared" si="3"/>
        <v>0</v>
      </c>
      <c r="Z42" s="2">
        <f t="shared" si="3"/>
        <v>0</v>
      </c>
      <c r="AA42" s="2">
        <f t="shared" si="3"/>
        <v>0</v>
      </c>
    </row>
    <row r="43" spans="1:27" x14ac:dyDescent="0.25">
      <c r="G43" s="2"/>
      <c r="H43" s="2"/>
      <c r="I43" s="2"/>
      <c r="J43" s="2"/>
      <c r="K43" s="2"/>
      <c r="L43" s="2"/>
      <c r="M43" s="2"/>
      <c r="N43" s="2"/>
      <c r="O43" s="2"/>
      <c r="P43" s="2"/>
      <c r="Q43" s="2"/>
    </row>
    <row r="44" spans="1:27" x14ac:dyDescent="0.25">
      <c r="D44" t="s">
        <v>134</v>
      </c>
      <c r="G44" s="2"/>
      <c r="H44" s="2"/>
      <c r="I44" s="2"/>
      <c r="J44" s="2"/>
      <c r="K44" s="2"/>
      <c r="L44" s="2"/>
      <c r="M44" s="2"/>
      <c r="N44" s="2"/>
      <c r="O44" s="2"/>
      <c r="P44" s="2"/>
      <c r="Q44" s="2"/>
    </row>
    <row r="45" spans="1:27" x14ac:dyDescent="0.25">
      <c r="E45" s="2" t="str">
        <f>E37</f>
        <v>Pipes</v>
      </c>
      <c r="F45" t="s">
        <v>7</v>
      </c>
      <c r="G45" s="2">
        <f t="shared" ref="G45:AA48" si="4">G37/$G7+IF((G$2-$G7+1)&gt;0,-INDEX($G37:$AA37,1,(G$2-$G7+1))/$G7,0)</f>
        <v>0</v>
      </c>
      <c r="H45" s="2">
        <f t="shared" si="4"/>
        <v>56620.122222222213</v>
      </c>
      <c r="I45" s="2">
        <f t="shared" si="4"/>
        <v>57728.066044444422</v>
      </c>
      <c r="J45" s="2">
        <f t="shared" si="4"/>
        <v>59975.122907349985</v>
      </c>
      <c r="K45" s="2">
        <f t="shared" si="4"/>
        <v>59248.385013625157</v>
      </c>
      <c r="L45" s="2">
        <f t="shared" si="4"/>
        <v>58507.822460858551</v>
      </c>
      <c r="M45" s="2">
        <f t="shared" si="4"/>
        <v>57621.92083049989</v>
      </c>
      <c r="N45" s="2">
        <f t="shared" si="4"/>
        <v>56762.966539710069</v>
      </c>
      <c r="O45" s="2">
        <f t="shared" si="4"/>
        <v>55980.294288713616</v>
      </c>
      <c r="P45" s="2">
        <f t="shared" si="4"/>
        <v>60203.568926914799</v>
      </c>
      <c r="Q45" s="2">
        <f t="shared" si="4"/>
        <v>65010.383163090381</v>
      </c>
      <c r="R45" s="2">
        <f t="shared" si="4"/>
        <v>69992.533823288584</v>
      </c>
      <c r="S45" s="2">
        <f t="shared" si="4"/>
        <v>75704.208072581881</v>
      </c>
      <c r="T45" s="2">
        <f t="shared" si="4"/>
        <v>81624.905932929425</v>
      </c>
      <c r="U45" s="2">
        <f t="shared" si="4"/>
        <v>82922.854031391005</v>
      </c>
      <c r="V45" s="2">
        <f t="shared" si="4"/>
        <v>84292.433691418861</v>
      </c>
      <c r="W45" s="2">
        <f t="shared" si="4"/>
        <v>0</v>
      </c>
      <c r="X45" s="2">
        <f t="shared" si="4"/>
        <v>0</v>
      </c>
      <c r="Y45" s="2">
        <f t="shared" si="4"/>
        <v>0</v>
      </c>
      <c r="Z45" s="2">
        <f t="shared" si="4"/>
        <v>0</v>
      </c>
      <c r="AA45" s="2">
        <f t="shared" si="4"/>
        <v>0</v>
      </c>
    </row>
    <row r="46" spans="1:27" x14ac:dyDescent="0.25">
      <c r="E46" s="2" t="str">
        <f t="shared" ref="E46:E48" si="5">E38</f>
        <v>Pumps</v>
      </c>
      <c r="F46" t="s">
        <v>7</v>
      </c>
      <c r="G46" s="2">
        <f t="shared" si="4"/>
        <v>0</v>
      </c>
      <c r="H46" s="2">
        <f t="shared" si="4"/>
        <v>0</v>
      </c>
      <c r="I46" s="2">
        <f t="shared" si="4"/>
        <v>0</v>
      </c>
      <c r="J46" s="2">
        <f t="shared" si="4"/>
        <v>0</v>
      </c>
      <c r="K46" s="2">
        <f t="shared" si="4"/>
        <v>0</v>
      </c>
      <c r="L46" s="2">
        <f t="shared" si="4"/>
        <v>0</v>
      </c>
      <c r="M46" s="2">
        <f t="shared" si="4"/>
        <v>0</v>
      </c>
      <c r="N46" s="2">
        <f t="shared" si="4"/>
        <v>0</v>
      </c>
      <c r="O46" s="2">
        <f t="shared" si="4"/>
        <v>0</v>
      </c>
      <c r="P46" s="2">
        <f t="shared" si="4"/>
        <v>0</v>
      </c>
      <c r="Q46" s="2">
        <f t="shared" si="4"/>
        <v>0</v>
      </c>
      <c r="R46" s="2">
        <f t="shared" si="4"/>
        <v>0</v>
      </c>
      <c r="S46" s="2">
        <f t="shared" si="4"/>
        <v>0</v>
      </c>
      <c r="T46" s="2">
        <f t="shared" si="4"/>
        <v>0</v>
      </c>
      <c r="U46" s="2">
        <f t="shared" si="4"/>
        <v>0</v>
      </c>
      <c r="V46" s="2">
        <f t="shared" si="4"/>
        <v>0</v>
      </c>
      <c r="W46" s="2">
        <f t="shared" si="4"/>
        <v>0</v>
      </c>
      <c r="X46" s="2">
        <f t="shared" si="4"/>
        <v>0</v>
      </c>
      <c r="Y46" s="2">
        <f t="shared" si="4"/>
        <v>0</v>
      </c>
      <c r="Z46" s="2">
        <f t="shared" si="4"/>
        <v>0</v>
      </c>
      <c r="AA46" s="2">
        <f t="shared" si="4"/>
        <v>0</v>
      </c>
    </row>
    <row r="47" spans="1:27" x14ac:dyDescent="0.25">
      <c r="E47" s="2" t="str">
        <f t="shared" si="5"/>
        <v>Valves and Meters</v>
      </c>
      <c r="F47" t="s">
        <v>7</v>
      </c>
      <c r="G47" s="2">
        <f t="shared" si="4"/>
        <v>0</v>
      </c>
      <c r="H47" s="2">
        <f t="shared" si="4"/>
        <v>0</v>
      </c>
      <c r="I47" s="2">
        <f t="shared" si="4"/>
        <v>0</v>
      </c>
      <c r="J47" s="2">
        <f t="shared" si="4"/>
        <v>0</v>
      </c>
      <c r="K47" s="2">
        <f t="shared" si="4"/>
        <v>0</v>
      </c>
      <c r="L47" s="2">
        <f t="shared" si="4"/>
        <v>0</v>
      </c>
      <c r="M47" s="2">
        <f t="shared" si="4"/>
        <v>0</v>
      </c>
      <c r="N47" s="2">
        <f t="shared" si="4"/>
        <v>0</v>
      </c>
      <c r="O47" s="2">
        <f t="shared" si="4"/>
        <v>0</v>
      </c>
      <c r="P47" s="2">
        <f t="shared" si="4"/>
        <v>0</v>
      </c>
      <c r="Q47" s="2">
        <f t="shared" si="4"/>
        <v>0</v>
      </c>
      <c r="R47" s="2">
        <f t="shared" si="4"/>
        <v>0</v>
      </c>
      <c r="S47" s="2">
        <f t="shared" si="4"/>
        <v>0</v>
      </c>
      <c r="T47" s="2">
        <f t="shared" si="4"/>
        <v>0</v>
      </c>
      <c r="U47" s="2">
        <f t="shared" si="4"/>
        <v>0</v>
      </c>
      <c r="V47" s="2">
        <f t="shared" si="4"/>
        <v>0</v>
      </c>
      <c r="W47" s="2">
        <f t="shared" si="4"/>
        <v>0</v>
      </c>
      <c r="X47" s="2">
        <f t="shared" si="4"/>
        <v>0</v>
      </c>
      <c r="Y47" s="2">
        <f t="shared" si="4"/>
        <v>0</v>
      </c>
      <c r="Z47" s="2">
        <f t="shared" si="4"/>
        <v>0</v>
      </c>
      <c r="AA47" s="2">
        <f t="shared" si="4"/>
        <v>0</v>
      </c>
    </row>
    <row r="48" spans="1:27" x14ac:dyDescent="0.25">
      <c r="E48" s="2" t="str">
        <f t="shared" si="5"/>
        <v>Temporary Assets</v>
      </c>
      <c r="F48" t="s">
        <v>7</v>
      </c>
      <c r="G48" s="2">
        <f t="shared" si="4"/>
        <v>0</v>
      </c>
      <c r="H48" s="2">
        <f t="shared" si="4"/>
        <v>0</v>
      </c>
      <c r="I48" s="2">
        <f t="shared" si="4"/>
        <v>0</v>
      </c>
      <c r="J48" s="2">
        <f t="shared" si="4"/>
        <v>0</v>
      </c>
      <c r="K48" s="2">
        <f t="shared" si="4"/>
        <v>0</v>
      </c>
      <c r="L48" s="2">
        <f t="shared" si="4"/>
        <v>0</v>
      </c>
      <c r="M48" s="2">
        <f t="shared" si="4"/>
        <v>0</v>
      </c>
      <c r="N48" s="2">
        <f t="shared" si="4"/>
        <v>0</v>
      </c>
      <c r="O48" s="2">
        <f t="shared" si="4"/>
        <v>0</v>
      </c>
      <c r="P48" s="2">
        <f t="shared" si="4"/>
        <v>0</v>
      </c>
      <c r="Q48" s="2">
        <f t="shared" si="4"/>
        <v>0</v>
      </c>
      <c r="R48" s="2">
        <f t="shared" si="4"/>
        <v>0</v>
      </c>
      <c r="S48" s="2">
        <f t="shared" si="4"/>
        <v>0</v>
      </c>
      <c r="T48" s="2">
        <f t="shared" si="4"/>
        <v>0</v>
      </c>
      <c r="U48" s="2">
        <f t="shared" si="4"/>
        <v>0</v>
      </c>
      <c r="V48" s="2">
        <f t="shared" si="4"/>
        <v>0</v>
      </c>
      <c r="W48" s="2">
        <f t="shared" si="4"/>
        <v>0</v>
      </c>
      <c r="X48" s="2">
        <f t="shared" si="4"/>
        <v>0</v>
      </c>
      <c r="Y48" s="2">
        <f t="shared" si="4"/>
        <v>0</v>
      </c>
      <c r="Z48" s="2">
        <f t="shared" si="4"/>
        <v>0</v>
      </c>
      <c r="AA48" s="2">
        <f t="shared" si="4"/>
        <v>0</v>
      </c>
    </row>
    <row r="49" spans="1:27" x14ac:dyDescent="0.25">
      <c r="G49" s="2"/>
      <c r="H49" s="2"/>
      <c r="I49" s="2"/>
      <c r="J49" s="2"/>
      <c r="K49" s="2"/>
      <c r="L49" s="2"/>
      <c r="M49" s="2"/>
      <c r="N49" s="2"/>
      <c r="O49" s="2"/>
      <c r="P49" s="2"/>
      <c r="Q49" s="2"/>
    </row>
    <row r="50" spans="1:27" x14ac:dyDescent="0.25">
      <c r="D50" t="s">
        <v>135</v>
      </c>
      <c r="F50" t="s">
        <v>7</v>
      </c>
      <c r="G50" s="2">
        <f>SUM($G$45:G48)</f>
        <v>0</v>
      </c>
      <c r="H50" s="2">
        <f>SUM($G$45:H48)</f>
        <v>56620.122222222213</v>
      </c>
      <c r="I50" s="2">
        <f>SUM($G$45:I48)</f>
        <v>114348.18826666664</v>
      </c>
      <c r="J50" s="2">
        <f>SUM($G$45:J48)</f>
        <v>174323.31117401662</v>
      </c>
      <c r="K50" s="2">
        <f>SUM($G$45:K48)</f>
        <v>233571.69618764176</v>
      </c>
      <c r="L50" s="2">
        <f>SUM($G$45:L48)</f>
        <v>292079.51864850032</v>
      </c>
      <c r="M50" s="2">
        <f>SUM($G$45:M48)</f>
        <v>349701.43947900023</v>
      </c>
      <c r="N50" s="2">
        <f>SUM($G$45:N48)</f>
        <v>406464.40601871029</v>
      </c>
      <c r="O50" s="2">
        <f>SUM($G$45:O48)</f>
        <v>462444.70030742389</v>
      </c>
      <c r="P50" s="2">
        <f>SUM($G$45:P48)</f>
        <v>522648.26923433866</v>
      </c>
      <c r="Q50" s="2">
        <f>SUM($G$45:Q48)</f>
        <v>587658.65239742899</v>
      </c>
      <c r="R50" s="2">
        <f>SUM($G$45:R48)</f>
        <v>657651.18622071762</v>
      </c>
      <c r="S50" s="2">
        <f>SUM($G$45:S48)</f>
        <v>733355.39429329953</v>
      </c>
      <c r="T50" s="2">
        <f>SUM($G$45:T48)</f>
        <v>814980.30022622901</v>
      </c>
      <c r="U50" s="2">
        <f>SUM($G$45:U48)</f>
        <v>897903.15425761999</v>
      </c>
      <c r="V50" s="2">
        <f>SUM($G$45:V48)</f>
        <v>982195.58794903883</v>
      </c>
      <c r="W50" s="2">
        <f>SUM($G$45:W48)</f>
        <v>982195.58794903883</v>
      </c>
      <c r="X50" s="2">
        <f>SUM($G$45:X48)</f>
        <v>982195.58794903883</v>
      </c>
      <c r="Y50" s="2">
        <f>SUM($G$45:Y48)</f>
        <v>982195.58794903883</v>
      </c>
      <c r="Z50" s="2">
        <f>SUM($G$45:Z48)</f>
        <v>982195.58794903883</v>
      </c>
      <c r="AA50" s="2">
        <f>SUM($G$45:AA48)</f>
        <v>982195.58794903883</v>
      </c>
    </row>
    <row r="51" spans="1:27" x14ac:dyDescent="0.25">
      <c r="G51" s="2"/>
      <c r="H51" s="2"/>
      <c r="I51" s="2"/>
      <c r="J51" s="2"/>
      <c r="K51" s="2"/>
      <c r="L51" s="2"/>
      <c r="M51" s="2"/>
      <c r="N51" s="2"/>
      <c r="O51" s="2"/>
      <c r="P51" s="2"/>
      <c r="Q51" s="2"/>
      <c r="R51" s="2"/>
      <c r="S51" s="2"/>
      <c r="T51" s="2"/>
      <c r="U51" s="2"/>
      <c r="V51" s="2"/>
      <c r="W51" s="2"/>
      <c r="X51" s="2"/>
      <c r="Y51" s="2"/>
      <c r="Z51" s="2"/>
      <c r="AA51" s="2"/>
    </row>
    <row r="52" spans="1:27" x14ac:dyDescent="0.25">
      <c r="A52" s="14">
        <f>'Notes &amp; Assumptions'!A25</f>
        <v>12</v>
      </c>
      <c r="C52" s="1" t="s">
        <v>109</v>
      </c>
      <c r="G52" s="2"/>
      <c r="H52" s="2"/>
      <c r="I52" s="2"/>
      <c r="J52" s="2"/>
      <c r="K52" s="2"/>
      <c r="L52" s="2"/>
      <c r="M52" s="2"/>
      <c r="N52" s="2"/>
      <c r="O52" s="2"/>
      <c r="P52" s="2"/>
      <c r="Q52" s="2"/>
      <c r="R52" s="2"/>
      <c r="S52" s="2"/>
      <c r="T52" s="2"/>
      <c r="U52" s="2"/>
      <c r="V52" s="2"/>
      <c r="W52" s="2"/>
      <c r="X52" s="2"/>
      <c r="Y52" s="2"/>
      <c r="Z52" s="2"/>
      <c r="AA52" s="2"/>
    </row>
    <row r="53" spans="1:27" x14ac:dyDescent="0.25">
      <c r="E53" t="s">
        <v>109</v>
      </c>
      <c r="F53" t="s">
        <v>7</v>
      </c>
      <c r="G53" s="10"/>
      <c r="H53" s="10"/>
      <c r="I53" s="10"/>
      <c r="J53" s="10"/>
      <c r="K53" s="10"/>
      <c r="L53" s="10"/>
      <c r="M53" s="10"/>
      <c r="N53" s="10"/>
      <c r="O53" s="10"/>
      <c r="P53" s="10"/>
      <c r="Q53" s="10"/>
      <c r="R53" s="10"/>
      <c r="S53" s="10"/>
      <c r="T53" s="10"/>
      <c r="U53" s="10"/>
      <c r="V53" s="10"/>
      <c r="W53" s="10"/>
      <c r="X53" s="10"/>
      <c r="Y53" s="10"/>
      <c r="Z53" s="10"/>
      <c r="AA53" s="10"/>
    </row>
    <row r="55" spans="1:27" x14ac:dyDescent="0.25">
      <c r="C55" s="1" t="s">
        <v>25</v>
      </c>
      <c r="D55" s="1"/>
    </row>
    <row r="56" spans="1:27" x14ac:dyDescent="0.25">
      <c r="A56" s="14">
        <f>'Notes &amp; Assumptions'!A26</f>
        <v>13</v>
      </c>
      <c r="D56" t="s">
        <v>2</v>
      </c>
    </row>
    <row r="57" spans="1:27" x14ac:dyDescent="0.25">
      <c r="E57" s="2" t="str">
        <f>E7</f>
        <v>Pipes</v>
      </c>
      <c r="F57" t="s">
        <v>7</v>
      </c>
      <c r="G57" s="10"/>
      <c r="H57" s="10"/>
      <c r="I57" s="10"/>
      <c r="J57" s="10"/>
      <c r="K57" s="10"/>
      <c r="L57" s="10"/>
      <c r="M57" s="10"/>
      <c r="N57" s="10"/>
      <c r="O57" s="10"/>
      <c r="P57" s="10"/>
      <c r="Q57" s="10"/>
      <c r="R57" s="10"/>
      <c r="S57" s="10"/>
      <c r="T57" s="10"/>
      <c r="U57" s="10"/>
      <c r="V57" s="10"/>
      <c r="W57" s="10"/>
      <c r="X57" s="10"/>
      <c r="Y57" s="10"/>
      <c r="Z57" s="10"/>
      <c r="AA57" s="10"/>
    </row>
    <row r="58" spans="1:27" x14ac:dyDescent="0.25">
      <c r="E58" s="2" t="str">
        <f>E8</f>
        <v>Pumps</v>
      </c>
      <c r="F58" t="s">
        <v>7</v>
      </c>
      <c r="G58" s="10"/>
      <c r="H58" s="10"/>
      <c r="I58" s="10"/>
      <c r="J58" s="10"/>
      <c r="K58" s="10"/>
      <c r="L58" s="10"/>
      <c r="M58" s="10"/>
      <c r="N58" s="10"/>
      <c r="O58" s="10"/>
      <c r="P58" s="10"/>
      <c r="Q58" s="10"/>
      <c r="R58" s="10"/>
      <c r="S58" s="10"/>
      <c r="T58" s="10"/>
      <c r="U58" s="10"/>
      <c r="V58" s="10"/>
      <c r="W58" s="10"/>
      <c r="X58" s="10"/>
      <c r="Y58" s="10"/>
      <c r="Z58" s="10"/>
      <c r="AA58" s="10"/>
    </row>
    <row r="59" spans="1:27" x14ac:dyDescent="0.25">
      <c r="E59" s="2" t="str">
        <f>E9</f>
        <v>Valves and Meters</v>
      </c>
      <c r="F59" t="s">
        <v>7</v>
      </c>
      <c r="G59" s="10"/>
      <c r="H59" s="10"/>
      <c r="I59" s="10"/>
      <c r="J59" s="10"/>
      <c r="K59" s="10"/>
      <c r="L59" s="10"/>
      <c r="M59" s="10"/>
      <c r="N59" s="10"/>
      <c r="O59" s="10"/>
      <c r="P59" s="10"/>
      <c r="Q59" s="10"/>
      <c r="R59" s="10"/>
      <c r="S59" s="10"/>
      <c r="T59" s="10"/>
      <c r="U59" s="10"/>
      <c r="V59" s="10"/>
      <c r="W59" s="10"/>
      <c r="X59" s="10"/>
      <c r="Y59" s="10"/>
      <c r="Z59" s="10"/>
      <c r="AA59" s="10"/>
    </row>
    <row r="60" spans="1:27" x14ac:dyDescent="0.25">
      <c r="E60" t="s">
        <v>131</v>
      </c>
      <c r="F60" t="s">
        <v>7</v>
      </c>
      <c r="G60" s="10"/>
      <c r="H60" s="10"/>
      <c r="I60" s="10"/>
      <c r="J60" s="10"/>
      <c r="K60" s="10"/>
      <c r="L60" s="10"/>
      <c r="M60" s="10"/>
      <c r="N60" s="10"/>
      <c r="O60" s="10"/>
      <c r="P60" s="10"/>
      <c r="Q60" s="10"/>
      <c r="R60" s="10"/>
      <c r="S60" s="10"/>
      <c r="T60" s="10"/>
      <c r="U60" s="10"/>
      <c r="V60" s="10"/>
      <c r="W60" s="10"/>
      <c r="X60" s="10"/>
      <c r="Y60" s="10"/>
      <c r="Z60" s="10"/>
      <c r="AA60" s="10"/>
    </row>
    <row r="61" spans="1:27" x14ac:dyDescent="0.25">
      <c r="G61" s="2">
        <f>SUM(G57:G60)</f>
        <v>0</v>
      </c>
      <c r="H61" s="2">
        <f t="shared" ref="H61:AA61" si="6">SUM(H57:H60)</f>
        <v>0</v>
      </c>
      <c r="I61" s="2">
        <f t="shared" si="6"/>
        <v>0</v>
      </c>
      <c r="J61" s="2">
        <f t="shared" si="6"/>
        <v>0</v>
      </c>
      <c r="K61" s="2">
        <f t="shared" si="6"/>
        <v>0</v>
      </c>
      <c r="L61" s="2">
        <f t="shared" si="6"/>
        <v>0</v>
      </c>
      <c r="M61" s="2">
        <f t="shared" si="6"/>
        <v>0</v>
      </c>
      <c r="N61" s="2">
        <f t="shared" si="6"/>
        <v>0</v>
      </c>
      <c r="O61" s="2">
        <f t="shared" si="6"/>
        <v>0</v>
      </c>
      <c r="P61" s="2">
        <f t="shared" si="6"/>
        <v>0</v>
      </c>
      <c r="Q61" s="2">
        <f t="shared" si="6"/>
        <v>0</v>
      </c>
      <c r="R61" s="2">
        <f t="shared" si="6"/>
        <v>0</v>
      </c>
      <c r="S61" s="2">
        <f t="shared" si="6"/>
        <v>0</v>
      </c>
      <c r="T61" s="2">
        <f t="shared" si="6"/>
        <v>0</v>
      </c>
      <c r="U61" s="2">
        <f t="shared" si="6"/>
        <v>0</v>
      </c>
      <c r="V61" s="2">
        <f t="shared" si="6"/>
        <v>0</v>
      </c>
      <c r="W61" s="2">
        <f t="shared" si="6"/>
        <v>0</v>
      </c>
      <c r="X61" s="2">
        <f t="shared" si="6"/>
        <v>0</v>
      </c>
      <c r="Y61" s="2">
        <f t="shared" si="6"/>
        <v>0</v>
      </c>
      <c r="Z61" s="2">
        <f t="shared" si="6"/>
        <v>0</v>
      </c>
      <c r="AA61" s="2">
        <f t="shared" si="6"/>
        <v>0</v>
      </c>
    </row>
    <row r="63" spans="1:27" x14ac:dyDescent="0.25">
      <c r="D63" t="s">
        <v>136</v>
      </c>
      <c r="G63" s="2"/>
      <c r="H63" s="2"/>
      <c r="I63" s="2"/>
      <c r="J63" s="2"/>
      <c r="K63" s="2"/>
      <c r="L63" s="2"/>
      <c r="M63" s="2"/>
      <c r="N63" s="2"/>
      <c r="O63" s="2"/>
      <c r="P63" s="2"/>
      <c r="Q63" s="2"/>
    </row>
    <row r="64" spans="1:27" x14ac:dyDescent="0.25">
      <c r="E64" s="2" t="str">
        <f>E57</f>
        <v>Pipes</v>
      </c>
      <c r="F64" t="s">
        <v>7</v>
      </c>
      <c r="G64" s="2">
        <f t="shared" ref="G64:AA66" si="7">G57/$G7+IF((G$2-$G7+1)&gt;0,-INDEX($G57:$AA57,1,(G$2-$G7+1))/$G7,0)</f>
        <v>0</v>
      </c>
      <c r="H64" s="2">
        <f t="shared" si="7"/>
        <v>0</v>
      </c>
      <c r="I64" s="2">
        <f t="shared" si="7"/>
        <v>0</v>
      </c>
      <c r="J64" s="2">
        <f t="shared" si="7"/>
        <v>0</v>
      </c>
      <c r="K64" s="2">
        <f t="shared" si="7"/>
        <v>0</v>
      </c>
      <c r="L64" s="2">
        <f t="shared" si="7"/>
        <v>0</v>
      </c>
      <c r="M64" s="2">
        <f t="shared" si="7"/>
        <v>0</v>
      </c>
      <c r="N64" s="2">
        <f t="shared" si="7"/>
        <v>0</v>
      </c>
      <c r="O64" s="2">
        <f t="shared" si="7"/>
        <v>0</v>
      </c>
      <c r="P64" s="2">
        <f t="shared" si="7"/>
        <v>0</v>
      </c>
      <c r="Q64" s="2">
        <f t="shared" si="7"/>
        <v>0</v>
      </c>
      <c r="R64" s="2">
        <f t="shared" si="7"/>
        <v>0</v>
      </c>
      <c r="S64" s="2">
        <f t="shared" si="7"/>
        <v>0</v>
      </c>
      <c r="T64" s="2">
        <f t="shared" si="7"/>
        <v>0</v>
      </c>
      <c r="U64" s="2">
        <f t="shared" si="7"/>
        <v>0</v>
      </c>
      <c r="V64" s="2">
        <f t="shared" si="7"/>
        <v>0</v>
      </c>
      <c r="W64" s="2">
        <f t="shared" si="7"/>
        <v>0</v>
      </c>
      <c r="X64" s="2">
        <f t="shared" si="7"/>
        <v>0</v>
      </c>
      <c r="Y64" s="2">
        <f t="shared" si="7"/>
        <v>0</v>
      </c>
      <c r="Z64" s="2">
        <f t="shared" si="7"/>
        <v>0</v>
      </c>
      <c r="AA64" s="2">
        <f t="shared" si="7"/>
        <v>0</v>
      </c>
    </row>
    <row r="65" spans="1:27" x14ac:dyDescent="0.25">
      <c r="E65" s="2" t="str">
        <f t="shared" ref="E65:E66" si="8">E58</f>
        <v>Pumps</v>
      </c>
      <c r="F65" t="s">
        <v>7</v>
      </c>
      <c r="G65" s="2">
        <f t="shared" si="7"/>
        <v>0</v>
      </c>
      <c r="H65" s="2">
        <f t="shared" si="7"/>
        <v>0</v>
      </c>
      <c r="I65" s="2">
        <f t="shared" si="7"/>
        <v>0</v>
      </c>
      <c r="J65" s="2">
        <f t="shared" si="7"/>
        <v>0</v>
      </c>
      <c r="K65" s="2">
        <f t="shared" si="7"/>
        <v>0</v>
      </c>
      <c r="L65" s="2">
        <f t="shared" si="7"/>
        <v>0</v>
      </c>
      <c r="M65" s="2">
        <f t="shared" si="7"/>
        <v>0</v>
      </c>
      <c r="N65" s="2">
        <f t="shared" si="7"/>
        <v>0</v>
      </c>
      <c r="O65" s="2">
        <f t="shared" si="7"/>
        <v>0</v>
      </c>
      <c r="P65" s="2">
        <f t="shared" si="7"/>
        <v>0</v>
      </c>
      <c r="Q65" s="2">
        <f t="shared" si="7"/>
        <v>0</v>
      </c>
      <c r="R65" s="2">
        <f t="shared" si="7"/>
        <v>0</v>
      </c>
      <c r="S65" s="2">
        <f t="shared" si="7"/>
        <v>0</v>
      </c>
      <c r="T65" s="2">
        <f t="shared" si="7"/>
        <v>0</v>
      </c>
      <c r="U65" s="2">
        <f t="shared" si="7"/>
        <v>0</v>
      </c>
      <c r="V65" s="2">
        <f t="shared" si="7"/>
        <v>0</v>
      </c>
      <c r="W65" s="2">
        <f t="shared" si="7"/>
        <v>0</v>
      </c>
      <c r="X65" s="2">
        <f t="shared" si="7"/>
        <v>0</v>
      </c>
      <c r="Y65" s="2">
        <f t="shared" si="7"/>
        <v>0</v>
      </c>
      <c r="Z65" s="2">
        <f t="shared" si="7"/>
        <v>0</v>
      </c>
      <c r="AA65" s="2">
        <f t="shared" si="7"/>
        <v>0</v>
      </c>
    </row>
    <row r="66" spans="1:27" x14ac:dyDescent="0.25">
      <c r="E66" s="2" t="str">
        <f t="shared" si="8"/>
        <v>Valves and Meters</v>
      </c>
      <c r="F66" t="s">
        <v>7</v>
      </c>
      <c r="G66" s="2">
        <f t="shared" si="7"/>
        <v>0</v>
      </c>
      <c r="H66" s="2">
        <f t="shared" si="7"/>
        <v>0</v>
      </c>
      <c r="I66" s="2">
        <f t="shared" si="7"/>
        <v>0</v>
      </c>
      <c r="J66" s="2">
        <f t="shared" si="7"/>
        <v>0</v>
      </c>
      <c r="K66" s="2">
        <f t="shared" si="7"/>
        <v>0</v>
      </c>
      <c r="L66" s="2">
        <f t="shared" si="7"/>
        <v>0</v>
      </c>
      <c r="M66" s="2">
        <f t="shared" si="7"/>
        <v>0</v>
      </c>
      <c r="N66" s="2">
        <f t="shared" si="7"/>
        <v>0</v>
      </c>
      <c r="O66" s="2">
        <f t="shared" si="7"/>
        <v>0</v>
      </c>
      <c r="P66" s="2">
        <f t="shared" si="7"/>
        <v>0</v>
      </c>
      <c r="Q66" s="2">
        <f t="shared" si="7"/>
        <v>0</v>
      </c>
      <c r="R66" s="2">
        <f t="shared" si="7"/>
        <v>0</v>
      </c>
      <c r="S66" s="2">
        <f t="shared" si="7"/>
        <v>0</v>
      </c>
      <c r="T66" s="2">
        <f t="shared" si="7"/>
        <v>0</v>
      </c>
      <c r="U66" s="2">
        <f t="shared" si="7"/>
        <v>0</v>
      </c>
      <c r="V66" s="2">
        <f t="shared" si="7"/>
        <v>0</v>
      </c>
      <c r="W66" s="2">
        <f t="shared" si="7"/>
        <v>0</v>
      </c>
      <c r="X66" s="2">
        <f t="shared" si="7"/>
        <v>0</v>
      </c>
      <c r="Y66" s="2">
        <f t="shared" si="7"/>
        <v>0</v>
      </c>
      <c r="Z66" s="2">
        <f t="shared" si="7"/>
        <v>0</v>
      </c>
      <c r="AA66" s="2">
        <f t="shared" si="7"/>
        <v>0</v>
      </c>
    </row>
    <row r="68" spans="1:27" x14ac:dyDescent="0.25">
      <c r="D68" t="s">
        <v>137</v>
      </c>
      <c r="F68" t="s">
        <v>7</v>
      </c>
      <c r="G68" s="2">
        <f>SUM($G$64:G66)</f>
        <v>0</v>
      </c>
      <c r="H68" s="2">
        <f>SUM($G$64:H66)</f>
        <v>0</v>
      </c>
      <c r="I68" s="2">
        <f>SUM($G$64:I66)</f>
        <v>0</v>
      </c>
      <c r="J68" s="2">
        <f>SUM($G$64:J66)</f>
        <v>0</v>
      </c>
      <c r="K68" s="2">
        <f>SUM($G$64:K66)</f>
        <v>0</v>
      </c>
      <c r="L68" s="2">
        <f>SUM($G$64:L66)</f>
        <v>0</v>
      </c>
      <c r="M68" s="2">
        <f>SUM($G$64:M66)</f>
        <v>0</v>
      </c>
      <c r="N68" s="2">
        <f>SUM($G$64:N66)</f>
        <v>0</v>
      </c>
      <c r="O68" s="2">
        <f>SUM($G$64:O66)</f>
        <v>0</v>
      </c>
      <c r="P68" s="2">
        <f>SUM($G$64:P66)</f>
        <v>0</v>
      </c>
      <c r="Q68" s="2">
        <f>SUM($G$64:Q66)</f>
        <v>0</v>
      </c>
      <c r="R68" s="2">
        <f>SUM($G$64:R66)</f>
        <v>0</v>
      </c>
      <c r="S68" s="2">
        <f>SUM($G$64:S66)</f>
        <v>0</v>
      </c>
      <c r="T68" s="2">
        <f>SUM($G$64:T66)</f>
        <v>0</v>
      </c>
      <c r="U68" s="2">
        <f>SUM($G$64:U66)</f>
        <v>0</v>
      </c>
      <c r="V68" s="2">
        <f>SUM($G$64:V66)</f>
        <v>0</v>
      </c>
      <c r="W68" s="2">
        <f>SUM($G$64:W66)</f>
        <v>0</v>
      </c>
      <c r="X68" s="2">
        <f>SUM($G$64:X66)</f>
        <v>0</v>
      </c>
      <c r="Y68" s="2">
        <f>SUM($G$64:Y66)</f>
        <v>0</v>
      </c>
      <c r="Z68" s="2">
        <f>SUM($G$64:Z66)</f>
        <v>0</v>
      </c>
      <c r="AA68" s="2">
        <f>SUM($G$64:AA66)</f>
        <v>0</v>
      </c>
    </row>
    <row r="70" spans="1:27" x14ac:dyDescent="0.25">
      <c r="A70" s="14">
        <f>'Notes &amp; Assumptions'!A27</f>
        <v>14</v>
      </c>
      <c r="D70" t="s">
        <v>6</v>
      </c>
    </row>
    <row r="71" spans="1:27" x14ac:dyDescent="0.25">
      <c r="E71" s="2" t="str">
        <f>E7</f>
        <v>Pipes</v>
      </c>
      <c r="F71" t="s">
        <v>7</v>
      </c>
      <c r="G71" s="10"/>
      <c r="H71" s="10"/>
      <c r="I71" s="10"/>
      <c r="J71" s="10"/>
      <c r="K71" s="10"/>
      <c r="L71" s="10"/>
      <c r="M71" s="10"/>
      <c r="N71" s="10"/>
      <c r="O71" s="10"/>
      <c r="P71" s="10"/>
      <c r="Q71" s="10"/>
      <c r="R71" s="10"/>
      <c r="S71" s="10"/>
      <c r="T71" s="10"/>
      <c r="U71" s="10"/>
      <c r="V71" s="10"/>
      <c r="W71" s="10"/>
      <c r="X71" s="10"/>
      <c r="Y71" s="10"/>
      <c r="Z71" s="10"/>
      <c r="AA71" s="10"/>
    </row>
    <row r="72" spans="1:27" x14ac:dyDescent="0.25">
      <c r="E72" s="2" t="str">
        <f>E8</f>
        <v>Pumps</v>
      </c>
      <c r="F72" t="s">
        <v>7</v>
      </c>
      <c r="G72" s="10"/>
      <c r="H72" s="10"/>
      <c r="I72" s="10"/>
      <c r="J72" s="10"/>
      <c r="K72" s="10"/>
      <c r="L72" s="10"/>
      <c r="M72" s="10"/>
      <c r="N72" s="10"/>
      <c r="O72" s="10"/>
      <c r="P72" s="10"/>
      <c r="Q72" s="10"/>
      <c r="R72" s="10"/>
      <c r="S72" s="10"/>
      <c r="T72" s="10"/>
      <c r="U72" s="10"/>
      <c r="V72" s="10"/>
      <c r="W72" s="10"/>
      <c r="X72" s="10"/>
      <c r="Y72" s="10"/>
      <c r="Z72" s="10"/>
      <c r="AA72" s="10"/>
    </row>
    <row r="73" spans="1:27" x14ac:dyDescent="0.25">
      <c r="E73" s="2" t="str">
        <f>E9</f>
        <v>Valves and Meters</v>
      </c>
      <c r="F73" t="s">
        <v>7</v>
      </c>
      <c r="G73" s="10"/>
      <c r="H73" s="10"/>
      <c r="I73" s="10"/>
      <c r="J73" s="10"/>
      <c r="K73" s="10"/>
      <c r="L73" s="10"/>
      <c r="M73" s="10"/>
      <c r="N73" s="10"/>
      <c r="O73" s="10"/>
      <c r="P73" s="10"/>
      <c r="Q73" s="10"/>
      <c r="R73" s="10"/>
      <c r="S73" s="10"/>
      <c r="T73" s="10"/>
      <c r="U73" s="10"/>
      <c r="V73" s="10"/>
      <c r="W73" s="10"/>
      <c r="X73" s="10"/>
      <c r="Y73" s="10"/>
      <c r="Z73" s="10"/>
      <c r="AA73" s="10"/>
    </row>
    <row r="74" spans="1:27" x14ac:dyDescent="0.25">
      <c r="E74" t="s">
        <v>131</v>
      </c>
      <c r="F74" t="s">
        <v>7</v>
      </c>
      <c r="G74" s="10"/>
      <c r="H74" s="10"/>
      <c r="I74" s="10"/>
      <c r="J74" s="10"/>
      <c r="K74" s="10"/>
      <c r="L74" s="10"/>
      <c r="M74" s="10"/>
      <c r="N74" s="10"/>
      <c r="O74" s="10"/>
      <c r="P74" s="10"/>
      <c r="Q74" s="10"/>
      <c r="R74" s="10"/>
      <c r="S74" s="10"/>
      <c r="T74" s="10"/>
      <c r="U74" s="10"/>
      <c r="V74" s="10"/>
      <c r="W74" s="10"/>
      <c r="X74" s="10"/>
      <c r="Y74" s="10"/>
      <c r="Z74" s="10"/>
      <c r="AA74" s="10"/>
    </row>
    <row r="75" spans="1:27" x14ac:dyDescent="0.25">
      <c r="G75" s="2">
        <f>SUM(G71:G74)</f>
        <v>0</v>
      </c>
      <c r="H75" s="2">
        <f t="shared" ref="H75:AA75" si="9">SUM(H71:H74)</f>
        <v>0</v>
      </c>
      <c r="I75" s="2">
        <f t="shared" si="9"/>
        <v>0</v>
      </c>
      <c r="J75" s="2">
        <f t="shared" si="9"/>
        <v>0</v>
      </c>
      <c r="K75" s="2">
        <f t="shared" si="9"/>
        <v>0</v>
      </c>
      <c r="L75" s="2">
        <f t="shared" si="9"/>
        <v>0</v>
      </c>
      <c r="M75" s="2">
        <f t="shared" si="9"/>
        <v>0</v>
      </c>
      <c r="N75" s="2">
        <f t="shared" si="9"/>
        <v>0</v>
      </c>
      <c r="O75" s="2">
        <f t="shared" si="9"/>
        <v>0</v>
      </c>
      <c r="P75" s="2">
        <f t="shared" si="9"/>
        <v>0</v>
      </c>
      <c r="Q75" s="2">
        <f t="shared" si="9"/>
        <v>0</v>
      </c>
      <c r="R75" s="2">
        <f t="shared" si="9"/>
        <v>0</v>
      </c>
      <c r="S75" s="2">
        <f t="shared" si="9"/>
        <v>0</v>
      </c>
      <c r="T75" s="2">
        <f t="shared" si="9"/>
        <v>0</v>
      </c>
      <c r="U75" s="2">
        <f t="shared" si="9"/>
        <v>0</v>
      </c>
      <c r="V75" s="2">
        <f t="shared" si="9"/>
        <v>0</v>
      </c>
      <c r="W75" s="2">
        <f t="shared" si="9"/>
        <v>0</v>
      </c>
      <c r="X75" s="2">
        <f t="shared" si="9"/>
        <v>0</v>
      </c>
      <c r="Y75" s="2">
        <f t="shared" si="9"/>
        <v>0</v>
      </c>
      <c r="Z75" s="2">
        <f t="shared" si="9"/>
        <v>0</v>
      </c>
      <c r="AA75" s="2">
        <f t="shared" si="9"/>
        <v>0</v>
      </c>
    </row>
    <row r="76" spans="1:27" x14ac:dyDescent="0.25">
      <c r="G76" s="2"/>
      <c r="H76" s="2"/>
      <c r="I76" s="2"/>
      <c r="J76" s="2"/>
      <c r="K76" s="2"/>
      <c r="L76" s="2"/>
      <c r="M76" s="2"/>
      <c r="N76" s="2"/>
      <c r="O76" s="2"/>
      <c r="P76" s="2"/>
      <c r="Q76" s="2"/>
      <c r="R76" s="2"/>
      <c r="S76" s="2"/>
      <c r="T76" s="2"/>
      <c r="U76" s="2"/>
      <c r="V76" s="2"/>
      <c r="W76" s="2"/>
      <c r="X76" s="2"/>
      <c r="Y76" s="2"/>
      <c r="Z76" s="2"/>
      <c r="AA76" s="2"/>
    </row>
    <row r="77" spans="1:27" x14ac:dyDescent="0.25">
      <c r="D77" t="s">
        <v>136</v>
      </c>
      <c r="G77" s="2"/>
      <c r="H77" s="2"/>
      <c r="I77" s="2"/>
      <c r="J77" s="2"/>
      <c r="K77" s="2"/>
      <c r="L77" s="2"/>
      <c r="M77" s="2"/>
      <c r="N77" s="2"/>
      <c r="O77" s="2"/>
      <c r="P77" s="2"/>
      <c r="Q77" s="2"/>
    </row>
    <row r="78" spans="1:27" x14ac:dyDescent="0.25">
      <c r="E78" s="2" t="str">
        <f>E71</f>
        <v>Pipes</v>
      </c>
      <c r="F78" t="s">
        <v>7</v>
      </c>
      <c r="G78" s="2">
        <f t="shared" ref="G78:AA80" si="10">G71/$G7+IF((G$2-$G7+1)&gt;0,-INDEX($G71:$AA71,1,(G$2-$G7+1))/$G7,0)</f>
        <v>0</v>
      </c>
      <c r="H78" s="2">
        <f t="shared" si="10"/>
        <v>0</v>
      </c>
      <c r="I78" s="2">
        <f t="shared" si="10"/>
        <v>0</v>
      </c>
      <c r="J78" s="2">
        <f t="shared" si="10"/>
        <v>0</v>
      </c>
      <c r="K78" s="2">
        <f t="shared" si="10"/>
        <v>0</v>
      </c>
      <c r="L78" s="2">
        <f t="shared" si="10"/>
        <v>0</v>
      </c>
      <c r="M78" s="2">
        <f t="shared" si="10"/>
        <v>0</v>
      </c>
      <c r="N78" s="2">
        <f t="shared" si="10"/>
        <v>0</v>
      </c>
      <c r="O78" s="2">
        <f t="shared" si="10"/>
        <v>0</v>
      </c>
      <c r="P78" s="2">
        <f t="shared" si="10"/>
        <v>0</v>
      </c>
      <c r="Q78" s="2">
        <f t="shared" si="10"/>
        <v>0</v>
      </c>
      <c r="R78" s="2">
        <f t="shared" si="10"/>
        <v>0</v>
      </c>
      <c r="S78" s="2">
        <f t="shared" si="10"/>
        <v>0</v>
      </c>
      <c r="T78" s="2">
        <f t="shared" si="10"/>
        <v>0</v>
      </c>
      <c r="U78" s="2">
        <f t="shared" si="10"/>
        <v>0</v>
      </c>
      <c r="V78" s="2">
        <f t="shared" si="10"/>
        <v>0</v>
      </c>
      <c r="W78" s="2">
        <f t="shared" si="10"/>
        <v>0</v>
      </c>
      <c r="X78" s="2">
        <f t="shared" si="10"/>
        <v>0</v>
      </c>
      <c r="Y78" s="2">
        <f t="shared" si="10"/>
        <v>0</v>
      </c>
      <c r="Z78" s="2">
        <f t="shared" si="10"/>
        <v>0</v>
      </c>
      <c r="AA78" s="2">
        <f t="shared" si="10"/>
        <v>0</v>
      </c>
    </row>
    <row r="79" spans="1:27" x14ac:dyDescent="0.25">
      <c r="E79" s="2" t="str">
        <f t="shared" ref="E79:E80" si="11">E72</f>
        <v>Pumps</v>
      </c>
      <c r="F79" t="s">
        <v>7</v>
      </c>
      <c r="G79" s="2">
        <f t="shared" si="10"/>
        <v>0</v>
      </c>
      <c r="H79" s="2">
        <f t="shared" si="10"/>
        <v>0</v>
      </c>
      <c r="I79" s="2">
        <f t="shared" si="10"/>
        <v>0</v>
      </c>
      <c r="J79" s="2">
        <f t="shared" si="10"/>
        <v>0</v>
      </c>
      <c r="K79" s="2">
        <f t="shared" si="10"/>
        <v>0</v>
      </c>
      <c r="L79" s="2">
        <f t="shared" si="10"/>
        <v>0</v>
      </c>
      <c r="M79" s="2">
        <f t="shared" si="10"/>
        <v>0</v>
      </c>
      <c r="N79" s="2">
        <f t="shared" si="10"/>
        <v>0</v>
      </c>
      <c r="O79" s="2">
        <f t="shared" si="10"/>
        <v>0</v>
      </c>
      <c r="P79" s="2">
        <f t="shared" si="10"/>
        <v>0</v>
      </c>
      <c r="Q79" s="2">
        <f t="shared" si="10"/>
        <v>0</v>
      </c>
      <c r="R79" s="2">
        <f t="shared" si="10"/>
        <v>0</v>
      </c>
      <c r="S79" s="2">
        <f t="shared" si="10"/>
        <v>0</v>
      </c>
      <c r="T79" s="2">
        <f t="shared" si="10"/>
        <v>0</v>
      </c>
      <c r="U79" s="2">
        <f t="shared" si="10"/>
        <v>0</v>
      </c>
      <c r="V79" s="2">
        <f t="shared" si="10"/>
        <v>0</v>
      </c>
      <c r="W79" s="2">
        <f t="shared" si="10"/>
        <v>0</v>
      </c>
      <c r="X79" s="2">
        <f t="shared" si="10"/>
        <v>0</v>
      </c>
      <c r="Y79" s="2">
        <f t="shared" si="10"/>
        <v>0</v>
      </c>
      <c r="Z79" s="2">
        <f t="shared" si="10"/>
        <v>0</v>
      </c>
      <c r="AA79" s="2">
        <f t="shared" si="10"/>
        <v>0</v>
      </c>
    </row>
    <row r="80" spans="1:27" x14ac:dyDescent="0.25">
      <c r="E80" s="2" t="str">
        <f t="shared" si="11"/>
        <v>Valves and Meters</v>
      </c>
      <c r="F80" t="s">
        <v>7</v>
      </c>
      <c r="G80" s="2">
        <f t="shared" si="10"/>
        <v>0</v>
      </c>
      <c r="H80" s="2">
        <f t="shared" si="10"/>
        <v>0</v>
      </c>
      <c r="I80" s="2">
        <f t="shared" si="10"/>
        <v>0</v>
      </c>
      <c r="J80" s="2">
        <f t="shared" si="10"/>
        <v>0</v>
      </c>
      <c r="K80" s="2">
        <f t="shared" si="10"/>
        <v>0</v>
      </c>
      <c r="L80" s="2">
        <f t="shared" si="10"/>
        <v>0</v>
      </c>
      <c r="M80" s="2">
        <f t="shared" si="10"/>
        <v>0</v>
      </c>
      <c r="N80" s="2">
        <f t="shared" si="10"/>
        <v>0</v>
      </c>
      <c r="O80" s="2">
        <f t="shared" si="10"/>
        <v>0</v>
      </c>
      <c r="P80" s="2">
        <f t="shared" si="10"/>
        <v>0</v>
      </c>
      <c r="Q80" s="2">
        <f t="shared" si="10"/>
        <v>0</v>
      </c>
      <c r="R80" s="2">
        <f t="shared" si="10"/>
        <v>0</v>
      </c>
      <c r="S80" s="2">
        <f t="shared" si="10"/>
        <v>0</v>
      </c>
      <c r="T80" s="2">
        <f t="shared" si="10"/>
        <v>0</v>
      </c>
      <c r="U80" s="2">
        <f t="shared" si="10"/>
        <v>0</v>
      </c>
      <c r="V80" s="2">
        <f t="shared" si="10"/>
        <v>0</v>
      </c>
      <c r="W80" s="2">
        <f t="shared" si="10"/>
        <v>0</v>
      </c>
      <c r="X80" s="2">
        <f t="shared" si="10"/>
        <v>0</v>
      </c>
      <c r="Y80" s="2">
        <f t="shared" si="10"/>
        <v>0</v>
      </c>
      <c r="Z80" s="2">
        <f t="shared" si="10"/>
        <v>0</v>
      </c>
      <c r="AA80" s="2">
        <f t="shared" si="10"/>
        <v>0</v>
      </c>
    </row>
    <row r="82" spans="1:27" x14ac:dyDescent="0.25">
      <c r="D82" t="s">
        <v>137</v>
      </c>
      <c r="F82" t="s">
        <v>7</v>
      </c>
      <c r="G82" s="2">
        <f>SUM($G$77:G80)</f>
        <v>0</v>
      </c>
      <c r="H82" s="2">
        <f>SUM($G$77:H80)</f>
        <v>0</v>
      </c>
      <c r="I82" s="2">
        <f>SUM($G$77:I80)</f>
        <v>0</v>
      </c>
      <c r="J82" s="2">
        <f>SUM($G$77:J80)</f>
        <v>0</v>
      </c>
      <c r="K82" s="2">
        <f>SUM($G$77:K80)</f>
        <v>0</v>
      </c>
      <c r="L82" s="2">
        <f>SUM($G$77:L80)</f>
        <v>0</v>
      </c>
      <c r="M82" s="2">
        <f>SUM($G$77:M80)</f>
        <v>0</v>
      </c>
      <c r="N82" s="2">
        <f>SUM($G$77:N80)</f>
        <v>0</v>
      </c>
      <c r="O82" s="2">
        <f>SUM($G$77:O80)</f>
        <v>0</v>
      </c>
      <c r="P82" s="2">
        <f>SUM($G$77:P80)</f>
        <v>0</v>
      </c>
      <c r="Q82" s="2">
        <f>SUM($G$77:Q80)</f>
        <v>0</v>
      </c>
      <c r="R82" s="2">
        <f>SUM($G$77:R80)</f>
        <v>0</v>
      </c>
      <c r="S82" s="2">
        <f>SUM($G$77:S80)</f>
        <v>0</v>
      </c>
      <c r="T82" s="2">
        <f>SUM($G$77:T80)</f>
        <v>0</v>
      </c>
      <c r="U82" s="2">
        <f>SUM($G$77:U80)</f>
        <v>0</v>
      </c>
      <c r="V82" s="2">
        <f>SUM($G$77:V80)</f>
        <v>0</v>
      </c>
      <c r="W82" s="2">
        <f>SUM($G$77:W80)</f>
        <v>0</v>
      </c>
      <c r="X82" s="2">
        <f>SUM($G$77:X80)</f>
        <v>0</v>
      </c>
      <c r="Y82" s="2">
        <f>SUM($G$77:Y80)</f>
        <v>0</v>
      </c>
      <c r="Z82" s="2">
        <f>SUM($G$77:Z80)</f>
        <v>0</v>
      </c>
      <c r="AA82" s="2">
        <f>SUM($G$77:AA80)</f>
        <v>0</v>
      </c>
    </row>
    <row r="83" spans="1:27" x14ac:dyDescent="0.25">
      <c r="G83" s="2"/>
      <c r="H83" s="2"/>
      <c r="I83" s="2"/>
      <c r="J83" s="2"/>
      <c r="K83" s="2"/>
      <c r="L83" s="2"/>
      <c r="M83" s="2"/>
      <c r="N83" s="2"/>
      <c r="O83" s="2"/>
      <c r="P83" s="2"/>
      <c r="Q83" s="2"/>
      <c r="R83" s="2"/>
      <c r="S83" s="2"/>
      <c r="T83" s="2"/>
      <c r="U83" s="2"/>
      <c r="V83" s="2"/>
      <c r="W83" s="2"/>
      <c r="X83" s="2"/>
      <c r="Y83" s="2"/>
      <c r="Z83" s="2"/>
      <c r="AA83" s="2"/>
    </row>
    <row r="84" spans="1:27" x14ac:dyDescent="0.25">
      <c r="D84" t="s">
        <v>138</v>
      </c>
      <c r="F84" t="s">
        <v>7</v>
      </c>
      <c r="G84" s="2">
        <f t="shared" ref="G84:AA84" si="12">G61-G75</f>
        <v>0</v>
      </c>
      <c r="H84" s="2">
        <f t="shared" si="12"/>
        <v>0</v>
      </c>
      <c r="I84" s="2">
        <f t="shared" si="12"/>
        <v>0</v>
      </c>
      <c r="J84" s="2">
        <f t="shared" si="12"/>
        <v>0</v>
      </c>
      <c r="K84" s="2">
        <f t="shared" si="12"/>
        <v>0</v>
      </c>
      <c r="L84" s="2">
        <f t="shared" si="12"/>
        <v>0</v>
      </c>
      <c r="M84" s="2">
        <f t="shared" si="12"/>
        <v>0</v>
      </c>
      <c r="N84" s="2">
        <f t="shared" si="12"/>
        <v>0</v>
      </c>
      <c r="O84" s="2">
        <f t="shared" si="12"/>
        <v>0</v>
      </c>
      <c r="P84" s="2">
        <f t="shared" si="12"/>
        <v>0</v>
      </c>
      <c r="Q84" s="2">
        <f t="shared" si="12"/>
        <v>0</v>
      </c>
      <c r="R84" s="2">
        <f t="shared" si="12"/>
        <v>0</v>
      </c>
      <c r="S84" s="2">
        <f t="shared" si="12"/>
        <v>0</v>
      </c>
      <c r="T84" s="2">
        <f t="shared" si="12"/>
        <v>0</v>
      </c>
      <c r="U84" s="2">
        <f t="shared" si="12"/>
        <v>0</v>
      </c>
      <c r="V84" s="2">
        <f t="shared" si="12"/>
        <v>0</v>
      </c>
      <c r="W84" s="2">
        <f t="shared" si="12"/>
        <v>0</v>
      </c>
      <c r="X84" s="2">
        <f t="shared" si="12"/>
        <v>0</v>
      </c>
      <c r="Y84" s="2">
        <f t="shared" si="12"/>
        <v>0</v>
      </c>
      <c r="Z84" s="2">
        <f t="shared" si="12"/>
        <v>0</v>
      </c>
      <c r="AA84" s="2">
        <f t="shared" si="12"/>
        <v>0</v>
      </c>
    </row>
    <row r="85" spans="1:27" x14ac:dyDescent="0.25">
      <c r="D85" t="s">
        <v>139</v>
      </c>
      <c r="F85" t="s">
        <v>7</v>
      </c>
      <c r="G85" s="2">
        <f t="shared" ref="G85:AA85" si="13">-G68+G82</f>
        <v>0</v>
      </c>
      <c r="H85" s="2">
        <f t="shared" si="13"/>
        <v>0</v>
      </c>
      <c r="I85" s="2">
        <f t="shared" si="13"/>
        <v>0</v>
      </c>
      <c r="J85" s="2">
        <f t="shared" si="13"/>
        <v>0</v>
      </c>
      <c r="K85" s="2">
        <f t="shared" si="13"/>
        <v>0</v>
      </c>
      <c r="L85" s="2">
        <f t="shared" si="13"/>
        <v>0</v>
      </c>
      <c r="M85" s="2">
        <f t="shared" si="13"/>
        <v>0</v>
      </c>
      <c r="N85" s="2">
        <f t="shared" si="13"/>
        <v>0</v>
      </c>
      <c r="O85" s="2">
        <f t="shared" si="13"/>
        <v>0</v>
      </c>
      <c r="P85" s="2">
        <f t="shared" si="13"/>
        <v>0</v>
      </c>
      <c r="Q85" s="2">
        <f t="shared" si="13"/>
        <v>0</v>
      </c>
      <c r="R85" s="2">
        <f t="shared" si="13"/>
        <v>0</v>
      </c>
      <c r="S85" s="2">
        <f t="shared" si="13"/>
        <v>0</v>
      </c>
      <c r="T85" s="2">
        <f t="shared" si="13"/>
        <v>0</v>
      </c>
      <c r="U85" s="2">
        <f t="shared" si="13"/>
        <v>0</v>
      </c>
      <c r="V85" s="2">
        <f t="shared" si="13"/>
        <v>0</v>
      </c>
      <c r="W85" s="2">
        <f t="shared" si="13"/>
        <v>0</v>
      </c>
      <c r="X85" s="2">
        <f t="shared" si="13"/>
        <v>0</v>
      </c>
      <c r="Y85" s="2">
        <f t="shared" si="13"/>
        <v>0</v>
      </c>
      <c r="Z85" s="2">
        <f t="shared" si="13"/>
        <v>0</v>
      </c>
      <c r="AA85" s="2">
        <f t="shared" si="13"/>
        <v>0</v>
      </c>
    </row>
    <row r="87" spans="1:27" x14ac:dyDescent="0.25">
      <c r="C87" s="1" t="str">
        <f>"Incremental "&amp;G4&amp;" Service Revenue"</f>
        <v>Incremental Wastewater Service Revenue</v>
      </c>
      <c r="D87" s="1"/>
    </row>
    <row r="88" spans="1:27" x14ac:dyDescent="0.25">
      <c r="C88" s="1"/>
      <c r="D88" s="1"/>
    </row>
    <row r="89" spans="1:27" x14ac:dyDescent="0.25">
      <c r="C89" s="1"/>
      <c r="D89" t="s">
        <v>59</v>
      </c>
    </row>
    <row r="90" spans="1:27" x14ac:dyDescent="0.25">
      <c r="A90" s="14">
        <f>'Notes &amp; Assumptions'!A28</f>
        <v>15</v>
      </c>
      <c r="C90" s="1"/>
      <c r="D90" s="1"/>
      <c r="E90" t="s">
        <v>87</v>
      </c>
      <c r="F90" t="s">
        <v>3</v>
      </c>
      <c r="H90" s="10">
        <f>'Customer numbers'!P14</f>
        <v>631</v>
      </c>
      <c r="I90" s="10">
        <f>'Customer numbers'!Q14</f>
        <v>630</v>
      </c>
      <c r="J90" s="10">
        <f>'Customer numbers'!R14</f>
        <v>640.5</v>
      </c>
      <c r="K90" s="10">
        <f>'Customer numbers'!S14</f>
        <v>621</v>
      </c>
      <c r="L90" s="10">
        <f>'Customer numbers'!T14</f>
        <v>600</v>
      </c>
      <c r="M90" s="10">
        <f>'Customer numbers'!U14</f>
        <v>580</v>
      </c>
      <c r="N90" s="10">
        <f>'Customer numbers'!V14</f>
        <v>560</v>
      </c>
      <c r="O90" s="10">
        <f>'Customer numbers'!W14</f>
        <v>540.5</v>
      </c>
      <c r="P90" s="10">
        <f>'Customer numbers'!X14</f>
        <v>570</v>
      </c>
      <c r="Q90" s="10">
        <f>'Customer numbers'!Y14</f>
        <v>602</v>
      </c>
      <c r="R90" s="10">
        <f>'Customer numbers'!Z14</f>
        <v>635</v>
      </c>
      <c r="S90" s="10">
        <f>'Customer numbers'!AA14</f>
        <v>671.5</v>
      </c>
      <c r="T90" s="10">
        <f>'Customer numbers'!AB14</f>
        <v>710</v>
      </c>
      <c r="U90" s="10">
        <f>'Customer numbers'!AC14</f>
        <v>707</v>
      </c>
      <c r="V90" s="10">
        <f>'Customer numbers'!AD14</f>
        <v>703.5</v>
      </c>
    </row>
    <row r="91" spans="1:27" x14ac:dyDescent="0.25">
      <c r="C91" s="1"/>
      <c r="D91" s="1"/>
      <c r="E91" t="s">
        <v>60</v>
      </c>
      <c r="F91" t="s">
        <v>3</v>
      </c>
      <c r="G91">
        <f>IF('Key assumptions'!B4="yes",SUM('Customer numbers'!F14:O14),0)</f>
        <v>0</v>
      </c>
      <c r="H91" s="2">
        <f>G91+H90</f>
        <v>631</v>
      </c>
      <c r="I91" s="2">
        <f t="shared" ref="I91:AA91" si="14">H91+I90</f>
        <v>1261</v>
      </c>
      <c r="J91" s="2">
        <f t="shared" si="14"/>
        <v>1901.5</v>
      </c>
      <c r="K91" s="2">
        <f t="shared" si="14"/>
        <v>2522.5</v>
      </c>
      <c r="L91" s="2">
        <f t="shared" si="14"/>
        <v>3122.5</v>
      </c>
      <c r="M91" s="2">
        <f t="shared" si="14"/>
        <v>3702.5</v>
      </c>
      <c r="N91" s="2">
        <f t="shared" si="14"/>
        <v>4262.5</v>
      </c>
      <c r="O91" s="2">
        <f t="shared" si="14"/>
        <v>4803</v>
      </c>
      <c r="P91" s="2">
        <f t="shared" si="14"/>
        <v>5373</v>
      </c>
      <c r="Q91" s="2">
        <f t="shared" si="14"/>
        <v>5975</v>
      </c>
      <c r="R91" s="2">
        <f t="shared" si="14"/>
        <v>6610</v>
      </c>
      <c r="S91" s="2">
        <f t="shared" si="14"/>
        <v>7281.5</v>
      </c>
      <c r="T91" s="2">
        <f t="shared" si="14"/>
        <v>7991.5</v>
      </c>
      <c r="U91" s="2">
        <f t="shared" si="14"/>
        <v>8698.5</v>
      </c>
      <c r="V91" s="2">
        <f t="shared" si="14"/>
        <v>9402</v>
      </c>
      <c r="W91" s="2">
        <f t="shared" si="14"/>
        <v>9402</v>
      </c>
      <c r="X91" s="2">
        <f t="shared" si="14"/>
        <v>9402</v>
      </c>
      <c r="Y91" s="2">
        <f t="shared" si="14"/>
        <v>9402</v>
      </c>
      <c r="Z91" s="2">
        <f t="shared" si="14"/>
        <v>9402</v>
      </c>
      <c r="AA91" s="2">
        <f t="shared" si="14"/>
        <v>9402</v>
      </c>
    </row>
    <row r="92" spans="1:27" x14ac:dyDescent="0.25">
      <c r="A92" s="14">
        <f>'Notes &amp; Assumptions'!A29</f>
        <v>16</v>
      </c>
      <c r="C92" s="1"/>
      <c r="D92" s="1"/>
      <c r="E92" t="s">
        <v>61</v>
      </c>
      <c r="F92" t="s">
        <v>3</v>
      </c>
      <c r="G92" s="10">
        <v>1</v>
      </c>
    </row>
    <row r="93" spans="1:27" x14ac:dyDescent="0.25">
      <c r="C93" s="1"/>
      <c r="D93" s="1"/>
      <c r="E93" t="s">
        <v>88</v>
      </c>
      <c r="F93" t="s">
        <v>3</v>
      </c>
      <c r="H93">
        <f>H90*$G92</f>
        <v>631</v>
      </c>
      <c r="I93">
        <f t="shared" ref="I93:AA93" si="15">I90*$G92</f>
        <v>630</v>
      </c>
      <c r="J93">
        <f t="shared" si="15"/>
        <v>640.5</v>
      </c>
      <c r="K93">
        <f t="shared" si="15"/>
        <v>621</v>
      </c>
      <c r="L93">
        <f t="shared" si="15"/>
        <v>600</v>
      </c>
      <c r="M93">
        <f t="shared" si="15"/>
        <v>580</v>
      </c>
      <c r="N93">
        <f t="shared" si="15"/>
        <v>560</v>
      </c>
      <c r="O93">
        <f t="shared" si="15"/>
        <v>540.5</v>
      </c>
      <c r="P93">
        <f t="shared" si="15"/>
        <v>570</v>
      </c>
      <c r="Q93">
        <f t="shared" si="15"/>
        <v>602</v>
      </c>
      <c r="R93">
        <f t="shared" si="15"/>
        <v>635</v>
      </c>
      <c r="S93">
        <f t="shared" si="15"/>
        <v>671.5</v>
      </c>
      <c r="T93">
        <f t="shared" si="15"/>
        <v>710</v>
      </c>
      <c r="U93">
        <f t="shared" si="15"/>
        <v>707</v>
      </c>
      <c r="V93">
        <f t="shared" si="15"/>
        <v>703.5</v>
      </c>
      <c r="W93">
        <f t="shared" si="15"/>
        <v>0</v>
      </c>
      <c r="X93">
        <f t="shared" si="15"/>
        <v>0</v>
      </c>
      <c r="Y93">
        <f t="shared" si="15"/>
        <v>0</v>
      </c>
      <c r="Z93">
        <f t="shared" si="15"/>
        <v>0</v>
      </c>
      <c r="AA93">
        <f t="shared" si="15"/>
        <v>0</v>
      </c>
    </row>
    <row r="94" spans="1:27" x14ac:dyDescent="0.25">
      <c r="C94" s="1"/>
      <c r="D94" s="1"/>
      <c r="E94" t="s">
        <v>89</v>
      </c>
      <c r="F94" t="s">
        <v>3</v>
      </c>
      <c r="H94">
        <f>H91*$G92</f>
        <v>631</v>
      </c>
      <c r="I94">
        <f t="shared" ref="I94:AA94" si="16">I91*$G92</f>
        <v>1261</v>
      </c>
      <c r="J94">
        <f t="shared" si="16"/>
        <v>1901.5</v>
      </c>
      <c r="K94">
        <f t="shared" si="16"/>
        <v>2522.5</v>
      </c>
      <c r="L94">
        <f t="shared" si="16"/>
        <v>3122.5</v>
      </c>
      <c r="M94">
        <f t="shared" si="16"/>
        <v>3702.5</v>
      </c>
      <c r="N94">
        <f t="shared" si="16"/>
        <v>4262.5</v>
      </c>
      <c r="O94">
        <f t="shared" si="16"/>
        <v>4803</v>
      </c>
      <c r="P94">
        <f t="shared" si="16"/>
        <v>5373</v>
      </c>
      <c r="Q94">
        <f t="shared" si="16"/>
        <v>5975</v>
      </c>
      <c r="R94">
        <f t="shared" si="16"/>
        <v>6610</v>
      </c>
      <c r="S94">
        <f t="shared" si="16"/>
        <v>7281.5</v>
      </c>
      <c r="T94">
        <f t="shared" si="16"/>
        <v>7991.5</v>
      </c>
      <c r="U94">
        <f t="shared" si="16"/>
        <v>8698.5</v>
      </c>
      <c r="V94">
        <f t="shared" si="16"/>
        <v>9402</v>
      </c>
      <c r="W94">
        <f t="shared" si="16"/>
        <v>9402</v>
      </c>
      <c r="X94">
        <f t="shared" si="16"/>
        <v>9402</v>
      </c>
      <c r="Y94">
        <f t="shared" si="16"/>
        <v>9402</v>
      </c>
      <c r="Z94">
        <f t="shared" si="16"/>
        <v>9402</v>
      </c>
      <c r="AA94">
        <f t="shared" si="16"/>
        <v>9402</v>
      </c>
    </row>
    <row r="95" spans="1:27" x14ac:dyDescent="0.25">
      <c r="A95" s="14">
        <f>'Notes &amp; Assumptions'!A30</f>
        <v>17</v>
      </c>
      <c r="C95" s="1"/>
      <c r="D95" s="1"/>
      <c r="E95" t="s">
        <v>62</v>
      </c>
      <c r="F95" t="s">
        <v>43</v>
      </c>
      <c r="H95" s="10">
        <f>'Key assumptions'!$B23</f>
        <v>112.5</v>
      </c>
      <c r="I95" s="10">
        <f>'Key assumptions'!$B23</f>
        <v>112.5</v>
      </c>
      <c r="J95" s="10">
        <f>'Key assumptions'!$B23</f>
        <v>112.5</v>
      </c>
      <c r="K95" s="10">
        <f>'Key assumptions'!$B23</f>
        <v>112.5</v>
      </c>
      <c r="L95" s="10">
        <f>'Key assumptions'!$B23</f>
        <v>112.5</v>
      </c>
      <c r="M95" s="10">
        <f>'Key assumptions'!$B23</f>
        <v>112.5</v>
      </c>
      <c r="N95" s="10">
        <f>'Key assumptions'!$B23</f>
        <v>112.5</v>
      </c>
      <c r="O95" s="10">
        <f>'Key assumptions'!$B23</f>
        <v>112.5</v>
      </c>
      <c r="P95" s="10">
        <f>'Key assumptions'!$B23</f>
        <v>112.5</v>
      </c>
      <c r="Q95" s="10">
        <f>'Key assumptions'!$B23</f>
        <v>112.5</v>
      </c>
      <c r="R95" s="10">
        <f>'Key assumptions'!$B23</f>
        <v>112.5</v>
      </c>
      <c r="S95" s="10">
        <f>'Key assumptions'!$B23</f>
        <v>112.5</v>
      </c>
      <c r="T95" s="10">
        <f>'Key assumptions'!$B23</f>
        <v>112.5</v>
      </c>
      <c r="U95" s="10">
        <f>'Key assumptions'!$B23</f>
        <v>112.5</v>
      </c>
      <c r="V95" s="10">
        <f>'Key assumptions'!$B23</f>
        <v>112.5</v>
      </c>
      <c r="W95" s="10">
        <f>'Key assumptions'!$B23</f>
        <v>112.5</v>
      </c>
      <c r="X95" s="10">
        <f>'Key assumptions'!$B23</f>
        <v>112.5</v>
      </c>
      <c r="Y95" s="10">
        <f>'Key assumptions'!$B23</f>
        <v>112.5</v>
      </c>
      <c r="Z95" s="10">
        <f>'Key assumptions'!$B23</f>
        <v>112.5</v>
      </c>
      <c r="AA95" s="10">
        <f>'Key assumptions'!$B23</f>
        <v>112.5</v>
      </c>
    </row>
    <row r="96" spans="1:27" x14ac:dyDescent="0.25">
      <c r="C96" s="1"/>
      <c r="D96" s="1"/>
      <c r="E96" t="s">
        <v>63</v>
      </c>
      <c r="F96" t="s">
        <v>43</v>
      </c>
      <c r="H96" s="10"/>
      <c r="I96" s="10"/>
      <c r="J96" s="10"/>
      <c r="K96" s="10"/>
      <c r="L96" s="10"/>
      <c r="M96" s="10"/>
      <c r="N96" s="10"/>
      <c r="O96" s="10"/>
      <c r="P96" s="10"/>
      <c r="Q96" s="10"/>
      <c r="R96" s="10"/>
      <c r="S96" s="10"/>
      <c r="T96" s="10"/>
      <c r="U96" s="10"/>
      <c r="V96" s="10"/>
      <c r="W96" s="10"/>
      <c r="X96" s="10"/>
      <c r="Y96" s="10"/>
      <c r="Z96" s="10"/>
      <c r="AA96" s="10"/>
    </row>
    <row r="97" spans="1:27" x14ac:dyDescent="0.25">
      <c r="C97" s="1"/>
      <c r="D97" s="1"/>
      <c r="E97" t="s">
        <v>140</v>
      </c>
      <c r="F97" t="s">
        <v>43</v>
      </c>
      <c r="H97" s="10"/>
      <c r="I97" s="10"/>
      <c r="J97" s="10"/>
      <c r="K97" s="10"/>
      <c r="L97" s="10"/>
      <c r="M97" s="10"/>
      <c r="N97" s="10"/>
      <c r="O97" s="10"/>
      <c r="P97" s="10"/>
      <c r="Q97" s="10"/>
      <c r="R97" s="10"/>
      <c r="S97" s="10"/>
      <c r="T97" s="10"/>
      <c r="U97" s="10"/>
      <c r="V97" s="10"/>
      <c r="W97" s="10"/>
      <c r="X97" s="10"/>
      <c r="Y97" s="10"/>
      <c r="Z97" s="10"/>
      <c r="AA97" s="10"/>
    </row>
    <row r="98" spans="1:27" x14ac:dyDescent="0.25">
      <c r="C98" s="1"/>
      <c r="D98" s="1"/>
      <c r="E98" t="s">
        <v>64</v>
      </c>
      <c r="F98" t="s">
        <v>144</v>
      </c>
      <c r="H98" s="2">
        <f>H91*H95</f>
        <v>70987.5</v>
      </c>
      <c r="I98" s="2">
        <f t="shared" ref="I98:AA98" si="17">I91*I95</f>
        <v>141862.5</v>
      </c>
      <c r="J98" s="2">
        <f t="shared" si="17"/>
        <v>213918.75</v>
      </c>
      <c r="K98" s="2">
        <f t="shared" si="17"/>
        <v>283781.25</v>
      </c>
      <c r="L98" s="2">
        <f t="shared" si="17"/>
        <v>351281.25</v>
      </c>
      <c r="M98" s="2">
        <f t="shared" si="17"/>
        <v>416531.25</v>
      </c>
      <c r="N98" s="2">
        <f t="shared" si="17"/>
        <v>479531.25</v>
      </c>
      <c r="O98" s="2">
        <f t="shared" si="17"/>
        <v>540337.5</v>
      </c>
      <c r="P98" s="2">
        <f t="shared" si="17"/>
        <v>604462.5</v>
      </c>
      <c r="Q98" s="2">
        <f t="shared" si="17"/>
        <v>672187.5</v>
      </c>
      <c r="R98" s="2">
        <f t="shared" si="17"/>
        <v>743625</v>
      </c>
      <c r="S98" s="2">
        <f t="shared" si="17"/>
        <v>819168.75</v>
      </c>
      <c r="T98" s="2">
        <f t="shared" si="17"/>
        <v>899043.75</v>
      </c>
      <c r="U98" s="2">
        <f t="shared" si="17"/>
        <v>978581.25</v>
      </c>
      <c r="V98" s="2">
        <f t="shared" si="17"/>
        <v>1057725</v>
      </c>
      <c r="W98" s="2">
        <f t="shared" si="17"/>
        <v>1057725</v>
      </c>
      <c r="X98" s="2">
        <f t="shared" si="17"/>
        <v>1057725</v>
      </c>
      <c r="Y98" s="2">
        <f t="shared" si="17"/>
        <v>1057725</v>
      </c>
      <c r="Z98" s="2">
        <f t="shared" si="17"/>
        <v>1057725</v>
      </c>
      <c r="AA98" s="2">
        <f t="shared" si="17"/>
        <v>1057725</v>
      </c>
    </row>
    <row r="99" spans="1:27" x14ac:dyDescent="0.25">
      <c r="C99" s="1"/>
      <c r="D99" s="1"/>
      <c r="E99" t="s">
        <v>65</v>
      </c>
      <c r="F99" t="s">
        <v>144</v>
      </c>
      <c r="H99" s="2">
        <f>H91*H96</f>
        <v>0</v>
      </c>
      <c r="I99" s="2">
        <f t="shared" ref="I99:AA99" si="18">I91*I96</f>
        <v>0</v>
      </c>
      <c r="J99" s="2">
        <f t="shared" si="18"/>
        <v>0</v>
      </c>
      <c r="K99" s="2">
        <f t="shared" si="18"/>
        <v>0</v>
      </c>
      <c r="L99" s="2">
        <f t="shared" si="18"/>
        <v>0</v>
      </c>
      <c r="M99" s="2">
        <f t="shared" si="18"/>
        <v>0</v>
      </c>
      <c r="N99" s="2">
        <f t="shared" si="18"/>
        <v>0</v>
      </c>
      <c r="O99" s="2">
        <f t="shared" si="18"/>
        <v>0</v>
      </c>
      <c r="P99" s="2">
        <f t="shared" si="18"/>
        <v>0</v>
      </c>
      <c r="Q99" s="2">
        <f t="shared" si="18"/>
        <v>0</v>
      </c>
      <c r="R99" s="2">
        <f t="shared" si="18"/>
        <v>0</v>
      </c>
      <c r="S99" s="2">
        <f t="shared" si="18"/>
        <v>0</v>
      </c>
      <c r="T99" s="2">
        <f t="shared" si="18"/>
        <v>0</v>
      </c>
      <c r="U99" s="2">
        <f t="shared" si="18"/>
        <v>0</v>
      </c>
      <c r="V99" s="2">
        <f t="shared" si="18"/>
        <v>0</v>
      </c>
      <c r="W99" s="2">
        <f t="shared" si="18"/>
        <v>0</v>
      </c>
      <c r="X99" s="2">
        <f t="shared" si="18"/>
        <v>0</v>
      </c>
      <c r="Y99" s="2">
        <f t="shared" si="18"/>
        <v>0</v>
      </c>
      <c r="Z99" s="2">
        <f t="shared" si="18"/>
        <v>0</v>
      </c>
      <c r="AA99" s="2">
        <f t="shared" si="18"/>
        <v>0</v>
      </c>
    </row>
    <row r="100" spans="1:27" x14ac:dyDescent="0.25">
      <c r="C100" s="1"/>
      <c r="D100" s="1"/>
      <c r="E100" t="s">
        <v>141</v>
      </c>
      <c r="F100" t="s">
        <v>144</v>
      </c>
      <c r="H100" s="2">
        <f>H91*H97</f>
        <v>0</v>
      </c>
      <c r="I100" s="2">
        <f t="shared" ref="I100:AA100" si="19">I91*I97</f>
        <v>0</v>
      </c>
      <c r="J100" s="2">
        <f t="shared" si="19"/>
        <v>0</v>
      </c>
      <c r="K100" s="2">
        <f t="shared" si="19"/>
        <v>0</v>
      </c>
      <c r="L100" s="2">
        <f t="shared" si="19"/>
        <v>0</v>
      </c>
      <c r="M100" s="2">
        <f t="shared" si="19"/>
        <v>0</v>
      </c>
      <c r="N100" s="2">
        <f t="shared" si="19"/>
        <v>0</v>
      </c>
      <c r="O100" s="2">
        <f t="shared" si="19"/>
        <v>0</v>
      </c>
      <c r="P100" s="2">
        <f t="shared" si="19"/>
        <v>0</v>
      </c>
      <c r="Q100" s="2">
        <f t="shared" si="19"/>
        <v>0</v>
      </c>
      <c r="R100" s="2">
        <f t="shared" si="19"/>
        <v>0</v>
      </c>
      <c r="S100" s="2">
        <f t="shared" si="19"/>
        <v>0</v>
      </c>
      <c r="T100" s="2">
        <f t="shared" si="19"/>
        <v>0</v>
      </c>
      <c r="U100" s="2">
        <f t="shared" si="19"/>
        <v>0</v>
      </c>
      <c r="V100" s="2">
        <f t="shared" si="19"/>
        <v>0</v>
      </c>
      <c r="W100" s="2">
        <f t="shared" si="19"/>
        <v>0</v>
      </c>
      <c r="X100" s="2">
        <f t="shared" si="19"/>
        <v>0</v>
      </c>
      <c r="Y100" s="2">
        <f t="shared" si="19"/>
        <v>0</v>
      </c>
      <c r="Z100" s="2">
        <f t="shared" si="19"/>
        <v>0</v>
      </c>
      <c r="AA100" s="2">
        <f t="shared" si="19"/>
        <v>0</v>
      </c>
    </row>
    <row r="101" spans="1:27" x14ac:dyDescent="0.25">
      <c r="A101" s="14">
        <f>'Notes &amp; Assumptions'!A31</f>
        <v>18</v>
      </c>
      <c r="C101" s="1"/>
      <c r="D101" s="1"/>
      <c r="E101" t="s">
        <v>66</v>
      </c>
      <c r="F101" t="s">
        <v>8</v>
      </c>
      <c r="H101" s="11">
        <f>'YVW tariffs'!D29</f>
        <v>-4.24E-2</v>
      </c>
      <c r="I101" s="11">
        <f>'YVW tariffs'!E29</f>
        <v>-2.7400000000000001E-2</v>
      </c>
      <c r="J101" s="11">
        <f>'YVW tariffs'!F29</f>
        <v>0</v>
      </c>
      <c r="K101" s="11">
        <f>'YVW tariffs'!G29</f>
        <v>0</v>
      </c>
      <c r="L101" s="11">
        <f>'YVW tariffs'!H29</f>
        <v>0</v>
      </c>
      <c r="M101" s="11">
        <v>0</v>
      </c>
      <c r="N101" s="11">
        <v>0</v>
      </c>
      <c r="O101" s="11">
        <v>0</v>
      </c>
      <c r="P101" s="11">
        <v>0</v>
      </c>
      <c r="Q101" s="11">
        <v>0</v>
      </c>
      <c r="R101" s="11">
        <v>0</v>
      </c>
      <c r="S101" s="11">
        <v>0</v>
      </c>
      <c r="T101" s="11">
        <v>0</v>
      </c>
      <c r="U101" s="11">
        <v>0</v>
      </c>
      <c r="V101" s="11">
        <v>0</v>
      </c>
      <c r="W101" s="11">
        <v>0</v>
      </c>
      <c r="X101" s="11">
        <v>0</v>
      </c>
      <c r="Y101" s="11">
        <v>0</v>
      </c>
      <c r="Z101" s="11">
        <v>0</v>
      </c>
      <c r="AA101" s="11">
        <v>0</v>
      </c>
    </row>
    <row r="102" spans="1:27" x14ac:dyDescent="0.25">
      <c r="A102" s="14">
        <f>'Notes &amp; Assumptions'!A32</f>
        <v>19</v>
      </c>
      <c r="C102" s="1"/>
      <c r="D102" s="1"/>
      <c r="E102" t="s">
        <v>40</v>
      </c>
      <c r="F102" t="s">
        <v>41</v>
      </c>
      <c r="G102" s="55">
        <f>'YVW tariffs'!E14</f>
        <v>467.88345999999996</v>
      </c>
      <c r="H102" s="2">
        <f>G102*(1+$G$14)*(1+H101)</f>
        <v>457.45415052321596</v>
      </c>
      <c r="I102" s="2">
        <f t="shared" ref="I102:AA102" si="20">H102*(1+$G$14)*(1+I101)</f>
        <v>454.26322484165627</v>
      </c>
      <c r="J102" s="2">
        <f t="shared" si="20"/>
        <v>463.80275256333101</v>
      </c>
      <c r="K102" s="2">
        <f t="shared" si="20"/>
        <v>473.54261036716093</v>
      </c>
      <c r="L102" s="2">
        <f t="shared" si="20"/>
        <v>483.48700518487129</v>
      </c>
      <c r="M102" s="2">
        <f t="shared" si="20"/>
        <v>493.64023229375357</v>
      </c>
      <c r="N102" s="2">
        <f t="shared" si="20"/>
        <v>504.00667717192238</v>
      </c>
      <c r="O102" s="2">
        <f t="shared" si="20"/>
        <v>514.5908173925327</v>
      </c>
      <c r="P102" s="2">
        <f t="shared" si="20"/>
        <v>525.39722455777587</v>
      </c>
      <c r="Q102" s="2">
        <f t="shared" si="20"/>
        <v>536.43056627348915</v>
      </c>
      <c r="R102" s="2">
        <f t="shared" si="20"/>
        <v>547.69560816523233</v>
      </c>
      <c r="S102" s="2">
        <f t="shared" si="20"/>
        <v>559.19721593670215</v>
      </c>
      <c r="T102" s="2">
        <f t="shared" si="20"/>
        <v>570.94035747137286</v>
      </c>
      <c r="U102" s="2">
        <f t="shared" si="20"/>
        <v>582.93010497827163</v>
      </c>
      <c r="V102" s="2">
        <f t="shared" si="20"/>
        <v>595.17163718281529</v>
      </c>
      <c r="W102" s="2">
        <f t="shared" si="20"/>
        <v>607.67024156365437</v>
      </c>
      <c r="X102" s="2">
        <f t="shared" si="20"/>
        <v>620.43131663649103</v>
      </c>
      <c r="Y102" s="2">
        <f t="shared" si="20"/>
        <v>633.46037428585726</v>
      </c>
      <c r="Z102" s="2">
        <f t="shared" si="20"/>
        <v>646.76304214586025</v>
      </c>
      <c r="AA102" s="2">
        <f t="shared" si="20"/>
        <v>660.34506603092325</v>
      </c>
    </row>
    <row r="103" spans="1:27" x14ac:dyDescent="0.25">
      <c r="C103" s="1"/>
      <c r="D103" s="1"/>
      <c r="E103" t="s">
        <v>67</v>
      </c>
      <c r="F103" t="s">
        <v>143</v>
      </c>
      <c r="G103" s="55">
        <f>'YVW tariffs'!E15</f>
        <v>1.1665946</v>
      </c>
      <c r="H103" s="21">
        <f>G103*(1+$G$14)*(1+'YVW tariffs'!D30)</f>
        <v>0</v>
      </c>
      <c r="I103" s="21">
        <f t="shared" ref="I103:AA103" si="21">H103*(1+$G$14)*(1+I101)</f>
        <v>0</v>
      </c>
      <c r="J103" s="21">
        <f t="shared" si="21"/>
        <v>0</v>
      </c>
      <c r="K103" s="21">
        <f t="shared" si="21"/>
        <v>0</v>
      </c>
      <c r="L103" s="21">
        <f t="shared" si="21"/>
        <v>0</v>
      </c>
      <c r="M103" s="21">
        <f t="shared" si="21"/>
        <v>0</v>
      </c>
      <c r="N103" s="21">
        <f t="shared" si="21"/>
        <v>0</v>
      </c>
      <c r="O103" s="21">
        <f t="shared" si="21"/>
        <v>0</v>
      </c>
      <c r="P103" s="21">
        <f t="shared" si="21"/>
        <v>0</v>
      </c>
      <c r="Q103" s="21">
        <f t="shared" si="21"/>
        <v>0</v>
      </c>
      <c r="R103" s="21">
        <f t="shared" si="21"/>
        <v>0</v>
      </c>
      <c r="S103" s="21">
        <f t="shared" si="21"/>
        <v>0</v>
      </c>
      <c r="T103" s="21">
        <f t="shared" si="21"/>
        <v>0</v>
      </c>
      <c r="U103" s="21">
        <f t="shared" si="21"/>
        <v>0</v>
      </c>
      <c r="V103" s="21">
        <f t="shared" si="21"/>
        <v>0</v>
      </c>
      <c r="W103" s="21">
        <f t="shared" si="21"/>
        <v>0</v>
      </c>
      <c r="X103" s="21">
        <f t="shared" si="21"/>
        <v>0</v>
      </c>
      <c r="Y103" s="21">
        <f t="shared" si="21"/>
        <v>0</v>
      </c>
      <c r="Z103" s="21">
        <f t="shared" si="21"/>
        <v>0</v>
      </c>
      <c r="AA103" s="21">
        <f t="shared" si="21"/>
        <v>0</v>
      </c>
    </row>
    <row r="104" spans="1:27" x14ac:dyDescent="0.25">
      <c r="C104" s="1"/>
      <c r="D104" s="1"/>
      <c r="E104" t="s">
        <v>68</v>
      </c>
      <c r="F104" t="s">
        <v>143</v>
      </c>
      <c r="G104" s="20"/>
      <c r="H104" s="21">
        <f>G104*(1+$G$14)*(1+H101)</f>
        <v>0</v>
      </c>
      <c r="I104" s="21">
        <f t="shared" ref="I104:AA104" si="22">H104*(1+$G$14)*(1+I101)</f>
        <v>0</v>
      </c>
      <c r="J104" s="21">
        <f t="shared" si="22"/>
        <v>0</v>
      </c>
      <c r="K104" s="21">
        <f t="shared" si="22"/>
        <v>0</v>
      </c>
      <c r="L104" s="21">
        <f t="shared" si="22"/>
        <v>0</v>
      </c>
      <c r="M104" s="21">
        <f t="shared" si="22"/>
        <v>0</v>
      </c>
      <c r="N104" s="21">
        <f t="shared" si="22"/>
        <v>0</v>
      </c>
      <c r="O104" s="21">
        <f t="shared" si="22"/>
        <v>0</v>
      </c>
      <c r="P104" s="21">
        <f t="shared" si="22"/>
        <v>0</v>
      </c>
      <c r="Q104" s="21">
        <f t="shared" si="22"/>
        <v>0</v>
      </c>
      <c r="R104" s="21">
        <f t="shared" si="22"/>
        <v>0</v>
      </c>
      <c r="S104" s="21">
        <f t="shared" si="22"/>
        <v>0</v>
      </c>
      <c r="T104" s="21">
        <f t="shared" si="22"/>
        <v>0</v>
      </c>
      <c r="U104" s="21">
        <f t="shared" si="22"/>
        <v>0</v>
      </c>
      <c r="V104" s="21">
        <f t="shared" si="22"/>
        <v>0</v>
      </c>
      <c r="W104" s="21">
        <f t="shared" si="22"/>
        <v>0</v>
      </c>
      <c r="X104" s="21">
        <f t="shared" si="22"/>
        <v>0</v>
      </c>
      <c r="Y104" s="21">
        <f t="shared" si="22"/>
        <v>0</v>
      </c>
      <c r="Z104" s="21">
        <f t="shared" si="22"/>
        <v>0</v>
      </c>
      <c r="AA104" s="21">
        <f t="shared" si="22"/>
        <v>0</v>
      </c>
    </row>
    <row r="105" spans="1:27" x14ac:dyDescent="0.25">
      <c r="C105" s="1"/>
      <c r="D105" s="1"/>
      <c r="E105" t="s">
        <v>142</v>
      </c>
      <c r="F105" t="s">
        <v>143</v>
      </c>
      <c r="G105" s="20"/>
      <c r="H105" s="21">
        <f>G105*(1+$G$14)*(1+H101)</f>
        <v>0</v>
      </c>
      <c r="I105" s="21">
        <f t="shared" ref="I105:AA105" si="23">H105*(1+$G$14)*(1+I101)</f>
        <v>0</v>
      </c>
      <c r="J105" s="21">
        <f t="shared" si="23"/>
        <v>0</v>
      </c>
      <c r="K105" s="21">
        <f t="shared" si="23"/>
        <v>0</v>
      </c>
      <c r="L105" s="21">
        <f t="shared" si="23"/>
        <v>0</v>
      </c>
      <c r="M105" s="21">
        <f t="shared" si="23"/>
        <v>0</v>
      </c>
      <c r="N105" s="21">
        <f t="shared" si="23"/>
        <v>0</v>
      </c>
      <c r="O105" s="21">
        <f t="shared" si="23"/>
        <v>0</v>
      </c>
      <c r="P105" s="21">
        <f t="shared" si="23"/>
        <v>0</v>
      </c>
      <c r="Q105" s="21">
        <f t="shared" si="23"/>
        <v>0</v>
      </c>
      <c r="R105" s="21">
        <f t="shared" si="23"/>
        <v>0</v>
      </c>
      <c r="S105" s="21">
        <f t="shared" si="23"/>
        <v>0</v>
      </c>
      <c r="T105" s="21">
        <f t="shared" si="23"/>
        <v>0</v>
      </c>
      <c r="U105" s="21">
        <f t="shared" si="23"/>
        <v>0</v>
      </c>
      <c r="V105" s="21">
        <f t="shared" si="23"/>
        <v>0</v>
      </c>
      <c r="W105" s="21">
        <f t="shared" si="23"/>
        <v>0</v>
      </c>
      <c r="X105" s="21">
        <f t="shared" si="23"/>
        <v>0</v>
      </c>
      <c r="Y105" s="21">
        <f t="shared" si="23"/>
        <v>0</v>
      </c>
      <c r="Z105" s="21">
        <f t="shared" si="23"/>
        <v>0</v>
      </c>
      <c r="AA105" s="21">
        <f t="shared" si="23"/>
        <v>0</v>
      </c>
    </row>
    <row r="106" spans="1:27" x14ac:dyDescent="0.25">
      <c r="C106" s="1"/>
      <c r="D106" s="1"/>
    </row>
    <row r="107" spans="1:27" x14ac:dyDescent="0.25">
      <c r="C107" s="1"/>
      <c r="D107" s="1"/>
      <c r="E107" t="s">
        <v>69</v>
      </c>
      <c r="F107" t="s">
        <v>58</v>
      </c>
      <c r="H107" s="2">
        <f>SUM(H98:H100)/1000</f>
        <v>70.987499999999997</v>
      </c>
      <c r="I107" s="2">
        <f t="shared" ref="I107:AA107" si="24">SUM(I98:I100)/1000</f>
        <v>141.86250000000001</v>
      </c>
      <c r="J107" s="2">
        <f t="shared" si="24"/>
        <v>213.91874999999999</v>
      </c>
      <c r="K107" s="2">
        <f t="shared" si="24"/>
        <v>283.78125</v>
      </c>
      <c r="L107" s="2">
        <f t="shared" si="24"/>
        <v>351.28125</v>
      </c>
      <c r="M107" s="2">
        <f t="shared" si="24"/>
        <v>416.53125</v>
      </c>
      <c r="N107" s="2">
        <f t="shared" si="24"/>
        <v>479.53125</v>
      </c>
      <c r="O107" s="2">
        <f t="shared" si="24"/>
        <v>540.33749999999998</v>
      </c>
      <c r="P107" s="2">
        <f t="shared" si="24"/>
        <v>604.46249999999998</v>
      </c>
      <c r="Q107" s="2">
        <f t="shared" si="24"/>
        <v>672.1875</v>
      </c>
      <c r="R107" s="2">
        <f t="shared" si="24"/>
        <v>743.625</v>
      </c>
      <c r="S107" s="2">
        <f t="shared" si="24"/>
        <v>819.16875000000005</v>
      </c>
      <c r="T107" s="2">
        <f t="shared" si="24"/>
        <v>899.04375000000005</v>
      </c>
      <c r="U107" s="2">
        <f t="shared" si="24"/>
        <v>978.58124999999995</v>
      </c>
      <c r="V107" s="2">
        <f t="shared" si="24"/>
        <v>1057.7249999999999</v>
      </c>
      <c r="W107" s="2">
        <f t="shared" si="24"/>
        <v>1057.7249999999999</v>
      </c>
      <c r="X107" s="2">
        <f t="shared" si="24"/>
        <v>1057.7249999999999</v>
      </c>
      <c r="Y107" s="2">
        <f t="shared" si="24"/>
        <v>1057.7249999999999</v>
      </c>
      <c r="Z107" s="2">
        <f t="shared" si="24"/>
        <v>1057.7249999999999</v>
      </c>
      <c r="AA107" s="2">
        <f t="shared" si="24"/>
        <v>1057.7249999999999</v>
      </c>
    </row>
    <row r="108" spans="1:27" x14ac:dyDescent="0.25">
      <c r="C108" s="1"/>
      <c r="D108" s="1"/>
      <c r="E108" t="s">
        <v>70</v>
      </c>
      <c r="F108" t="s">
        <v>7</v>
      </c>
      <c r="H108" s="2">
        <f>H91*H102+H98*H103+H99*H104+H100*H105</f>
        <v>288653.56898014928</v>
      </c>
      <c r="I108" s="2">
        <f t="shared" ref="I108:AA108" si="25">I91*I102+I98*I103+I99*I104+I100*I105</f>
        <v>572825.92652532854</v>
      </c>
      <c r="J108" s="2">
        <f t="shared" si="25"/>
        <v>881920.93399917393</v>
      </c>
      <c r="K108" s="2">
        <f t="shared" si="25"/>
        <v>1194511.2346511635</v>
      </c>
      <c r="L108" s="2">
        <f t="shared" si="25"/>
        <v>1509688.1736897605</v>
      </c>
      <c r="M108" s="2">
        <f t="shared" si="25"/>
        <v>1827702.9600676226</v>
      </c>
      <c r="N108" s="2">
        <f t="shared" si="25"/>
        <v>2148328.461445319</v>
      </c>
      <c r="O108" s="2">
        <f t="shared" si="25"/>
        <v>2471579.6959363348</v>
      </c>
      <c r="P108" s="2">
        <f t="shared" si="25"/>
        <v>2822959.2875489299</v>
      </c>
      <c r="Q108" s="2">
        <f t="shared" si="25"/>
        <v>3205172.6334840977</v>
      </c>
      <c r="R108" s="2">
        <f t="shared" si="25"/>
        <v>3620267.9699721858</v>
      </c>
      <c r="S108" s="2">
        <f t="shared" si="25"/>
        <v>4071794.5278430968</v>
      </c>
      <c r="T108" s="2">
        <f t="shared" si="25"/>
        <v>4562669.8667324763</v>
      </c>
      <c r="U108" s="2">
        <f t="shared" si="25"/>
        <v>5070617.5181534961</v>
      </c>
      <c r="V108" s="2">
        <f t="shared" si="25"/>
        <v>5595803.7327928292</v>
      </c>
      <c r="W108" s="2">
        <f t="shared" si="25"/>
        <v>5713315.611181478</v>
      </c>
      <c r="X108" s="2">
        <f t="shared" si="25"/>
        <v>5833295.2390162889</v>
      </c>
      <c r="Y108" s="2">
        <f t="shared" si="25"/>
        <v>5955794.4390356299</v>
      </c>
      <c r="Z108" s="2">
        <f t="shared" si="25"/>
        <v>6080866.1222553784</v>
      </c>
      <c r="AA108" s="2">
        <f t="shared" si="25"/>
        <v>6208564.3108227402</v>
      </c>
    </row>
    <row r="109" spans="1:27" x14ac:dyDescent="0.25">
      <c r="C109" s="1"/>
      <c r="D109" s="1"/>
    </row>
    <row r="110" spans="1:27" x14ac:dyDescent="0.25">
      <c r="C110" s="1"/>
      <c r="D110" t="s">
        <v>71</v>
      </c>
    </row>
    <row r="111" spans="1:27" x14ac:dyDescent="0.25">
      <c r="A111" s="14">
        <f>'Notes &amp; Assumptions'!A33</f>
        <v>20</v>
      </c>
      <c r="C111" s="1"/>
      <c r="D111" s="1"/>
      <c r="E111" t="s">
        <v>87</v>
      </c>
      <c r="F111" t="s">
        <v>3</v>
      </c>
      <c r="H111" s="10">
        <f>'Customer numbers'!P39</f>
        <v>82</v>
      </c>
      <c r="I111" s="10">
        <f>'Customer numbers'!Q39</f>
        <v>82</v>
      </c>
      <c r="J111" s="10">
        <f>'Customer numbers'!R39</f>
        <v>84</v>
      </c>
      <c r="K111" s="10">
        <f>'Customer numbers'!S39</f>
        <v>80</v>
      </c>
      <c r="L111" s="10">
        <f>'Customer numbers'!T39</f>
        <v>78</v>
      </c>
      <c r="M111" s="10">
        <f>'Customer numbers'!U39</f>
        <v>74</v>
      </c>
      <c r="N111" s="10">
        <f>'Customer numbers'!V39</f>
        <v>71</v>
      </c>
      <c r="O111" s="10">
        <f>'Customer numbers'!W39</f>
        <v>69</v>
      </c>
      <c r="P111" s="10">
        <f>'Customer numbers'!X39</f>
        <v>72</v>
      </c>
      <c r="Q111" s="10">
        <f>'Customer numbers'!Y39</f>
        <v>77</v>
      </c>
      <c r="R111" s="10">
        <f>'Customer numbers'!Z39</f>
        <v>81</v>
      </c>
      <c r="S111" s="10">
        <f>'Customer numbers'!AA39</f>
        <v>87</v>
      </c>
      <c r="T111" s="10">
        <f>'Customer numbers'!AB39</f>
        <v>91</v>
      </c>
      <c r="U111" s="10">
        <f>'Customer numbers'!AC39</f>
        <v>90</v>
      </c>
      <c r="V111" s="10">
        <f>'Customer numbers'!AD39</f>
        <v>90</v>
      </c>
    </row>
    <row r="112" spans="1:27" x14ac:dyDescent="0.25">
      <c r="C112" s="1"/>
      <c r="D112" s="1"/>
      <c r="E112" t="s">
        <v>60</v>
      </c>
      <c r="F112" t="s">
        <v>3</v>
      </c>
      <c r="G112">
        <f>IF(G89="yes",SUM('Customer numbers'!F39:O39),0)</f>
        <v>0</v>
      </c>
      <c r="H112" s="2">
        <f>G112+H111</f>
        <v>82</v>
      </c>
      <c r="I112" s="2">
        <f t="shared" ref="I112:AA112" si="26">H112+I111</f>
        <v>164</v>
      </c>
      <c r="J112" s="2">
        <f t="shared" si="26"/>
        <v>248</v>
      </c>
      <c r="K112" s="2">
        <f t="shared" si="26"/>
        <v>328</v>
      </c>
      <c r="L112" s="2">
        <f t="shared" si="26"/>
        <v>406</v>
      </c>
      <c r="M112" s="2">
        <f t="shared" si="26"/>
        <v>480</v>
      </c>
      <c r="N112" s="2">
        <f t="shared" si="26"/>
        <v>551</v>
      </c>
      <c r="O112" s="2">
        <f t="shared" si="26"/>
        <v>620</v>
      </c>
      <c r="P112" s="2">
        <f t="shared" si="26"/>
        <v>692</v>
      </c>
      <c r="Q112" s="2">
        <f t="shared" si="26"/>
        <v>769</v>
      </c>
      <c r="R112" s="2">
        <f t="shared" si="26"/>
        <v>850</v>
      </c>
      <c r="S112" s="2">
        <f t="shared" si="26"/>
        <v>937</v>
      </c>
      <c r="T112" s="2">
        <f t="shared" si="26"/>
        <v>1028</v>
      </c>
      <c r="U112" s="2">
        <f t="shared" si="26"/>
        <v>1118</v>
      </c>
      <c r="V112" s="2">
        <f t="shared" si="26"/>
        <v>1208</v>
      </c>
      <c r="W112" s="2">
        <f t="shared" si="26"/>
        <v>1208</v>
      </c>
      <c r="X112" s="2">
        <f t="shared" si="26"/>
        <v>1208</v>
      </c>
      <c r="Y112" s="2">
        <f t="shared" si="26"/>
        <v>1208</v>
      </c>
      <c r="Z112" s="2">
        <f t="shared" si="26"/>
        <v>1208</v>
      </c>
      <c r="AA112" s="2">
        <f t="shared" si="26"/>
        <v>1208</v>
      </c>
    </row>
    <row r="113" spans="1:27" x14ac:dyDescent="0.25">
      <c r="A113" s="14">
        <f>'Notes &amp; Assumptions'!A34</f>
        <v>21</v>
      </c>
      <c r="C113" s="1"/>
      <c r="D113" s="1"/>
      <c r="E113" t="s">
        <v>61</v>
      </c>
      <c r="F113" t="s">
        <v>3</v>
      </c>
      <c r="G113" s="10">
        <v>1</v>
      </c>
    </row>
    <row r="114" spans="1:27" x14ac:dyDescent="0.25">
      <c r="C114" s="1"/>
      <c r="D114" s="1"/>
      <c r="E114" t="s">
        <v>88</v>
      </c>
      <c r="F114" t="s">
        <v>3</v>
      </c>
      <c r="H114">
        <f>H111*$G113</f>
        <v>82</v>
      </c>
      <c r="I114">
        <f t="shared" ref="I114:AA114" si="27">I111*$G113</f>
        <v>82</v>
      </c>
      <c r="J114">
        <f t="shared" si="27"/>
        <v>84</v>
      </c>
      <c r="K114">
        <f t="shared" si="27"/>
        <v>80</v>
      </c>
      <c r="L114">
        <f t="shared" si="27"/>
        <v>78</v>
      </c>
      <c r="M114">
        <f t="shared" si="27"/>
        <v>74</v>
      </c>
      <c r="N114">
        <f t="shared" si="27"/>
        <v>71</v>
      </c>
      <c r="O114">
        <f t="shared" si="27"/>
        <v>69</v>
      </c>
      <c r="P114">
        <f t="shared" si="27"/>
        <v>72</v>
      </c>
      <c r="Q114">
        <f t="shared" si="27"/>
        <v>77</v>
      </c>
      <c r="R114">
        <f t="shared" si="27"/>
        <v>81</v>
      </c>
      <c r="S114">
        <f t="shared" si="27"/>
        <v>87</v>
      </c>
      <c r="T114">
        <f t="shared" si="27"/>
        <v>91</v>
      </c>
      <c r="U114">
        <f t="shared" si="27"/>
        <v>90</v>
      </c>
      <c r="V114">
        <f t="shared" si="27"/>
        <v>90</v>
      </c>
      <c r="W114">
        <f t="shared" si="27"/>
        <v>0</v>
      </c>
      <c r="X114">
        <f t="shared" si="27"/>
        <v>0</v>
      </c>
      <c r="Y114">
        <f t="shared" si="27"/>
        <v>0</v>
      </c>
      <c r="Z114">
        <f t="shared" si="27"/>
        <v>0</v>
      </c>
      <c r="AA114">
        <f t="shared" si="27"/>
        <v>0</v>
      </c>
    </row>
    <row r="115" spans="1:27" x14ac:dyDescent="0.25">
      <c r="C115" s="1"/>
      <c r="D115" s="1"/>
      <c r="E115" t="s">
        <v>89</v>
      </c>
      <c r="F115" t="s">
        <v>3</v>
      </c>
      <c r="H115">
        <f>H112*$G113</f>
        <v>82</v>
      </c>
      <c r="I115">
        <f t="shared" ref="I115:AA115" si="28">I112*$G113</f>
        <v>164</v>
      </c>
      <c r="J115">
        <f t="shared" si="28"/>
        <v>248</v>
      </c>
      <c r="K115">
        <f t="shared" si="28"/>
        <v>328</v>
      </c>
      <c r="L115">
        <f t="shared" si="28"/>
        <v>406</v>
      </c>
      <c r="M115">
        <f t="shared" si="28"/>
        <v>480</v>
      </c>
      <c r="N115">
        <f t="shared" si="28"/>
        <v>551</v>
      </c>
      <c r="O115">
        <f t="shared" si="28"/>
        <v>620</v>
      </c>
      <c r="P115">
        <f t="shared" si="28"/>
        <v>692</v>
      </c>
      <c r="Q115">
        <f t="shared" si="28"/>
        <v>769</v>
      </c>
      <c r="R115">
        <f t="shared" si="28"/>
        <v>850</v>
      </c>
      <c r="S115">
        <f t="shared" si="28"/>
        <v>937</v>
      </c>
      <c r="T115">
        <f t="shared" si="28"/>
        <v>1028</v>
      </c>
      <c r="U115">
        <f t="shared" si="28"/>
        <v>1118</v>
      </c>
      <c r="V115">
        <f t="shared" si="28"/>
        <v>1208</v>
      </c>
      <c r="W115">
        <f t="shared" si="28"/>
        <v>1208</v>
      </c>
      <c r="X115">
        <f t="shared" si="28"/>
        <v>1208</v>
      </c>
      <c r="Y115">
        <f t="shared" si="28"/>
        <v>1208</v>
      </c>
      <c r="Z115">
        <f t="shared" si="28"/>
        <v>1208</v>
      </c>
      <c r="AA115">
        <f t="shared" si="28"/>
        <v>1208</v>
      </c>
    </row>
    <row r="116" spans="1:27" x14ac:dyDescent="0.25">
      <c r="A116" s="14">
        <f>'Notes &amp; Assumptions'!A35</f>
        <v>22</v>
      </c>
      <c r="C116" s="1"/>
      <c r="D116" s="1"/>
      <c r="E116" t="s">
        <v>62</v>
      </c>
      <c r="F116" t="s">
        <v>43</v>
      </c>
      <c r="H116" s="10">
        <f>'Key assumptions'!$B27</f>
        <v>286</v>
      </c>
      <c r="I116" s="10">
        <f>'Key assumptions'!$B27</f>
        <v>286</v>
      </c>
      <c r="J116" s="10">
        <f>'Key assumptions'!$B27</f>
        <v>286</v>
      </c>
      <c r="K116" s="10">
        <f>'Key assumptions'!$B27</f>
        <v>286</v>
      </c>
      <c r="L116" s="10">
        <f>'Key assumptions'!$B27</f>
        <v>286</v>
      </c>
      <c r="M116" s="10">
        <f>'Key assumptions'!$B27</f>
        <v>286</v>
      </c>
      <c r="N116" s="10">
        <f>'Key assumptions'!$B27</f>
        <v>286</v>
      </c>
      <c r="O116" s="10">
        <f>'Key assumptions'!$B27</f>
        <v>286</v>
      </c>
      <c r="P116" s="10">
        <f>'Key assumptions'!$B27</f>
        <v>286</v>
      </c>
      <c r="Q116" s="10">
        <f>'Key assumptions'!$B27</f>
        <v>286</v>
      </c>
      <c r="R116" s="10">
        <f>'Key assumptions'!$B27</f>
        <v>286</v>
      </c>
      <c r="S116" s="10">
        <f>'Key assumptions'!$B27</f>
        <v>286</v>
      </c>
      <c r="T116" s="10">
        <f>'Key assumptions'!$B27</f>
        <v>286</v>
      </c>
      <c r="U116" s="10">
        <f>'Key assumptions'!$B27</f>
        <v>286</v>
      </c>
      <c r="V116" s="10">
        <f>'Key assumptions'!$B27</f>
        <v>286</v>
      </c>
      <c r="W116" s="10">
        <f>'Key assumptions'!$B27</f>
        <v>286</v>
      </c>
      <c r="X116" s="10">
        <f>'Key assumptions'!$B27</f>
        <v>286</v>
      </c>
      <c r="Y116" s="10">
        <f>'Key assumptions'!$B27</f>
        <v>286</v>
      </c>
      <c r="Z116" s="10">
        <f>'Key assumptions'!$B27</f>
        <v>286</v>
      </c>
      <c r="AA116" s="10">
        <f>'Key assumptions'!$B27</f>
        <v>286</v>
      </c>
    </row>
    <row r="117" spans="1:27" x14ac:dyDescent="0.25">
      <c r="C117" s="1"/>
      <c r="D117" s="1"/>
      <c r="E117" t="s">
        <v>63</v>
      </c>
      <c r="F117" t="s">
        <v>43</v>
      </c>
      <c r="H117" s="10"/>
      <c r="I117" s="10"/>
      <c r="J117" s="10"/>
      <c r="K117" s="10"/>
      <c r="L117" s="10"/>
      <c r="M117" s="10"/>
      <c r="N117" s="10"/>
      <c r="O117" s="10"/>
      <c r="P117" s="10"/>
      <c r="Q117" s="10"/>
      <c r="R117" s="10"/>
      <c r="S117" s="10"/>
      <c r="T117" s="10"/>
      <c r="U117" s="10"/>
      <c r="V117" s="10"/>
      <c r="W117" s="10"/>
      <c r="X117" s="10"/>
      <c r="Y117" s="10"/>
      <c r="Z117" s="10"/>
      <c r="AA117" s="10"/>
    </row>
    <row r="118" spans="1:27" x14ac:dyDescent="0.25">
      <c r="C118" s="1"/>
      <c r="D118" s="1"/>
      <c r="E118" t="s">
        <v>140</v>
      </c>
      <c r="F118" t="s">
        <v>43</v>
      </c>
      <c r="H118" s="10"/>
      <c r="I118" s="10"/>
      <c r="J118" s="10"/>
      <c r="K118" s="10"/>
      <c r="L118" s="10"/>
      <c r="M118" s="10"/>
      <c r="N118" s="10"/>
      <c r="O118" s="10"/>
      <c r="P118" s="10"/>
      <c r="Q118" s="10"/>
      <c r="R118" s="10"/>
      <c r="S118" s="10"/>
      <c r="T118" s="10"/>
      <c r="U118" s="10"/>
      <c r="V118" s="10"/>
      <c r="W118" s="10"/>
      <c r="X118" s="10"/>
      <c r="Y118" s="10"/>
      <c r="Z118" s="10"/>
      <c r="AA118" s="10"/>
    </row>
    <row r="119" spans="1:27" x14ac:dyDescent="0.25">
      <c r="C119" s="1"/>
      <c r="D119" s="1"/>
      <c r="E119" t="s">
        <v>64</v>
      </c>
      <c r="F119" t="s">
        <v>144</v>
      </c>
      <c r="H119" s="2">
        <f>H112*H116</f>
        <v>23452</v>
      </c>
      <c r="I119" s="2">
        <f t="shared" ref="I119:AA119" si="29">I112*I116</f>
        <v>46904</v>
      </c>
      <c r="J119" s="2">
        <f t="shared" si="29"/>
        <v>70928</v>
      </c>
      <c r="K119" s="2">
        <f t="shared" si="29"/>
        <v>93808</v>
      </c>
      <c r="L119" s="2">
        <f t="shared" si="29"/>
        <v>116116</v>
      </c>
      <c r="M119" s="2">
        <f t="shared" si="29"/>
        <v>137280</v>
      </c>
      <c r="N119" s="2">
        <f t="shared" si="29"/>
        <v>157586</v>
      </c>
      <c r="O119" s="2">
        <f t="shared" si="29"/>
        <v>177320</v>
      </c>
      <c r="P119" s="2">
        <f t="shared" si="29"/>
        <v>197912</v>
      </c>
      <c r="Q119" s="2">
        <f t="shared" si="29"/>
        <v>219934</v>
      </c>
      <c r="R119" s="2">
        <f t="shared" si="29"/>
        <v>243100</v>
      </c>
      <c r="S119" s="2">
        <f t="shared" si="29"/>
        <v>267982</v>
      </c>
      <c r="T119" s="2">
        <f t="shared" si="29"/>
        <v>294008</v>
      </c>
      <c r="U119" s="2">
        <f t="shared" si="29"/>
        <v>319748</v>
      </c>
      <c r="V119" s="2">
        <f t="shared" si="29"/>
        <v>345488</v>
      </c>
      <c r="W119" s="2">
        <f t="shared" si="29"/>
        <v>345488</v>
      </c>
      <c r="X119" s="2">
        <f t="shared" si="29"/>
        <v>345488</v>
      </c>
      <c r="Y119" s="2">
        <f t="shared" si="29"/>
        <v>345488</v>
      </c>
      <c r="Z119" s="2">
        <f t="shared" si="29"/>
        <v>345488</v>
      </c>
      <c r="AA119" s="2">
        <f t="shared" si="29"/>
        <v>345488</v>
      </c>
    </row>
    <row r="120" spans="1:27" x14ac:dyDescent="0.25">
      <c r="C120" s="1"/>
      <c r="D120" s="1"/>
      <c r="E120" t="s">
        <v>65</v>
      </c>
      <c r="F120" t="s">
        <v>144</v>
      </c>
      <c r="H120" s="2">
        <f>H112*H117</f>
        <v>0</v>
      </c>
      <c r="I120" s="2">
        <f t="shared" ref="I120:AA120" si="30">I112*I117</f>
        <v>0</v>
      </c>
      <c r="J120" s="2">
        <f t="shared" si="30"/>
        <v>0</v>
      </c>
      <c r="K120" s="2">
        <f t="shared" si="30"/>
        <v>0</v>
      </c>
      <c r="L120" s="2">
        <f t="shared" si="30"/>
        <v>0</v>
      </c>
      <c r="M120" s="2">
        <f t="shared" si="30"/>
        <v>0</v>
      </c>
      <c r="N120" s="2">
        <f t="shared" si="30"/>
        <v>0</v>
      </c>
      <c r="O120" s="2">
        <f t="shared" si="30"/>
        <v>0</v>
      </c>
      <c r="P120" s="2">
        <f t="shared" si="30"/>
        <v>0</v>
      </c>
      <c r="Q120" s="2">
        <f t="shared" si="30"/>
        <v>0</v>
      </c>
      <c r="R120" s="2">
        <f t="shared" si="30"/>
        <v>0</v>
      </c>
      <c r="S120" s="2">
        <f t="shared" si="30"/>
        <v>0</v>
      </c>
      <c r="T120" s="2">
        <f t="shared" si="30"/>
        <v>0</v>
      </c>
      <c r="U120" s="2">
        <f t="shared" si="30"/>
        <v>0</v>
      </c>
      <c r="V120" s="2">
        <f t="shared" si="30"/>
        <v>0</v>
      </c>
      <c r="W120" s="2">
        <f t="shared" si="30"/>
        <v>0</v>
      </c>
      <c r="X120" s="2">
        <f t="shared" si="30"/>
        <v>0</v>
      </c>
      <c r="Y120" s="2">
        <f t="shared" si="30"/>
        <v>0</v>
      </c>
      <c r="Z120" s="2">
        <f t="shared" si="30"/>
        <v>0</v>
      </c>
      <c r="AA120" s="2">
        <f t="shared" si="30"/>
        <v>0</v>
      </c>
    </row>
    <row r="121" spans="1:27" x14ac:dyDescent="0.25">
      <c r="C121" s="1"/>
      <c r="D121" s="1"/>
      <c r="E121" t="s">
        <v>141</v>
      </c>
      <c r="F121" t="s">
        <v>144</v>
      </c>
      <c r="H121" s="2">
        <f>H112*H118</f>
        <v>0</v>
      </c>
      <c r="I121" s="2">
        <f t="shared" ref="I121:AA121" si="31">I112*I118</f>
        <v>0</v>
      </c>
      <c r="J121" s="2">
        <f t="shared" si="31"/>
        <v>0</v>
      </c>
      <c r="K121" s="2">
        <f t="shared" si="31"/>
        <v>0</v>
      </c>
      <c r="L121" s="2">
        <f t="shared" si="31"/>
        <v>0</v>
      </c>
      <c r="M121" s="2">
        <f t="shared" si="31"/>
        <v>0</v>
      </c>
      <c r="N121" s="2">
        <f t="shared" si="31"/>
        <v>0</v>
      </c>
      <c r="O121" s="2">
        <f t="shared" si="31"/>
        <v>0</v>
      </c>
      <c r="P121" s="2">
        <f t="shared" si="31"/>
        <v>0</v>
      </c>
      <c r="Q121" s="2">
        <f t="shared" si="31"/>
        <v>0</v>
      </c>
      <c r="R121" s="2">
        <f t="shared" si="31"/>
        <v>0</v>
      </c>
      <c r="S121" s="2">
        <f t="shared" si="31"/>
        <v>0</v>
      </c>
      <c r="T121" s="2">
        <f t="shared" si="31"/>
        <v>0</v>
      </c>
      <c r="U121" s="2">
        <f t="shared" si="31"/>
        <v>0</v>
      </c>
      <c r="V121" s="2">
        <f t="shared" si="31"/>
        <v>0</v>
      </c>
      <c r="W121" s="2">
        <f t="shared" si="31"/>
        <v>0</v>
      </c>
      <c r="X121" s="2">
        <f t="shared" si="31"/>
        <v>0</v>
      </c>
      <c r="Y121" s="2">
        <f t="shared" si="31"/>
        <v>0</v>
      </c>
      <c r="Z121" s="2">
        <f t="shared" si="31"/>
        <v>0</v>
      </c>
      <c r="AA121" s="2">
        <f t="shared" si="31"/>
        <v>0</v>
      </c>
    </row>
    <row r="122" spans="1:27" x14ac:dyDescent="0.25">
      <c r="A122" s="14">
        <f>'Notes &amp; Assumptions'!A36</f>
        <v>23</v>
      </c>
      <c r="C122" s="1"/>
      <c r="D122" s="1"/>
      <c r="E122" t="s">
        <v>66</v>
      </c>
      <c r="F122" t="s">
        <v>8</v>
      </c>
      <c r="H122" s="11">
        <f>'YVW tariffs'!D36</f>
        <v>-4.24E-2</v>
      </c>
      <c r="I122" s="11">
        <f>'YVW tariffs'!E36</f>
        <v>-2.7400000000000001E-2</v>
      </c>
      <c r="J122" s="11">
        <f>'YVW tariffs'!F36</f>
        <v>0</v>
      </c>
      <c r="K122" s="11">
        <f>'YVW tariffs'!G36</f>
        <v>0</v>
      </c>
      <c r="L122" s="11">
        <f>'YVW tariffs'!H36</f>
        <v>0</v>
      </c>
      <c r="M122" s="11"/>
      <c r="N122" s="11"/>
      <c r="O122" s="11"/>
      <c r="P122" s="11"/>
      <c r="Q122" s="11"/>
      <c r="R122" s="11"/>
      <c r="S122" s="11"/>
      <c r="T122" s="11"/>
      <c r="U122" s="11"/>
      <c r="V122" s="11"/>
      <c r="W122" s="11"/>
      <c r="X122" s="11"/>
      <c r="Y122" s="11"/>
      <c r="Z122" s="11"/>
      <c r="AA122" s="11"/>
    </row>
    <row r="123" spans="1:27" x14ac:dyDescent="0.25">
      <c r="A123" s="14">
        <f>'Notes &amp; Assumptions'!A37</f>
        <v>24</v>
      </c>
      <c r="C123" s="1"/>
      <c r="D123" s="1"/>
      <c r="E123" t="s">
        <v>40</v>
      </c>
      <c r="F123" t="s">
        <v>41</v>
      </c>
      <c r="G123" s="20">
        <f>'YVW tariffs'!E18</f>
        <v>568.75825999999984</v>
      </c>
      <c r="H123" s="2">
        <f>G123*(1+$G$14)*(1+H122)</f>
        <v>556.08041088129585</v>
      </c>
      <c r="I123" s="2">
        <f t="shared" ref="I123:AA123" si="32">H123*(1+$G$14)*(1+I122)</f>
        <v>552.20152758323445</v>
      </c>
      <c r="J123" s="2">
        <f t="shared" si="32"/>
        <v>563.79775966248235</v>
      </c>
      <c r="K123" s="2">
        <f t="shared" si="32"/>
        <v>575.63751261539437</v>
      </c>
      <c r="L123" s="2">
        <f t="shared" si="32"/>
        <v>587.72590038031763</v>
      </c>
      <c r="M123" s="2">
        <f t="shared" si="32"/>
        <v>600.06814428830421</v>
      </c>
      <c r="N123" s="2">
        <f t="shared" si="32"/>
        <v>612.66957531835851</v>
      </c>
      <c r="O123" s="2">
        <f t="shared" si="32"/>
        <v>625.53563640004393</v>
      </c>
      <c r="P123" s="2">
        <f t="shared" si="32"/>
        <v>638.67188476444483</v>
      </c>
      <c r="Q123" s="2">
        <f t="shared" si="32"/>
        <v>652.08399434449814</v>
      </c>
      <c r="R123" s="2">
        <f t="shared" si="32"/>
        <v>665.77775822573255</v>
      </c>
      <c r="S123" s="2">
        <f t="shared" si="32"/>
        <v>679.75909114847286</v>
      </c>
      <c r="T123" s="2">
        <f t="shared" si="32"/>
        <v>694.03403206259077</v>
      </c>
      <c r="U123" s="2">
        <f t="shared" si="32"/>
        <v>708.60874673590513</v>
      </c>
      <c r="V123" s="2">
        <f t="shared" si="32"/>
        <v>723.48953041735911</v>
      </c>
      <c r="W123" s="2">
        <f t="shared" si="32"/>
        <v>738.68281055612363</v>
      </c>
      <c r="X123" s="2">
        <f t="shared" si="32"/>
        <v>754.19514957780211</v>
      </c>
      <c r="Y123" s="2">
        <f t="shared" si="32"/>
        <v>770.03324771893585</v>
      </c>
      <c r="Z123" s="2">
        <f t="shared" si="32"/>
        <v>786.20394592103344</v>
      </c>
      <c r="AA123" s="2">
        <f t="shared" si="32"/>
        <v>802.7142287853751</v>
      </c>
    </row>
    <row r="124" spans="1:27" x14ac:dyDescent="0.25">
      <c r="C124" s="1"/>
      <c r="D124" s="1"/>
      <c r="E124" t="s">
        <v>67</v>
      </c>
      <c r="F124" t="s">
        <v>143</v>
      </c>
      <c r="G124" s="20">
        <f>'YVW tariffs'!E19</f>
        <v>2.0661976999999996</v>
      </c>
      <c r="H124" s="21">
        <f>G124*(1+$G$14)*(1+H122)</f>
        <v>2.0201413267879191</v>
      </c>
      <c r="I124" s="21">
        <f t="shared" ref="I124:AA124" si="33">H124*(1+$G$14)*(1+I122)</f>
        <v>2.0060500329770425</v>
      </c>
      <c r="J124" s="21">
        <f t="shared" si="33"/>
        <v>2.0481770836695601</v>
      </c>
      <c r="K124" s="21">
        <f t="shared" si="33"/>
        <v>2.0911888024266205</v>
      </c>
      <c r="L124" s="21">
        <f t="shared" si="33"/>
        <v>2.1351037672775792</v>
      </c>
      <c r="M124" s="21">
        <f t="shared" si="33"/>
        <v>2.179940946390408</v>
      </c>
      <c r="N124" s="21">
        <f t="shared" si="33"/>
        <v>2.2257197062646066</v>
      </c>
      <c r="O124" s="21">
        <f t="shared" si="33"/>
        <v>2.272459820096163</v>
      </c>
      <c r="P124" s="21">
        <f t="shared" si="33"/>
        <v>2.3201814763181821</v>
      </c>
      <c r="Q124" s="21">
        <f t="shared" si="33"/>
        <v>2.3689052873208638</v>
      </c>
      <c r="R124" s="21">
        <f t="shared" si="33"/>
        <v>2.4186522983546017</v>
      </c>
      <c r="S124" s="21">
        <f t="shared" si="33"/>
        <v>2.4694439966200483</v>
      </c>
      <c r="T124" s="21">
        <f t="shared" si="33"/>
        <v>2.521302320549069</v>
      </c>
      <c r="U124" s="21">
        <f t="shared" si="33"/>
        <v>2.5742496692805994</v>
      </c>
      <c r="V124" s="21">
        <f t="shared" si="33"/>
        <v>2.6283089123354917</v>
      </c>
      <c r="W124" s="21">
        <f t="shared" si="33"/>
        <v>2.683503399494537</v>
      </c>
      <c r="X124" s="21">
        <f t="shared" si="33"/>
        <v>2.7398569708839222</v>
      </c>
      <c r="Y124" s="21">
        <f t="shared" si="33"/>
        <v>2.7973939672724843</v>
      </c>
      <c r="Z124" s="21">
        <f t="shared" si="33"/>
        <v>2.8561392405852062</v>
      </c>
      <c r="AA124" s="21">
        <f t="shared" si="33"/>
        <v>2.9161181646374952</v>
      </c>
    </row>
    <row r="125" spans="1:27" x14ac:dyDescent="0.25">
      <c r="C125" s="1"/>
      <c r="D125" s="1"/>
      <c r="E125" t="s">
        <v>68</v>
      </c>
      <c r="F125" t="s">
        <v>143</v>
      </c>
      <c r="G125" s="20"/>
      <c r="H125" s="21">
        <f>G125*(1+$G$14)*(1+H122)</f>
        <v>0</v>
      </c>
      <c r="I125" s="21">
        <f t="shared" ref="I125:AA125" si="34">H125*(1+$G$14)*(1+I122)</f>
        <v>0</v>
      </c>
      <c r="J125" s="21">
        <f t="shared" si="34"/>
        <v>0</v>
      </c>
      <c r="K125" s="21">
        <f t="shared" si="34"/>
        <v>0</v>
      </c>
      <c r="L125" s="21">
        <f t="shared" si="34"/>
        <v>0</v>
      </c>
      <c r="M125" s="21">
        <f t="shared" si="34"/>
        <v>0</v>
      </c>
      <c r="N125" s="21">
        <f t="shared" si="34"/>
        <v>0</v>
      </c>
      <c r="O125" s="21">
        <f t="shared" si="34"/>
        <v>0</v>
      </c>
      <c r="P125" s="21">
        <f t="shared" si="34"/>
        <v>0</v>
      </c>
      <c r="Q125" s="21">
        <f t="shared" si="34"/>
        <v>0</v>
      </c>
      <c r="R125" s="21">
        <f t="shared" si="34"/>
        <v>0</v>
      </c>
      <c r="S125" s="21">
        <f t="shared" si="34"/>
        <v>0</v>
      </c>
      <c r="T125" s="21">
        <f t="shared" si="34"/>
        <v>0</v>
      </c>
      <c r="U125" s="21">
        <f t="shared" si="34"/>
        <v>0</v>
      </c>
      <c r="V125" s="21">
        <f t="shared" si="34"/>
        <v>0</v>
      </c>
      <c r="W125" s="21">
        <f t="shared" si="34"/>
        <v>0</v>
      </c>
      <c r="X125" s="21">
        <f t="shared" si="34"/>
        <v>0</v>
      </c>
      <c r="Y125" s="21">
        <f t="shared" si="34"/>
        <v>0</v>
      </c>
      <c r="Z125" s="21">
        <f t="shared" si="34"/>
        <v>0</v>
      </c>
      <c r="AA125" s="21">
        <f t="shared" si="34"/>
        <v>0</v>
      </c>
    </row>
    <row r="126" spans="1:27" x14ac:dyDescent="0.25">
      <c r="C126" s="1"/>
      <c r="D126" s="1"/>
      <c r="E126" t="s">
        <v>142</v>
      </c>
      <c r="F126" t="s">
        <v>143</v>
      </c>
      <c r="G126" s="20"/>
      <c r="H126" s="21">
        <f>G126*(1+$G$14)*(1+H122)</f>
        <v>0</v>
      </c>
      <c r="I126" s="21">
        <f t="shared" ref="I126:AA126" si="35">H126*(1+$G$14)*(1+I122)</f>
        <v>0</v>
      </c>
      <c r="J126" s="21">
        <f t="shared" si="35"/>
        <v>0</v>
      </c>
      <c r="K126" s="21">
        <f t="shared" si="35"/>
        <v>0</v>
      </c>
      <c r="L126" s="21">
        <f t="shared" si="35"/>
        <v>0</v>
      </c>
      <c r="M126" s="21">
        <f t="shared" si="35"/>
        <v>0</v>
      </c>
      <c r="N126" s="21">
        <f t="shared" si="35"/>
        <v>0</v>
      </c>
      <c r="O126" s="21">
        <f t="shared" si="35"/>
        <v>0</v>
      </c>
      <c r="P126" s="21">
        <f t="shared" si="35"/>
        <v>0</v>
      </c>
      <c r="Q126" s="21">
        <f t="shared" si="35"/>
        <v>0</v>
      </c>
      <c r="R126" s="21">
        <f t="shared" si="35"/>
        <v>0</v>
      </c>
      <c r="S126" s="21">
        <f t="shared" si="35"/>
        <v>0</v>
      </c>
      <c r="T126" s="21">
        <f t="shared" si="35"/>
        <v>0</v>
      </c>
      <c r="U126" s="21">
        <f t="shared" si="35"/>
        <v>0</v>
      </c>
      <c r="V126" s="21">
        <f t="shared" si="35"/>
        <v>0</v>
      </c>
      <c r="W126" s="21">
        <f t="shared" si="35"/>
        <v>0</v>
      </c>
      <c r="X126" s="21">
        <f t="shared" si="35"/>
        <v>0</v>
      </c>
      <c r="Y126" s="21">
        <f t="shared" si="35"/>
        <v>0</v>
      </c>
      <c r="Z126" s="21">
        <f t="shared" si="35"/>
        <v>0</v>
      </c>
      <c r="AA126" s="21">
        <f t="shared" si="35"/>
        <v>0</v>
      </c>
    </row>
    <row r="127" spans="1:27" x14ac:dyDescent="0.25">
      <c r="C127" s="1"/>
      <c r="D127" s="1"/>
    </row>
    <row r="128" spans="1:27" x14ac:dyDescent="0.25">
      <c r="C128" s="1"/>
      <c r="D128" s="1"/>
      <c r="E128" t="s">
        <v>72</v>
      </c>
      <c r="F128" t="s">
        <v>58</v>
      </c>
      <c r="H128" s="2">
        <f>SUM(H119:H121)/1000</f>
        <v>23.452000000000002</v>
      </c>
      <c r="I128" s="2">
        <f t="shared" ref="I128:AA128" si="36">SUM(I119:I121)/1000</f>
        <v>46.904000000000003</v>
      </c>
      <c r="J128" s="2">
        <f t="shared" si="36"/>
        <v>70.927999999999997</v>
      </c>
      <c r="K128" s="2">
        <f t="shared" si="36"/>
        <v>93.808000000000007</v>
      </c>
      <c r="L128" s="2">
        <f t="shared" si="36"/>
        <v>116.116</v>
      </c>
      <c r="M128" s="2">
        <f t="shared" si="36"/>
        <v>137.28</v>
      </c>
      <c r="N128" s="2">
        <f t="shared" si="36"/>
        <v>157.58600000000001</v>
      </c>
      <c r="O128" s="2">
        <f t="shared" si="36"/>
        <v>177.32</v>
      </c>
      <c r="P128" s="2">
        <f t="shared" si="36"/>
        <v>197.91200000000001</v>
      </c>
      <c r="Q128" s="2">
        <f t="shared" si="36"/>
        <v>219.934</v>
      </c>
      <c r="R128" s="2">
        <f t="shared" si="36"/>
        <v>243.1</v>
      </c>
      <c r="S128" s="2">
        <f t="shared" si="36"/>
        <v>267.98200000000003</v>
      </c>
      <c r="T128" s="2">
        <f t="shared" si="36"/>
        <v>294.00799999999998</v>
      </c>
      <c r="U128" s="2">
        <f t="shared" si="36"/>
        <v>319.74799999999999</v>
      </c>
      <c r="V128" s="2">
        <f t="shared" si="36"/>
        <v>345.488</v>
      </c>
      <c r="W128" s="2">
        <f t="shared" si="36"/>
        <v>345.488</v>
      </c>
      <c r="X128" s="2">
        <f t="shared" si="36"/>
        <v>345.488</v>
      </c>
      <c r="Y128" s="2">
        <f t="shared" si="36"/>
        <v>345.488</v>
      </c>
      <c r="Z128" s="2">
        <f t="shared" si="36"/>
        <v>345.488</v>
      </c>
      <c r="AA128" s="2">
        <f t="shared" si="36"/>
        <v>345.488</v>
      </c>
    </row>
    <row r="129" spans="1:27" x14ac:dyDescent="0.25">
      <c r="C129" s="1"/>
      <c r="D129" s="1"/>
      <c r="E129" t="s">
        <v>73</v>
      </c>
      <c r="F129" t="s">
        <v>7</v>
      </c>
      <c r="H129" s="2">
        <f>H112*H123+H119*H124+H120*H125+H121*H126</f>
        <v>92974.948088096542</v>
      </c>
      <c r="I129" s="2">
        <f t="shared" ref="I129:AA129" si="37">I112*I123+I119*I124+I120*I125+I121*I126</f>
        <v>184652.82127040566</v>
      </c>
      <c r="J129" s="2">
        <f t="shared" si="37"/>
        <v>285094.94858681015</v>
      </c>
      <c r="K129" s="2">
        <f t="shared" si="37"/>
        <v>384979.34331588575</v>
      </c>
      <c r="L129" s="2">
        <f t="shared" si="37"/>
        <v>486536.42459561233</v>
      </c>
      <c r="M129" s="2">
        <f t="shared" si="37"/>
        <v>587295.00237886119</v>
      </c>
      <c r="N129" s="2">
        <f t="shared" si="37"/>
        <v>688323.20163182984</v>
      </c>
      <c r="O129" s="2">
        <f t="shared" si="37"/>
        <v>790784.66986747878</v>
      </c>
      <c r="P129" s="2">
        <f t="shared" si="37"/>
        <v>901152.70059807983</v>
      </c>
      <c r="Q129" s="2">
        <f t="shared" si="37"/>
        <v>1022455.4071125459</v>
      </c>
      <c r="R129" s="2">
        <f t="shared" si="37"/>
        <v>1153885.4682218763</v>
      </c>
      <c r="S129" s="2">
        <f t="shared" si="37"/>
        <v>1298700.809508353</v>
      </c>
      <c r="T129" s="2">
        <f t="shared" si="37"/>
        <v>1454750.037620334</v>
      </c>
      <c r="U129" s="2">
        <f t="shared" si="37"/>
        <v>1615335.7621038752</v>
      </c>
      <c r="V129" s="2">
        <f t="shared" si="37"/>
        <v>1782024.5422491343</v>
      </c>
      <c r="W129" s="2">
        <f t="shared" si="37"/>
        <v>1819447.057636366</v>
      </c>
      <c r="X129" s="2">
        <f t="shared" si="37"/>
        <v>1857655.4458467294</v>
      </c>
      <c r="Y129" s="2">
        <f t="shared" si="37"/>
        <v>1896666.2102095108</v>
      </c>
      <c r="Z129" s="2">
        <f t="shared" si="37"/>
        <v>1936496.2006239102</v>
      </c>
      <c r="AA129" s="2">
        <f t="shared" si="37"/>
        <v>1977162.6208370121</v>
      </c>
    </row>
    <row r="130" spans="1:27" x14ac:dyDescent="0.25">
      <c r="C130" s="1"/>
      <c r="D130" s="1"/>
    </row>
    <row r="131" spans="1:27" x14ac:dyDescent="0.25">
      <c r="C131" s="1"/>
      <c r="D131" t="s">
        <v>74</v>
      </c>
    </row>
    <row r="132" spans="1:27" x14ac:dyDescent="0.25">
      <c r="A132" s="14">
        <f>'Notes &amp; Assumptions'!A38</f>
        <v>25</v>
      </c>
      <c r="C132" s="1"/>
      <c r="D132" s="1"/>
      <c r="E132" t="s">
        <v>87</v>
      </c>
      <c r="F132" t="s">
        <v>3</v>
      </c>
      <c r="H132" s="10">
        <v>0</v>
      </c>
      <c r="I132" s="10">
        <v>0</v>
      </c>
      <c r="J132" s="10">
        <v>0</v>
      </c>
      <c r="K132" s="10">
        <v>0</v>
      </c>
      <c r="L132" s="10">
        <v>0</v>
      </c>
      <c r="M132" s="10">
        <v>0</v>
      </c>
      <c r="N132" s="10">
        <v>0</v>
      </c>
      <c r="O132" s="10">
        <v>0</v>
      </c>
      <c r="P132" s="10">
        <v>0</v>
      </c>
      <c r="Q132" s="10">
        <v>0</v>
      </c>
      <c r="R132" s="10">
        <f>AVERAGE($O132:$Q132)</f>
        <v>0</v>
      </c>
      <c r="S132" s="10">
        <f t="shared" ref="S132:V132" si="38">AVERAGE($O132:$Q132)</f>
        <v>0</v>
      </c>
      <c r="T132" s="10">
        <f t="shared" si="38"/>
        <v>0</v>
      </c>
      <c r="U132" s="10">
        <f t="shared" si="38"/>
        <v>0</v>
      </c>
      <c r="V132" s="10">
        <f t="shared" si="38"/>
        <v>0</v>
      </c>
    </row>
    <row r="133" spans="1:27" x14ac:dyDescent="0.25">
      <c r="C133" s="1"/>
      <c r="D133" s="1"/>
      <c r="E133" t="s">
        <v>60</v>
      </c>
      <c r="F133" t="s">
        <v>3</v>
      </c>
      <c r="H133" s="2">
        <f>G133+H132</f>
        <v>0</v>
      </c>
      <c r="I133" s="2">
        <f t="shared" ref="I133:AA133" si="39">H133+I132</f>
        <v>0</v>
      </c>
      <c r="J133" s="2">
        <f t="shared" si="39"/>
        <v>0</v>
      </c>
      <c r="K133" s="2">
        <f t="shared" si="39"/>
        <v>0</v>
      </c>
      <c r="L133" s="2">
        <f t="shared" si="39"/>
        <v>0</v>
      </c>
      <c r="M133" s="2">
        <f t="shared" si="39"/>
        <v>0</v>
      </c>
      <c r="N133" s="2">
        <f t="shared" si="39"/>
        <v>0</v>
      </c>
      <c r="O133" s="2">
        <f t="shared" si="39"/>
        <v>0</v>
      </c>
      <c r="P133" s="2">
        <f t="shared" si="39"/>
        <v>0</v>
      </c>
      <c r="Q133" s="2">
        <f t="shared" si="39"/>
        <v>0</v>
      </c>
      <c r="R133" s="2">
        <f t="shared" si="39"/>
        <v>0</v>
      </c>
      <c r="S133" s="2">
        <f t="shared" si="39"/>
        <v>0</v>
      </c>
      <c r="T133" s="2">
        <f t="shared" si="39"/>
        <v>0</v>
      </c>
      <c r="U133" s="2">
        <f t="shared" si="39"/>
        <v>0</v>
      </c>
      <c r="V133" s="2">
        <f t="shared" si="39"/>
        <v>0</v>
      </c>
      <c r="W133" s="2">
        <f t="shared" si="39"/>
        <v>0</v>
      </c>
      <c r="X133" s="2">
        <f t="shared" si="39"/>
        <v>0</v>
      </c>
      <c r="Y133" s="2">
        <f t="shared" si="39"/>
        <v>0</v>
      </c>
      <c r="Z133" s="2">
        <f t="shared" si="39"/>
        <v>0</v>
      </c>
      <c r="AA133" s="2">
        <f t="shared" si="39"/>
        <v>0</v>
      </c>
    </row>
    <row r="134" spans="1:27" x14ac:dyDescent="0.25">
      <c r="A134" s="14">
        <f>'Notes &amp; Assumptions'!A39</f>
        <v>26</v>
      </c>
      <c r="C134" s="1"/>
      <c r="D134" s="1"/>
      <c r="E134" t="s">
        <v>61</v>
      </c>
      <c r="F134" t="s">
        <v>3</v>
      </c>
      <c r="G134" s="10">
        <v>1</v>
      </c>
    </row>
    <row r="135" spans="1:27" x14ac:dyDescent="0.25">
      <c r="C135" s="1"/>
      <c r="D135" s="1"/>
      <c r="E135" t="s">
        <v>88</v>
      </c>
      <c r="F135" t="s">
        <v>3</v>
      </c>
      <c r="H135">
        <f>H132*$G134</f>
        <v>0</v>
      </c>
      <c r="I135">
        <f t="shared" ref="I135:AA135" si="40">I132*$G134</f>
        <v>0</v>
      </c>
      <c r="J135">
        <f t="shared" si="40"/>
        <v>0</v>
      </c>
      <c r="K135">
        <f t="shared" si="40"/>
        <v>0</v>
      </c>
      <c r="L135">
        <f t="shared" si="40"/>
        <v>0</v>
      </c>
      <c r="M135">
        <f t="shared" si="40"/>
        <v>0</v>
      </c>
      <c r="N135">
        <f t="shared" si="40"/>
        <v>0</v>
      </c>
      <c r="O135">
        <f t="shared" si="40"/>
        <v>0</v>
      </c>
      <c r="P135">
        <f t="shared" si="40"/>
        <v>0</v>
      </c>
      <c r="Q135">
        <f t="shared" si="40"/>
        <v>0</v>
      </c>
      <c r="R135">
        <f t="shared" si="40"/>
        <v>0</v>
      </c>
      <c r="S135">
        <f t="shared" si="40"/>
        <v>0</v>
      </c>
      <c r="T135">
        <f t="shared" si="40"/>
        <v>0</v>
      </c>
      <c r="U135">
        <f t="shared" si="40"/>
        <v>0</v>
      </c>
      <c r="V135">
        <f t="shared" si="40"/>
        <v>0</v>
      </c>
      <c r="W135">
        <f t="shared" si="40"/>
        <v>0</v>
      </c>
      <c r="X135">
        <f t="shared" si="40"/>
        <v>0</v>
      </c>
      <c r="Y135">
        <f t="shared" si="40"/>
        <v>0</v>
      </c>
      <c r="Z135">
        <f t="shared" si="40"/>
        <v>0</v>
      </c>
      <c r="AA135">
        <f t="shared" si="40"/>
        <v>0</v>
      </c>
    </row>
    <row r="136" spans="1:27" x14ac:dyDescent="0.25">
      <c r="C136" s="1"/>
      <c r="D136" s="1"/>
      <c r="E136" t="s">
        <v>89</v>
      </c>
      <c r="F136" t="s">
        <v>3</v>
      </c>
      <c r="H136">
        <f>H133*$G134</f>
        <v>0</v>
      </c>
      <c r="I136">
        <f t="shared" ref="I136:AA136" si="41">I133*$G134</f>
        <v>0</v>
      </c>
      <c r="J136">
        <f t="shared" si="41"/>
        <v>0</v>
      </c>
      <c r="K136">
        <f t="shared" si="41"/>
        <v>0</v>
      </c>
      <c r="L136">
        <f t="shared" si="41"/>
        <v>0</v>
      </c>
      <c r="M136">
        <f t="shared" si="41"/>
        <v>0</v>
      </c>
      <c r="N136">
        <f t="shared" si="41"/>
        <v>0</v>
      </c>
      <c r="O136">
        <f t="shared" si="41"/>
        <v>0</v>
      </c>
      <c r="P136">
        <f t="shared" si="41"/>
        <v>0</v>
      </c>
      <c r="Q136">
        <f t="shared" si="41"/>
        <v>0</v>
      </c>
      <c r="R136">
        <f t="shared" si="41"/>
        <v>0</v>
      </c>
      <c r="S136">
        <f t="shared" si="41"/>
        <v>0</v>
      </c>
      <c r="T136">
        <f t="shared" si="41"/>
        <v>0</v>
      </c>
      <c r="U136">
        <f t="shared" si="41"/>
        <v>0</v>
      </c>
      <c r="V136">
        <f t="shared" si="41"/>
        <v>0</v>
      </c>
      <c r="W136">
        <f t="shared" si="41"/>
        <v>0</v>
      </c>
      <c r="X136">
        <f t="shared" si="41"/>
        <v>0</v>
      </c>
      <c r="Y136">
        <f t="shared" si="41"/>
        <v>0</v>
      </c>
      <c r="Z136">
        <f t="shared" si="41"/>
        <v>0</v>
      </c>
      <c r="AA136">
        <f t="shared" si="41"/>
        <v>0</v>
      </c>
    </row>
    <row r="137" spans="1:27" x14ac:dyDescent="0.25">
      <c r="A137" s="14">
        <f>'Notes &amp; Assumptions'!A40</f>
        <v>27</v>
      </c>
      <c r="C137" s="1"/>
      <c r="D137" s="1"/>
      <c r="E137" t="s">
        <v>62</v>
      </c>
      <c r="F137" t="s">
        <v>43</v>
      </c>
      <c r="H137" s="10"/>
      <c r="I137" s="10"/>
      <c r="J137" s="10"/>
      <c r="K137" s="10"/>
      <c r="L137" s="10"/>
      <c r="M137" s="10"/>
      <c r="N137" s="10"/>
      <c r="O137" s="10"/>
      <c r="P137" s="10"/>
      <c r="Q137" s="10"/>
      <c r="R137" s="10"/>
      <c r="S137" s="10"/>
      <c r="T137" s="10"/>
      <c r="U137" s="10"/>
      <c r="V137" s="10"/>
      <c r="W137" s="10"/>
      <c r="X137" s="10"/>
      <c r="Y137" s="10"/>
      <c r="Z137" s="10"/>
      <c r="AA137" s="10"/>
    </row>
    <row r="138" spans="1:27" x14ac:dyDescent="0.25">
      <c r="C138" s="1"/>
      <c r="D138" s="1"/>
      <c r="E138" t="s">
        <v>63</v>
      </c>
      <c r="F138" t="s">
        <v>43</v>
      </c>
      <c r="H138" s="10"/>
      <c r="I138" s="10"/>
      <c r="J138" s="10"/>
      <c r="K138" s="10"/>
      <c r="L138" s="10"/>
      <c r="M138" s="10"/>
      <c r="N138" s="10"/>
      <c r="O138" s="10"/>
      <c r="P138" s="10"/>
      <c r="Q138" s="10"/>
      <c r="R138" s="10"/>
      <c r="S138" s="10"/>
      <c r="T138" s="10"/>
      <c r="U138" s="10"/>
      <c r="V138" s="10"/>
      <c r="W138" s="10"/>
      <c r="X138" s="10"/>
      <c r="Y138" s="10"/>
      <c r="Z138" s="10"/>
      <c r="AA138" s="10"/>
    </row>
    <row r="139" spans="1:27" x14ac:dyDescent="0.25">
      <c r="A139" s="14">
        <f>'Notes &amp; Assumptions'!A41</f>
        <v>28</v>
      </c>
      <c r="C139" s="1"/>
      <c r="D139" s="1"/>
      <c r="E139" t="s">
        <v>140</v>
      </c>
      <c r="F139" t="s">
        <v>43</v>
      </c>
      <c r="H139" s="10"/>
      <c r="I139" s="10"/>
      <c r="J139" s="10"/>
      <c r="K139" s="10"/>
      <c r="L139" s="10"/>
      <c r="M139" s="10"/>
      <c r="N139" s="10"/>
      <c r="O139" s="10"/>
      <c r="P139" s="10"/>
      <c r="Q139" s="10"/>
      <c r="R139" s="10"/>
      <c r="S139" s="10"/>
      <c r="T139" s="10"/>
      <c r="U139" s="10"/>
      <c r="V139" s="10"/>
      <c r="W139" s="10"/>
      <c r="X139" s="10"/>
      <c r="Y139" s="10"/>
      <c r="Z139" s="10"/>
      <c r="AA139" s="10"/>
    </row>
    <row r="140" spans="1:27" x14ac:dyDescent="0.25">
      <c r="C140" s="1"/>
      <c r="D140" s="1"/>
      <c r="E140" t="s">
        <v>64</v>
      </c>
      <c r="F140" t="s">
        <v>144</v>
      </c>
      <c r="H140" s="2">
        <f>H133*H137</f>
        <v>0</v>
      </c>
      <c r="I140" s="2">
        <f t="shared" ref="I140:AA140" si="42">I133*I137</f>
        <v>0</v>
      </c>
      <c r="J140" s="2">
        <f t="shared" si="42"/>
        <v>0</v>
      </c>
      <c r="K140" s="2">
        <f t="shared" si="42"/>
        <v>0</v>
      </c>
      <c r="L140" s="2">
        <f t="shared" si="42"/>
        <v>0</v>
      </c>
      <c r="M140" s="2">
        <f t="shared" si="42"/>
        <v>0</v>
      </c>
      <c r="N140" s="2">
        <f t="shared" si="42"/>
        <v>0</v>
      </c>
      <c r="O140" s="2">
        <f t="shared" si="42"/>
        <v>0</v>
      </c>
      <c r="P140" s="2">
        <f t="shared" si="42"/>
        <v>0</v>
      </c>
      <c r="Q140" s="2">
        <f t="shared" si="42"/>
        <v>0</v>
      </c>
      <c r="R140" s="2">
        <f t="shared" si="42"/>
        <v>0</v>
      </c>
      <c r="S140" s="2">
        <f t="shared" si="42"/>
        <v>0</v>
      </c>
      <c r="T140" s="2">
        <f t="shared" si="42"/>
        <v>0</v>
      </c>
      <c r="U140" s="2">
        <f t="shared" si="42"/>
        <v>0</v>
      </c>
      <c r="V140" s="2">
        <f t="shared" si="42"/>
        <v>0</v>
      </c>
      <c r="W140" s="2">
        <f t="shared" si="42"/>
        <v>0</v>
      </c>
      <c r="X140" s="2">
        <f t="shared" si="42"/>
        <v>0</v>
      </c>
      <c r="Y140" s="2">
        <f t="shared" si="42"/>
        <v>0</v>
      </c>
      <c r="Z140" s="2">
        <f t="shared" si="42"/>
        <v>0</v>
      </c>
      <c r="AA140" s="2">
        <f t="shared" si="42"/>
        <v>0</v>
      </c>
    </row>
    <row r="141" spans="1:27" x14ac:dyDescent="0.25">
      <c r="C141" s="1"/>
      <c r="D141" s="1"/>
      <c r="E141" t="s">
        <v>65</v>
      </c>
      <c r="F141" t="s">
        <v>144</v>
      </c>
      <c r="H141" s="2">
        <f>H133*H138</f>
        <v>0</v>
      </c>
      <c r="I141" s="2">
        <f t="shared" ref="I141:AA141" si="43">I133*I138</f>
        <v>0</v>
      </c>
      <c r="J141" s="2">
        <f t="shared" si="43"/>
        <v>0</v>
      </c>
      <c r="K141" s="2">
        <f t="shared" si="43"/>
        <v>0</v>
      </c>
      <c r="L141" s="2">
        <f t="shared" si="43"/>
        <v>0</v>
      </c>
      <c r="M141" s="2">
        <f t="shared" si="43"/>
        <v>0</v>
      </c>
      <c r="N141" s="2">
        <f t="shared" si="43"/>
        <v>0</v>
      </c>
      <c r="O141" s="2">
        <f t="shared" si="43"/>
        <v>0</v>
      </c>
      <c r="P141" s="2">
        <f t="shared" si="43"/>
        <v>0</v>
      </c>
      <c r="Q141" s="2">
        <f t="shared" si="43"/>
        <v>0</v>
      </c>
      <c r="R141" s="2">
        <f t="shared" si="43"/>
        <v>0</v>
      </c>
      <c r="S141" s="2">
        <f t="shared" si="43"/>
        <v>0</v>
      </c>
      <c r="T141" s="2">
        <f t="shared" si="43"/>
        <v>0</v>
      </c>
      <c r="U141" s="2">
        <f t="shared" si="43"/>
        <v>0</v>
      </c>
      <c r="V141" s="2">
        <f t="shared" si="43"/>
        <v>0</v>
      </c>
      <c r="W141" s="2">
        <f t="shared" si="43"/>
        <v>0</v>
      </c>
      <c r="X141" s="2">
        <f t="shared" si="43"/>
        <v>0</v>
      </c>
      <c r="Y141" s="2">
        <f t="shared" si="43"/>
        <v>0</v>
      </c>
      <c r="Z141" s="2">
        <f t="shared" si="43"/>
        <v>0</v>
      </c>
      <c r="AA141" s="2">
        <f t="shared" si="43"/>
        <v>0</v>
      </c>
    </row>
    <row r="142" spans="1:27" x14ac:dyDescent="0.25">
      <c r="C142" s="1"/>
      <c r="D142" s="1"/>
      <c r="E142" t="s">
        <v>141</v>
      </c>
      <c r="F142" t="s">
        <v>144</v>
      </c>
      <c r="H142" s="2">
        <f>H133*H139</f>
        <v>0</v>
      </c>
      <c r="I142" s="2">
        <f t="shared" ref="I142:AA142" si="44">I133*I139</f>
        <v>0</v>
      </c>
      <c r="J142" s="2">
        <f t="shared" si="44"/>
        <v>0</v>
      </c>
      <c r="K142" s="2">
        <f t="shared" si="44"/>
        <v>0</v>
      </c>
      <c r="L142" s="2">
        <f t="shared" si="44"/>
        <v>0</v>
      </c>
      <c r="M142" s="2">
        <f t="shared" si="44"/>
        <v>0</v>
      </c>
      <c r="N142" s="2">
        <f t="shared" si="44"/>
        <v>0</v>
      </c>
      <c r="O142" s="2">
        <f t="shared" si="44"/>
        <v>0</v>
      </c>
      <c r="P142" s="2">
        <f t="shared" si="44"/>
        <v>0</v>
      </c>
      <c r="Q142" s="2">
        <f t="shared" si="44"/>
        <v>0</v>
      </c>
      <c r="R142" s="2">
        <f t="shared" si="44"/>
        <v>0</v>
      </c>
      <c r="S142" s="2">
        <f t="shared" si="44"/>
        <v>0</v>
      </c>
      <c r="T142" s="2">
        <f t="shared" si="44"/>
        <v>0</v>
      </c>
      <c r="U142" s="2">
        <f t="shared" si="44"/>
        <v>0</v>
      </c>
      <c r="V142" s="2">
        <f t="shared" si="44"/>
        <v>0</v>
      </c>
      <c r="W142" s="2">
        <f t="shared" si="44"/>
        <v>0</v>
      </c>
      <c r="X142" s="2">
        <f t="shared" si="44"/>
        <v>0</v>
      </c>
      <c r="Y142" s="2">
        <f t="shared" si="44"/>
        <v>0</v>
      </c>
      <c r="Z142" s="2">
        <f t="shared" si="44"/>
        <v>0</v>
      </c>
      <c r="AA142" s="2">
        <f t="shared" si="44"/>
        <v>0</v>
      </c>
    </row>
    <row r="143" spans="1:27" x14ac:dyDescent="0.25">
      <c r="A143" s="14">
        <f>'Notes &amp; Assumptions'!A42</f>
        <v>29</v>
      </c>
      <c r="C143" s="1"/>
      <c r="D143" s="1"/>
      <c r="E143" t="s">
        <v>66</v>
      </c>
      <c r="F143" t="s">
        <v>8</v>
      </c>
      <c r="H143" s="11"/>
      <c r="I143" s="11"/>
      <c r="J143" s="11"/>
      <c r="K143" s="11"/>
      <c r="L143" s="11"/>
      <c r="M143" s="11"/>
      <c r="N143" s="11"/>
      <c r="O143" s="11"/>
      <c r="P143" s="11"/>
      <c r="Q143" s="11"/>
      <c r="R143" s="11"/>
      <c r="S143" s="11"/>
      <c r="T143" s="11"/>
      <c r="U143" s="11"/>
      <c r="V143" s="11"/>
      <c r="W143" s="11"/>
      <c r="X143" s="11"/>
      <c r="Y143" s="11"/>
      <c r="Z143" s="11"/>
      <c r="AA143" s="11"/>
    </row>
    <row r="144" spans="1:27" x14ac:dyDescent="0.25">
      <c r="A144" s="14">
        <f>'Notes &amp; Assumptions'!A43</f>
        <v>30</v>
      </c>
      <c r="C144" s="1"/>
      <c r="D144" s="1"/>
      <c r="E144" t="s">
        <v>40</v>
      </c>
      <c r="F144" t="s">
        <v>41</v>
      </c>
      <c r="G144" s="10"/>
      <c r="H144" s="2">
        <f>G144*(1+$G$14)*(1+H143)</f>
        <v>0</v>
      </c>
      <c r="I144" s="2">
        <f t="shared" ref="I144:AA144" si="45">H144*(1+$G$14)*(1+I143)</f>
        <v>0</v>
      </c>
      <c r="J144" s="2">
        <f t="shared" si="45"/>
        <v>0</v>
      </c>
      <c r="K144" s="2">
        <f t="shared" si="45"/>
        <v>0</v>
      </c>
      <c r="L144" s="2">
        <f t="shared" si="45"/>
        <v>0</v>
      </c>
      <c r="M144" s="2">
        <f t="shared" si="45"/>
        <v>0</v>
      </c>
      <c r="N144" s="2">
        <f t="shared" si="45"/>
        <v>0</v>
      </c>
      <c r="O144" s="2">
        <f t="shared" si="45"/>
        <v>0</v>
      </c>
      <c r="P144" s="2">
        <f t="shared" si="45"/>
        <v>0</v>
      </c>
      <c r="Q144" s="2">
        <f t="shared" si="45"/>
        <v>0</v>
      </c>
      <c r="R144" s="2">
        <f t="shared" si="45"/>
        <v>0</v>
      </c>
      <c r="S144" s="2">
        <f t="shared" si="45"/>
        <v>0</v>
      </c>
      <c r="T144" s="2">
        <f t="shared" si="45"/>
        <v>0</v>
      </c>
      <c r="U144" s="2">
        <f t="shared" si="45"/>
        <v>0</v>
      </c>
      <c r="V144" s="2">
        <f t="shared" si="45"/>
        <v>0</v>
      </c>
      <c r="W144" s="2">
        <f t="shared" si="45"/>
        <v>0</v>
      </c>
      <c r="X144" s="2">
        <f t="shared" si="45"/>
        <v>0</v>
      </c>
      <c r="Y144" s="2">
        <f t="shared" si="45"/>
        <v>0</v>
      </c>
      <c r="Z144" s="2">
        <f t="shared" si="45"/>
        <v>0</v>
      </c>
      <c r="AA144" s="2">
        <f t="shared" si="45"/>
        <v>0</v>
      </c>
    </row>
    <row r="145" spans="1:27" x14ac:dyDescent="0.25">
      <c r="C145" s="1"/>
      <c r="D145" s="1"/>
      <c r="E145" t="s">
        <v>67</v>
      </c>
      <c r="F145" t="s">
        <v>143</v>
      </c>
      <c r="G145" s="20"/>
      <c r="H145" s="21">
        <f>G145*(1+$G$14)*(1+H143)</f>
        <v>0</v>
      </c>
      <c r="I145" s="21">
        <f t="shared" ref="I145:AA145" si="46">H145*(1+$G$14)*(1+I143)</f>
        <v>0</v>
      </c>
      <c r="J145" s="21">
        <f t="shared" si="46"/>
        <v>0</v>
      </c>
      <c r="K145" s="21">
        <f t="shared" si="46"/>
        <v>0</v>
      </c>
      <c r="L145" s="21">
        <f t="shared" si="46"/>
        <v>0</v>
      </c>
      <c r="M145" s="21">
        <f t="shared" si="46"/>
        <v>0</v>
      </c>
      <c r="N145" s="21">
        <f t="shared" si="46"/>
        <v>0</v>
      </c>
      <c r="O145" s="21">
        <f t="shared" si="46"/>
        <v>0</v>
      </c>
      <c r="P145" s="21">
        <f t="shared" si="46"/>
        <v>0</v>
      </c>
      <c r="Q145" s="21">
        <f t="shared" si="46"/>
        <v>0</v>
      </c>
      <c r="R145" s="21">
        <f t="shared" si="46"/>
        <v>0</v>
      </c>
      <c r="S145" s="21">
        <f t="shared" si="46"/>
        <v>0</v>
      </c>
      <c r="T145" s="21">
        <f t="shared" si="46"/>
        <v>0</v>
      </c>
      <c r="U145" s="21">
        <f t="shared" si="46"/>
        <v>0</v>
      </c>
      <c r="V145" s="21">
        <f t="shared" si="46"/>
        <v>0</v>
      </c>
      <c r="W145" s="21">
        <f t="shared" si="46"/>
        <v>0</v>
      </c>
      <c r="X145" s="21">
        <f t="shared" si="46"/>
        <v>0</v>
      </c>
      <c r="Y145" s="21">
        <f t="shared" si="46"/>
        <v>0</v>
      </c>
      <c r="Z145" s="21">
        <f t="shared" si="46"/>
        <v>0</v>
      </c>
      <c r="AA145" s="21">
        <f t="shared" si="46"/>
        <v>0</v>
      </c>
    </row>
    <row r="146" spans="1:27" x14ac:dyDescent="0.25">
      <c r="C146" s="1"/>
      <c r="D146" s="1"/>
      <c r="E146" t="s">
        <v>68</v>
      </c>
      <c r="F146" t="s">
        <v>143</v>
      </c>
      <c r="G146" s="20"/>
      <c r="H146" s="21">
        <f>G146*(1+$G$14)*(1+H143)</f>
        <v>0</v>
      </c>
      <c r="I146" s="21">
        <f t="shared" ref="I146:AA146" si="47">H146*(1+$G$14)*(1+I143)</f>
        <v>0</v>
      </c>
      <c r="J146" s="21">
        <f t="shared" si="47"/>
        <v>0</v>
      </c>
      <c r="K146" s="21">
        <f t="shared" si="47"/>
        <v>0</v>
      </c>
      <c r="L146" s="21">
        <f t="shared" si="47"/>
        <v>0</v>
      </c>
      <c r="M146" s="21">
        <f t="shared" si="47"/>
        <v>0</v>
      </c>
      <c r="N146" s="21">
        <f t="shared" si="47"/>
        <v>0</v>
      </c>
      <c r="O146" s="21">
        <f t="shared" si="47"/>
        <v>0</v>
      </c>
      <c r="P146" s="21">
        <f t="shared" si="47"/>
        <v>0</v>
      </c>
      <c r="Q146" s="21">
        <f t="shared" si="47"/>
        <v>0</v>
      </c>
      <c r="R146" s="21">
        <f t="shared" si="47"/>
        <v>0</v>
      </c>
      <c r="S146" s="21">
        <f t="shared" si="47"/>
        <v>0</v>
      </c>
      <c r="T146" s="21">
        <f t="shared" si="47"/>
        <v>0</v>
      </c>
      <c r="U146" s="21">
        <f t="shared" si="47"/>
        <v>0</v>
      </c>
      <c r="V146" s="21">
        <f t="shared" si="47"/>
        <v>0</v>
      </c>
      <c r="W146" s="21">
        <f t="shared" si="47"/>
        <v>0</v>
      </c>
      <c r="X146" s="21">
        <f t="shared" si="47"/>
        <v>0</v>
      </c>
      <c r="Y146" s="21">
        <f t="shared" si="47"/>
        <v>0</v>
      </c>
      <c r="Z146" s="21">
        <f t="shared" si="47"/>
        <v>0</v>
      </c>
      <c r="AA146" s="21">
        <f t="shared" si="47"/>
        <v>0</v>
      </c>
    </row>
    <row r="147" spans="1:27" x14ac:dyDescent="0.25">
      <c r="C147" s="1"/>
      <c r="D147" s="1"/>
      <c r="E147" t="s">
        <v>142</v>
      </c>
      <c r="F147" t="s">
        <v>143</v>
      </c>
      <c r="G147" s="20"/>
      <c r="H147" s="21">
        <f>G147*(1+$G$14)*(1+H143)</f>
        <v>0</v>
      </c>
      <c r="I147" s="21">
        <f t="shared" ref="I147:AA147" si="48">H147*(1+$G$14)*(1+I143)</f>
        <v>0</v>
      </c>
      <c r="J147" s="21">
        <f t="shared" si="48"/>
        <v>0</v>
      </c>
      <c r="K147" s="21">
        <f t="shared" si="48"/>
        <v>0</v>
      </c>
      <c r="L147" s="21">
        <f t="shared" si="48"/>
        <v>0</v>
      </c>
      <c r="M147" s="21">
        <f t="shared" si="48"/>
        <v>0</v>
      </c>
      <c r="N147" s="21">
        <f t="shared" si="48"/>
        <v>0</v>
      </c>
      <c r="O147" s="21">
        <f t="shared" si="48"/>
        <v>0</v>
      </c>
      <c r="P147" s="21">
        <f t="shared" si="48"/>
        <v>0</v>
      </c>
      <c r="Q147" s="21">
        <f t="shared" si="48"/>
        <v>0</v>
      </c>
      <c r="R147" s="21">
        <f t="shared" si="48"/>
        <v>0</v>
      </c>
      <c r="S147" s="21">
        <f t="shared" si="48"/>
        <v>0</v>
      </c>
      <c r="T147" s="21">
        <f t="shared" si="48"/>
        <v>0</v>
      </c>
      <c r="U147" s="21">
        <f t="shared" si="48"/>
        <v>0</v>
      </c>
      <c r="V147" s="21">
        <f t="shared" si="48"/>
        <v>0</v>
      </c>
      <c r="W147" s="21">
        <f t="shared" si="48"/>
        <v>0</v>
      </c>
      <c r="X147" s="21">
        <f t="shared" si="48"/>
        <v>0</v>
      </c>
      <c r="Y147" s="21">
        <f t="shared" si="48"/>
        <v>0</v>
      </c>
      <c r="Z147" s="21">
        <f t="shared" si="48"/>
        <v>0</v>
      </c>
      <c r="AA147" s="21">
        <f t="shared" si="48"/>
        <v>0</v>
      </c>
    </row>
    <row r="148" spans="1:27" x14ac:dyDescent="0.25">
      <c r="C148" s="1"/>
      <c r="D148" s="1"/>
    </row>
    <row r="149" spans="1:27" x14ac:dyDescent="0.25">
      <c r="C149" s="1"/>
      <c r="D149" s="1"/>
      <c r="E149" t="s">
        <v>75</v>
      </c>
      <c r="F149" t="s">
        <v>58</v>
      </c>
      <c r="H149" s="2">
        <f>SUM(H140:H142)/1000</f>
        <v>0</v>
      </c>
      <c r="I149" s="2">
        <f t="shared" ref="I149:AA149" si="49">SUM(I140:I142)/1000</f>
        <v>0</v>
      </c>
      <c r="J149" s="2">
        <f t="shared" si="49"/>
        <v>0</v>
      </c>
      <c r="K149" s="2">
        <f t="shared" si="49"/>
        <v>0</v>
      </c>
      <c r="L149" s="2">
        <f t="shared" si="49"/>
        <v>0</v>
      </c>
      <c r="M149" s="2">
        <f t="shared" si="49"/>
        <v>0</v>
      </c>
      <c r="N149" s="2">
        <f t="shared" si="49"/>
        <v>0</v>
      </c>
      <c r="O149" s="2">
        <f t="shared" si="49"/>
        <v>0</v>
      </c>
      <c r="P149" s="2">
        <f t="shared" si="49"/>
        <v>0</v>
      </c>
      <c r="Q149" s="2">
        <f t="shared" si="49"/>
        <v>0</v>
      </c>
      <c r="R149" s="2">
        <f t="shared" si="49"/>
        <v>0</v>
      </c>
      <c r="S149" s="2">
        <f t="shared" si="49"/>
        <v>0</v>
      </c>
      <c r="T149" s="2">
        <f t="shared" si="49"/>
        <v>0</v>
      </c>
      <c r="U149" s="2">
        <f t="shared" si="49"/>
        <v>0</v>
      </c>
      <c r="V149" s="2">
        <f t="shared" si="49"/>
        <v>0</v>
      </c>
      <c r="W149" s="2">
        <f t="shared" si="49"/>
        <v>0</v>
      </c>
      <c r="X149" s="2">
        <f t="shared" si="49"/>
        <v>0</v>
      </c>
      <c r="Y149" s="2">
        <f t="shared" si="49"/>
        <v>0</v>
      </c>
      <c r="Z149" s="2">
        <f t="shared" si="49"/>
        <v>0</v>
      </c>
      <c r="AA149" s="2">
        <f t="shared" si="49"/>
        <v>0</v>
      </c>
    </row>
    <row r="150" spans="1:27" x14ac:dyDescent="0.25">
      <c r="C150" s="1"/>
      <c r="D150" s="1"/>
      <c r="E150" t="s">
        <v>76</v>
      </c>
      <c r="F150" t="s">
        <v>7</v>
      </c>
      <c r="H150" s="2">
        <f>H133*H144+H140*H145+H141*H146+H142*H147</f>
        <v>0</v>
      </c>
      <c r="I150" s="2">
        <f t="shared" ref="I150:AA150" si="50">I133*I144+I140*I145+I141*I146+I142*I147</f>
        <v>0</v>
      </c>
      <c r="J150" s="2">
        <f t="shared" si="50"/>
        <v>0</v>
      </c>
      <c r="K150" s="2">
        <f t="shared" si="50"/>
        <v>0</v>
      </c>
      <c r="L150" s="2">
        <f t="shared" si="50"/>
        <v>0</v>
      </c>
      <c r="M150" s="2">
        <f t="shared" si="50"/>
        <v>0</v>
      </c>
      <c r="N150" s="2">
        <f t="shared" si="50"/>
        <v>0</v>
      </c>
      <c r="O150" s="2">
        <f t="shared" si="50"/>
        <v>0</v>
      </c>
      <c r="P150" s="2">
        <f t="shared" si="50"/>
        <v>0</v>
      </c>
      <c r="Q150" s="2">
        <f t="shared" si="50"/>
        <v>0</v>
      </c>
      <c r="R150" s="2">
        <f t="shared" si="50"/>
        <v>0</v>
      </c>
      <c r="S150" s="2">
        <f t="shared" si="50"/>
        <v>0</v>
      </c>
      <c r="T150" s="2">
        <f t="shared" si="50"/>
        <v>0</v>
      </c>
      <c r="U150" s="2">
        <f t="shared" si="50"/>
        <v>0</v>
      </c>
      <c r="V150" s="2">
        <f t="shared" si="50"/>
        <v>0</v>
      </c>
      <c r="W150" s="2">
        <f t="shared" si="50"/>
        <v>0</v>
      </c>
      <c r="X150" s="2">
        <f t="shared" si="50"/>
        <v>0</v>
      </c>
      <c r="Y150" s="2">
        <f t="shared" si="50"/>
        <v>0</v>
      </c>
      <c r="Z150" s="2">
        <f t="shared" si="50"/>
        <v>0</v>
      </c>
      <c r="AA150" s="2">
        <f t="shared" si="50"/>
        <v>0</v>
      </c>
    </row>
    <row r="151" spans="1:27" x14ac:dyDescent="0.25">
      <c r="C151" s="1"/>
      <c r="D151" s="1"/>
    </row>
    <row r="152" spans="1:27" x14ac:dyDescent="0.25">
      <c r="C152" s="1"/>
      <c r="D152" t="s">
        <v>77</v>
      </c>
    </row>
    <row r="153" spans="1:27" x14ac:dyDescent="0.25">
      <c r="A153" s="14">
        <f>'Notes &amp; Assumptions'!A44</f>
        <v>31</v>
      </c>
      <c r="C153" s="1"/>
      <c r="D153" s="1"/>
      <c r="E153" t="s">
        <v>87</v>
      </c>
      <c r="F153" t="s">
        <v>3</v>
      </c>
      <c r="H153" s="10">
        <v>0</v>
      </c>
      <c r="I153" s="10">
        <v>0</v>
      </c>
      <c r="J153" s="10">
        <v>0</v>
      </c>
      <c r="K153" s="10">
        <v>0</v>
      </c>
      <c r="L153" s="10">
        <v>0</v>
      </c>
      <c r="M153" s="10">
        <v>0</v>
      </c>
      <c r="N153" s="10">
        <v>0</v>
      </c>
      <c r="O153" s="10">
        <v>0</v>
      </c>
      <c r="P153" s="10">
        <v>0</v>
      </c>
      <c r="Q153" s="10">
        <v>0</v>
      </c>
      <c r="R153" s="10">
        <f>AVERAGE($O153:$Q153)</f>
        <v>0</v>
      </c>
      <c r="S153" s="10">
        <f t="shared" ref="S153:V153" si="51">AVERAGE($O153:$Q153)</f>
        <v>0</v>
      </c>
      <c r="T153" s="10">
        <f t="shared" si="51"/>
        <v>0</v>
      </c>
      <c r="U153" s="10">
        <f t="shared" si="51"/>
        <v>0</v>
      </c>
      <c r="V153" s="10">
        <f t="shared" si="51"/>
        <v>0</v>
      </c>
    </row>
    <row r="154" spans="1:27" x14ac:dyDescent="0.25">
      <c r="C154" s="1"/>
      <c r="D154" s="1"/>
      <c r="E154" t="s">
        <v>60</v>
      </c>
      <c r="F154" t="s">
        <v>3</v>
      </c>
      <c r="H154" s="2">
        <f>G154+H153</f>
        <v>0</v>
      </c>
      <c r="I154" s="2">
        <f t="shared" ref="I154:AA154" si="52">H154+I153</f>
        <v>0</v>
      </c>
      <c r="J154" s="2">
        <f t="shared" si="52"/>
        <v>0</v>
      </c>
      <c r="K154" s="2">
        <f t="shared" si="52"/>
        <v>0</v>
      </c>
      <c r="L154" s="2">
        <f t="shared" si="52"/>
        <v>0</v>
      </c>
      <c r="M154" s="2">
        <f t="shared" si="52"/>
        <v>0</v>
      </c>
      <c r="N154" s="2">
        <f t="shared" si="52"/>
        <v>0</v>
      </c>
      <c r="O154" s="2">
        <f t="shared" si="52"/>
        <v>0</v>
      </c>
      <c r="P154" s="2">
        <f t="shared" si="52"/>
        <v>0</v>
      </c>
      <c r="Q154" s="2">
        <f t="shared" si="52"/>
        <v>0</v>
      </c>
      <c r="R154" s="2">
        <f t="shared" si="52"/>
        <v>0</v>
      </c>
      <c r="S154" s="2">
        <f t="shared" si="52"/>
        <v>0</v>
      </c>
      <c r="T154" s="2">
        <f t="shared" si="52"/>
        <v>0</v>
      </c>
      <c r="U154" s="2">
        <f t="shared" si="52"/>
        <v>0</v>
      </c>
      <c r="V154" s="2">
        <f t="shared" si="52"/>
        <v>0</v>
      </c>
      <c r="W154" s="2">
        <f t="shared" si="52"/>
        <v>0</v>
      </c>
      <c r="X154" s="2">
        <f t="shared" si="52"/>
        <v>0</v>
      </c>
      <c r="Y154" s="2">
        <f t="shared" si="52"/>
        <v>0</v>
      </c>
      <c r="Z154" s="2">
        <f t="shared" si="52"/>
        <v>0</v>
      </c>
      <c r="AA154" s="2">
        <f t="shared" si="52"/>
        <v>0</v>
      </c>
    </row>
    <row r="155" spans="1:27" x14ac:dyDescent="0.25">
      <c r="A155" s="14">
        <f>'Notes &amp; Assumptions'!A45</f>
        <v>32</v>
      </c>
      <c r="C155" s="1"/>
      <c r="D155" s="1"/>
      <c r="E155" t="s">
        <v>61</v>
      </c>
      <c r="F155" t="s">
        <v>3</v>
      </c>
      <c r="G155" s="10">
        <v>1</v>
      </c>
    </row>
    <row r="156" spans="1:27" x14ac:dyDescent="0.25">
      <c r="C156" s="1"/>
      <c r="D156" s="1"/>
      <c r="E156" t="s">
        <v>88</v>
      </c>
      <c r="F156" t="s">
        <v>3</v>
      </c>
      <c r="H156">
        <f>H153*$G155</f>
        <v>0</v>
      </c>
      <c r="I156">
        <f t="shared" ref="I156:AA156" si="53">I153*$G155</f>
        <v>0</v>
      </c>
      <c r="J156">
        <f t="shared" si="53"/>
        <v>0</v>
      </c>
      <c r="K156">
        <f t="shared" si="53"/>
        <v>0</v>
      </c>
      <c r="L156">
        <f t="shared" si="53"/>
        <v>0</v>
      </c>
      <c r="M156">
        <f t="shared" si="53"/>
        <v>0</v>
      </c>
      <c r="N156">
        <f t="shared" si="53"/>
        <v>0</v>
      </c>
      <c r="O156">
        <f t="shared" si="53"/>
        <v>0</v>
      </c>
      <c r="P156">
        <f t="shared" si="53"/>
        <v>0</v>
      </c>
      <c r="Q156">
        <f t="shared" si="53"/>
        <v>0</v>
      </c>
      <c r="R156">
        <f t="shared" si="53"/>
        <v>0</v>
      </c>
      <c r="S156">
        <f t="shared" si="53"/>
        <v>0</v>
      </c>
      <c r="T156">
        <f t="shared" si="53"/>
        <v>0</v>
      </c>
      <c r="U156">
        <f t="shared" si="53"/>
        <v>0</v>
      </c>
      <c r="V156">
        <f t="shared" si="53"/>
        <v>0</v>
      </c>
      <c r="W156">
        <f t="shared" si="53"/>
        <v>0</v>
      </c>
      <c r="X156">
        <f t="shared" si="53"/>
        <v>0</v>
      </c>
      <c r="Y156">
        <f t="shared" si="53"/>
        <v>0</v>
      </c>
      <c r="Z156">
        <f t="shared" si="53"/>
        <v>0</v>
      </c>
      <c r="AA156">
        <f t="shared" si="53"/>
        <v>0</v>
      </c>
    </row>
    <row r="157" spans="1:27" x14ac:dyDescent="0.25">
      <c r="C157" s="1"/>
      <c r="D157" s="1"/>
      <c r="E157" t="s">
        <v>89</v>
      </c>
      <c r="F157" t="s">
        <v>3</v>
      </c>
      <c r="H157">
        <f>H154*$G155</f>
        <v>0</v>
      </c>
      <c r="I157">
        <f t="shared" ref="I157:AA157" si="54">I154*$G155</f>
        <v>0</v>
      </c>
      <c r="J157">
        <f t="shared" si="54"/>
        <v>0</v>
      </c>
      <c r="K157">
        <f t="shared" si="54"/>
        <v>0</v>
      </c>
      <c r="L157">
        <f t="shared" si="54"/>
        <v>0</v>
      </c>
      <c r="M157">
        <f t="shared" si="54"/>
        <v>0</v>
      </c>
      <c r="N157">
        <f t="shared" si="54"/>
        <v>0</v>
      </c>
      <c r="O157">
        <f t="shared" si="54"/>
        <v>0</v>
      </c>
      <c r="P157">
        <f t="shared" si="54"/>
        <v>0</v>
      </c>
      <c r="Q157">
        <f t="shared" si="54"/>
        <v>0</v>
      </c>
      <c r="R157">
        <f t="shared" si="54"/>
        <v>0</v>
      </c>
      <c r="S157">
        <f t="shared" si="54"/>
        <v>0</v>
      </c>
      <c r="T157">
        <f t="shared" si="54"/>
        <v>0</v>
      </c>
      <c r="U157">
        <f t="shared" si="54"/>
        <v>0</v>
      </c>
      <c r="V157">
        <f t="shared" si="54"/>
        <v>0</v>
      </c>
      <c r="W157">
        <f t="shared" si="54"/>
        <v>0</v>
      </c>
      <c r="X157">
        <f t="shared" si="54"/>
        <v>0</v>
      </c>
      <c r="Y157">
        <f t="shared" si="54"/>
        <v>0</v>
      </c>
      <c r="Z157">
        <f t="shared" si="54"/>
        <v>0</v>
      </c>
      <c r="AA157">
        <f t="shared" si="54"/>
        <v>0</v>
      </c>
    </row>
    <row r="158" spans="1:27" x14ac:dyDescent="0.25">
      <c r="A158" s="14">
        <f>'Notes &amp; Assumptions'!A46</f>
        <v>33</v>
      </c>
      <c r="C158" s="1"/>
      <c r="D158" s="1"/>
      <c r="E158" t="s">
        <v>62</v>
      </c>
      <c r="F158" t="s">
        <v>43</v>
      </c>
      <c r="H158" s="10"/>
      <c r="I158" s="10"/>
      <c r="J158" s="10"/>
      <c r="K158" s="10"/>
      <c r="L158" s="10"/>
      <c r="M158" s="10"/>
      <c r="N158" s="10"/>
      <c r="O158" s="10"/>
      <c r="P158" s="10"/>
      <c r="Q158" s="10"/>
      <c r="R158" s="10"/>
      <c r="S158" s="10"/>
      <c r="T158" s="10"/>
      <c r="U158" s="10"/>
      <c r="V158" s="10"/>
      <c r="W158" s="10"/>
      <c r="X158" s="10"/>
      <c r="Y158" s="10"/>
      <c r="Z158" s="10"/>
      <c r="AA158" s="10"/>
    </row>
    <row r="159" spans="1:27" x14ac:dyDescent="0.25">
      <c r="C159" s="1"/>
      <c r="D159" s="1"/>
      <c r="E159" t="s">
        <v>63</v>
      </c>
      <c r="F159" t="s">
        <v>43</v>
      </c>
      <c r="H159" s="10"/>
      <c r="I159" s="10"/>
      <c r="J159" s="10"/>
      <c r="K159" s="10"/>
      <c r="L159" s="10"/>
      <c r="M159" s="10"/>
      <c r="N159" s="10"/>
      <c r="O159" s="10"/>
      <c r="P159" s="10"/>
      <c r="Q159" s="10"/>
      <c r="R159" s="10"/>
      <c r="S159" s="10"/>
      <c r="T159" s="10"/>
      <c r="U159" s="10"/>
      <c r="V159" s="10"/>
      <c r="W159" s="10"/>
      <c r="X159" s="10"/>
      <c r="Y159" s="10"/>
      <c r="Z159" s="10"/>
      <c r="AA159" s="10"/>
    </row>
    <row r="160" spans="1:27" x14ac:dyDescent="0.25">
      <c r="A160" s="14">
        <f>'Notes &amp; Assumptions'!A47</f>
        <v>34</v>
      </c>
      <c r="C160" s="1"/>
      <c r="D160" s="1"/>
      <c r="E160" t="s">
        <v>140</v>
      </c>
      <c r="F160" t="s">
        <v>43</v>
      </c>
      <c r="H160" s="10"/>
      <c r="I160" s="10"/>
      <c r="J160" s="10"/>
      <c r="K160" s="10"/>
      <c r="L160" s="10"/>
      <c r="M160" s="10"/>
      <c r="N160" s="10"/>
      <c r="O160" s="10"/>
      <c r="P160" s="10"/>
      <c r="Q160" s="10"/>
      <c r="R160" s="10"/>
      <c r="S160" s="10"/>
      <c r="T160" s="10"/>
      <c r="U160" s="10"/>
      <c r="V160" s="10"/>
      <c r="W160" s="10"/>
      <c r="X160" s="10"/>
      <c r="Y160" s="10"/>
      <c r="Z160" s="10"/>
      <c r="AA160" s="10"/>
    </row>
    <row r="161" spans="1:27" x14ac:dyDescent="0.25">
      <c r="C161" s="1"/>
      <c r="D161" s="1"/>
      <c r="E161" t="s">
        <v>64</v>
      </c>
      <c r="F161" t="s">
        <v>144</v>
      </c>
      <c r="H161" s="2">
        <f>H154*H158</f>
        <v>0</v>
      </c>
      <c r="I161" s="2">
        <f t="shared" ref="I161:AA161" si="55">I154*I158</f>
        <v>0</v>
      </c>
      <c r="J161" s="2">
        <f t="shared" si="55"/>
        <v>0</v>
      </c>
      <c r="K161" s="2">
        <f t="shared" si="55"/>
        <v>0</v>
      </c>
      <c r="L161" s="2">
        <f t="shared" si="55"/>
        <v>0</v>
      </c>
      <c r="M161" s="2">
        <f t="shared" si="55"/>
        <v>0</v>
      </c>
      <c r="N161" s="2">
        <f t="shared" si="55"/>
        <v>0</v>
      </c>
      <c r="O161" s="2">
        <f t="shared" si="55"/>
        <v>0</v>
      </c>
      <c r="P161" s="2">
        <f t="shared" si="55"/>
        <v>0</v>
      </c>
      <c r="Q161" s="2">
        <f t="shared" si="55"/>
        <v>0</v>
      </c>
      <c r="R161" s="2">
        <f t="shared" si="55"/>
        <v>0</v>
      </c>
      <c r="S161" s="2">
        <f t="shared" si="55"/>
        <v>0</v>
      </c>
      <c r="T161" s="2">
        <f t="shared" si="55"/>
        <v>0</v>
      </c>
      <c r="U161" s="2">
        <f t="shared" si="55"/>
        <v>0</v>
      </c>
      <c r="V161" s="2">
        <f t="shared" si="55"/>
        <v>0</v>
      </c>
      <c r="W161" s="2">
        <f t="shared" si="55"/>
        <v>0</v>
      </c>
      <c r="X161" s="2">
        <f t="shared" si="55"/>
        <v>0</v>
      </c>
      <c r="Y161" s="2">
        <f t="shared" si="55"/>
        <v>0</v>
      </c>
      <c r="Z161" s="2">
        <f t="shared" si="55"/>
        <v>0</v>
      </c>
      <c r="AA161" s="2">
        <f t="shared" si="55"/>
        <v>0</v>
      </c>
    </row>
    <row r="162" spans="1:27" x14ac:dyDescent="0.25">
      <c r="C162" s="1"/>
      <c r="D162" s="1"/>
      <c r="E162" t="s">
        <v>65</v>
      </c>
      <c r="F162" t="s">
        <v>144</v>
      </c>
      <c r="H162" s="2">
        <f>H154*H159</f>
        <v>0</v>
      </c>
      <c r="I162" s="2">
        <f t="shared" ref="I162:AA162" si="56">I154*I159</f>
        <v>0</v>
      </c>
      <c r="J162" s="2">
        <f t="shared" si="56"/>
        <v>0</v>
      </c>
      <c r="K162" s="2">
        <f t="shared" si="56"/>
        <v>0</v>
      </c>
      <c r="L162" s="2">
        <f t="shared" si="56"/>
        <v>0</v>
      </c>
      <c r="M162" s="2">
        <f t="shared" si="56"/>
        <v>0</v>
      </c>
      <c r="N162" s="2">
        <f t="shared" si="56"/>
        <v>0</v>
      </c>
      <c r="O162" s="2">
        <f t="shared" si="56"/>
        <v>0</v>
      </c>
      <c r="P162" s="2">
        <f t="shared" si="56"/>
        <v>0</v>
      </c>
      <c r="Q162" s="2">
        <f t="shared" si="56"/>
        <v>0</v>
      </c>
      <c r="R162" s="2">
        <f t="shared" si="56"/>
        <v>0</v>
      </c>
      <c r="S162" s="2">
        <f t="shared" si="56"/>
        <v>0</v>
      </c>
      <c r="T162" s="2">
        <f t="shared" si="56"/>
        <v>0</v>
      </c>
      <c r="U162" s="2">
        <f t="shared" si="56"/>
        <v>0</v>
      </c>
      <c r="V162" s="2">
        <f t="shared" si="56"/>
        <v>0</v>
      </c>
      <c r="W162" s="2">
        <f t="shared" si="56"/>
        <v>0</v>
      </c>
      <c r="X162" s="2">
        <f t="shared" si="56"/>
        <v>0</v>
      </c>
      <c r="Y162" s="2">
        <f t="shared" si="56"/>
        <v>0</v>
      </c>
      <c r="Z162" s="2">
        <f t="shared" si="56"/>
        <v>0</v>
      </c>
      <c r="AA162" s="2">
        <f t="shared" si="56"/>
        <v>0</v>
      </c>
    </row>
    <row r="163" spans="1:27" x14ac:dyDescent="0.25">
      <c r="C163" s="1"/>
      <c r="D163" s="1"/>
      <c r="E163" t="s">
        <v>141</v>
      </c>
      <c r="F163" t="s">
        <v>144</v>
      </c>
      <c r="H163" s="2">
        <f>H154*H160</f>
        <v>0</v>
      </c>
      <c r="I163" s="2">
        <f t="shared" ref="I163:AA163" si="57">I154*I160</f>
        <v>0</v>
      </c>
      <c r="J163" s="2">
        <f t="shared" si="57"/>
        <v>0</v>
      </c>
      <c r="K163" s="2">
        <f t="shared" si="57"/>
        <v>0</v>
      </c>
      <c r="L163" s="2">
        <f t="shared" si="57"/>
        <v>0</v>
      </c>
      <c r="M163" s="2">
        <f t="shared" si="57"/>
        <v>0</v>
      </c>
      <c r="N163" s="2">
        <f t="shared" si="57"/>
        <v>0</v>
      </c>
      <c r="O163" s="2">
        <f t="shared" si="57"/>
        <v>0</v>
      </c>
      <c r="P163" s="2">
        <f t="shared" si="57"/>
        <v>0</v>
      </c>
      <c r="Q163" s="2">
        <f t="shared" si="57"/>
        <v>0</v>
      </c>
      <c r="R163" s="2">
        <f t="shared" si="57"/>
        <v>0</v>
      </c>
      <c r="S163" s="2">
        <f t="shared" si="57"/>
        <v>0</v>
      </c>
      <c r="T163" s="2">
        <f t="shared" si="57"/>
        <v>0</v>
      </c>
      <c r="U163" s="2">
        <f t="shared" si="57"/>
        <v>0</v>
      </c>
      <c r="V163" s="2">
        <f t="shared" si="57"/>
        <v>0</v>
      </c>
      <c r="W163" s="2">
        <f t="shared" si="57"/>
        <v>0</v>
      </c>
      <c r="X163" s="2">
        <f t="shared" si="57"/>
        <v>0</v>
      </c>
      <c r="Y163" s="2">
        <f t="shared" si="57"/>
        <v>0</v>
      </c>
      <c r="Z163" s="2">
        <f t="shared" si="57"/>
        <v>0</v>
      </c>
      <c r="AA163" s="2">
        <f t="shared" si="57"/>
        <v>0</v>
      </c>
    </row>
    <row r="164" spans="1:27" x14ac:dyDescent="0.25">
      <c r="A164" s="14">
        <f>'Notes &amp; Assumptions'!A48</f>
        <v>35</v>
      </c>
      <c r="C164" s="1"/>
      <c r="D164" s="1"/>
      <c r="E164" t="s">
        <v>66</v>
      </c>
      <c r="F164" t="s">
        <v>8</v>
      </c>
      <c r="H164" s="11"/>
      <c r="I164" s="11"/>
      <c r="J164" s="11"/>
      <c r="K164" s="11"/>
      <c r="L164" s="11"/>
      <c r="M164" s="11"/>
      <c r="N164" s="11"/>
      <c r="O164" s="11"/>
      <c r="P164" s="11"/>
      <c r="Q164" s="11"/>
      <c r="R164" s="11"/>
      <c r="S164" s="11"/>
      <c r="T164" s="11"/>
      <c r="U164" s="11"/>
      <c r="V164" s="11"/>
      <c r="W164" s="11"/>
      <c r="X164" s="11"/>
      <c r="Y164" s="11"/>
      <c r="Z164" s="11"/>
      <c r="AA164" s="11"/>
    </row>
    <row r="165" spans="1:27" x14ac:dyDescent="0.25">
      <c r="A165" s="14">
        <f>'Notes &amp; Assumptions'!A49</f>
        <v>36</v>
      </c>
      <c r="C165" s="1"/>
      <c r="D165" s="1"/>
      <c r="E165" t="s">
        <v>40</v>
      </c>
      <c r="F165" t="s">
        <v>41</v>
      </c>
      <c r="G165" s="10"/>
      <c r="H165" s="2">
        <f>G165*(1+$G$14)*(1+H164)</f>
        <v>0</v>
      </c>
      <c r="I165" s="2">
        <f t="shared" ref="I165:AA165" si="58">H165*(1+$G$14)*(1+I164)</f>
        <v>0</v>
      </c>
      <c r="J165" s="2">
        <f t="shared" si="58"/>
        <v>0</v>
      </c>
      <c r="K165" s="2">
        <f t="shared" si="58"/>
        <v>0</v>
      </c>
      <c r="L165" s="2">
        <f t="shared" si="58"/>
        <v>0</v>
      </c>
      <c r="M165" s="2">
        <f t="shared" si="58"/>
        <v>0</v>
      </c>
      <c r="N165" s="2">
        <f t="shared" si="58"/>
        <v>0</v>
      </c>
      <c r="O165" s="2">
        <f t="shared" si="58"/>
        <v>0</v>
      </c>
      <c r="P165" s="2">
        <f t="shared" si="58"/>
        <v>0</v>
      </c>
      <c r="Q165" s="2">
        <f t="shared" si="58"/>
        <v>0</v>
      </c>
      <c r="R165" s="2">
        <f t="shared" si="58"/>
        <v>0</v>
      </c>
      <c r="S165" s="2">
        <f t="shared" si="58"/>
        <v>0</v>
      </c>
      <c r="T165" s="2">
        <f t="shared" si="58"/>
        <v>0</v>
      </c>
      <c r="U165" s="2">
        <f t="shared" si="58"/>
        <v>0</v>
      </c>
      <c r="V165" s="2">
        <f t="shared" si="58"/>
        <v>0</v>
      </c>
      <c r="W165" s="2">
        <f t="shared" si="58"/>
        <v>0</v>
      </c>
      <c r="X165" s="2">
        <f t="shared" si="58"/>
        <v>0</v>
      </c>
      <c r="Y165" s="2">
        <f t="shared" si="58"/>
        <v>0</v>
      </c>
      <c r="Z165" s="2">
        <f t="shared" si="58"/>
        <v>0</v>
      </c>
      <c r="AA165" s="2">
        <f t="shared" si="58"/>
        <v>0</v>
      </c>
    </row>
    <row r="166" spans="1:27" x14ac:dyDescent="0.25">
      <c r="C166" s="1"/>
      <c r="D166" s="1"/>
      <c r="E166" t="s">
        <v>67</v>
      </c>
      <c r="F166" t="s">
        <v>143</v>
      </c>
      <c r="G166" s="20"/>
      <c r="H166" s="21">
        <f>G166*(1+$G$14)*(1+H164)</f>
        <v>0</v>
      </c>
      <c r="I166" s="21">
        <f t="shared" ref="I166:AA166" si="59">H166*(1+$G$14)*(1+I164)</f>
        <v>0</v>
      </c>
      <c r="J166" s="21">
        <f t="shared" si="59"/>
        <v>0</v>
      </c>
      <c r="K166" s="21">
        <f t="shared" si="59"/>
        <v>0</v>
      </c>
      <c r="L166" s="21">
        <f t="shared" si="59"/>
        <v>0</v>
      </c>
      <c r="M166" s="21">
        <f t="shared" si="59"/>
        <v>0</v>
      </c>
      <c r="N166" s="21">
        <f t="shared" si="59"/>
        <v>0</v>
      </c>
      <c r="O166" s="21">
        <f t="shared" si="59"/>
        <v>0</v>
      </c>
      <c r="P166" s="21">
        <f t="shared" si="59"/>
        <v>0</v>
      </c>
      <c r="Q166" s="21">
        <f t="shared" si="59"/>
        <v>0</v>
      </c>
      <c r="R166" s="21">
        <f t="shared" si="59"/>
        <v>0</v>
      </c>
      <c r="S166" s="21">
        <f t="shared" si="59"/>
        <v>0</v>
      </c>
      <c r="T166" s="21">
        <f t="shared" si="59"/>
        <v>0</v>
      </c>
      <c r="U166" s="21">
        <f t="shared" si="59"/>
        <v>0</v>
      </c>
      <c r="V166" s="21">
        <f t="shared" si="59"/>
        <v>0</v>
      </c>
      <c r="W166" s="21">
        <f t="shared" si="59"/>
        <v>0</v>
      </c>
      <c r="X166" s="21">
        <f t="shared" si="59"/>
        <v>0</v>
      </c>
      <c r="Y166" s="21">
        <f t="shared" si="59"/>
        <v>0</v>
      </c>
      <c r="Z166" s="21">
        <f t="shared" si="59"/>
        <v>0</v>
      </c>
      <c r="AA166" s="21">
        <f t="shared" si="59"/>
        <v>0</v>
      </c>
    </row>
    <row r="167" spans="1:27" x14ac:dyDescent="0.25">
      <c r="C167" s="1"/>
      <c r="D167" s="1"/>
      <c r="E167" t="s">
        <v>68</v>
      </c>
      <c r="F167" t="s">
        <v>143</v>
      </c>
      <c r="G167" s="20"/>
      <c r="H167" s="21">
        <f>G167*(1+$G$14)*(1+H164)</f>
        <v>0</v>
      </c>
      <c r="I167" s="21">
        <f t="shared" ref="I167:AA167" si="60">H167*(1+$G$14)*(1+I164)</f>
        <v>0</v>
      </c>
      <c r="J167" s="21">
        <f t="shared" si="60"/>
        <v>0</v>
      </c>
      <c r="K167" s="21">
        <f t="shared" si="60"/>
        <v>0</v>
      </c>
      <c r="L167" s="21">
        <f t="shared" si="60"/>
        <v>0</v>
      </c>
      <c r="M167" s="21">
        <f t="shared" si="60"/>
        <v>0</v>
      </c>
      <c r="N167" s="21">
        <f t="shared" si="60"/>
        <v>0</v>
      </c>
      <c r="O167" s="21">
        <f t="shared" si="60"/>
        <v>0</v>
      </c>
      <c r="P167" s="21">
        <f t="shared" si="60"/>
        <v>0</v>
      </c>
      <c r="Q167" s="21">
        <f t="shared" si="60"/>
        <v>0</v>
      </c>
      <c r="R167" s="21">
        <f t="shared" si="60"/>
        <v>0</v>
      </c>
      <c r="S167" s="21">
        <f t="shared" si="60"/>
        <v>0</v>
      </c>
      <c r="T167" s="21">
        <f t="shared" si="60"/>
        <v>0</v>
      </c>
      <c r="U167" s="21">
        <f t="shared" si="60"/>
        <v>0</v>
      </c>
      <c r="V167" s="21">
        <f t="shared" si="60"/>
        <v>0</v>
      </c>
      <c r="W167" s="21">
        <f t="shared" si="60"/>
        <v>0</v>
      </c>
      <c r="X167" s="21">
        <f t="shared" si="60"/>
        <v>0</v>
      </c>
      <c r="Y167" s="21">
        <f t="shared" si="60"/>
        <v>0</v>
      </c>
      <c r="Z167" s="21">
        <f t="shared" si="60"/>
        <v>0</v>
      </c>
      <c r="AA167" s="21">
        <f t="shared" si="60"/>
        <v>0</v>
      </c>
    </row>
    <row r="168" spans="1:27" x14ac:dyDescent="0.25">
      <c r="C168" s="1"/>
      <c r="D168" s="1"/>
      <c r="E168" t="s">
        <v>142</v>
      </c>
      <c r="F168" t="s">
        <v>143</v>
      </c>
      <c r="G168" s="20"/>
      <c r="H168" s="21">
        <f>G168*(1+$G$14)*(1+H164)</f>
        <v>0</v>
      </c>
      <c r="I168" s="21">
        <f t="shared" ref="I168:AA168" si="61">H168*(1+$G$14)*(1+I164)</f>
        <v>0</v>
      </c>
      <c r="J168" s="21">
        <f t="shared" si="61"/>
        <v>0</v>
      </c>
      <c r="K168" s="21">
        <f t="shared" si="61"/>
        <v>0</v>
      </c>
      <c r="L168" s="21">
        <f t="shared" si="61"/>
        <v>0</v>
      </c>
      <c r="M168" s="21">
        <f t="shared" si="61"/>
        <v>0</v>
      </c>
      <c r="N168" s="21">
        <f t="shared" si="61"/>
        <v>0</v>
      </c>
      <c r="O168" s="21">
        <f t="shared" si="61"/>
        <v>0</v>
      </c>
      <c r="P168" s="21">
        <f t="shared" si="61"/>
        <v>0</v>
      </c>
      <c r="Q168" s="21">
        <f t="shared" si="61"/>
        <v>0</v>
      </c>
      <c r="R168" s="21">
        <f t="shared" si="61"/>
        <v>0</v>
      </c>
      <c r="S168" s="21">
        <f t="shared" si="61"/>
        <v>0</v>
      </c>
      <c r="T168" s="21">
        <f t="shared" si="61"/>
        <v>0</v>
      </c>
      <c r="U168" s="21">
        <f t="shared" si="61"/>
        <v>0</v>
      </c>
      <c r="V168" s="21">
        <f t="shared" si="61"/>
        <v>0</v>
      </c>
      <c r="W168" s="21">
        <f t="shared" si="61"/>
        <v>0</v>
      </c>
      <c r="X168" s="21">
        <f t="shared" si="61"/>
        <v>0</v>
      </c>
      <c r="Y168" s="21">
        <f t="shared" si="61"/>
        <v>0</v>
      </c>
      <c r="Z168" s="21">
        <f t="shared" si="61"/>
        <v>0</v>
      </c>
      <c r="AA168" s="21">
        <f t="shared" si="61"/>
        <v>0</v>
      </c>
    </row>
    <row r="169" spans="1:27" x14ac:dyDescent="0.25">
      <c r="C169" s="1"/>
      <c r="D169" s="1"/>
    </row>
    <row r="170" spans="1:27" x14ac:dyDescent="0.25">
      <c r="C170" s="1"/>
      <c r="D170" s="1"/>
      <c r="E170" t="s">
        <v>78</v>
      </c>
      <c r="F170" t="s">
        <v>58</v>
      </c>
      <c r="H170" s="2">
        <f>SUM(H161:H163)/1000</f>
        <v>0</v>
      </c>
      <c r="I170" s="2">
        <f t="shared" ref="I170:AA170" si="62">SUM(I161:I163)/1000</f>
        <v>0</v>
      </c>
      <c r="J170" s="2">
        <f t="shared" si="62"/>
        <v>0</v>
      </c>
      <c r="K170" s="2">
        <f t="shared" si="62"/>
        <v>0</v>
      </c>
      <c r="L170" s="2">
        <f t="shared" si="62"/>
        <v>0</v>
      </c>
      <c r="M170" s="2">
        <f t="shared" si="62"/>
        <v>0</v>
      </c>
      <c r="N170" s="2">
        <f t="shared" si="62"/>
        <v>0</v>
      </c>
      <c r="O170" s="2">
        <f t="shared" si="62"/>
        <v>0</v>
      </c>
      <c r="P170" s="2">
        <f t="shared" si="62"/>
        <v>0</v>
      </c>
      <c r="Q170" s="2">
        <f t="shared" si="62"/>
        <v>0</v>
      </c>
      <c r="R170" s="2">
        <f t="shared" si="62"/>
        <v>0</v>
      </c>
      <c r="S170" s="2">
        <f t="shared" si="62"/>
        <v>0</v>
      </c>
      <c r="T170" s="2">
        <f t="shared" si="62"/>
        <v>0</v>
      </c>
      <c r="U170" s="2">
        <f t="shared" si="62"/>
        <v>0</v>
      </c>
      <c r="V170" s="2">
        <f t="shared" si="62"/>
        <v>0</v>
      </c>
      <c r="W170" s="2">
        <f t="shared" si="62"/>
        <v>0</v>
      </c>
      <c r="X170" s="2">
        <f t="shared" si="62"/>
        <v>0</v>
      </c>
      <c r="Y170" s="2">
        <f t="shared" si="62"/>
        <v>0</v>
      </c>
      <c r="Z170" s="2">
        <f t="shared" si="62"/>
        <v>0</v>
      </c>
      <c r="AA170" s="2">
        <f t="shared" si="62"/>
        <v>0</v>
      </c>
    </row>
    <row r="171" spans="1:27" x14ac:dyDescent="0.25">
      <c r="C171" s="1"/>
      <c r="D171" s="1"/>
      <c r="E171" t="s">
        <v>79</v>
      </c>
      <c r="F171" t="s">
        <v>7</v>
      </c>
      <c r="H171" s="2">
        <f>H154*H165+H161*H166+H162*H167+H163*H168</f>
        <v>0</v>
      </c>
      <c r="I171" s="2">
        <f t="shared" ref="I171:AA171" si="63">I154*I165+I161*I166+I162*I167+I163*I168</f>
        <v>0</v>
      </c>
      <c r="J171" s="2">
        <f t="shared" si="63"/>
        <v>0</v>
      </c>
      <c r="K171" s="2">
        <f t="shared" si="63"/>
        <v>0</v>
      </c>
      <c r="L171" s="2">
        <f t="shared" si="63"/>
        <v>0</v>
      </c>
      <c r="M171" s="2">
        <f t="shared" si="63"/>
        <v>0</v>
      </c>
      <c r="N171" s="2">
        <f t="shared" si="63"/>
        <v>0</v>
      </c>
      <c r="O171" s="2">
        <f t="shared" si="63"/>
        <v>0</v>
      </c>
      <c r="P171" s="2">
        <f t="shared" si="63"/>
        <v>0</v>
      </c>
      <c r="Q171" s="2">
        <f t="shared" si="63"/>
        <v>0</v>
      </c>
      <c r="R171" s="2">
        <f t="shared" si="63"/>
        <v>0</v>
      </c>
      <c r="S171" s="2">
        <f t="shared" si="63"/>
        <v>0</v>
      </c>
      <c r="T171" s="2">
        <f t="shared" si="63"/>
        <v>0</v>
      </c>
      <c r="U171" s="2">
        <f t="shared" si="63"/>
        <v>0</v>
      </c>
      <c r="V171" s="2">
        <f t="shared" si="63"/>
        <v>0</v>
      </c>
      <c r="W171" s="2">
        <f t="shared" si="63"/>
        <v>0</v>
      </c>
      <c r="X171" s="2">
        <f t="shared" si="63"/>
        <v>0</v>
      </c>
      <c r="Y171" s="2">
        <f t="shared" si="63"/>
        <v>0</v>
      </c>
      <c r="Z171" s="2">
        <f t="shared" si="63"/>
        <v>0</v>
      </c>
      <c r="AA171" s="2">
        <f t="shared" si="63"/>
        <v>0</v>
      </c>
    </row>
    <row r="172" spans="1:27" x14ac:dyDescent="0.25">
      <c r="C172" s="1"/>
      <c r="D172" s="1"/>
    </row>
    <row r="173" spans="1:27" x14ac:dyDescent="0.25">
      <c r="C173" s="1"/>
      <c r="D173" t="s">
        <v>80</v>
      </c>
    </row>
    <row r="174" spans="1:27" x14ac:dyDescent="0.25">
      <c r="C174" s="1"/>
      <c r="E174" t="s">
        <v>91</v>
      </c>
      <c r="F174" t="s">
        <v>3</v>
      </c>
      <c r="H174">
        <f t="shared" ref="H174:AA175" si="64">SUM(H93,H114,H135,H156)</f>
        <v>713</v>
      </c>
      <c r="I174">
        <f t="shared" si="64"/>
        <v>712</v>
      </c>
      <c r="J174">
        <f t="shared" si="64"/>
        <v>724.5</v>
      </c>
      <c r="K174">
        <f t="shared" si="64"/>
        <v>701</v>
      </c>
      <c r="L174">
        <f t="shared" si="64"/>
        <v>678</v>
      </c>
      <c r="M174">
        <f t="shared" si="64"/>
        <v>654</v>
      </c>
      <c r="N174">
        <f t="shared" si="64"/>
        <v>631</v>
      </c>
      <c r="O174">
        <f t="shared" si="64"/>
        <v>609.5</v>
      </c>
      <c r="P174">
        <f t="shared" si="64"/>
        <v>642</v>
      </c>
      <c r="Q174">
        <f t="shared" si="64"/>
        <v>679</v>
      </c>
      <c r="R174">
        <f t="shared" si="64"/>
        <v>716</v>
      </c>
      <c r="S174">
        <f t="shared" si="64"/>
        <v>758.5</v>
      </c>
      <c r="T174">
        <f t="shared" si="64"/>
        <v>801</v>
      </c>
      <c r="U174">
        <f t="shared" si="64"/>
        <v>797</v>
      </c>
      <c r="V174">
        <f t="shared" si="64"/>
        <v>793.5</v>
      </c>
      <c r="W174">
        <f t="shared" si="64"/>
        <v>0</v>
      </c>
      <c r="X174">
        <f t="shared" si="64"/>
        <v>0</v>
      </c>
      <c r="Y174">
        <f t="shared" si="64"/>
        <v>0</v>
      </c>
      <c r="Z174">
        <f t="shared" si="64"/>
        <v>0</v>
      </c>
      <c r="AA174">
        <f t="shared" si="64"/>
        <v>0</v>
      </c>
    </row>
    <row r="175" spans="1:27" x14ac:dyDescent="0.25">
      <c r="C175" s="1"/>
      <c r="D175" s="1"/>
      <c r="E175" t="s">
        <v>90</v>
      </c>
      <c r="F175" t="s">
        <v>3</v>
      </c>
      <c r="H175">
        <f t="shared" si="64"/>
        <v>713</v>
      </c>
      <c r="I175">
        <f t="shared" si="64"/>
        <v>1425</v>
      </c>
      <c r="J175">
        <f t="shared" si="64"/>
        <v>2149.5</v>
      </c>
      <c r="K175">
        <f t="shared" si="64"/>
        <v>2850.5</v>
      </c>
      <c r="L175">
        <f t="shared" si="64"/>
        <v>3528.5</v>
      </c>
      <c r="M175">
        <f t="shared" si="64"/>
        <v>4182.5</v>
      </c>
      <c r="N175">
        <f t="shared" si="64"/>
        <v>4813.5</v>
      </c>
      <c r="O175">
        <f t="shared" si="64"/>
        <v>5423</v>
      </c>
      <c r="P175">
        <f t="shared" si="64"/>
        <v>6065</v>
      </c>
      <c r="Q175">
        <f t="shared" si="64"/>
        <v>6744</v>
      </c>
      <c r="R175">
        <f t="shared" si="64"/>
        <v>7460</v>
      </c>
      <c r="S175">
        <f t="shared" si="64"/>
        <v>8218.5</v>
      </c>
      <c r="T175">
        <f t="shared" si="64"/>
        <v>9019.5</v>
      </c>
      <c r="U175">
        <f t="shared" si="64"/>
        <v>9816.5</v>
      </c>
      <c r="V175">
        <f t="shared" si="64"/>
        <v>10610</v>
      </c>
      <c r="W175">
        <f t="shared" si="64"/>
        <v>10610</v>
      </c>
      <c r="X175">
        <f t="shared" si="64"/>
        <v>10610</v>
      </c>
      <c r="Y175">
        <f t="shared" si="64"/>
        <v>10610</v>
      </c>
      <c r="Z175">
        <f t="shared" si="64"/>
        <v>10610</v>
      </c>
      <c r="AA175">
        <f t="shared" si="64"/>
        <v>10610</v>
      </c>
    </row>
    <row r="176" spans="1:27" x14ac:dyDescent="0.25">
      <c r="C176" s="1"/>
      <c r="D176" s="1"/>
      <c r="E176" t="s">
        <v>81</v>
      </c>
      <c r="F176" t="s">
        <v>58</v>
      </c>
      <c r="H176" s="2">
        <f t="shared" ref="H176:AA177" si="65">SUM(H107,H128,H149,H170)</f>
        <v>94.439499999999995</v>
      </c>
      <c r="I176" s="2">
        <f t="shared" si="65"/>
        <v>188.76650000000001</v>
      </c>
      <c r="J176" s="2">
        <f t="shared" si="65"/>
        <v>284.84674999999999</v>
      </c>
      <c r="K176" s="2">
        <f t="shared" si="65"/>
        <v>377.58924999999999</v>
      </c>
      <c r="L176" s="2">
        <f t="shared" si="65"/>
        <v>467.39724999999999</v>
      </c>
      <c r="M176" s="2">
        <f t="shared" si="65"/>
        <v>553.81124999999997</v>
      </c>
      <c r="N176" s="2">
        <f t="shared" si="65"/>
        <v>637.11725000000001</v>
      </c>
      <c r="O176" s="2">
        <f t="shared" si="65"/>
        <v>717.65750000000003</v>
      </c>
      <c r="P176" s="2">
        <f t="shared" si="65"/>
        <v>802.37450000000001</v>
      </c>
      <c r="Q176" s="2">
        <f t="shared" si="65"/>
        <v>892.12149999999997</v>
      </c>
      <c r="R176" s="2">
        <f t="shared" si="65"/>
        <v>986.72500000000002</v>
      </c>
      <c r="S176" s="2">
        <f t="shared" si="65"/>
        <v>1087.15075</v>
      </c>
      <c r="T176" s="2">
        <f t="shared" si="65"/>
        <v>1193.0517500000001</v>
      </c>
      <c r="U176" s="2">
        <f t="shared" si="65"/>
        <v>1298.32925</v>
      </c>
      <c r="V176" s="2">
        <f t="shared" si="65"/>
        <v>1403.213</v>
      </c>
      <c r="W176" s="2">
        <f t="shared" si="65"/>
        <v>1403.213</v>
      </c>
      <c r="X176" s="2">
        <f t="shared" si="65"/>
        <v>1403.213</v>
      </c>
      <c r="Y176" s="2">
        <f t="shared" si="65"/>
        <v>1403.213</v>
      </c>
      <c r="Z176" s="2">
        <f t="shared" si="65"/>
        <v>1403.213</v>
      </c>
      <c r="AA176" s="2">
        <f t="shared" si="65"/>
        <v>1403.213</v>
      </c>
    </row>
    <row r="177" spans="1:27" x14ac:dyDescent="0.25">
      <c r="C177" s="1"/>
      <c r="D177" s="1"/>
      <c r="E177" t="s">
        <v>82</v>
      </c>
      <c r="F177" t="s">
        <v>7</v>
      </c>
      <c r="H177" s="2">
        <f t="shared" si="65"/>
        <v>381628.5170682458</v>
      </c>
      <c r="I177" s="2">
        <f t="shared" si="65"/>
        <v>757478.74779573421</v>
      </c>
      <c r="J177" s="2">
        <f t="shared" si="65"/>
        <v>1167015.8825859842</v>
      </c>
      <c r="K177" s="2">
        <f t="shared" si="65"/>
        <v>1579490.5779670491</v>
      </c>
      <c r="L177" s="2">
        <f t="shared" si="65"/>
        <v>1996224.5982853728</v>
      </c>
      <c r="M177" s="2">
        <f t="shared" si="65"/>
        <v>2414997.9624464838</v>
      </c>
      <c r="N177" s="2">
        <f t="shared" si="65"/>
        <v>2836651.6630771486</v>
      </c>
      <c r="O177" s="2">
        <f t="shared" si="65"/>
        <v>3262364.3658038136</v>
      </c>
      <c r="P177" s="2">
        <f t="shared" si="65"/>
        <v>3724111.9881470096</v>
      </c>
      <c r="Q177" s="2">
        <f t="shared" si="65"/>
        <v>4227628.0405966435</v>
      </c>
      <c r="R177" s="2">
        <f t="shared" si="65"/>
        <v>4774153.4381940626</v>
      </c>
      <c r="S177" s="2">
        <f t="shared" si="65"/>
        <v>5370495.3373514498</v>
      </c>
      <c r="T177" s="2">
        <f t="shared" si="65"/>
        <v>6017419.9043528102</v>
      </c>
      <c r="U177" s="2">
        <f t="shared" si="65"/>
        <v>6685953.2802573713</v>
      </c>
      <c r="V177" s="2">
        <f t="shared" si="65"/>
        <v>7377828.2750419639</v>
      </c>
      <c r="W177" s="2">
        <f t="shared" si="65"/>
        <v>7532762.6688178442</v>
      </c>
      <c r="X177" s="2">
        <f t="shared" si="65"/>
        <v>7690950.6848630179</v>
      </c>
      <c r="Y177" s="2">
        <f t="shared" si="65"/>
        <v>7852460.6492451411</v>
      </c>
      <c r="Z177" s="2">
        <f t="shared" si="65"/>
        <v>8017362.3228792883</v>
      </c>
      <c r="AA177" s="2">
        <f t="shared" si="65"/>
        <v>8185726.9316597525</v>
      </c>
    </row>
    <row r="178" spans="1:27" x14ac:dyDescent="0.25">
      <c r="C178" s="1"/>
      <c r="D178" s="1"/>
    </row>
    <row r="179" spans="1:27" x14ac:dyDescent="0.25">
      <c r="C179" s="1"/>
      <c r="D179" s="1"/>
      <c r="E179" s="3" t="s">
        <v>84</v>
      </c>
      <c r="F179" s="3" t="s">
        <v>85</v>
      </c>
      <c r="G179" s="3"/>
      <c r="H179" s="9">
        <f>H176*1000/H175</f>
        <v>132.45371669004209</v>
      </c>
      <c r="I179" s="9">
        <f t="shared" ref="I179:AA179" si="66">I176*1000/I175</f>
        <v>132.46771929824561</v>
      </c>
      <c r="J179" s="9">
        <f t="shared" si="66"/>
        <v>132.51767852989067</v>
      </c>
      <c r="K179" s="9">
        <f t="shared" si="66"/>
        <v>132.46421680406945</v>
      </c>
      <c r="L179" s="9">
        <f t="shared" si="66"/>
        <v>132.46344055547684</v>
      </c>
      <c r="M179" s="9">
        <f t="shared" si="66"/>
        <v>132.41153616258219</v>
      </c>
      <c r="N179" s="9">
        <f t="shared" si="66"/>
        <v>132.36049652020358</v>
      </c>
      <c r="O179" s="9">
        <f t="shared" si="66"/>
        <v>132.33588419693896</v>
      </c>
      <c r="P179" s="9">
        <f t="shared" si="66"/>
        <v>132.29587798845836</v>
      </c>
      <c r="Q179" s="9">
        <f t="shared" si="66"/>
        <v>132.28373368920521</v>
      </c>
      <c r="R179" s="9">
        <f t="shared" si="66"/>
        <v>132.26876675603216</v>
      </c>
      <c r="S179" s="9">
        <f t="shared" si="66"/>
        <v>132.2809210926568</v>
      </c>
      <c r="T179" s="9">
        <f t="shared" si="66"/>
        <v>132.27471034979766</v>
      </c>
      <c r="U179" s="9">
        <f t="shared" si="66"/>
        <v>132.25989405592625</v>
      </c>
      <c r="V179" s="9">
        <f t="shared" si="66"/>
        <v>132.25381715362866</v>
      </c>
      <c r="W179" s="9">
        <f t="shared" si="66"/>
        <v>132.25381715362866</v>
      </c>
      <c r="X179" s="9">
        <f t="shared" si="66"/>
        <v>132.25381715362866</v>
      </c>
      <c r="Y179" s="9">
        <f t="shared" si="66"/>
        <v>132.25381715362866</v>
      </c>
      <c r="Z179" s="9">
        <f t="shared" si="66"/>
        <v>132.25381715362866</v>
      </c>
      <c r="AA179" s="9">
        <f t="shared" si="66"/>
        <v>132.25381715362866</v>
      </c>
    </row>
    <row r="180" spans="1:27" x14ac:dyDescent="0.25">
      <c r="C180" s="1"/>
      <c r="D180" s="1"/>
      <c r="E180" s="3" t="s">
        <v>83</v>
      </c>
      <c r="F180" s="3" t="s">
        <v>22</v>
      </c>
      <c r="G180" s="3"/>
      <c r="H180" s="9">
        <f>H177/H175</f>
        <v>535.24336194704881</v>
      </c>
      <c r="I180" s="9">
        <f t="shared" ref="I180:AA180" si="67">I177/I175</f>
        <v>531.56403354086615</v>
      </c>
      <c r="J180" s="9">
        <f t="shared" si="67"/>
        <v>542.9243463996205</v>
      </c>
      <c r="K180" s="9">
        <f t="shared" si="67"/>
        <v>554.11000805720016</v>
      </c>
      <c r="L180" s="9">
        <f t="shared" si="67"/>
        <v>565.74311982014251</v>
      </c>
      <c r="M180" s="9">
        <f t="shared" si="67"/>
        <v>577.40537057895608</v>
      </c>
      <c r="N180" s="9">
        <f t="shared" si="67"/>
        <v>589.31165743786198</v>
      </c>
      <c r="O180" s="9">
        <f t="shared" si="67"/>
        <v>601.57926715910264</v>
      </c>
      <c r="P180" s="9">
        <f t="shared" si="67"/>
        <v>614.03330389892983</v>
      </c>
      <c r="Q180" s="9">
        <f t="shared" si="67"/>
        <v>626.87248526047506</v>
      </c>
      <c r="R180" s="9">
        <f t="shared" si="67"/>
        <v>639.96694881957944</v>
      </c>
      <c r="S180" s="9">
        <f t="shared" si="67"/>
        <v>653.46417683901564</v>
      </c>
      <c r="T180" s="9">
        <f t="shared" si="67"/>
        <v>667.15670539972393</v>
      </c>
      <c r="U180" s="9">
        <f t="shared" si="67"/>
        <v>681.09339176461788</v>
      </c>
      <c r="V180" s="9">
        <f t="shared" si="67"/>
        <v>695.36553016418134</v>
      </c>
      <c r="W180" s="9">
        <f t="shared" si="67"/>
        <v>709.96820629762908</v>
      </c>
      <c r="X180" s="9">
        <f t="shared" si="67"/>
        <v>724.87753862987915</v>
      </c>
      <c r="Y180" s="9">
        <f t="shared" si="67"/>
        <v>740.09996694110657</v>
      </c>
      <c r="Z180" s="9">
        <f t="shared" si="67"/>
        <v>755.64206624686983</v>
      </c>
      <c r="AA180" s="9">
        <f t="shared" si="67"/>
        <v>771.51054963805393</v>
      </c>
    </row>
    <row r="181" spans="1:27" x14ac:dyDescent="0.25">
      <c r="C181" s="1"/>
      <c r="D181" s="1"/>
      <c r="E181" s="3" t="s">
        <v>86</v>
      </c>
      <c r="F181" s="3" t="s">
        <v>4</v>
      </c>
      <c r="G181" s="3"/>
      <c r="H181" s="9">
        <f>H177/H176</f>
        <v>4040.9840910661937</v>
      </c>
      <c r="I181" s="9">
        <f t="shared" ref="I181:AA181" si="68">I177/I176</f>
        <v>4012.7816524422192</v>
      </c>
      <c r="J181" s="9">
        <f t="shared" si="68"/>
        <v>4096.9956040782781</v>
      </c>
      <c r="K181" s="9">
        <f t="shared" si="68"/>
        <v>4183.0920185546838</v>
      </c>
      <c r="L181" s="9">
        <f t="shared" si="68"/>
        <v>4270.9378334711491</v>
      </c>
      <c r="M181" s="9">
        <f t="shared" si="68"/>
        <v>4360.6878019297801</v>
      </c>
      <c r="N181" s="9">
        <f t="shared" si="68"/>
        <v>4452.322807265301</v>
      </c>
      <c r="O181" s="9">
        <f t="shared" si="68"/>
        <v>4545.8514204948924</v>
      </c>
      <c r="P181" s="9">
        <f t="shared" si="68"/>
        <v>4641.3638371446368</v>
      </c>
      <c r="Q181" s="9">
        <f t="shared" si="68"/>
        <v>4738.8478369780842</v>
      </c>
      <c r="R181" s="9">
        <f t="shared" si="68"/>
        <v>4838.3829721493448</v>
      </c>
      <c r="S181" s="9">
        <f t="shared" si="68"/>
        <v>4939.9729865903601</v>
      </c>
      <c r="T181" s="9">
        <f t="shared" si="68"/>
        <v>5043.720781058164</v>
      </c>
      <c r="U181" s="9">
        <f t="shared" si="68"/>
        <v>5149.6592873166583</v>
      </c>
      <c r="V181" s="9">
        <f t="shared" si="68"/>
        <v>5257.8106638421705</v>
      </c>
      <c r="W181" s="9">
        <f t="shared" si="68"/>
        <v>5368.2246877828557</v>
      </c>
      <c r="X181" s="9">
        <f t="shared" si="68"/>
        <v>5480.9574062262946</v>
      </c>
      <c r="Y181" s="9">
        <f t="shared" si="68"/>
        <v>5596.057511757047</v>
      </c>
      <c r="Z181" s="9">
        <f t="shared" si="68"/>
        <v>5713.5747195039448</v>
      </c>
      <c r="AA181" s="9">
        <f t="shared" si="68"/>
        <v>5833.5597886135265</v>
      </c>
    </row>
    <row r="182" spans="1:27" x14ac:dyDescent="0.25">
      <c r="C182" s="1"/>
      <c r="D182" s="1"/>
    </row>
    <row r="183" spans="1:27" x14ac:dyDescent="0.25">
      <c r="C183" s="1" t="str">
        <f>"Incremental "&amp;VLOOKUP(G4,E320:F322,2,FALSE)&amp;" Charges"</f>
        <v>Incremental Bulk Wastewater Charges</v>
      </c>
      <c r="G183" t="s">
        <v>323</v>
      </c>
      <c r="H183" s="53">
        <v>0</v>
      </c>
      <c r="I183" s="2"/>
      <c r="J183" s="2"/>
      <c r="K183" s="2"/>
      <c r="L183" s="2"/>
      <c r="M183" s="2"/>
      <c r="N183" s="2"/>
      <c r="O183" s="2"/>
      <c r="P183" s="2"/>
      <c r="Q183" s="2"/>
      <c r="R183" s="2"/>
      <c r="S183" s="2"/>
      <c r="T183" s="2"/>
      <c r="U183" s="2"/>
      <c r="V183" s="2"/>
      <c r="W183" s="2"/>
      <c r="X183" s="2"/>
      <c r="Y183" s="2"/>
      <c r="Z183" s="2"/>
      <c r="AA183" s="2"/>
    </row>
    <row r="184" spans="1:27" x14ac:dyDescent="0.25">
      <c r="A184" s="14">
        <f>'Notes &amp; Assumptions'!A50</f>
        <v>37</v>
      </c>
      <c r="E184" t="s">
        <v>118</v>
      </c>
      <c r="F184" t="s">
        <v>8</v>
      </c>
      <c r="H184" s="11"/>
      <c r="I184" s="11"/>
      <c r="J184" s="11"/>
      <c r="K184" s="11"/>
      <c r="L184" s="11"/>
      <c r="M184" s="11"/>
      <c r="N184" s="11"/>
      <c r="O184" s="11"/>
      <c r="P184" s="11"/>
      <c r="Q184" s="11"/>
      <c r="R184" s="11"/>
      <c r="S184" s="11"/>
      <c r="T184" s="11"/>
      <c r="U184" s="11"/>
      <c r="V184" s="11"/>
      <c r="W184" s="11"/>
      <c r="X184" s="11"/>
      <c r="Y184" s="11"/>
      <c r="Z184" s="11"/>
      <c r="AA184" s="11"/>
    </row>
    <row r="185" spans="1:27" x14ac:dyDescent="0.25">
      <c r="A185" s="14">
        <f>'Notes &amp; Assumptions'!A51</f>
        <v>38</v>
      </c>
      <c r="E185" t="s">
        <v>122</v>
      </c>
      <c r="F185" t="s">
        <v>4</v>
      </c>
      <c r="G185" s="10">
        <f>'Bulk charges'!D35*H183</f>
        <v>0</v>
      </c>
      <c r="H185" s="2">
        <f t="shared" ref="H185:AA185" si="69">G185*(1+$G$14)*(1+H184)</f>
        <v>0</v>
      </c>
      <c r="I185" s="2">
        <f t="shared" si="69"/>
        <v>0</v>
      </c>
      <c r="J185" s="2">
        <f t="shared" si="69"/>
        <v>0</v>
      </c>
      <c r="K185" s="2">
        <f t="shared" si="69"/>
        <v>0</v>
      </c>
      <c r="L185" s="2">
        <f t="shared" si="69"/>
        <v>0</v>
      </c>
      <c r="M185" s="2">
        <f t="shared" si="69"/>
        <v>0</v>
      </c>
      <c r="N185" s="2">
        <f t="shared" si="69"/>
        <v>0</v>
      </c>
      <c r="O185" s="2">
        <f t="shared" si="69"/>
        <v>0</v>
      </c>
      <c r="P185" s="2">
        <f t="shared" si="69"/>
        <v>0</v>
      </c>
      <c r="Q185" s="2">
        <f t="shared" si="69"/>
        <v>0</v>
      </c>
      <c r="R185" s="2">
        <f t="shared" si="69"/>
        <v>0</v>
      </c>
      <c r="S185" s="2">
        <f t="shared" si="69"/>
        <v>0</v>
      </c>
      <c r="T185" s="2">
        <f t="shared" si="69"/>
        <v>0</v>
      </c>
      <c r="U185" s="2">
        <f t="shared" si="69"/>
        <v>0</v>
      </c>
      <c r="V185" s="2">
        <f t="shared" si="69"/>
        <v>0</v>
      </c>
      <c r="W185" s="2">
        <f t="shared" si="69"/>
        <v>0</v>
      </c>
      <c r="X185" s="2">
        <f t="shared" si="69"/>
        <v>0</v>
      </c>
      <c r="Y185" s="2">
        <f t="shared" si="69"/>
        <v>0</v>
      </c>
      <c r="Z185" s="2">
        <f t="shared" si="69"/>
        <v>0</v>
      </c>
      <c r="AA185" s="2">
        <f t="shared" si="69"/>
        <v>0</v>
      </c>
    </row>
    <row r="186" spans="1:27" x14ac:dyDescent="0.25">
      <c r="A186" s="14">
        <f>'Notes &amp; Assumptions'!A52</f>
        <v>39</v>
      </c>
      <c r="E186" t="s">
        <v>123</v>
      </c>
      <c r="F186" t="s">
        <v>7</v>
      </c>
      <c r="G186" s="23">
        <f>'Bulk charges'!D32*H183</f>
        <v>0</v>
      </c>
      <c r="H186" s="10">
        <f>G186*(1+$G$14)*(1+H184)*(H154+H133+H112+H91)</f>
        <v>0</v>
      </c>
      <c r="I186" s="10">
        <f>H186/(H154+H133+H112+H91)*(1+$G$14)*(1+I184)*(I154+I133+I112+I91)</f>
        <v>0</v>
      </c>
      <c r="J186" s="10">
        <f>I186/(I154+I133+I112+I91)*(1+$G$14)*(1+J184)*(J154+J133+J112+J91)</f>
        <v>0</v>
      </c>
      <c r="K186" s="10">
        <f t="shared" ref="K186:AA186" si="70">J186/(J154+J133+J112+J91)*(1+$G$14)*(1+K184)*(K154+K133+K112+K91)</f>
        <v>0</v>
      </c>
      <c r="L186" s="10">
        <f t="shared" si="70"/>
        <v>0</v>
      </c>
      <c r="M186" s="10">
        <f t="shared" si="70"/>
        <v>0</v>
      </c>
      <c r="N186" s="10">
        <f t="shared" si="70"/>
        <v>0</v>
      </c>
      <c r="O186" s="10">
        <f t="shared" si="70"/>
        <v>0</v>
      </c>
      <c r="P186" s="10">
        <f t="shared" si="70"/>
        <v>0</v>
      </c>
      <c r="Q186" s="10">
        <f t="shared" si="70"/>
        <v>0</v>
      </c>
      <c r="R186" s="10">
        <f t="shared" si="70"/>
        <v>0</v>
      </c>
      <c r="S186" s="10">
        <f t="shared" si="70"/>
        <v>0</v>
      </c>
      <c r="T186" s="10">
        <f t="shared" si="70"/>
        <v>0</v>
      </c>
      <c r="U186" s="10">
        <f t="shared" si="70"/>
        <v>0</v>
      </c>
      <c r="V186" s="10">
        <f t="shared" si="70"/>
        <v>0</v>
      </c>
      <c r="W186" s="10">
        <f t="shared" si="70"/>
        <v>0</v>
      </c>
      <c r="X186" s="10">
        <f t="shared" si="70"/>
        <v>0</v>
      </c>
      <c r="Y186" s="10">
        <f t="shared" si="70"/>
        <v>0</v>
      </c>
      <c r="Z186" s="10">
        <f t="shared" si="70"/>
        <v>0</v>
      </c>
      <c r="AA186" s="10">
        <f t="shared" si="70"/>
        <v>0</v>
      </c>
    </row>
    <row r="187" spans="1:27" x14ac:dyDescent="0.25">
      <c r="E187" t="s">
        <v>57</v>
      </c>
      <c r="F187" t="s">
        <v>7</v>
      </c>
      <c r="H187" s="2">
        <f>H185*H176*$H183+H186*$H183</f>
        <v>0</v>
      </c>
      <c r="I187" s="2">
        <f t="shared" ref="I187:AA187" si="71">I185*I176*$H183+I186*$H183</f>
        <v>0</v>
      </c>
      <c r="J187" s="2">
        <f t="shared" si="71"/>
        <v>0</v>
      </c>
      <c r="K187" s="2">
        <f t="shared" si="71"/>
        <v>0</v>
      </c>
      <c r="L187" s="2">
        <f t="shared" si="71"/>
        <v>0</v>
      </c>
      <c r="M187" s="2">
        <f t="shared" si="71"/>
        <v>0</v>
      </c>
      <c r="N187" s="2">
        <f t="shared" si="71"/>
        <v>0</v>
      </c>
      <c r="O187" s="2">
        <f t="shared" si="71"/>
        <v>0</v>
      </c>
      <c r="P187" s="2">
        <f t="shared" si="71"/>
        <v>0</v>
      </c>
      <c r="Q187" s="2">
        <f t="shared" si="71"/>
        <v>0</v>
      </c>
      <c r="R187" s="2">
        <f t="shared" si="71"/>
        <v>0</v>
      </c>
      <c r="S187" s="2">
        <f t="shared" si="71"/>
        <v>0</v>
      </c>
      <c r="T187" s="2">
        <f t="shared" si="71"/>
        <v>0</v>
      </c>
      <c r="U187" s="2">
        <f t="shared" si="71"/>
        <v>0</v>
      </c>
      <c r="V187" s="2">
        <f t="shared" si="71"/>
        <v>0</v>
      </c>
      <c r="W187" s="2">
        <f t="shared" si="71"/>
        <v>0</v>
      </c>
      <c r="X187" s="2">
        <f t="shared" si="71"/>
        <v>0</v>
      </c>
      <c r="Y187" s="2">
        <f t="shared" si="71"/>
        <v>0</v>
      </c>
      <c r="Z187" s="2">
        <f t="shared" si="71"/>
        <v>0</v>
      </c>
      <c r="AA187" s="2">
        <f t="shared" si="71"/>
        <v>0</v>
      </c>
    </row>
    <row r="188" spans="1:27" x14ac:dyDescent="0.25">
      <c r="H188" s="2"/>
      <c r="I188" s="2"/>
      <c r="J188" s="2"/>
      <c r="K188" s="2"/>
      <c r="L188" s="2"/>
      <c r="M188" s="2"/>
      <c r="N188" s="2"/>
      <c r="O188" s="2"/>
      <c r="P188" s="2"/>
      <c r="Q188" s="2"/>
      <c r="R188" s="2"/>
      <c r="S188" s="2"/>
      <c r="T188" s="2"/>
      <c r="U188" s="2"/>
      <c r="V188" s="2"/>
      <c r="W188" s="2"/>
      <c r="X188" s="2"/>
      <c r="Y188" s="2"/>
      <c r="Z188" s="2"/>
      <c r="AA188" s="2"/>
    </row>
    <row r="189" spans="1:27" x14ac:dyDescent="0.25">
      <c r="C189" s="1" t="s">
        <v>10</v>
      </c>
      <c r="G189" s="2"/>
    </row>
    <row r="190" spans="1:27" x14ac:dyDescent="0.25">
      <c r="C190" s="1"/>
      <c r="D190" t="s">
        <v>149</v>
      </c>
      <c r="G190" s="2"/>
    </row>
    <row r="191" spans="1:27" x14ac:dyDescent="0.25">
      <c r="A191" s="14">
        <f>'Notes &amp; Assumptions'!A53</f>
        <v>40</v>
      </c>
      <c r="C191" s="1"/>
      <c r="E191" t="s">
        <v>125</v>
      </c>
      <c r="G191" s="2"/>
      <c r="H191" s="11"/>
      <c r="I191" s="11"/>
      <c r="J191" s="11"/>
      <c r="K191" s="11"/>
      <c r="L191" s="11"/>
      <c r="M191" s="11"/>
      <c r="N191" s="11"/>
      <c r="O191" s="11"/>
      <c r="P191" s="11"/>
      <c r="Q191" s="11"/>
      <c r="R191" s="11"/>
      <c r="S191" s="11"/>
      <c r="T191" s="11"/>
      <c r="U191" s="11"/>
      <c r="V191" s="11"/>
      <c r="W191" s="11"/>
      <c r="X191" s="11"/>
      <c r="Y191" s="11"/>
      <c r="Z191" s="11"/>
      <c r="AA191" s="11"/>
    </row>
    <row r="192" spans="1:27" x14ac:dyDescent="0.25">
      <c r="A192" s="14">
        <f>'Notes &amp; Assumptions'!A54</f>
        <v>41</v>
      </c>
      <c r="E192" t="s">
        <v>26</v>
      </c>
      <c r="F192" t="s">
        <v>22</v>
      </c>
      <c r="G192" s="10">
        <f>'Key assumptions'!B13</f>
        <v>72</v>
      </c>
      <c r="H192" s="2">
        <f t="shared" ref="H192:W193" si="72">G192*(1+$G$14)*(1+H$191)</f>
        <v>73.512</v>
      </c>
      <c r="I192" s="2">
        <f t="shared" si="72"/>
        <v>75.055751999999998</v>
      </c>
      <c r="J192" s="2">
        <f t="shared" si="72"/>
        <v>76.631922791999997</v>
      </c>
      <c r="K192" s="2">
        <f t="shared" si="72"/>
        <v>78.241193170631988</v>
      </c>
      <c r="L192" s="2">
        <f t="shared" si="72"/>
        <v>79.884258227215255</v>
      </c>
      <c r="M192" s="2">
        <f t="shared" si="72"/>
        <v>81.561827649986768</v>
      </c>
      <c r="N192" s="2">
        <f t="shared" si="72"/>
        <v>83.274626030636483</v>
      </c>
      <c r="O192" s="2">
        <f t="shared" si="72"/>
        <v>85.023393177279843</v>
      </c>
      <c r="P192" s="2">
        <f t="shared" si="72"/>
        <v>86.808884434002707</v>
      </c>
      <c r="Q192" s="2">
        <f t="shared" si="72"/>
        <v>88.631871007116757</v>
      </c>
      <c r="R192" s="2">
        <f t="shared" si="72"/>
        <v>90.493140298266198</v>
      </c>
      <c r="S192" s="2">
        <f t="shared" si="72"/>
        <v>92.393496244529786</v>
      </c>
      <c r="T192" s="2">
        <f t="shared" si="72"/>
        <v>94.3337596656649</v>
      </c>
      <c r="U192" s="2">
        <f t="shared" si="72"/>
        <v>96.314768618643853</v>
      </c>
      <c r="V192" s="2">
        <f t="shared" si="72"/>
        <v>98.337378759635371</v>
      </c>
      <c r="W192" s="2">
        <f t="shared" si="72"/>
        <v>100.40246371358771</v>
      </c>
      <c r="X192" s="2">
        <f t="shared" ref="X192:AA193" si="73">W192*(1+$G$14)*(1+X$191)</f>
        <v>102.51091545157304</v>
      </c>
      <c r="Y192" s="2">
        <f t="shared" si="73"/>
        <v>104.66364467605607</v>
      </c>
      <c r="Z192" s="2">
        <f t="shared" si="73"/>
        <v>106.86158121425323</v>
      </c>
      <c r="AA192" s="2">
        <f t="shared" si="73"/>
        <v>109.10567441975255</v>
      </c>
    </row>
    <row r="193" spans="1:29" x14ac:dyDescent="0.25">
      <c r="A193" s="14">
        <f>'Notes &amp; Assumptions'!A55</f>
        <v>42</v>
      </c>
      <c r="E193" t="s">
        <v>27</v>
      </c>
      <c r="F193" t="s">
        <v>4</v>
      </c>
      <c r="G193" s="10">
        <f>'Key assumptions'!B16</f>
        <v>400</v>
      </c>
      <c r="H193" s="2">
        <f>G193*(1+$G$14)*(1+H$191)</f>
        <v>408.4</v>
      </c>
      <c r="I193" s="2">
        <f t="shared" si="72"/>
        <v>416.97639999999996</v>
      </c>
      <c r="J193" s="2">
        <f t="shared" si="72"/>
        <v>425.73290439999994</v>
      </c>
      <c r="K193" s="2">
        <f t="shared" si="72"/>
        <v>434.67329539239989</v>
      </c>
      <c r="L193" s="2">
        <f t="shared" si="72"/>
        <v>443.80143459564027</v>
      </c>
      <c r="M193" s="2">
        <f t="shared" si="72"/>
        <v>453.12126472214868</v>
      </c>
      <c r="N193" s="2">
        <f t="shared" si="72"/>
        <v>462.63681128131378</v>
      </c>
      <c r="O193" s="2">
        <f t="shared" si="72"/>
        <v>472.3521843182213</v>
      </c>
      <c r="P193" s="2">
        <f t="shared" si="72"/>
        <v>482.2715801889039</v>
      </c>
      <c r="Q193" s="2">
        <f t="shared" si="72"/>
        <v>492.39928337287085</v>
      </c>
      <c r="R193" s="2">
        <f t="shared" si="72"/>
        <v>502.7396683237011</v>
      </c>
      <c r="S193" s="2">
        <f t="shared" si="72"/>
        <v>513.2972013584988</v>
      </c>
      <c r="T193" s="2">
        <f t="shared" si="72"/>
        <v>524.07644258702726</v>
      </c>
      <c r="U193" s="2">
        <f t="shared" si="72"/>
        <v>535.08204788135481</v>
      </c>
      <c r="V193" s="2">
        <f t="shared" si="72"/>
        <v>546.31877088686326</v>
      </c>
      <c r="W193" s="2">
        <f t="shared" si="72"/>
        <v>557.79146507548739</v>
      </c>
      <c r="X193" s="2">
        <f t="shared" si="73"/>
        <v>569.50508584207262</v>
      </c>
      <c r="Y193" s="2">
        <f t="shared" si="73"/>
        <v>581.46469264475604</v>
      </c>
      <c r="Z193" s="2">
        <f t="shared" si="73"/>
        <v>593.67545119029592</v>
      </c>
      <c r="AA193" s="2">
        <f t="shared" si="73"/>
        <v>606.14263566529212</v>
      </c>
    </row>
    <row r="194" spans="1:29" x14ac:dyDescent="0.25">
      <c r="A194" s="14">
        <f>'Notes &amp; Assumptions'!A56</f>
        <v>43</v>
      </c>
      <c r="E194" t="s">
        <v>39</v>
      </c>
      <c r="F194" t="s">
        <v>7</v>
      </c>
      <c r="G194" s="2"/>
      <c r="H194" s="10"/>
      <c r="I194" s="10"/>
      <c r="J194" s="10"/>
      <c r="K194" s="10"/>
      <c r="L194" s="10"/>
      <c r="M194" s="10"/>
      <c r="N194" s="10"/>
      <c r="O194" s="10"/>
      <c r="P194" s="10"/>
      <c r="Q194" s="10"/>
      <c r="R194" s="10"/>
      <c r="S194" s="10"/>
      <c r="T194" s="10"/>
      <c r="U194" s="10"/>
      <c r="V194" s="10"/>
      <c r="W194" s="10"/>
      <c r="X194" s="10"/>
      <c r="Y194" s="10"/>
      <c r="Z194" s="10"/>
      <c r="AA194" s="10"/>
    </row>
    <row r="195" spans="1:29" x14ac:dyDescent="0.25">
      <c r="B195" s="14"/>
      <c r="C195" s="14"/>
      <c r="D195" s="14"/>
      <c r="E195" s="14"/>
      <c r="F195" s="14"/>
      <c r="G195" s="14"/>
      <c r="H195" s="14"/>
      <c r="I195" s="14"/>
      <c r="J195" s="14"/>
      <c r="K195" s="14"/>
      <c r="L195" s="14"/>
      <c r="M195" s="14"/>
      <c r="N195" s="14"/>
      <c r="O195" s="14"/>
      <c r="P195" s="14"/>
      <c r="Q195" s="14"/>
      <c r="R195" s="14"/>
      <c r="S195" s="14"/>
      <c r="T195" s="14"/>
      <c r="U195" s="14"/>
      <c r="V195" s="14"/>
      <c r="W195" s="14"/>
      <c r="X195" s="14"/>
      <c r="Y195" s="14"/>
      <c r="Z195" s="14"/>
      <c r="AA195" s="14"/>
      <c r="AB195" s="14"/>
      <c r="AC195" s="14"/>
    </row>
    <row r="196" spans="1:29" x14ac:dyDescent="0.25">
      <c r="D196" t="s">
        <v>124</v>
      </c>
      <c r="G196" s="14"/>
      <c r="H196" s="14"/>
      <c r="I196" s="14"/>
      <c r="J196" s="14"/>
      <c r="K196" s="14"/>
      <c r="L196" s="14"/>
      <c r="M196" s="14"/>
      <c r="N196" s="14"/>
      <c r="O196" s="14"/>
      <c r="P196" s="14"/>
      <c r="Q196" s="14"/>
      <c r="R196" s="14"/>
      <c r="S196" s="14"/>
      <c r="T196" s="14"/>
      <c r="U196" s="14"/>
      <c r="V196" s="14"/>
      <c r="W196" s="14"/>
      <c r="X196" s="14"/>
      <c r="Y196" s="14"/>
      <c r="Z196" s="14"/>
      <c r="AA196" s="14"/>
    </row>
    <row r="197" spans="1:29" x14ac:dyDescent="0.25">
      <c r="A197" s="14">
        <f>'Notes &amp; Assumptions'!A57</f>
        <v>44</v>
      </c>
      <c r="E197" t="s">
        <v>27</v>
      </c>
      <c r="F197" t="s">
        <v>4</v>
      </c>
      <c r="G197" s="14"/>
      <c r="H197" s="10"/>
      <c r="I197" s="10"/>
      <c r="J197" s="10"/>
      <c r="K197" s="10"/>
      <c r="L197" s="10"/>
      <c r="M197" s="10"/>
      <c r="N197" s="10"/>
      <c r="O197" s="10"/>
      <c r="P197" s="10"/>
      <c r="Q197" s="10"/>
      <c r="R197" s="10"/>
      <c r="S197" s="10"/>
      <c r="T197" s="10"/>
      <c r="U197" s="10"/>
      <c r="V197" s="10"/>
      <c r="W197" s="10"/>
      <c r="X197" s="10"/>
      <c r="Y197" s="10"/>
      <c r="Z197" s="10"/>
      <c r="AA197" s="10"/>
    </row>
    <row r="198" spans="1:29" x14ac:dyDescent="0.25">
      <c r="A198" s="14">
        <f>'Notes &amp; Assumptions'!A58</f>
        <v>45</v>
      </c>
      <c r="E198" t="s">
        <v>39</v>
      </c>
      <c r="F198" t="s">
        <v>7</v>
      </c>
      <c r="G198" s="2"/>
      <c r="H198" s="10"/>
      <c r="I198" s="10"/>
      <c r="J198" s="10"/>
      <c r="K198" s="10"/>
      <c r="L198" s="10"/>
      <c r="M198" s="10"/>
      <c r="N198" s="10"/>
      <c r="O198" s="10"/>
      <c r="P198" s="10"/>
      <c r="Q198" s="10"/>
      <c r="R198" s="10"/>
      <c r="S198" s="10"/>
      <c r="T198" s="10"/>
      <c r="U198" s="10"/>
      <c r="V198" s="10"/>
      <c r="W198" s="10"/>
      <c r="X198" s="10"/>
      <c r="Y198" s="10"/>
      <c r="Z198" s="10"/>
      <c r="AA198" s="10"/>
    </row>
    <row r="199" spans="1:29" x14ac:dyDescent="0.25">
      <c r="G199" s="2"/>
    </row>
    <row r="200" spans="1:29" x14ac:dyDescent="0.25">
      <c r="E200" t="s">
        <v>10</v>
      </c>
      <c r="F200" t="s">
        <v>7</v>
      </c>
      <c r="G200" s="2"/>
      <c r="H200" s="2">
        <f>H192*H175+(H193+H197)*H176*(1-$H183)+H194+H198</f>
        <v>90983.147799999992</v>
      </c>
      <c r="I200" s="2">
        <f t="shared" ref="I200:AA200" si="74">I192*I175+(I193+I197)*I176*(1-$H183)+I194+I198</f>
        <v>185665.62221060001</v>
      </c>
      <c r="J200" s="2">
        <f t="shared" si="74"/>
        <v>285988.95222780469</v>
      </c>
      <c r="K200" s="2">
        <f t="shared" si="74"/>
        <v>387154.48473513121</v>
      </c>
      <c r="L200" s="2">
        <f t="shared" si="74"/>
        <v>489303.17523078615</v>
      </c>
      <c r="M200" s="2">
        <f t="shared" si="74"/>
        <v>592075.99816342373</v>
      </c>
      <c r="N200" s="2">
        <f t="shared" si="74"/>
        <v>695596.3053507884</v>
      </c>
      <c r="O200" s="2">
        <f t="shared" si="74"/>
        <v>800068.94891774247</v>
      </c>
      <c r="P200" s="2">
        <f t="shared" si="74"/>
        <v>913458.30211050808</v>
      </c>
      <c r="Q200" s="2">
        <f t="shared" si="74"/>
        <v>1037013.325353526</v>
      </c>
      <c r="R200" s="2">
        <f t="shared" si="74"/>
        <v>1171144.6258517699</v>
      </c>
      <c r="S200" s="2">
        <f t="shared" si="74"/>
        <v>1317367.386315461</v>
      </c>
      <c r="T200" s="2">
        <f t="shared" si="74"/>
        <v>1476093.6622666921</v>
      </c>
      <c r="U200" s="2">
        <f t="shared" si="74"/>
        <v>1640186.600059181</v>
      </c>
      <c r="V200" s="2">
        <f t="shared" si="74"/>
        <v>1809961.1900921995</v>
      </c>
      <c r="W200" s="2">
        <f t="shared" si="74"/>
        <v>1847970.3750841357</v>
      </c>
      <c r="X200" s="2">
        <f t="shared" si="74"/>
        <v>1886777.7529609022</v>
      </c>
      <c r="Y200" s="2">
        <f t="shared" si="74"/>
        <v>1926400.0857730811</v>
      </c>
      <c r="Z200" s="2">
        <f t="shared" si="74"/>
        <v>1966854.4875743156</v>
      </c>
      <c r="AA200" s="2">
        <f t="shared" si="74"/>
        <v>2008158.431813376</v>
      </c>
    </row>
    <row r="201" spans="1:29" x14ac:dyDescent="0.25">
      <c r="G201" s="2"/>
      <c r="H201" s="2"/>
      <c r="I201" s="2"/>
      <c r="J201" s="2"/>
      <c r="K201" s="2"/>
      <c r="L201" s="2"/>
      <c r="M201" s="2"/>
      <c r="N201" s="2"/>
      <c r="O201" s="2"/>
      <c r="P201" s="2"/>
      <c r="Q201" s="2"/>
      <c r="R201" s="2"/>
      <c r="S201" s="2"/>
      <c r="T201" s="2"/>
      <c r="U201" s="2"/>
      <c r="V201" s="2"/>
      <c r="W201" s="2"/>
      <c r="X201" s="2"/>
      <c r="Y201" s="2"/>
      <c r="Z201" s="2"/>
      <c r="AA201" s="2"/>
    </row>
    <row r="202" spans="1:29" x14ac:dyDescent="0.25">
      <c r="C202" s="1" t="s">
        <v>48</v>
      </c>
      <c r="G202" s="2"/>
      <c r="H202" s="2"/>
      <c r="I202" s="2"/>
      <c r="J202" s="2"/>
      <c r="K202" s="2"/>
      <c r="L202" s="2"/>
      <c r="M202" s="2"/>
      <c r="N202" s="2"/>
      <c r="O202" s="2"/>
      <c r="P202" s="2"/>
      <c r="Q202" s="2"/>
      <c r="R202" s="2"/>
      <c r="S202" s="2"/>
      <c r="T202" s="2"/>
      <c r="U202" s="2"/>
      <c r="V202" s="2"/>
      <c r="W202" s="2"/>
      <c r="X202" s="2"/>
      <c r="Y202" s="2"/>
      <c r="Z202" s="2"/>
      <c r="AA202" s="2"/>
    </row>
    <row r="203" spans="1:29" x14ac:dyDescent="0.25">
      <c r="A203" s="14">
        <f>'Notes &amp; Assumptions'!A59</f>
        <v>46</v>
      </c>
      <c r="E203" s="10" t="s">
        <v>44</v>
      </c>
      <c r="F203" t="s">
        <v>7</v>
      </c>
      <c r="G203" s="2"/>
      <c r="H203" s="10"/>
      <c r="I203" s="10"/>
      <c r="J203" s="10"/>
      <c r="K203" s="10"/>
      <c r="L203" s="10"/>
      <c r="M203" s="10"/>
      <c r="N203" s="10"/>
      <c r="O203" s="10"/>
      <c r="P203" s="10"/>
      <c r="Q203" s="10"/>
      <c r="R203" s="10"/>
      <c r="S203" s="10"/>
      <c r="T203" s="10"/>
      <c r="U203" s="10"/>
      <c r="V203" s="10"/>
      <c r="W203" s="10"/>
      <c r="X203" s="10"/>
      <c r="Y203" s="10"/>
      <c r="Z203" s="10"/>
      <c r="AA203" s="10"/>
    </row>
    <row r="204" spans="1:29" x14ac:dyDescent="0.25">
      <c r="A204" s="14">
        <f>'Notes &amp; Assumptions'!A60</f>
        <v>47</v>
      </c>
      <c r="E204" s="10" t="s">
        <v>45</v>
      </c>
      <c r="F204" t="s">
        <v>7</v>
      </c>
      <c r="G204" s="2"/>
      <c r="H204" s="10"/>
      <c r="I204" s="10"/>
      <c r="J204" s="10"/>
      <c r="K204" s="10"/>
      <c r="L204" s="10"/>
      <c r="M204" s="10"/>
      <c r="N204" s="10"/>
      <c r="O204" s="10"/>
      <c r="P204" s="10"/>
      <c r="Q204" s="10"/>
      <c r="R204" s="10"/>
      <c r="S204" s="10"/>
      <c r="T204" s="10"/>
      <c r="U204" s="10"/>
      <c r="V204" s="10"/>
      <c r="W204" s="10"/>
      <c r="X204" s="10"/>
      <c r="Y204" s="10"/>
      <c r="Z204" s="10"/>
      <c r="AA204" s="10"/>
    </row>
    <row r="205" spans="1:29" x14ac:dyDescent="0.25">
      <c r="A205" s="14">
        <f>'Notes &amp; Assumptions'!A61</f>
        <v>48</v>
      </c>
      <c r="E205" s="10" t="s">
        <v>46</v>
      </c>
      <c r="F205" t="s">
        <v>7</v>
      </c>
      <c r="G205" s="2"/>
      <c r="H205" s="10"/>
      <c r="I205" s="10"/>
      <c r="J205" s="10"/>
      <c r="K205" s="10"/>
      <c r="L205" s="10"/>
      <c r="M205" s="10"/>
      <c r="N205" s="10"/>
      <c r="O205" s="10"/>
      <c r="P205" s="10"/>
      <c r="Q205" s="10"/>
      <c r="R205" s="10"/>
      <c r="S205" s="10"/>
      <c r="T205" s="10"/>
      <c r="U205" s="10"/>
      <c r="V205" s="10"/>
      <c r="W205" s="10"/>
      <c r="X205" s="10"/>
      <c r="Y205" s="10"/>
      <c r="Z205" s="10"/>
      <c r="AA205" s="10"/>
    </row>
    <row r="206" spans="1:29" x14ac:dyDescent="0.25">
      <c r="A206" s="14">
        <f>'Notes &amp; Assumptions'!A62</f>
        <v>49</v>
      </c>
      <c r="E206" s="10" t="s">
        <v>47</v>
      </c>
      <c r="F206" t="s">
        <v>7</v>
      </c>
      <c r="G206" s="2"/>
      <c r="H206" s="10"/>
      <c r="I206" s="10"/>
      <c r="J206" s="10"/>
      <c r="K206" s="10"/>
      <c r="L206" s="10"/>
      <c r="M206" s="10"/>
      <c r="N206" s="10"/>
      <c r="O206" s="10"/>
      <c r="P206" s="10"/>
      <c r="Q206" s="10"/>
      <c r="R206" s="10"/>
      <c r="S206" s="10"/>
      <c r="T206" s="10"/>
      <c r="U206" s="10"/>
      <c r="V206" s="10"/>
      <c r="W206" s="10"/>
      <c r="X206" s="10"/>
      <c r="Y206" s="10"/>
      <c r="Z206" s="10"/>
      <c r="AA206" s="10"/>
    </row>
    <row r="207" spans="1:29" x14ac:dyDescent="0.25">
      <c r="E207" t="s">
        <v>17</v>
      </c>
      <c r="G207" s="2"/>
      <c r="H207" s="2">
        <f>SUM(H203:H206)</f>
        <v>0</v>
      </c>
      <c r="I207" s="2">
        <f t="shared" ref="I207:AA207" si="75">SUM(I203:I206)</f>
        <v>0</v>
      </c>
      <c r="J207" s="2">
        <f t="shared" si="75"/>
        <v>0</v>
      </c>
      <c r="K207" s="2">
        <f t="shared" si="75"/>
        <v>0</v>
      </c>
      <c r="L207" s="2">
        <f t="shared" si="75"/>
        <v>0</v>
      </c>
      <c r="M207" s="2">
        <f t="shared" si="75"/>
        <v>0</v>
      </c>
      <c r="N207" s="2">
        <f t="shared" si="75"/>
        <v>0</v>
      </c>
      <c r="O207" s="2">
        <f t="shared" si="75"/>
        <v>0</v>
      </c>
      <c r="P207" s="2">
        <f t="shared" si="75"/>
        <v>0</v>
      </c>
      <c r="Q207" s="2">
        <f t="shared" si="75"/>
        <v>0</v>
      </c>
      <c r="R207" s="2">
        <f t="shared" si="75"/>
        <v>0</v>
      </c>
      <c r="S207" s="2">
        <f t="shared" si="75"/>
        <v>0</v>
      </c>
      <c r="T207" s="2">
        <f t="shared" si="75"/>
        <v>0</v>
      </c>
      <c r="U207" s="2">
        <f t="shared" si="75"/>
        <v>0</v>
      </c>
      <c r="V207" s="2">
        <f t="shared" si="75"/>
        <v>0</v>
      </c>
      <c r="W207" s="2">
        <f t="shared" si="75"/>
        <v>0</v>
      </c>
      <c r="X207" s="2">
        <f t="shared" si="75"/>
        <v>0</v>
      </c>
      <c r="Y207" s="2">
        <f t="shared" si="75"/>
        <v>0</v>
      </c>
      <c r="Z207" s="2">
        <f t="shared" si="75"/>
        <v>0</v>
      </c>
      <c r="AA207" s="2">
        <f t="shared" si="75"/>
        <v>0</v>
      </c>
    </row>
    <row r="208" spans="1:29" x14ac:dyDescent="0.25">
      <c r="G208" s="2"/>
      <c r="H208" s="2"/>
      <c r="I208" s="2"/>
      <c r="J208" s="2"/>
      <c r="K208" s="2"/>
      <c r="L208" s="2"/>
      <c r="M208" s="2"/>
      <c r="N208" s="2"/>
      <c r="O208" s="2"/>
      <c r="P208" s="2"/>
      <c r="Q208" s="2"/>
      <c r="R208" s="2"/>
      <c r="S208" s="2"/>
      <c r="T208" s="2"/>
      <c r="U208" s="2"/>
      <c r="V208" s="2"/>
      <c r="W208" s="2"/>
      <c r="X208" s="2"/>
      <c r="Y208" s="2"/>
      <c r="Z208" s="2"/>
      <c r="AA208" s="2"/>
    </row>
    <row r="209" spans="1:27" x14ac:dyDescent="0.25">
      <c r="C209" s="1" t="s">
        <v>49</v>
      </c>
      <c r="G209" s="2"/>
      <c r="H209" s="2"/>
      <c r="I209" s="2"/>
      <c r="J209" s="2"/>
      <c r="K209" s="2"/>
      <c r="L209" s="2"/>
      <c r="M209" s="2"/>
      <c r="N209" s="2"/>
      <c r="O209" s="2"/>
      <c r="P209" s="2"/>
      <c r="Q209" s="2"/>
      <c r="R209" s="2"/>
      <c r="S209" s="2"/>
      <c r="T209" s="2"/>
      <c r="U209" s="2"/>
      <c r="V209" s="2"/>
      <c r="W209" s="2"/>
      <c r="X209" s="2"/>
      <c r="Y209" s="2"/>
      <c r="Z209" s="2"/>
      <c r="AA209" s="2"/>
    </row>
    <row r="210" spans="1:27" x14ac:dyDescent="0.25">
      <c r="A210" s="14">
        <f>'Notes &amp; Assumptions'!A63</f>
        <v>50</v>
      </c>
      <c r="E210" s="10" t="s">
        <v>174</v>
      </c>
      <c r="F210" t="s">
        <v>7</v>
      </c>
      <c r="G210" s="24">
        <v>0</v>
      </c>
      <c r="H210" s="10">
        <f>H107*($G$210*(1+$G$14)^(H2))</f>
        <v>0</v>
      </c>
      <c r="I210" s="10">
        <f>I107*($G$210*(1+$G$14)^(I2))</f>
        <v>0</v>
      </c>
      <c r="J210" s="10">
        <f t="shared" ref="J210:AA210" si="76">J107*($G$210*(1+$G$14)^(J2))</f>
        <v>0</v>
      </c>
      <c r="K210" s="10">
        <f t="shared" si="76"/>
        <v>0</v>
      </c>
      <c r="L210" s="10">
        <f t="shared" si="76"/>
        <v>0</v>
      </c>
      <c r="M210" s="10">
        <f t="shared" si="76"/>
        <v>0</v>
      </c>
      <c r="N210" s="10">
        <f t="shared" si="76"/>
        <v>0</v>
      </c>
      <c r="O210" s="10">
        <f t="shared" si="76"/>
        <v>0</v>
      </c>
      <c r="P210" s="10">
        <f t="shared" si="76"/>
        <v>0</v>
      </c>
      <c r="Q210" s="10">
        <f t="shared" si="76"/>
        <v>0</v>
      </c>
      <c r="R210" s="10">
        <f t="shared" si="76"/>
        <v>0</v>
      </c>
      <c r="S210" s="10">
        <f t="shared" si="76"/>
        <v>0</v>
      </c>
      <c r="T210" s="10">
        <f t="shared" si="76"/>
        <v>0</v>
      </c>
      <c r="U210" s="10">
        <f t="shared" si="76"/>
        <v>0</v>
      </c>
      <c r="V210" s="10">
        <f t="shared" si="76"/>
        <v>0</v>
      </c>
      <c r="W210" s="10">
        <f t="shared" si="76"/>
        <v>0</v>
      </c>
      <c r="X210" s="10">
        <f t="shared" si="76"/>
        <v>0</v>
      </c>
      <c r="Y210" s="10">
        <f t="shared" si="76"/>
        <v>0</v>
      </c>
      <c r="Z210" s="10">
        <f t="shared" si="76"/>
        <v>0</v>
      </c>
      <c r="AA210" s="10">
        <f t="shared" si="76"/>
        <v>0</v>
      </c>
    </row>
    <row r="211" spans="1:27" x14ac:dyDescent="0.25">
      <c r="A211" s="14">
        <f>'Notes &amp; Assumptions'!A64</f>
        <v>51</v>
      </c>
      <c r="E211" s="10" t="s">
        <v>50</v>
      </c>
      <c r="F211" t="s">
        <v>7</v>
      </c>
      <c r="G211" s="2"/>
      <c r="H211" s="10"/>
      <c r="I211" s="10"/>
      <c r="J211" s="10"/>
      <c r="K211" s="10"/>
      <c r="L211" s="10"/>
      <c r="M211" s="10"/>
      <c r="N211" s="10"/>
      <c r="O211" s="10"/>
      <c r="P211" s="10"/>
      <c r="Q211" s="10"/>
      <c r="R211" s="10"/>
      <c r="S211" s="10"/>
      <c r="T211" s="10"/>
      <c r="U211" s="10"/>
      <c r="V211" s="10"/>
      <c r="W211" s="10"/>
      <c r="X211" s="10"/>
      <c r="Y211" s="10"/>
      <c r="Z211" s="10"/>
      <c r="AA211" s="10"/>
    </row>
    <row r="212" spans="1:27" x14ac:dyDescent="0.25">
      <c r="A212" s="14">
        <f>'Notes &amp; Assumptions'!A65</f>
        <v>52</v>
      </c>
      <c r="E212" s="10" t="s">
        <v>51</v>
      </c>
      <c r="F212" t="s">
        <v>7</v>
      </c>
      <c r="G212" s="2"/>
      <c r="H212" s="10"/>
      <c r="I212" s="10"/>
      <c r="J212" s="10"/>
      <c r="K212" s="10"/>
      <c r="L212" s="10"/>
      <c r="M212" s="10"/>
      <c r="N212" s="10"/>
      <c r="O212" s="10"/>
      <c r="P212" s="10"/>
      <c r="Q212" s="10"/>
      <c r="R212" s="10"/>
      <c r="S212" s="10"/>
      <c r="T212" s="10"/>
      <c r="U212" s="10"/>
      <c r="V212" s="10"/>
      <c r="W212" s="10"/>
      <c r="X212" s="10"/>
      <c r="Y212" s="10"/>
      <c r="Z212" s="10"/>
      <c r="AA212" s="10"/>
    </row>
    <row r="213" spans="1:27" x14ac:dyDescent="0.25">
      <c r="A213" s="14">
        <f>'Notes &amp; Assumptions'!A66</f>
        <v>53</v>
      </c>
      <c r="E213" s="10" t="s">
        <v>52</v>
      </c>
      <c r="F213" t="s">
        <v>7</v>
      </c>
      <c r="G213" s="2"/>
      <c r="H213" s="10"/>
      <c r="I213" s="10"/>
      <c r="J213" s="10"/>
      <c r="K213" s="10"/>
      <c r="L213" s="10"/>
      <c r="M213" s="10"/>
      <c r="N213" s="10"/>
      <c r="O213" s="10"/>
      <c r="P213" s="10"/>
      <c r="Q213" s="10"/>
      <c r="R213" s="10"/>
      <c r="S213" s="10"/>
      <c r="T213" s="10"/>
      <c r="U213" s="10"/>
      <c r="V213" s="10"/>
      <c r="W213" s="10"/>
      <c r="X213" s="10"/>
      <c r="Y213" s="10"/>
      <c r="Z213" s="10"/>
      <c r="AA213" s="10"/>
    </row>
    <row r="214" spans="1:27" x14ac:dyDescent="0.25">
      <c r="E214" t="s">
        <v>17</v>
      </c>
      <c r="G214" s="2"/>
      <c r="H214" s="2">
        <f>SUM(H210:H213)</f>
        <v>0</v>
      </c>
      <c r="I214" s="2">
        <f t="shared" ref="I214:AA214" si="77">SUM(I210:I213)</f>
        <v>0</v>
      </c>
      <c r="J214" s="2">
        <f t="shared" si="77"/>
        <v>0</v>
      </c>
      <c r="K214" s="2">
        <f t="shared" si="77"/>
        <v>0</v>
      </c>
      <c r="L214" s="2">
        <f t="shared" si="77"/>
        <v>0</v>
      </c>
      <c r="M214" s="2">
        <f t="shared" si="77"/>
        <v>0</v>
      </c>
      <c r="N214" s="2">
        <f t="shared" si="77"/>
        <v>0</v>
      </c>
      <c r="O214" s="2">
        <f t="shared" si="77"/>
        <v>0</v>
      </c>
      <c r="P214" s="2">
        <f t="shared" si="77"/>
        <v>0</v>
      </c>
      <c r="Q214" s="2">
        <f t="shared" si="77"/>
        <v>0</v>
      </c>
      <c r="R214" s="2">
        <f t="shared" si="77"/>
        <v>0</v>
      </c>
      <c r="S214" s="2">
        <f t="shared" si="77"/>
        <v>0</v>
      </c>
      <c r="T214" s="2">
        <f t="shared" si="77"/>
        <v>0</v>
      </c>
      <c r="U214" s="2">
        <f t="shared" si="77"/>
        <v>0</v>
      </c>
      <c r="V214" s="2">
        <f t="shared" si="77"/>
        <v>0</v>
      </c>
      <c r="W214" s="2">
        <f t="shared" si="77"/>
        <v>0</v>
      </c>
      <c r="X214" s="2">
        <f t="shared" si="77"/>
        <v>0</v>
      </c>
      <c r="Y214" s="2">
        <f t="shared" si="77"/>
        <v>0</v>
      </c>
      <c r="Z214" s="2">
        <f t="shared" si="77"/>
        <v>0</v>
      </c>
      <c r="AA214" s="2">
        <f t="shared" si="77"/>
        <v>0</v>
      </c>
    </row>
    <row r="215" spans="1:27" x14ac:dyDescent="0.25">
      <c r="G215" s="2"/>
      <c r="H215" s="2"/>
      <c r="I215" s="2"/>
      <c r="J215" s="2"/>
      <c r="K215" s="2"/>
      <c r="L215" s="2"/>
      <c r="M215" s="2"/>
      <c r="N215" s="2"/>
      <c r="O215" s="2"/>
      <c r="P215" s="2"/>
      <c r="Q215" s="2"/>
      <c r="R215" s="2"/>
      <c r="S215" s="2"/>
      <c r="T215" s="2"/>
      <c r="U215" s="2"/>
      <c r="V215" s="2"/>
      <c r="W215" s="2"/>
      <c r="X215" s="2"/>
      <c r="Y215" s="2"/>
      <c r="Z215" s="2"/>
      <c r="AA215" s="2"/>
    </row>
    <row r="216" spans="1:27" x14ac:dyDescent="0.25">
      <c r="C216" s="1" t="s">
        <v>33</v>
      </c>
      <c r="G216" s="2"/>
      <c r="H216" s="2"/>
      <c r="I216" s="2"/>
      <c r="J216" s="2"/>
      <c r="K216" s="2"/>
      <c r="L216" s="2"/>
      <c r="M216" s="2"/>
      <c r="N216" s="2"/>
      <c r="O216" s="2"/>
      <c r="P216" s="2"/>
      <c r="Q216" s="2"/>
      <c r="R216" s="2"/>
      <c r="S216" s="2"/>
      <c r="T216" s="2"/>
      <c r="U216" s="2"/>
      <c r="V216" s="2"/>
      <c r="W216" s="2"/>
      <c r="X216" s="2"/>
      <c r="Y216" s="2"/>
      <c r="Z216" s="2"/>
      <c r="AA216" s="2"/>
    </row>
    <row r="217" spans="1:27" x14ac:dyDescent="0.25">
      <c r="C217" s="1"/>
      <c r="D217" s="1"/>
      <c r="E217" t="s">
        <v>29</v>
      </c>
      <c r="F217" t="s">
        <v>3</v>
      </c>
      <c r="G217" s="2"/>
      <c r="H217" s="2">
        <f t="shared" ref="H217:AA217" si="78">H174</f>
        <v>713</v>
      </c>
      <c r="I217" s="2">
        <f t="shared" si="78"/>
        <v>712</v>
      </c>
      <c r="J217" s="2">
        <f t="shared" si="78"/>
        <v>724.5</v>
      </c>
      <c r="K217" s="2">
        <f t="shared" si="78"/>
        <v>701</v>
      </c>
      <c r="L217" s="2">
        <f t="shared" si="78"/>
        <v>678</v>
      </c>
      <c r="M217" s="2">
        <f t="shared" si="78"/>
        <v>654</v>
      </c>
      <c r="N217" s="2">
        <f t="shared" si="78"/>
        <v>631</v>
      </c>
      <c r="O217" s="2">
        <f t="shared" si="78"/>
        <v>609.5</v>
      </c>
      <c r="P217" s="2">
        <f t="shared" si="78"/>
        <v>642</v>
      </c>
      <c r="Q217" s="2">
        <f t="shared" si="78"/>
        <v>679</v>
      </c>
      <c r="R217" s="2">
        <f t="shared" si="78"/>
        <v>716</v>
      </c>
      <c r="S217" s="2">
        <f t="shared" si="78"/>
        <v>758.5</v>
      </c>
      <c r="T217" s="2">
        <f t="shared" si="78"/>
        <v>801</v>
      </c>
      <c r="U217" s="2">
        <f t="shared" si="78"/>
        <v>797</v>
      </c>
      <c r="V217" s="2">
        <f t="shared" si="78"/>
        <v>793.5</v>
      </c>
      <c r="W217" s="2">
        <f t="shared" si="78"/>
        <v>0</v>
      </c>
      <c r="X217" s="2">
        <f t="shared" si="78"/>
        <v>0</v>
      </c>
      <c r="Y217" s="2">
        <f t="shared" si="78"/>
        <v>0</v>
      </c>
      <c r="Z217" s="2">
        <f t="shared" si="78"/>
        <v>0</v>
      </c>
      <c r="AA217" s="2">
        <f t="shared" si="78"/>
        <v>0</v>
      </c>
    </row>
    <row r="218" spans="1:27" x14ac:dyDescent="0.25">
      <c r="E218" t="s">
        <v>18</v>
      </c>
      <c r="F218" t="s">
        <v>22</v>
      </c>
      <c r="G218" s="8">
        <f ca="1">MAX(0,-G245/(NPV($G$16,H217:AA217)))</f>
        <v>4550.2608308399358</v>
      </c>
      <c r="H218" s="2">
        <f t="shared" ref="H218:AA218" ca="1" si="79">G218*(1+$G$14)</f>
        <v>4645.8163082875744</v>
      </c>
      <c r="I218" s="2">
        <f t="shared" ca="1" si="79"/>
        <v>4743.3784507616128</v>
      </c>
      <c r="J218" s="2">
        <f t="shared" ca="1" si="79"/>
        <v>4842.9893982276062</v>
      </c>
      <c r="K218" s="2">
        <f t="shared" ca="1" si="79"/>
        <v>4944.6921755903859</v>
      </c>
      <c r="L218" s="2">
        <f t="shared" ca="1" si="79"/>
        <v>5048.5307112777837</v>
      </c>
      <c r="M218" s="2">
        <f t="shared" ca="1" si="79"/>
        <v>5154.5498562146167</v>
      </c>
      <c r="N218" s="2">
        <f t="shared" ca="1" si="79"/>
        <v>5262.7954031951231</v>
      </c>
      <c r="O218" s="2">
        <f t="shared" ca="1" si="79"/>
        <v>5373.3141066622202</v>
      </c>
      <c r="P218" s="2">
        <f t="shared" ca="1" si="79"/>
        <v>5486.1537029021265</v>
      </c>
      <c r="Q218" s="2">
        <f t="shared" ca="1" si="79"/>
        <v>5601.362930663071</v>
      </c>
      <c r="R218" s="2">
        <f t="shared" ca="1" si="79"/>
        <v>5718.991552206995</v>
      </c>
      <c r="S218" s="2">
        <f t="shared" ca="1" si="79"/>
        <v>5839.0903748033415</v>
      </c>
      <c r="T218" s="2">
        <f t="shared" ca="1" si="79"/>
        <v>5961.7112726742116</v>
      </c>
      <c r="U218" s="2">
        <f t="shared" ca="1" si="79"/>
        <v>6086.9072094003695</v>
      </c>
      <c r="V218" s="2">
        <f t="shared" ca="1" si="79"/>
        <v>6214.7322607977767</v>
      </c>
      <c r="W218" s="2">
        <f t="shared" ca="1" si="79"/>
        <v>6345.2416382745296</v>
      </c>
      <c r="X218" s="2">
        <f t="shared" ca="1" si="79"/>
        <v>6478.4917126782939</v>
      </c>
      <c r="Y218" s="2">
        <f t="shared" ca="1" si="79"/>
        <v>6614.5400386445372</v>
      </c>
      <c r="Z218" s="2">
        <f t="shared" ca="1" si="79"/>
        <v>6753.4453794560723</v>
      </c>
      <c r="AA218" s="2">
        <f t="shared" ca="1" si="79"/>
        <v>6895.2677324246488</v>
      </c>
    </row>
    <row r="219" spans="1:27" x14ac:dyDescent="0.25">
      <c r="E219" t="s">
        <v>21</v>
      </c>
      <c r="F219" t="s">
        <v>7</v>
      </c>
      <c r="H219" s="2">
        <f ca="1">H218*H217</f>
        <v>3312467.0278090406</v>
      </c>
      <c r="I219" s="2">
        <f t="shared" ref="I219:AA219" ca="1" si="80">I218*I217</f>
        <v>3377285.4569422682</v>
      </c>
      <c r="J219" s="2">
        <f t="shared" ca="1" si="80"/>
        <v>3508745.8190159006</v>
      </c>
      <c r="K219" s="2">
        <f t="shared" ca="1" si="80"/>
        <v>3466229.2150888606</v>
      </c>
      <c r="L219" s="2">
        <f t="shared" ca="1" si="80"/>
        <v>3422903.8222463373</v>
      </c>
      <c r="M219" s="2">
        <f t="shared" ca="1" si="80"/>
        <v>3371075.6059643594</v>
      </c>
      <c r="N219" s="2">
        <f t="shared" ca="1" si="80"/>
        <v>3320823.8994161226</v>
      </c>
      <c r="O219" s="2">
        <f t="shared" ca="1" si="80"/>
        <v>3275034.948010623</v>
      </c>
      <c r="P219" s="2">
        <f t="shared" ca="1" si="80"/>
        <v>3522110.6772631654</v>
      </c>
      <c r="Q219" s="2">
        <f t="shared" ca="1" si="80"/>
        <v>3803325.4299202254</v>
      </c>
      <c r="R219" s="2">
        <f t="shared" ca="1" si="80"/>
        <v>4094797.9513802086</v>
      </c>
      <c r="S219" s="2">
        <f t="shared" ca="1" si="80"/>
        <v>4428950.0492883343</v>
      </c>
      <c r="T219" s="2">
        <f t="shared" ca="1" si="80"/>
        <v>4775330.7294120435</v>
      </c>
      <c r="U219" s="2">
        <f t="shared" ca="1" si="80"/>
        <v>4851265.0458920943</v>
      </c>
      <c r="V219" s="2">
        <f t="shared" ca="1" si="80"/>
        <v>4931390.0489430362</v>
      </c>
      <c r="W219" s="2">
        <f t="shared" ca="1" si="80"/>
        <v>0</v>
      </c>
      <c r="X219" s="2">
        <f t="shared" ca="1" si="80"/>
        <v>0</v>
      </c>
      <c r="Y219" s="2">
        <f t="shared" ca="1" si="80"/>
        <v>0</v>
      </c>
      <c r="Z219" s="2">
        <f t="shared" ca="1" si="80"/>
        <v>0</v>
      </c>
      <c r="AA219" s="2">
        <f t="shared" ca="1" si="80"/>
        <v>0</v>
      </c>
    </row>
    <row r="220" spans="1:27" x14ac:dyDescent="0.25">
      <c r="G220" s="8">
        <f ca="1">-G245/(NPV($G$16,H217:AA217))</f>
        <v>4550.2608308399358</v>
      </c>
    </row>
    <row r="221" spans="1:27" x14ac:dyDescent="0.25">
      <c r="D221" t="s">
        <v>9</v>
      </c>
    </row>
    <row r="222" spans="1:27" x14ac:dyDescent="0.25">
      <c r="E222" t="s">
        <v>107</v>
      </c>
      <c r="F222" t="s">
        <v>7</v>
      </c>
      <c r="G222" s="2">
        <f t="shared" ref="G222:AA222" si="81">G42</f>
        <v>0</v>
      </c>
      <c r="H222" s="2">
        <f t="shared" si="81"/>
        <v>5095810.9999999991</v>
      </c>
      <c r="I222" s="2">
        <f t="shared" si="81"/>
        <v>5195525.9439999983</v>
      </c>
      <c r="J222" s="2">
        <f t="shared" si="81"/>
        <v>5397761.0616614986</v>
      </c>
      <c r="K222" s="2">
        <f t="shared" si="81"/>
        <v>5332354.6512262644</v>
      </c>
      <c r="L222" s="2">
        <f t="shared" si="81"/>
        <v>5265704.0214772699</v>
      </c>
      <c r="M222" s="2">
        <f t="shared" si="81"/>
        <v>5185972.8747449899</v>
      </c>
      <c r="N222" s="2">
        <f t="shared" si="81"/>
        <v>5108666.988573906</v>
      </c>
      <c r="O222" s="2">
        <f t="shared" si="81"/>
        <v>5038226.4859842258</v>
      </c>
      <c r="P222" s="2">
        <f t="shared" si="81"/>
        <v>5418321.2034223322</v>
      </c>
      <c r="Q222" s="2">
        <f t="shared" si="81"/>
        <v>5850934.4846781343</v>
      </c>
      <c r="R222" s="2">
        <f t="shared" si="81"/>
        <v>6299328.0440959726</v>
      </c>
      <c r="S222" s="2">
        <f t="shared" si="81"/>
        <v>6813378.7265323689</v>
      </c>
      <c r="T222" s="2">
        <f t="shared" si="81"/>
        <v>7346241.5339636486</v>
      </c>
      <c r="U222" s="2">
        <f t="shared" si="81"/>
        <v>7463056.8628251906</v>
      </c>
      <c r="V222" s="2">
        <f t="shared" si="81"/>
        <v>7586319.0322276978</v>
      </c>
      <c r="W222" s="2">
        <f t="shared" si="81"/>
        <v>0</v>
      </c>
      <c r="X222" s="2">
        <f t="shared" si="81"/>
        <v>0</v>
      </c>
      <c r="Y222" s="2">
        <f t="shared" si="81"/>
        <v>0</v>
      </c>
      <c r="Z222" s="2">
        <f t="shared" si="81"/>
        <v>0</v>
      </c>
      <c r="AA222" s="2">
        <f t="shared" si="81"/>
        <v>0</v>
      </c>
    </row>
    <row r="223" spans="1:27" x14ac:dyDescent="0.25">
      <c r="E223" t="s">
        <v>11</v>
      </c>
      <c r="F223" t="s">
        <v>7</v>
      </c>
      <c r="G223" s="2">
        <f t="shared" ref="G223:AA223" si="82">G177</f>
        <v>0</v>
      </c>
      <c r="H223" s="2">
        <f t="shared" si="82"/>
        <v>381628.5170682458</v>
      </c>
      <c r="I223" s="2">
        <f t="shared" si="82"/>
        <v>757478.74779573421</v>
      </c>
      <c r="J223" s="2">
        <f t="shared" si="82"/>
        <v>1167015.8825859842</v>
      </c>
      <c r="K223" s="2">
        <f t="shared" si="82"/>
        <v>1579490.5779670491</v>
      </c>
      <c r="L223" s="2">
        <f t="shared" si="82"/>
        <v>1996224.5982853728</v>
      </c>
      <c r="M223" s="2">
        <f t="shared" si="82"/>
        <v>2414997.9624464838</v>
      </c>
      <c r="N223" s="2">
        <f t="shared" si="82"/>
        <v>2836651.6630771486</v>
      </c>
      <c r="O223" s="2">
        <f t="shared" si="82"/>
        <v>3262364.3658038136</v>
      </c>
      <c r="P223" s="2">
        <f t="shared" si="82"/>
        <v>3724111.9881470096</v>
      </c>
      <c r="Q223" s="2">
        <f t="shared" si="82"/>
        <v>4227628.0405966435</v>
      </c>
      <c r="R223" s="2">
        <f t="shared" si="82"/>
        <v>4774153.4381940626</v>
      </c>
      <c r="S223" s="2">
        <f t="shared" si="82"/>
        <v>5370495.3373514498</v>
      </c>
      <c r="T223" s="2">
        <f t="shared" si="82"/>
        <v>6017419.9043528102</v>
      </c>
      <c r="U223" s="2">
        <f t="shared" si="82"/>
        <v>6685953.2802573713</v>
      </c>
      <c r="V223" s="2">
        <f t="shared" si="82"/>
        <v>7377828.2750419639</v>
      </c>
      <c r="W223" s="2">
        <f t="shared" si="82"/>
        <v>7532762.6688178442</v>
      </c>
      <c r="X223" s="2">
        <f t="shared" si="82"/>
        <v>7690950.6848630179</v>
      </c>
      <c r="Y223" s="2">
        <f t="shared" si="82"/>
        <v>7852460.6492451411</v>
      </c>
      <c r="Z223" s="2">
        <f t="shared" si="82"/>
        <v>8017362.3228792883</v>
      </c>
      <c r="AA223" s="2">
        <f t="shared" si="82"/>
        <v>8185726.9316597525</v>
      </c>
    </row>
    <row r="224" spans="1:27" x14ac:dyDescent="0.25">
      <c r="E224" t="s">
        <v>57</v>
      </c>
      <c r="F224" t="s">
        <v>7</v>
      </c>
      <c r="G224" s="2">
        <f t="shared" ref="G224:AA224" si="83">-G187</f>
        <v>0</v>
      </c>
      <c r="H224" s="2">
        <f t="shared" si="83"/>
        <v>0</v>
      </c>
      <c r="I224" s="2">
        <f t="shared" si="83"/>
        <v>0</v>
      </c>
      <c r="J224" s="2">
        <f t="shared" si="83"/>
        <v>0</v>
      </c>
      <c r="K224" s="2">
        <f t="shared" si="83"/>
        <v>0</v>
      </c>
      <c r="L224" s="2">
        <f t="shared" si="83"/>
        <v>0</v>
      </c>
      <c r="M224" s="2">
        <f t="shared" si="83"/>
        <v>0</v>
      </c>
      <c r="N224" s="2">
        <f t="shared" si="83"/>
        <v>0</v>
      </c>
      <c r="O224" s="2">
        <f t="shared" si="83"/>
        <v>0</v>
      </c>
      <c r="P224" s="2">
        <f t="shared" si="83"/>
        <v>0</v>
      </c>
      <c r="Q224" s="2">
        <f t="shared" si="83"/>
        <v>0</v>
      </c>
      <c r="R224" s="2">
        <f t="shared" si="83"/>
        <v>0</v>
      </c>
      <c r="S224" s="2">
        <f t="shared" si="83"/>
        <v>0</v>
      </c>
      <c r="T224" s="2">
        <f t="shared" si="83"/>
        <v>0</v>
      </c>
      <c r="U224" s="2">
        <f t="shared" si="83"/>
        <v>0</v>
      </c>
      <c r="V224" s="2">
        <f t="shared" si="83"/>
        <v>0</v>
      </c>
      <c r="W224" s="2">
        <f t="shared" si="83"/>
        <v>0</v>
      </c>
      <c r="X224" s="2">
        <f t="shared" si="83"/>
        <v>0</v>
      </c>
      <c r="Y224" s="2">
        <f t="shared" si="83"/>
        <v>0</v>
      </c>
      <c r="Z224" s="2">
        <f t="shared" si="83"/>
        <v>0</v>
      </c>
      <c r="AA224" s="2">
        <f t="shared" si="83"/>
        <v>0</v>
      </c>
    </row>
    <row r="225" spans="4:28" customFormat="1" x14ac:dyDescent="0.25">
      <c r="E225" t="s">
        <v>10</v>
      </c>
      <c r="F225" t="s">
        <v>7</v>
      </c>
      <c r="G225" s="2">
        <f t="shared" ref="G225:AA225" si="84">-G200</f>
        <v>0</v>
      </c>
      <c r="H225" s="2">
        <f t="shared" si="84"/>
        <v>-90983.147799999992</v>
      </c>
      <c r="I225" s="2">
        <f t="shared" si="84"/>
        <v>-185665.62221060001</v>
      </c>
      <c r="J225" s="2">
        <f t="shared" si="84"/>
        <v>-285988.95222780469</v>
      </c>
      <c r="K225" s="2">
        <f t="shared" si="84"/>
        <v>-387154.48473513121</v>
      </c>
      <c r="L225" s="2">
        <f t="shared" si="84"/>
        <v>-489303.17523078615</v>
      </c>
      <c r="M225" s="2">
        <f t="shared" si="84"/>
        <v>-592075.99816342373</v>
      </c>
      <c r="N225" s="2">
        <f t="shared" si="84"/>
        <v>-695596.3053507884</v>
      </c>
      <c r="O225" s="2">
        <f t="shared" si="84"/>
        <v>-800068.94891774247</v>
      </c>
      <c r="P225" s="2">
        <f t="shared" si="84"/>
        <v>-913458.30211050808</v>
      </c>
      <c r="Q225" s="2">
        <f t="shared" si="84"/>
        <v>-1037013.325353526</v>
      </c>
      <c r="R225" s="2">
        <f t="shared" si="84"/>
        <v>-1171144.6258517699</v>
      </c>
      <c r="S225" s="2">
        <f t="shared" si="84"/>
        <v>-1317367.386315461</v>
      </c>
      <c r="T225" s="2">
        <f t="shared" si="84"/>
        <v>-1476093.6622666921</v>
      </c>
      <c r="U225" s="2">
        <f t="shared" si="84"/>
        <v>-1640186.600059181</v>
      </c>
      <c r="V225" s="2">
        <f t="shared" si="84"/>
        <v>-1809961.1900921995</v>
      </c>
      <c r="W225" s="2">
        <f t="shared" si="84"/>
        <v>-1847970.3750841357</v>
      </c>
      <c r="X225" s="2">
        <f t="shared" si="84"/>
        <v>-1886777.7529609022</v>
      </c>
      <c r="Y225" s="2">
        <f t="shared" si="84"/>
        <v>-1926400.0857730811</v>
      </c>
      <c r="Z225" s="2">
        <f t="shared" si="84"/>
        <v>-1966854.4875743156</v>
      </c>
      <c r="AA225" s="2">
        <f t="shared" si="84"/>
        <v>-2008158.431813376</v>
      </c>
    </row>
    <row r="226" spans="4:28" customFormat="1" x14ac:dyDescent="0.25">
      <c r="E226" t="s">
        <v>12</v>
      </c>
      <c r="F226" t="s">
        <v>7</v>
      </c>
      <c r="G226" s="2">
        <f t="shared" ref="G226:AA226" si="85">-G34-G50-G85</f>
        <v>-1360931.774211311</v>
      </c>
      <c r="H226" s="2">
        <f t="shared" si="85"/>
        <v>-1453786.5196059756</v>
      </c>
      <c r="I226" s="2">
        <f t="shared" si="85"/>
        <v>-1537122.9960099158</v>
      </c>
      <c r="J226" s="2">
        <f t="shared" si="85"/>
        <v>-1601282.6046074152</v>
      </c>
      <c r="K226" s="2">
        <f t="shared" si="85"/>
        <v>-1671049.3447681775</v>
      </c>
      <c r="L226" s="2">
        <f t="shared" si="85"/>
        <v>-1730601.2111248949</v>
      </c>
      <c r="M226" s="2">
        <f t="shared" si="85"/>
        <v>-1788223.1319553948</v>
      </c>
      <c r="N226" s="2">
        <f t="shared" si="85"/>
        <v>-1844986.0984951048</v>
      </c>
      <c r="O226" s="2">
        <f t="shared" si="85"/>
        <v>-1900966.3927838185</v>
      </c>
      <c r="P226" s="2">
        <f t="shared" si="85"/>
        <v>-1961169.9617107334</v>
      </c>
      <c r="Q226" s="2">
        <f t="shared" si="85"/>
        <v>-2026180.3448738237</v>
      </c>
      <c r="R226" s="2">
        <f t="shared" si="85"/>
        <v>-2096172.8786971122</v>
      </c>
      <c r="S226" s="2">
        <f t="shared" si="85"/>
        <v>-2171877.086769694</v>
      </c>
      <c r="T226" s="2">
        <f t="shared" si="85"/>
        <v>-2253501.9927026238</v>
      </c>
      <c r="U226" s="2">
        <f t="shared" si="85"/>
        <v>-2336424.8467340143</v>
      </c>
      <c r="V226" s="2">
        <f t="shared" si="85"/>
        <v>-2420717.2804254335</v>
      </c>
      <c r="W226" s="2">
        <f t="shared" si="85"/>
        <v>-2420717.2804254335</v>
      </c>
      <c r="X226" s="2">
        <f t="shared" si="85"/>
        <v>-2420717.2804254335</v>
      </c>
      <c r="Y226" s="2">
        <f t="shared" si="85"/>
        <v>-2420717.2804254335</v>
      </c>
      <c r="Z226" s="2">
        <f t="shared" si="85"/>
        <v>-2420717.2804254335</v>
      </c>
      <c r="AA226" s="2">
        <f t="shared" si="85"/>
        <v>-2420717.2804254335</v>
      </c>
    </row>
    <row r="227" spans="4:28" customFormat="1" x14ac:dyDescent="0.25">
      <c r="E227" t="s">
        <v>48</v>
      </c>
      <c r="F227" t="s">
        <v>7</v>
      </c>
      <c r="G227" s="2">
        <f t="shared" ref="G227:AA227" si="86">G207</f>
        <v>0</v>
      </c>
      <c r="H227" s="2">
        <f t="shared" si="86"/>
        <v>0</v>
      </c>
      <c r="I227" s="2">
        <f t="shared" si="86"/>
        <v>0</v>
      </c>
      <c r="J227" s="2">
        <f t="shared" si="86"/>
        <v>0</v>
      </c>
      <c r="K227" s="2">
        <f t="shared" si="86"/>
        <v>0</v>
      </c>
      <c r="L227" s="2">
        <f t="shared" si="86"/>
        <v>0</v>
      </c>
      <c r="M227" s="2">
        <f t="shared" si="86"/>
        <v>0</v>
      </c>
      <c r="N227" s="2">
        <f t="shared" si="86"/>
        <v>0</v>
      </c>
      <c r="O227" s="2">
        <f t="shared" si="86"/>
        <v>0</v>
      </c>
      <c r="P227" s="2">
        <f t="shared" si="86"/>
        <v>0</v>
      </c>
      <c r="Q227" s="2">
        <f t="shared" si="86"/>
        <v>0</v>
      </c>
      <c r="R227" s="2">
        <f t="shared" si="86"/>
        <v>0</v>
      </c>
      <c r="S227" s="2">
        <f t="shared" si="86"/>
        <v>0</v>
      </c>
      <c r="T227" s="2">
        <f t="shared" si="86"/>
        <v>0</v>
      </c>
      <c r="U227" s="2">
        <f t="shared" si="86"/>
        <v>0</v>
      </c>
      <c r="V227" s="2">
        <f t="shared" si="86"/>
        <v>0</v>
      </c>
      <c r="W227" s="2">
        <f t="shared" si="86"/>
        <v>0</v>
      </c>
      <c r="X227" s="2">
        <f t="shared" si="86"/>
        <v>0</v>
      </c>
      <c r="Y227" s="2">
        <f t="shared" si="86"/>
        <v>0</v>
      </c>
      <c r="Z227" s="2">
        <f t="shared" si="86"/>
        <v>0</v>
      </c>
      <c r="AA227" s="2">
        <f t="shared" si="86"/>
        <v>0</v>
      </c>
    </row>
    <row r="228" spans="4:28" customFormat="1" x14ac:dyDescent="0.25">
      <c r="E228" t="s">
        <v>13</v>
      </c>
      <c r="F228" t="s">
        <v>7</v>
      </c>
      <c r="H228" s="2">
        <f t="shared" ref="H228:AA228" ca="1" si="87">H219</f>
        <v>3312467.0278090406</v>
      </c>
      <c r="I228" s="2">
        <f t="shared" ca="1" si="87"/>
        <v>3377285.4569422682</v>
      </c>
      <c r="J228" s="2">
        <f t="shared" ca="1" si="87"/>
        <v>3508745.8190159006</v>
      </c>
      <c r="K228" s="2">
        <f t="shared" ca="1" si="87"/>
        <v>3466229.2150888606</v>
      </c>
      <c r="L228" s="2">
        <f t="shared" ca="1" si="87"/>
        <v>3422903.8222463373</v>
      </c>
      <c r="M228" s="2">
        <f t="shared" ca="1" si="87"/>
        <v>3371075.6059643594</v>
      </c>
      <c r="N228" s="2">
        <f t="shared" ca="1" si="87"/>
        <v>3320823.8994161226</v>
      </c>
      <c r="O228" s="2">
        <f t="shared" ca="1" si="87"/>
        <v>3275034.948010623</v>
      </c>
      <c r="P228" s="2">
        <f t="shared" ca="1" si="87"/>
        <v>3522110.6772631654</v>
      </c>
      <c r="Q228" s="2">
        <f t="shared" ca="1" si="87"/>
        <v>3803325.4299202254</v>
      </c>
      <c r="R228" s="2">
        <f t="shared" ca="1" si="87"/>
        <v>4094797.9513802086</v>
      </c>
      <c r="S228" s="2">
        <f t="shared" ca="1" si="87"/>
        <v>4428950.0492883343</v>
      </c>
      <c r="T228" s="2">
        <f t="shared" ca="1" si="87"/>
        <v>4775330.7294120435</v>
      </c>
      <c r="U228" s="2">
        <f t="shared" ca="1" si="87"/>
        <v>4851265.0458920943</v>
      </c>
      <c r="V228" s="2">
        <f t="shared" ca="1" si="87"/>
        <v>4931390.0489430362</v>
      </c>
      <c r="W228" s="2">
        <f t="shared" ca="1" si="87"/>
        <v>0</v>
      </c>
      <c r="X228" s="2">
        <f t="shared" ca="1" si="87"/>
        <v>0</v>
      </c>
      <c r="Y228" s="2">
        <f t="shared" ca="1" si="87"/>
        <v>0</v>
      </c>
      <c r="Z228" s="2">
        <f t="shared" ca="1" si="87"/>
        <v>0</v>
      </c>
      <c r="AA228" s="2">
        <f t="shared" ca="1" si="87"/>
        <v>0</v>
      </c>
    </row>
    <row r="229" spans="4:28" customFormat="1" x14ac:dyDescent="0.25"/>
    <row r="230" spans="4:28" customFormat="1" x14ac:dyDescent="0.25">
      <c r="E230" t="s">
        <v>14</v>
      </c>
      <c r="F230" t="s">
        <v>7</v>
      </c>
      <c r="G230" s="2">
        <f t="shared" ref="G230:AA230" si="88">SUM(G222:G228)</f>
        <v>-1360931.774211311</v>
      </c>
      <c r="H230" s="2">
        <f t="shared" ca="1" si="88"/>
        <v>7245136.8774713092</v>
      </c>
      <c r="I230" s="2">
        <f t="shared" ca="1" si="88"/>
        <v>7607501.530517485</v>
      </c>
      <c r="J230" s="2">
        <f t="shared" ca="1" si="88"/>
        <v>8186251.2064281628</v>
      </c>
      <c r="K230" s="2">
        <f t="shared" ca="1" si="88"/>
        <v>8319870.6147788651</v>
      </c>
      <c r="L230" s="2">
        <f t="shared" ca="1" si="88"/>
        <v>8464928.0556532983</v>
      </c>
      <c r="M230" s="2">
        <f t="shared" ca="1" si="88"/>
        <v>8591747.3130370155</v>
      </c>
      <c r="N230" s="2">
        <f t="shared" ca="1" si="88"/>
        <v>8725560.147221284</v>
      </c>
      <c r="O230" s="2">
        <f t="shared" ca="1" si="88"/>
        <v>8874590.4580971003</v>
      </c>
      <c r="P230" s="2">
        <f t="shared" ca="1" si="88"/>
        <v>9789915.6050112657</v>
      </c>
      <c r="Q230" s="2">
        <f t="shared" ca="1" si="88"/>
        <v>10818694.284967653</v>
      </c>
      <c r="R230" s="2">
        <f t="shared" ca="1" si="88"/>
        <v>11900961.92912136</v>
      </c>
      <c r="S230" s="2">
        <f t="shared" ca="1" si="88"/>
        <v>13123579.640086997</v>
      </c>
      <c r="T230" s="2">
        <f t="shared" ca="1" si="88"/>
        <v>14409396.512759186</v>
      </c>
      <c r="U230" s="2">
        <f t="shared" ca="1" si="88"/>
        <v>15023663.742181461</v>
      </c>
      <c r="V230" s="2">
        <f t="shared" ca="1" si="88"/>
        <v>15664858.885695066</v>
      </c>
      <c r="W230" s="2">
        <f t="shared" ca="1" si="88"/>
        <v>3264075.013308275</v>
      </c>
      <c r="X230" s="2">
        <f t="shared" ca="1" si="88"/>
        <v>3383455.6514766826</v>
      </c>
      <c r="Y230" s="2">
        <f t="shared" ca="1" si="88"/>
        <v>3505343.283046627</v>
      </c>
      <c r="Z230" s="2">
        <f t="shared" ca="1" si="88"/>
        <v>3629790.5548795392</v>
      </c>
      <c r="AA230" s="2">
        <f t="shared" ca="1" si="88"/>
        <v>3756851.2194209429</v>
      </c>
    </row>
    <row r="231" spans="4:28" customFormat="1" x14ac:dyDescent="0.25">
      <c r="E231" t="s">
        <v>15</v>
      </c>
      <c r="F231" t="s">
        <v>7</v>
      </c>
      <c r="G231" s="2">
        <f>-G230*G$18</f>
        <v>408279.53226339328</v>
      </c>
      <c r="H231" s="2">
        <f t="shared" ref="H231:AA231" ca="1" si="89">-H230*H$18</f>
        <v>-2173541.0632413928</v>
      </c>
      <c r="I231" s="2">
        <f t="shared" ca="1" si="89"/>
        <v>-2282250.4591552452</v>
      </c>
      <c r="J231" s="2">
        <f t="shared" ca="1" si="89"/>
        <v>-2455875.3619284485</v>
      </c>
      <c r="K231" s="2">
        <f t="shared" ca="1" si="89"/>
        <v>-2495961.1844336595</v>
      </c>
      <c r="L231" s="2">
        <f t="shared" ca="1" si="89"/>
        <v>-2539478.4166959892</v>
      </c>
      <c r="M231" s="2">
        <f t="shared" ca="1" si="89"/>
        <v>-2577524.1939111045</v>
      </c>
      <c r="N231" s="2">
        <f t="shared" ca="1" si="89"/>
        <v>-2617668.0441663852</v>
      </c>
      <c r="O231" s="2">
        <f t="shared" ca="1" si="89"/>
        <v>-2662377.1374291298</v>
      </c>
      <c r="P231" s="2">
        <f t="shared" ca="1" si="89"/>
        <v>-2936974.6815033797</v>
      </c>
      <c r="Q231" s="2">
        <f t="shared" ca="1" si="89"/>
        <v>-3245608.2854902958</v>
      </c>
      <c r="R231" s="2">
        <f t="shared" ca="1" si="89"/>
        <v>-3570288.5787364081</v>
      </c>
      <c r="S231" s="2">
        <f t="shared" ca="1" si="89"/>
        <v>-3937073.8920260989</v>
      </c>
      <c r="T231" s="2">
        <f t="shared" ca="1" si="89"/>
        <v>-4322818.9538277555</v>
      </c>
      <c r="U231" s="2">
        <f t="shared" ca="1" si="89"/>
        <v>-4507099.122654438</v>
      </c>
      <c r="V231" s="2">
        <f t="shared" ca="1" si="89"/>
        <v>-4699457.6657085195</v>
      </c>
      <c r="W231" s="2">
        <f t="shared" ca="1" si="89"/>
        <v>-979222.50399248244</v>
      </c>
      <c r="X231" s="2">
        <f t="shared" ca="1" si="89"/>
        <v>-1015036.6954430047</v>
      </c>
      <c r="Y231" s="2">
        <f t="shared" ca="1" si="89"/>
        <v>-1051602.984913988</v>
      </c>
      <c r="Z231" s="2">
        <f t="shared" ca="1" si="89"/>
        <v>-1088937.1664638617</v>
      </c>
      <c r="AA231" s="2">
        <f t="shared" ca="1" si="89"/>
        <v>-1127055.3658262829</v>
      </c>
    </row>
    <row r="232" spans="4:28" customFormat="1" x14ac:dyDescent="0.25"/>
    <row r="233" spans="4:28" customFormat="1" x14ac:dyDescent="0.25">
      <c r="D233" t="s">
        <v>28</v>
      </c>
    </row>
    <row r="234" spans="4:28" customFormat="1" x14ac:dyDescent="0.25">
      <c r="E234" t="s">
        <v>1</v>
      </c>
      <c r="F234" t="s">
        <v>7</v>
      </c>
      <c r="G234" s="2">
        <f t="shared" ref="G234:AA234" si="90">-G26</f>
        <v>-122483859.67901799</v>
      </c>
      <c r="H234" s="2">
        <f t="shared" si="90"/>
        <v>-3261116.0855198246</v>
      </c>
      <c r="I234" s="2">
        <f t="shared" si="90"/>
        <v>-2304756.9323546155</v>
      </c>
      <c r="J234" s="2">
        <f t="shared" si="90"/>
        <v>-376603.71211342595</v>
      </c>
      <c r="K234" s="2">
        <f t="shared" si="90"/>
        <v>-946651.96324235655</v>
      </c>
      <c r="L234" s="2">
        <f t="shared" si="90"/>
        <v>-93963.950627298487</v>
      </c>
      <c r="M234" s="2">
        <f t="shared" si="90"/>
        <v>0</v>
      </c>
      <c r="N234" s="2">
        <f t="shared" si="90"/>
        <v>0</v>
      </c>
      <c r="O234" s="2">
        <f t="shared" si="90"/>
        <v>0</v>
      </c>
      <c r="P234" s="2">
        <f t="shared" si="90"/>
        <v>0</v>
      </c>
      <c r="Q234" s="2">
        <f t="shared" si="90"/>
        <v>0</v>
      </c>
      <c r="R234" s="2">
        <f t="shared" si="90"/>
        <v>0</v>
      </c>
      <c r="S234" s="2">
        <f t="shared" si="90"/>
        <v>0</v>
      </c>
      <c r="T234" s="2">
        <f t="shared" si="90"/>
        <v>0</v>
      </c>
      <c r="U234" s="2">
        <f t="shared" si="90"/>
        <v>0</v>
      </c>
      <c r="V234" s="2">
        <f t="shared" si="90"/>
        <v>0</v>
      </c>
      <c r="W234" s="2">
        <f t="shared" si="90"/>
        <v>0</v>
      </c>
      <c r="X234" s="2">
        <f t="shared" si="90"/>
        <v>0</v>
      </c>
      <c r="Y234" s="2">
        <f t="shared" si="90"/>
        <v>0</v>
      </c>
      <c r="Z234" s="2">
        <f t="shared" si="90"/>
        <v>0</v>
      </c>
      <c r="AA234" s="2">
        <f t="shared" si="90"/>
        <v>0</v>
      </c>
    </row>
    <row r="235" spans="4:28" customFormat="1" x14ac:dyDescent="0.25">
      <c r="E235" t="s">
        <v>19</v>
      </c>
      <c r="F235" t="s">
        <v>7</v>
      </c>
      <c r="G235" s="2">
        <f t="shared" ref="G235:AA235" si="91">G84</f>
        <v>0</v>
      </c>
      <c r="H235" s="2">
        <f t="shared" si="91"/>
        <v>0</v>
      </c>
      <c r="I235" s="2">
        <f t="shared" si="91"/>
        <v>0</v>
      </c>
      <c r="J235" s="2">
        <f t="shared" si="91"/>
        <v>0</v>
      </c>
      <c r="K235" s="2">
        <f t="shared" si="91"/>
        <v>0</v>
      </c>
      <c r="L235" s="2">
        <f t="shared" si="91"/>
        <v>0</v>
      </c>
      <c r="M235" s="2">
        <f t="shared" si="91"/>
        <v>0</v>
      </c>
      <c r="N235" s="2">
        <f t="shared" si="91"/>
        <v>0</v>
      </c>
      <c r="O235" s="2">
        <f t="shared" si="91"/>
        <v>0</v>
      </c>
      <c r="P235" s="2">
        <f t="shared" si="91"/>
        <v>0</v>
      </c>
      <c r="Q235" s="2">
        <f t="shared" si="91"/>
        <v>0</v>
      </c>
      <c r="R235" s="2">
        <f t="shared" si="91"/>
        <v>0</v>
      </c>
      <c r="S235" s="2">
        <f t="shared" si="91"/>
        <v>0</v>
      </c>
      <c r="T235" s="2">
        <f t="shared" si="91"/>
        <v>0</v>
      </c>
      <c r="U235" s="2">
        <f t="shared" si="91"/>
        <v>0</v>
      </c>
      <c r="V235" s="2">
        <f t="shared" si="91"/>
        <v>0</v>
      </c>
      <c r="W235" s="2">
        <f t="shared" si="91"/>
        <v>0</v>
      </c>
      <c r="X235" s="2">
        <f t="shared" si="91"/>
        <v>0</v>
      </c>
      <c r="Y235" s="2">
        <f t="shared" si="91"/>
        <v>0</v>
      </c>
      <c r="Z235" s="2">
        <f t="shared" si="91"/>
        <v>0</v>
      </c>
      <c r="AA235" s="2">
        <f t="shared" si="91"/>
        <v>0</v>
      </c>
    </row>
    <row r="236" spans="4:28" customFormat="1" x14ac:dyDescent="0.25">
      <c r="E236" t="s">
        <v>109</v>
      </c>
      <c r="F236" t="s">
        <v>7</v>
      </c>
      <c r="G236" s="2">
        <f t="shared" ref="G236:AA236" si="92">G53</f>
        <v>0</v>
      </c>
      <c r="H236" s="2">
        <f t="shared" si="92"/>
        <v>0</v>
      </c>
      <c r="I236" s="2">
        <f t="shared" si="92"/>
        <v>0</v>
      </c>
      <c r="J236" s="2">
        <f t="shared" si="92"/>
        <v>0</v>
      </c>
      <c r="K236" s="2">
        <f t="shared" si="92"/>
        <v>0</v>
      </c>
      <c r="L236" s="2">
        <f t="shared" si="92"/>
        <v>0</v>
      </c>
      <c r="M236" s="2">
        <f t="shared" si="92"/>
        <v>0</v>
      </c>
      <c r="N236" s="2">
        <f t="shared" si="92"/>
        <v>0</v>
      </c>
      <c r="O236" s="2">
        <f t="shared" si="92"/>
        <v>0</v>
      </c>
      <c r="P236" s="2">
        <f t="shared" si="92"/>
        <v>0</v>
      </c>
      <c r="Q236" s="2">
        <f t="shared" si="92"/>
        <v>0</v>
      </c>
      <c r="R236" s="2">
        <f t="shared" si="92"/>
        <v>0</v>
      </c>
      <c r="S236" s="2">
        <f t="shared" si="92"/>
        <v>0</v>
      </c>
      <c r="T236" s="2">
        <f t="shared" si="92"/>
        <v>0</v>
      </c>
      <c r="U236" s="2">
        <f t="shared" si="92"/>
        <v>0</v>
      </c>
      <c r="V236" s="2">
        <f t="shared" si="92"/>
        <v>0</v>
      </c>
      <c r="W236" s="2">
        <f t="shared" si="92"/>
        <v>0</v>
      </c>
      <c r="X236" s="2">
        <f t="shared" si="92"/>
        <v>0</v>
      </c>
      <c r="Y236" s="2">
        <f t="shared" si="92"/>
        <v>0</v>
      </c>
      <c r="Z236" s="2">
        <f t="shared" si="92"/>
        <v>0</v>
      </c>
      <c r="AA236" s="2">
        <f t="shared" si="92"/>
        <v>0</v>
      </c>
    </row>
    <row r="237" spans="4:28" customFormat="1" x14ac:dyDescent="0.25">
      <c r="E237" t="s">
        <v>11</v>
      </c>
      <c r="F237" t="s">
        <v>7</v>
      </c>
      <c r="G237" s="2">
        <f t="shared" ref="G237:AA237" si="93">G177</f>
        <v>0</v>
      </c>
      <c r="H237" s="2">
        <f t="shared" si="93"/>
        <v>381628.5170682458</v>
      </c>
      <c r="I237" s="2">
        <f t="shared" si="93"/>
        <v>757478.74779573421</v>
      </c>
      <c r="J237" s="2">
        <f t="shared" si="93"/>
        <v>1167015.8825859842</v>
      </c>
      <c r="K237" s="2">
        <f t="shared" si="93"/>
        <v>1579490.5779670491</v>
      </c>
      <c r="L237" s="2">
        <f t="shared" si="93"/>
        <v>1996224.5982853728</v>
      </c>
      <c r="M237" s="2">
        <f t="shared" si="93"/>
        <v>2414997.9624464838</v>
      </c>
      <c r="N237" s="2">
        <f t="shared" si="93"/>
        <v>2836651.6630771486</v>
      </c>
      <c r="O237" s="2">
        <f t="shared" si="93"/>
        <v>3262364.3658038136</v>
      </c>
      <c r="P237" s="2">
        <f t="shared" si="93"/>
        <v>3724111.9881470096</v>
      </c>
      <c r="Q237" s="2">
        <f t="shared" si="93"/>
        <v>4227628.0405966435</v>
      </c>
      <c r="R237" s="2">
        <f t="shared" si="93"/>
        <v>4774153.4381940626</v>
      </c>
      <c r="S237" s="2">
        <f t="shared" si="93"/>
        <v>5370495.3373514498</v>
      </c>
      <c r="T237" s="2">
        <f t="shared" si="93"/>
        <v>6017419.9043528102</v>
      </c>
      <c r="U237" s="2">
        <f t="shared" si="93"/>
        <v>6685953.2802573713</v>
      </c>
      <c r="V237" s="2">
        <f t="shared" si="93"/>
        <v>7377828.2750419639</v>
      </c>
      <c r="W237" s="2">
        <f t="shared" si="93"/>
        <v>7532762.6688178442</v>
      </c>
      <c r="X237" s="2">
        <f t="shared" si="93"/>
        <v>7690950.6848630179</v>
      </c>
      <c r="Y237" s="2">
        <f t="shared" si="93"/>
        <v>7852460.6492451411</v>
      </c>
      <c r="Z237" s="2">
        <f t="shared" si="93"/>
        <v>8017362.3228792883</v>
      </c>
      <c r="AA237" s="2">
        <f t="shared" si="93"/>
        <v>8185726.9316597525</v>
      </c>
      <c r="AB237" s="2">
        <f t="shared" ref="AB237:AB241" si="94">IF(V237=0,0,IF($G$15&gt;(AA237/V237)^(1/5)-1+2%,AA237*(AA237/V237)^(1/5)/($G$15-((AA237/V237)^(1/5)-1)),AA237*(1+$G$14)/$G$16))</f>
        <v>272857564.388659</v>
      </c>
    </row>
    <row r="238" spans="4:28" customFormat="1" x14ac:dyDescent="0.25">
      <c r="E238" t="s">
        <v>57</v>
      </c>
      <c r="F238" t="s">
        <v>7</v>
      </c>
      <c r="G238" s="2">
        <f t="shared" ref="G238:AA238" si="95">G224</f>
        <v>0</v>
      </c>
      <c r="H238" s="2">
        <f t="shared" si="95"/>
        <v>0</v>
      </c>
      <c r="I238" s="2">
        <f t="shared" si="95"/>
        <v>0</v>
      </c>
      <c r="J238" s="2">
        <f t="shared" si="95"/>
        <v>0</v>
      </c>
      <c r="K238" s="2">
        <f t="shared" si="95"/>
        <v>0</v>
      </c>
      <c r="L238" s="2">
        <f t="shared" si="95"/>
        <v>0</v>
      </c>
      <c r="M238" s="2">
        <f t="shared" si="95"/>
        <v>0</v>
      </c>
      <c r="N238" s="2">
        <f t="shared" si="95"/>
        <v>0</v>
      </c>
      <c r="O238" s="2">
        <f t="shared" si="95"/>
        <v>0</v>
      </c>
      <c r="P238" s="2">
        <f t="shared" si="95"/>
        <v>0</v>
      </c>
      <c r="Q238" s="2">
        <f t="shared" si="95"/>
        <v>0</v>
      </c>
      <c r="R238" s="2">
        <f t="shared" si="95"/>
        <v>0</v>
      </c>
      <c r="S238" s="2">
        <f t="shared" si="95"/>
        <v>0</v>
      </c>
      <c r="T238" s="2">
        <f t="shared" si="95"/>
        <v>0</v>
      </c>
      <c r="U238" s="2">
        <f t="shared" si="95"/>
        <v>0</v>
      </c>
      <c r="V238" s="2">
        <f t="shared" si="95"/>
        <v>0</v>
      </c>
      <c r="W238" s="2">
        <f t="shared" si="95"/>
        <v>0</v>
      </c>
      <c r="X238" s="2">
        <f t="shared" si="95"/>
        <v>0</v>
      </c>
      <c r="Y238" s="2">
        <f t="shared" si="95"/>
        <v>0</v>
      </c>
      <c r="Z238" s="2">
        <f t="shared" si="95"/>
        <v>0</v>
      </c>
      <c r="AA238" s="2">
        <f t="shared" si="95"/>
        <v>0</v>
      </c>
      <c r="AB238" s="2">
        <f t="shared" si="94"/>
        <v>0</v>
      </c>
    </row>
    <row r="239" spans="4:28" customFormat="1" x14ac:dyDescent="0.25">
      <c r="E239" t="s">
        <v>10</v>
      </c>
      <c r="F239" t="s">
        <v>7</v>
      </c>
      <c r="G239" s="2">
        <f t="shared" ref="G239:AA239" si="96">-G200</f>
        <v>0</v>
      </c>
      <c r="H239" s="2">
        <f t="shared" si="96"/>
        <v>-90983.147799999992</v>
      </c>
      <c r="I239" s="2">
        <f t="shared" si="96"/>
        <v>-185665.62221060001</v>
      </c>
      <c r="J239" s="2">
        <f t="shared" si="96"/>
        <v>-285988.95222780469</v>
      </c>
      <c r="K239" s="2">
        <f t="shared" si="96"/>
        <v>-387154.48473513121</v>
      </c>
      <c r="L239" s="2">
        <f t="shared" si="96"/>
        <v>-489303.17523078615</v>
      </c>
      <c r="M239" s="2">
        <f t="shared" si="96"/>
        <v>-592075.99816342373</v>
      </c>
      <c r="N239" s="2">
        <f t="shared" si="96"/>
        <v>-695596.3053507884</v>
      </c>
      <c r="O239" s="2">
        <f t="shared" si="96"/>
        <v>-800068.94891774247</v>
      </c>
      <c r="P239" s="2">
        <f t="shared" si="96"/>
        <v>-913458.30211050808</v>
      </c>
      <c r="Q239" s="2">
        <f t="shared" si="96"/>
        <v>-1037013.325353526</v>
      </c>
      <c r="R239" s="2">
        <f t="shared" si="96"/>
        <v>-1171144.6258517699</v>
      </c>
      <c r="S239" s="2">
        <f t="shared" si="96"/>
        <v>-1317367.386315461</v>
      </c>
      <c r="T239" s="2">
        <f t="shared" si="96"/>
        <v>-1476093.6622666921</v>
      </c>
      <c r="U239" s="2">
        <f t="shared" si="96"/>
        <v>-1640186.600059181</v>
      </c>
      <c r="V239" s="2">
        <f t="shared" si="96"/>
        <v>-1809961.1900921995</v>
      </c>
      <c r="W239" s="2">
        <f t="shared" si="96"/>
        <v>-1847970.3750841357</v>
      </c>
      <c r="X239" s="2">
        <f t="shared" si="96"/>
        <v>-1886777.7529609022</v>
      </c>
      <c r="Y239" s="2">
        <f t="shared" si="96"/>
        <v>-1926400.0857730811</v>
      </c>
      <c r="Z239" s="2">
        <f t="shared" si="96"/>
        <v>-1966854.4875743156</v>
      </c>
      <c r="AA239" s="2">
        <f t="shared" si="96"/>
        <v>-2008158.431813376</v>
      </c>
      <c r="AB239" s="2">
        <f t="shared" si="94"/>
        <v>-66938614.393779337</v>
      </c>
    </row>
    <row r="240" spans="4:28" customFormat="1" x14ac:dyDescent="0.25">
      <c r="E240" t="s">
        <v>48</v>
      </c>
      <c r="F240" t="s">
        <v>7</v>
      </c>
      <c r="G240" s="2">
        <f t="shared" ref="G240:AA240" si="97">G207</f>
        <v>0</v>
      </c>
      <c r="H240" s="2">
        <f t="shared" si="97"/>
        <v>0</v>
      </c>
      <c r="I240" s="2">
        <f t="shared" si="97"/>
        <v>0</v>
      </c>
      <c r="J240" s="2">
        <f t="shared" si="97"/>
        <v>0</v>
      </c>
      <c r="K240" s="2">
        <f t="shared" si="97"/>
        <v>0</v>
      </c>
      <c r="L240" s="2">
        <f t="shared" si="97"/>
        <v>0</v>
      </c>
      <c r="M240" s="2">
        <f t="shared" si="97"/>
        <v>0</v>
      </c>
      <c r="N240" s="2">
        <f t="shared" si="97"/>
        <v>0</v>
      </c>
      <c r="O240" s="2">
        <f t="shared" si="97"/>
        <v>0</v>
      </c>
      <c r="P240" s="2">
        <f t="shared" si="97"/>
        <v>0</v>
      </c>
      <c r="Q240" s="2">
        <f t="shared" si="97"/>
        <v>0</v>
      </c>
      <c r="R240" s="2">
        <f t="shared" si="97"/>
        <v>0</v>
      </c>
      <c r="S240" s="2">
        <f t="shared" si="97"/>
        <v>0</v>
      </c>
      <c r="T240" s="2">
        <f t="shared" si="97"/>
        <v>0</v>
      </c>
      <c r="U240" s="2">
        <f t="shared" si="97"/>
        <v>0</v>
      </c>
      <c r="V240" s="2">
        <f t="shared" si="97"/>
        <v>0</v>
      </c>
      <c r="W240" s="2">
        <f t="shared" si="97"/>
        <v>0</v>
      </c>
      <c r="X240" s="2">
        <f t="shared" si="97"/>
        <v>0</v>
      </c>
      <c r="Y240" s="2">
        <f t="shared" si="97"/>
        <v>0</v>
      </c>
      <c r="Z240" s="2">
        <f t="shared" si="97"/>
        <v>0</v>
      </c>
      <c r="AA240" s="2">
        <f t="shared" si="97"/>
        <v>0</v>
      </c>
      <c r="AB240" s="2">
        <f t="shared" si="94"/>
        <v>0</v>
      </c>
    </row>
    <row r="241" spans="3:28" customFormat="1" x14ac:dyDescent="0.25">
      <c r="E241" t="s">
        <v>49</v>
      </c>
      <c r="F241" t="s">
        <v>7</v>
      </c>
      <c r="G241" s="2">
        <f t="shared" ref="G241:AA241" si="98">G214</f>
        <v>0</v>
      </c>
      <c r="H241" s="2">
        <f t="shared" si="98"/>
        <v>0</v>
      </c>
      <c r="I241" s="2">
        <f t="shared" si="98"/>
        <v>0</v>
      </c>
      <c r="J241" s="2">
        <f t="shared" si="98"/>
        <v>0</v>
      </c>
      <c r="K241" s="2">
        <f t="shared" si="98"/>
        <v>0</v>
      </c>
      <c r="L241" s="2">
        <f t="shared" si="98"/>
        <v>0</v>
      </c>
      <c r="M241" s="2">
        <f t="shared" si="98"/>
        <v>0</v>
      </c>
      <c r="N241" s="2">
        <f t="shared" si="98"/>
        <v>0</v>
      </c>
      <c r="O241" s="2">
        <f t="shared" si="98"/>
        <v>0</v>
      </c>
      <c r="P241" s="2">
        <f t="shared" si="98"/>
        <v>0</v>
      </c>
      <c r="Q241" s="2">
        <f t="shared" si="98"/>
        <v>0</v>
      </c>
      <c r="R241" s="2">
        <f t="shared" si="98"/>
        <v>0</v>
      </c>
      <c r="S241" s="2">
        <f t="shared" si="98"/>
        <v>0</v>
      </c>
      <c r="T241" s="2">
        <f t="shared" si="98"/>
        <v>0</v>
      </c>
      <c r="U241" s="2">
        <f t="shared" si="98"/>
        <v>0</v>
      </c>
      <c r="V241" s="2">
        <f t="shared" si="98"/>
        <v>0</v>
      </c>
      <c r="W241" s="2">
        <f t="shared" si="98"/>
        <v>0</v>
      </c>
      <c r="X241" s="2">
        <f t="shared" si="98"/>
        <v>0</v>
      </c>
      <c r="Y241" s="2">
        <f t="shared" si="98"/>
        <v>0</v>
      </c>
      <c r="Z241" s="2">
        <f t="shared" si="98"/>
        <v>0</v>
      </c>
      <c r="AA241" s="2">
        <f t="shared" si="98"/>
        <v>0</v>
      </c>
      <c r="AB241" s="2">
        <f t="shared" si="94"/>
        <v>0</v>
      </c>
    </row>
    <row r="242" spans="3:28" customFormat="1" x14ac:dyDescent="0.25">
      <c r="E242" t="s">
        <v>20</v>
      </c>
      <c r="F242" t="s">
        <v>7</v>
      </c>
      <c r="G242" s="2">
        <f t="shared" ref="G242:AA242" si="99">G231</f>
        <v>408279.53226339328</v>
      </c>
      <c r="H242" s="2">
        <f t="shared" ca="1" si="99"/>
        <v>-2173541.0632413928</v>
      </c>
      <c r="I242" s="2">
        <f t="shared" ca="1" si="99"/>
        <v>-2282250.4591552452</v>
      </c>
      <c r="J242" s="2">
        <f t="shared" ca="1" si="99"/>
        <v>-2455875.3619284485</v>
      </c>
      <c r="K242" s="2">
        <f t="shared" ca="1" si="99"/>
        <v>-2495961.1844336595</v>
      </c>
      <c r="L242" s="2">
        <f t="shared" ca="1" si="99"/>
        <v>-2539478.4166959892</v>
      </c>
      <c r="M242" s="2">
        <f t="shared" ca="1" si="99"/>
        <v>-2577524.1939111045</v>
      </c>
      <c r="N242" s="2">
        <f t="shared" ca="1" si="99"/>
        <v>-2617668.0441663852</v>
      </c>
      <c r="O242" s="2">
        <f t="shared" ca="1" si="99"/>
        <v>-2662377.1374291298</v>
      </c>
      <c r="P242" s="2">
        <f t="shared" ca="1" si="99"/>
        <v>-2936974.6815033797</v>
      </c>
      <c r="Q242" s="2">
        <f t="shared" ca="1" si="99"/>
        <v>-3245608.2854902958</v>
      </c>
      <c r="R242" s="2">
        <f t="shared" ca="1" si="99"/>
        <v>-3570288.5787364081</v>
      </c>
      <c r="S242" s="2">
        <f t="shared" ca="1" si="99"/>
        <v>-3937073.8920260989</v>
      </c>
      <c r="T242" s="2">
        <f t="shared" ca="1" si="99"/>
        <v>-4322818.9538277555</v>
      </c>
      <c r="U242" s="2">
        <f t="shared" ca="1" si="99"/>
        <v>-4507099.122654438</v>
      </c>
      <c r="V242" s="2">
        <f t="shared" ca="1" si="99"/>
        <v>-4699457.6657085195</v>
      </c>
      <c r="W242" s="2">
        <f t="shared" ca="1" si="99"/>
        <v>-979222.50399248244</v>
      </c>
      <c r="X242" s="2">
        <f t="shared" ca="1" si="99"/>
        <v>-1015036.6954430047</v>
      </c>
      <c r="Y242" s="2">
        <f t="shared" ca="1" si="99"/>
        <v>-1051602.984913988</v>
      </c>
      <c r="Z242" s="2">
        <f t="shared" ca="1" si="99"/>
        <v>-1088937.1664638617</v>
      </c>
      <c r="AA242" s="2">
        <f t="shared" ca="1" si="99"/>
        <v>-1127055.3658262829</v>
      </c>
      <c r="AB242" s="2">
        <f ca="1">IF(V242=0,0,IF($G$15&gt;(AA242/V242)^(1/5)-1+2%,AA242*(AA242/V242)^(1/5)/($G$15-((AA242/V242)^(1/5)-1)),AA242*(1+$G$14)/$G$16))</f>
        <v>-2823201.398741086</v>
      </c>
    </row>
    <row r="243" spans="3:28" customFormat="1" x14ac:dyDescent="0.25">
      <c r="E243" t="s">
        <v>173</v>
      </c>
      <c r="F243" t="s">
        <v>7</v>
      </c>
      <c r="G243" s="2">
        <f>-$G$17*G242</f>
        <v>-204139.76613169664</v>
      </c>
      <c r="H243" s="2">
        <f t="shared" ref="H243:AA243" ca="1" si="100">-$G$17*H242</f>
        <v>1086770.5316206964</v>
      </c>
      <c r="I243" s="2">
        <f t="shared" ca="1" si="100"/>
        <v>1141125.2295776226</v>
      </c>
      <c r="J243" s="2">
        <f t="shared" ca="1" si="100"/>
        <v>1227937.6809642243</v>
      </c>
      <c r="K243" s="2">
        <f t="shared" ca="1" si="100"/>
        <v>1247980.5922168298</v>
      </c>
      <c r="L243" s="2">
        <f t="shared" ca="1" si="100"/>
        <v>1269739.2083479946</v>
      </c>
      <c r="M243" s="2">
        <f t="shared" ca="1" si="100"/>
        <v>1288762.0969555522</v>
      </c>
      <c r="N243" s="2">
        <f t="shared" ca="1" si="100"/>
        <v>1308834.0220831926</v>
      </c>
      <c r="O243" s="2">
        <f t="shared" ca="1" si="100"/>
        <v>1331188.5687145649</v>
      </c>
      <c r="P243" s="2">
        <f t="shared" ca="1" si="100"/>
        <v>1468487.3407516899</v>
      </c>
      <c r="Q243" s="2">
        <f t="shared" ca="1" si="100"/>
        <v>1622804.1427451479</v>
      </c>
      <c r="R243" s="2">
        <f t="shared" ca="1" si="100"/>
        <v>1785144.2893682041</v>
      </c>
      <c r="S243" s="2">
        <f t="shared" ca="1" si="100"/>
        <v>1968536.9460130495</v>
      </c>
      <c r="T243" s="2">
        <f t="shared" ca="1" si="100"/>
        <v>2161409.4769138778</v>
      </c>
      <c r="U243" s="2">
        <f t="shared" ca="1" si="100"/>
        <v>2253549.561327219</v>
      </c>
      <c r="V243" s="2">
        <f t="shared" ca="1" si="100"/>
        <v>2349728.8328542598</v>
      </c>
      <c r="W243" s="2">
        <f t="shared" ca="1" si="100"/>
        <v>489611.25199624122</v>
      </c>
      <c r="X243" s="2">
        <f t="shared" ca="1" si="100"/>
        <v>507518.34772150236</v>
      </c>
      <c r="Y243" s="2">
        <f t="shared" ca="1" si="100"/>
        <v>525801.49245699402</v>
      </c>
      <c r="Z243" s="2">
        <f t="shared" ca="1" si="100"/>
        <v>544468.58323193085</v>
      </c>
      <c r="AA243" s="2">
        <f t="shared" ca="1" si="100"/>
        <v>563527.68291314144</v>
      </c>
      <c r="AB243" s="2">
        <f t="shared" ref="AB243" ca="1" si="101">IF(V243=0,0,IF($G$15&gt;(AA243/V243)^(1/5)-1+2%,AA243*(AA243/V243)^(1/5)/($G$15-((AA243/V243)^(1/5)-1)),AA243*(1+$G$14)/$G$16))</f>
        <v>1411600.699370543</v>
      </c>
    </row>
    <row r="244" spans="3:28" customFormat="1" x14ac:dyDescent="0.25">
      <c r="E244" t="s">
        <v>23</v>
      </c>
      <c r="F244" t="s">
        <v>7</v>
      </c>
      <c r="G244" s="2">
        <f>SUM(G234:G243)</f>
        <v>-122279719.91288629</v>
      </c>
      <c r="H244" s="2">
        <f t="shared" ref="H244:AB244" ca="1" si="102">SUM(H234:H243)</f>
        <v>-4057241.2478722753</v>
      </c>
      <c r="I244" s="2">
        <f t="shared" ca="1" si="102"/>
        <v>-2874069.0363471042</v>
      </c>
      <c r="J244" s="2">
        <f t="shared" ca="1" si="102"/>
        <v>-723514.46271947073</v>
      </c>
      <c r="K244" s="2">
        <f t="shared" ca="1" si="102"/>
        <v>-1002296.4622272686</v>
      </c>
      <c r="L244" s="2">
        <f t="shared" ca="1" si="102"/>
        <v>143218.26407929347</v>
      </c>
      <c r="M244" s="2">
        <f t="shared" ca="1" si="102"/>
        <v>534159.86732750782</v>
      </c>
      <c r="N244" s="2">
        <f t="shared" ca="1" si="102"/>
        <v>832221.33564316761</v>
      </c>
      <c r="O244" s="2">
        <f t="shared" ca="1" si="102"/>
        <v>1131106.8481715063</v>
      </c>
      <c r="P244" s="2">
        <f t="shared" ca="1" si="102"/>
        <v>1342166.3452848117</v>
      </c>
      <c r="Q244" s="2">
        <f t="shared" ca="1" si="102"/>
        <v>1567810.5724979695</v>
      </c>
      <c r="R244" s="2">
        <f t="shared" ca="1" si="102"/>
        <v>1817864.5229740886</v>
      </c>
      <c r="S244" s="2">
        <f t="shared" ca="1" si="102"/>
        <v>2084591.0050229391</v>
      </c>
      <c r="T244" s="2">
        <f t="shared" ca="1" si="102"/>
        <v>2379916.7651722403</v>
      </c>
      <c r="U244" s="2">
        <f t="shared" ca="1" si="102"/>
        <v>2792217.1188709717</v>
      </c>
      <c r="V244" s="2">
        <f t="shared" ca="1" si="102"/>
        <v>3218138.2520955047</v>
      </c>
      <c r="W244" s="2">
        <f t="shared" ca="1" si="102"/>
        <v>5195181.041737468</v>
      </c>
      <c r="X244" s="2">
        <f t="shared" ca="1" si="102"/>
        <v>5296654.584180614</v>
      </c>
      <c r="Y244" s="2">
        <f t="shared" ca="1" si="102"/>
        <v>5400259.0710150665</v>
      </c>
      <c r="Z244" s="2">
        <f t="shared" ca="1" si="102"/>
        <v>5506039.2520730412</v>
      </c>
      <c r="AA244" s="2">
        <f t="shared" ca="1" si="102"/>
        <v>5614040.8169332352</v>
      </c>
      <c r="AB244" s="2">
        <f t="shared" ca="1" si="102"/>
        <v>204507349.2955091</v>
      </c>
    </row>
    <row r="245" spans="3:28" customFormat="1" x14ac:dyDescent="0.25">
      <c r="E245" t="s">
        <v>31</v>
      </c>
      <c r="F245" t="s">
        <v>7</v>
      </c>
      <c r="G245" s="2">
        <f ca="1">NPV($G$15,H244:AB244)+G244</f>
        <v>-38241210.772831753</v>
      </c>
    </row>
    <row r="247" spans="3:28" customFormat="1" x14ac:dyDescent="0.25">
      <c r="E247" t="s">
        <v>13</v>
      </c>
      <c r="F247" t="s">
        <v>7</v>
      </c>
      <c r="H247" s="2">
        <f t="shared" ref="H247:AA247" ca="1" si="103">H219</f>
        <v>3312467.0278090406</v>
      </c>
      <c r="I247" s="2">
        <f t="shared" ca="1" si="103"/>
        <v>3377285.4569422682</v>
      </c>
      <c r="J247" s="2">
        <f t="shared" ca="1" si="103"/>
        <v>3508745.8190159006</v>
      </c>
      <c r="K247" s="2">
        <f t="shared" ca="1" si="103"/>
        <v>3466229.2150888606</v>
      </c>
      <c r="L247" s="2">
        <f t="shared" ca="1" si="103"/>
        <v>3422903.8222463373</v>
      </c>
      <c r="M247" s="2">
        <f t="shared" ca="1" si="103"/>
        <v>3371075.6059643594</v>
      </c>
      <c r="N247" s="2">
        <f t="shared" ca="1" si="103"/>
        <v>3320823.8994161226</v>
      </c>
      <c r="O247" s="2">
        <f t="shared" ca="1" si="103"/>
        <v>3275034.948010623</v>
      </c>
      <c r="P247" s="2">
        <f t="shared" ca="1" si="103"/>
        <v>3522110.6772631654</v>
      </c>
      <c r="Q247" s="2">
        <f t="shared" ca="1" si="103"/>
        <v>3803325.4299202254</v>
      </c>
      <c r="R247" s="2">
        <f t="shared" ca="1" si="103"/>
        <v>4094797.9513802086</v>
      </c>
      <c r="S247" s="2">
        <f t="shared" ca="1" si="103"/>
        <v>4428950.0492883343</v>
      </c>
      <c r="T247" s="2">
        <f t="shared" ca="1" si="103"/>
        <v>4775330.7294120435</v>
      </c>
      <c r="U247" s="2">
        <f t="shared" ca="1" si="103"/>
        <v>4851265.0458920943</v>
      </c>
      <c r="V247" s="2">
        <f t="shared" ca="1" si="103"/>
        <v>4931390.0489430362</v>
      </c>
      <c r="W247" s="2">
        <f t="shared" ca="1" si="103"/>
        <v>0</v>
      </c>
      <c r="X247" s="2">
        <f t="shared" ca="1" si="103"/>
        <v>0</v>
      </c>
      <c r="Y247" s="2">
        <f t="shared" ca="1" si="103"/>
        <v>0</v>
      </c>
      <c r="Z247" s="2">
        <f t="shared" ca="1" si="103"/>
        <v>0</v>
      </c>
      <c r="AA247" s="2">
        <f t="shared" ca="1" si="103"/>
        <v>0</v>
      </c>
    </row>
    <row r="248" spans="3:28" customFormat="1" x14ac:dyDescent="0.25">
      <c r="E248" t="s">
        <v>24</v>
      </c>
      <c r="F248" t="s">
        <v>7</v>
      </c>
      <c r="G248" s="2">
        <f ca="1">NPV($G$15,H247:AA247)+G247</f>
        <v>38241210.772831783</v>
      </c>
    </row>
    <row r="249" spans="3:28" customFormat="1" x14ac:dyDescent="0.25">
      <c r="E249" s="3" t="s">
        <v>34</v>
      </c>
      <c r="F249" s="3"/>
      <c r="G249" s="4" t="str">
        <f ca="1">IF(G245&gt;0,"N/A",IF(ABS(G245+G248)&gt;1,"Error","OK"))</f>
        <v>OK</v>
      </c>
    </row>
    <row r="251" spans="3:28" customFormat="1" x14ac:dyDescent="0.25">
      <c r="C251" s="1" t="s">
        <v>35</v>
      </c>
      <c r="D251" s="1"/>
    </row>
    <row r="252" spans="3:28" customFormat="1" x14ac:dyDescent="0.25">
      <c r="C252" s="1"/>
      <c r="D252" s="1"/>
    </row>
    <row r="253" spans="3:28" customFormat="1" x14ac:dyDescent="0.25">
      <c r="C253" s="1"/>
      <c r="D253" t="s">
        <v>35</v>
      </c>
      <c r="F253" t="s">
        <v>7</v>
      </c>
      <c r="G253" s="8">
        <f ca="1">MAX(0,-G279)</f>
        <v>38438954.017911047</v>
      </c>
    </row>
    <row r="255" spans="3:28" customFormat="1" x14ac:dyDescent="0.25">
      <c r="D255" t="s">
        <v>9</v>
      </c>
    </row>
    <row r="256" spans="3:28" customFormat="1" x14ac:dyDescent="0.25">
      <c r="E256" t="s">
        <v>107</v>
      </c>
      <c r="F256" t="s">
        <v>7</v>
      </c>
      <c r="G256" s="2">
        <f t="shared" ref="G256:AA261" si="104">G222</f>
        <v>0</v>
      </c>
      <c r="H256" s="2">
        <f t="shared" si="104"/>
        <v>5095810.9999999991</v>
      </c>
      <c r="I256" s="2">
        <f t="shared" si="104"/>
        <v>5195525.9439999983</v>
      </c>
      <c r="J256" s="2">
        <f t="shared" si="104"/>
        <v>5397761.0616614986</v>
      </c>
      <c r="K256" s="2">
        <f t="shared" si="104"/>
        <v>5332354.6512262644</v>
      </c>
      <c r="L256" s="2">
        <f t="shared" si="104"/>
        <v>5265704.0214772699</v>
      </c>
      <c r="M256" s="2">
        <f t="shared" si="104"/>
        <v>5185972.8747449899</v>
      </c>
      <c r="N256" s="2">
        <f t="shared" si="104"/>
        <v>5108666.988573906</v>
      </c>
      <c r="O256" s="2">
        <f t="shared" si="104"/>
        <v>5038226.4859842258</v>
      </c>
      <c r="P256" s="2">
        <f t="shared" si="104"/>
        <v>5418321.2034223322</v>
      </c>
      <c r="Q256" s="2">
        <f t="shared" si="104"/>
        <v>5850934.4846781343</v>
      </c>
      <c r="R256" s="2">
        <f t="shared" si="104"/>
        <v>6299328.0440959726</v>
      </c>
      <c r="S256" s="2">
        <f t="shared" si="104"/>
        <v>6813378.7265323689</v>
      </c>
      <c r="T256" s="2">
        <f t="shared" si="104"/>
        <v>7346241.5339636486</v>
      </c>
      <c r="U256" s="2">
        <f t="shared" si="104"/>
        <v>7463056.8628251906</v>
      </c>
      <c r="V256" s="2">
        <f t="shared" si="104"/>
        <v>7586319.0322276978</v>
      </c>
      <c r="W256" s="2">
        <f t="shared" si="104"/>
        <v>0</v>
      </c>
      <c r="X256" s="2">
        <f t="shared" si="104"/>
        <v>0</v>
      </c>
      <c r="Y256" s="2">
        <f t="shared" si="104"/>
        <v>0</v>
      </c>
      <c r="Z256" s="2">
        <f t="shared" si="104"/>
        <v>0</v>
      </c>
      <c r="AA256" s="2">
        <f t="shared" si="104"/>
        <v>0</v>
      </c>
    </row>
    <row r="257" spans="4:28" customFormat="1" x14ac:dyDescent="0.25">
      <c r="E257" t="s">
        <v>11</v>
      </c>
      <c r="F257" t="s">
        <v>7</v>
      </c>
      <c r="G257" s="2">
        <f t="shared" si="104"/>
        <v>0</v>
      </c>
      <c r="H257" s="2">
        <f t="shared" si="104"/>
        <v>381628.5170682458</v>
      </c>
      <c r="I257" s="2">
        <f t="shared" si="104"/>
        <v>757478.74779573421</v>
      </c>
      <c r="J257" s="2">
        <f t="shared" si="104"/>
        <v>1167015.8825859842</v>
      </c>
      <c r="K257" s="2">
        <f t="shared" si="104"/>
        <v>1579490.5779670491</v>
      </c>
      <c r="L257" s="2">
        <f t="shared" si="104"/>
        <v>1996224.5982853728</v>
      </c>
      <c r="M257" s="2">
        <f t="shared" si="104"/>
        <v>2414997.9624464838</v>
      </c>
      <c r="N257" s="2">
        <f t="shared" si="104"/>
        <v>2836651.6630771486</v>
      </c>
      <c r="O257" s="2">
        <f t="shared" si="104"/>
        <v>3262364.3658038136</v>
      </c>
      <c r="P257" s="2">
        <f t="shared" si="104"/>
        <v>3724111.9881470096</v>
      </c>
      <c r="Q257" s="2">
        <f t="shared" si="104"/>
        <v>4227628.0405966435</v>
      </c>
      <c r="R257" s="2">
        <f t="shared" si="104"/>
        <v>4774153.4381940626</v>
      </c>
      <c r="S257" s="2">
        <f t="shared" si="104"/>
        <v>5370495.3373514498</v>
      </c>
      <c r="T257" s="2">
        <f t="shared" si="104"/>
        <v>6017419.9043528102</v>
      </c>
      <c r="U257" s="2">
        <f t="shared" si="104"/>
        <v>6685953.2802573713</v>
      </c>
      <c r="V257" s="2">
        <f t="shared" si="104"/>
        <v>7377828.2750419639</v>
      </c>
      <c r="W257" s="2">
        <f t="shared" si="104"/>
        <v>7532762.6688178442</v>
      </c>
      <c r="X257" s="2">
        <f t="shared" si="104"/>
        <v>7690950.6848630179</v>
      </c>
      <c r="Y257" s="2">
        <f t="shared" si="104"/>
        <v>7852460.6492451411</v>
      </c>
      <c r="Z257" s="2">
        <f t="shared" si="104"/>
        <v>8017362.3228792883</v>
      </c>
      <c r="AA257" s="2">
        <f t="shared" si="104"/>
        <v>8185726.9316597525</v>
      </c>
    </row>
    <row r="258" spans="4:28" customFormat="1" x14ac:dyDescent="0.25">
      <c r="E258" t="s">
        <v>57</v>
      </c>
      <c r="F258" t="s">
        <v>7</v>
      </c>
      <c r="G258" s="2">
        <f t="shared" si="104"/>
        <v>0</v>
      </c>
      <c r="H258" s="2">
        <f t="shared" si="104"/>
        <v>0</v>
      </c>
      <c r="I258" s="2">
        <f t="shared" si="104"/>
        <v>0</v>
      </c>
      <c r="J258" s="2">
        <f t="shared" si="104"/>
        <v>0</v>
      </c>
      <c r="K258" s="2">
        <f t="shared" si="104"/>
        <v>0</v>
      </c>
      <c r="L258" s="2">
        <f t="shared" si="104"/>
        <v>0</v>
      </c>
      <c r="M258" s="2">
        <f t="shared" si="104"/>
        <v>0</v>
      </c>
      <c r="N258" s="2">
        <f t="shared" si="104"/>
        <v>0</v>
      </c>
      <c r="O258" s="2">
        <f t="shared" si="104"/>
        <v>0</v>
      </c>
      <c r="P258" s="2">
        <f t="shared" si="104"/>
        <v>0</v>
      </c>
      <c r="Q258" s="2">
        <f t="shared" si="104"/>
        <v>0</v>
      </c>
      <c r="R258" s="2">
        <f t="shared" si="104"/>
        <v>0</v>
      </c>
      <c r="S258" s="2">
        <f t="shared" si="104"/>
        <v>0</v>
      </c>
      <c r="T258" s="2">
        <f t="shared" si="104"/>
        <v>0</v>
      </c>
      <c r="U258" s="2">
        <f t="shared" si="104"/>
        <v>0</v>
      </c>
      <c r="V258" s="2">
        <f t="shared" si="104"/>
        <v>0</v>
      </c>
      <c r="W258" s="2">
        <f t="shared" si="104"/>
        <v>0</v>
      </c>
      <c r="X258" s="2">
        <f t="shared" si="104"/>
        <v>0</v>
      </c>
      <c r="Y258" s="2">
        <f t="shared" si="104"/>
        <v>0</v>
      </c>
      <c r="Z258" s="2">
        <f t="shared" si="104"/>
        <v>0</v>
      </c>
      <c r="AA258" s="2">
        <f t="shared" si="104"/>
        <v>0</v>
      </c>
    </row>
    <row r="259" spans="4:28" customFormat="1" x14ac:dyDescent="0.25">
      <c r="E259" t="s">
        <v>10</v>
      </c>
      <c r="F259" t="s">
        <v>7</v>
      </c>
      <c r="G259" s="2">
        <f t="shared" si="104"/>
        <v>0</v>
      </c>
      <c r="H259" s="2">
        <f t="shared" si="104"/>
        <v>-90983.147799999992</v>
      </c>
      <c r="I259" s="2">
        <f t="shared" si="104"/>
        <v>-185665.62221060001</v>
      </c>
      <c r="J259" s="2">
        <f t="shared" si="104"/>
        <v>-285988.95222780469</v>
      </c>
      <c r="K259" s="2">
        <f t="shared" si="104"/>
        <v>-387154.48473513121</v>
      </c>
      <c r="L259" s="2">
        <f t="shared" si="104"/>
        <v>-489303.17523078615</v>
      </c>
      <c r="M259" s="2">
        <f t="shared" si="104"/>
        <v>-592075.99816342373</v>
      </c>
      <c r="N259" s="2">
        <f t="shared" si="104"/>
        <v>-695596.3053507884</v>
      </c>
      <c r="O259" s="2">
        <f t="shared" si="104"/>
        <v>-800068.94891774247</v>
      </c>
      <c r="P259" s="2">
        <f t="shared" si="104"/>
        <v>-913458.30211050808</v>
      </c>
      <c r="Q259" s="2">
        <f t="shared" si="104"/>
        <v>-1037013.325353526</v>
      </c>
      <c r="R259" s="2">
        <f t="shared" si="104"/>
        <v>-1171144.6258517699</v>
      </c>
      <c r="S259" s="2">
        <f t="shared" si="104"/>
        <v>-1317367.386315461</v>
      </c>
      <c r="T259" s="2">
        <f t="shared" si="104"/>
        <v>-1476093.6622666921</v>
      </c>
      <c r="U259" s="2">
        <f t="shared" si="104"/>
        <v>-1640186.600059181</v>
      </c>
      <c r="V259" s="2">
        <f t="shared" si="104"/>
        <v>-1809961.1900921995</v>
      </c>
      <c r="W259" s="2">
        <f t="shared" si="104"/>
        <v>-1847970.3750841357</v>
      </c>
      <c r="X259" s="2">
        <f t="shared" si="104"/>
        <v>-1886777.7529609022</v>
      </c>
      <c r="Y259" s="2">
        <f t="shared" si="104"/>
        <v>-1926400.0857730811</v>
      </c>
      <c r="Z259" s="2">
        <f t="shared" si="104"/>
        <v>-1966854.4875743156</v>
      </c>
      <c r="AA259" s="2">
        <f t="shared" si="104"/>
        <v>-2008158.431813376</v>
      </c>
    </row>
    <row r="260" spans="4:28" customFormat="1" x14ac:dyDescent="0.25">
      <c r="E260" t="s">
        <v>12</v>
      </c>
      <c r="F260" t="s">
        <v>7</v>
      </c>
      <c r="G260" s="2">
        <f t="shared" si="104"/>
        <v>-1360931.774211311</v>
      </c>
      <c r="H260" s="2">
        <f t="shared" si="104"/>
        <v>-1453786.5196059756</v>
      </c>
      <c r="I260" s="2">
        <f t="shared" si="104"/>
        <v>-1537122.9960099158</v>
      </c>
      <c r="J260" s="2">
        <f t="shared" si="104"/>
        <v>-1601282.6046074152</v>
      </c>
      <c r="K260" s="2">
        <f t="shared" si="104"/>
        <v>-1671049.3447681775</v>
      </c>
      <c r="L260" s="2">
        <f t="shared" si="104"/>
        <v>-1730601.2111248949</v>
      </c>
      <c r="M260" s="2">
        <f t="shared" si="104"/>
        <v>-1788223.1319553948</v>
      </c>
      <c r="N260" s="2">
        <f t="shared" si="104"/>
        <v>-1844986.0984951048</v>
      </c>
      <c r="O260" s="2">
        <f t="shared" si="104"/>
        <v>-1900966.3927838185</v>
      </c>
      <c r="P260" s="2">
        <f t="shared" si="104"/>
        <v>-1961169.9617107334</v>
      </c>
      <c r="Q260" s="2">
        <f t="shared" si="104"/>
        <v>-2026180.3448738237</v>
      </c>
      <c r="R260" s="2">
        <f t="shared" si="104"/>
        <v>-2096172.8786971122</v>
      </c>
      <c r="S260" s="2">
        <f t="shared" si="104"/>
        <v>-2171877.086769694</v>
      </c>
      <c r="T260" s="2">
        <f t="shared" si="104"/>
        <v>-2253501.9927026238</v>
      </c>
      <c r="U260" s="2">
        <f t="shared" si="104"/>
        <v>-2336424.8467340143</v>
      </c>
      <c r="V260" s="2">
        <f t="shared" si="104"/>
        <v>-2420717.2804254335</v>
      </c>
      <c r="W260" s="2">
        <f t="shared" si="104"/>
        <v>-2420717.2804254335</v>
      </c>
      <c r="X260" s="2">
        <f t="shared" si="104"/>
        <v>-2420717.2804254335</v>
      </c>
      <c r="Y260" s="2">
        <f t="shared" si="104"/>
        <v>-2420717.2804254335</v>
      </c>
      <c r="Z260" s="2">
        <f t="shared" si="104"/>
        <v>-2420717.2804254335</v>
      </c>
      <c r="AA260" s="2">
        <f t="shared" si="104"/>
        <v>-2420717.2804254335</v>
      </c>
    </row>
    <row r="261" spans="4:28" customFormat="1" x14ac:dyDescent="0.25">
      <c r="E261" t="s">
        <v>48</v>
      </c>
      <c r="F261" t="s">
        <v>7</v>
      </c>
      <c r="G261" s="2">
        <f t="shared" si="104"/>
        <v>0</v>
      </c>
      <c r="H261" s="2">
        <f t="shared" si="104"/>
        <v>0</v>
      </c>
      <c r="I261" s="2">
        <f t="shared" si="104"/>
        <v>0</v>
      </c>
      <c r="J261" s="2">
        <f t="shared" si="104"/>
        <v>0</v>
      </c>
      <c r="K261" s="2">
        <f t="shared" si="104"/>
        <v>0</v>
      </c>
      <c r="L261" s="2">
        <f t="shared" si="104"/>
        <v>0</v>
      </c>
      <c r="M261" s="2">
        <f t="shared" si="104"/>
        <v>0</v>
      </c>
      <c r="N261" s="2">
        <f t="shared" si="104"/>
        <v>0</v>
      </c>
      <c r="O261" s="2">
        <f t="shared" si="104"/>
        <v>0</v>
      </c>
      <c r="P261" s="2">
        <f t="shared" si="104"/>
        <v>0</v>
      </c>
      <c r="Q261" s="2">
        <f t="shared" si="104"/>
        <v>0</v>
      </c>
      <c r="R261" s="2">
        <f t="shared" si="104"/>
        <v>0</v>
      </c>
      <c r="S261" s="2">
        <f t="shared" si="104"/>
        <v>0</v>
      </c>
      <c r="T261" s="2">
        <f t="shared" si="104"/>
        <v>0</v>
      </c>
      <c r="U261" s="2">
        <f t="shared" si="104"/>
        <v>0</v>
      </c>
      <c r="V261" s="2">
        <f t="shared" si="104"/>
        <v>0</v>
      </c>
      <c r="W261" s="2">
        <f t="shared" si="104"/>
        <v>0</v>
      </c>
      <c r="X261" s="2">
        <f t="shared" si="104"/>
        <v>0</v>
      </c>
      <c r="Y261" s="2">
        <f t="shared" si="104"/>
        <v>0</v>
      </c>
      <c r="Z261" s="2">
        <f t="shared" si="104"/>
        <v>0</v>
      </c>
      <c r="AA261" s="2">
        <f t="shared" si="104"/>
        <v>0</v>
      </c>
    </row>
    <row r="262" spans="4:28" customFormat="1" x14ac:dyDescent="0.25">
      <c r="E262" t="s">
        <v>13</v>
      </c>
      <c r="F262" t="s">
        <v>7</v>
      </c>
      <c r="G262" s="2">
        <f ca="1">G253</f>
        <v>38438954.017911047</v>
      </c>
      <c r="H262" s="2"/>
      <c r="I262" s="2"/>
      <c r="J262" s="2"/>
      <c r="K262" s="2"/>
      <c r="L262" s="2"/>
      <c r="M262" s="2"/>
      <c r="N262" s="2"/>
      <c r="O262" s="2"/>
      <c r="P262" s="2"/>
      <c r="Q262" s="2"/>
      <c r="R262" s="2"/>
      <c r="S262" s="2"/>
      <c r="T262" s="2"/>
      <c r="U262" s="2"/>
      <c r="V262" s="2"/>
      <c r="W262" s="2"/>
      <c r="X262" s="2"/>
      <c r="Y262" s="2"/>
      <c r="Z262" s="2"/>
      <c r="AA262" s="2"/>
    </row>
    <row r="263" spans="4:28" customFormat="1" x14ac:dyDescent="0.25"/>
    <row r="264" spans="4:28" customFormat="1" x14ac:dyDescent="0.25">
      <c r="E264" t="s">
        <v>14</v>
      </c>
      <c r="F264" t="s">
        <v>7</v>
      </c>
      <c r="G264" s="2">
        <f t="shared" ref="G264:AA264" ca="1" si="105">SUM(G256:G262)</f>
        <v>37078022.243699737</v>
      </c>
      <c r="H264" s="2">
        <f t="shared" si="105"/>
        <v>3932669.8496622685</v>
      </c>
      <c r="I264" s="2">
        <f t="shared" si="105"/>
        <v>4230216.0735752163</v>
      </c>
      <c r="J264" s="2">
        <f t="shared" si="105"/>
        <v>4677505.3874122621</v>
      </c>
      <c r="K264" s="2">
        <f t="shared" si="105"/>
        <v>4853641.3996900041</v>
      </c>
      <c r="L264" s="2">
        <f t="shared" si="105"/>
        <v>5042024.233406961</v>
      </c>
      <c r="M264" s="2">
        <f t="shared" si="105"/>
        <v>5220671.7070726557</v>
      </c>
      <c r="N264" s="2">
        <f t="shared" si="105"/>
        <v>5404736.2478051614</v>
      </c>
      <c r="O264" s="2">
        <f t="shared" si="105"/>
        <v>5599555.5100864777</v>
      </c>
      <c r="P264" s="2">
        <f t="shared" si="105"/>
        <v>6267804.9277480999</v>
      </c>
      <c r="Q264" s="2">
        <f t="shared" si="105"/>
        <v>7015368.855047429</v>
      </c>
      <c r="R264" s="2">
        <f t="shared" si="105"/>
        <v>7806163.977741152</v>
      </c>
      <c r="S264" s="2">
        <f t="shared" si="105"/>
        <v>8694629.590798663</v>
      </c>
      <c r="T264" s="2">
        <f t="shared" si="105"/>
        <v>9634065.7833471429</v>
      </c>
      <c r="U264" s="2">
        <f t="shared" si="105"/>
        <v>10172398.696289368</v>
      </c>
      <c r="V264" s="2">
        <f t="shared" si="105"/>
        <v>10733468.836752031</v>
      </c>
      <c r="W264" s="2">
        <f t="shared" si="105"/>
        <v>3264075.013308275</v>
      </c>
      <c r="X264" s="2">
        <f t="shared" si="105"/>
        <v>3383455.6514766826</v>
      </c>
      <c r="Y264" s="2">
        <f t="shared" si="105"/>
        <v>3505343.283046627</v>
      </c>
      <c r="Z264" s="2">
        <f t="shared" si="105"/>
        <v>3629790.5548795392</v>
      </c>
      <c r="AA264" s="2">
        <f t="shared" si="105"/>
        <v>3756851.2194209429</v>
      </c>
    </row>
    <row r="265" spans="4:28" customFormat="1" x14ac:dyDescent="0.25">
      <c r="E265" t="s">
        <v>15</v>
      </c>
      <c r="F265" t="s">
        <v>7</v>
      </c>
      <c r="G265" s="2">
        <f ca="1">-G264*G$18</f>
        <v>-11123406.673109921</v>
      </c>
      <c r="H265" s="2">
        <f t="shared" ref="H265:AA265" si="106">-H264*H$18</f>
        <v>-1179800.9548986806</v>
      </c>
      <c r="I265" s="2">
        <f t="shared" si="106"/>
        <v>-1269064.8220725649</v>
      </c>
      <c r="J265" s="2">
        <f t="shared" si="106"/>
        <v>-1403251.6162236787</v>
      </c>
      <c r="K265" s="2">
        <f t="shared" si="106"/>
        <v>-1456092.4199070011</v>
      </c>
      <c r="L265" s="2">
        <f t="shared" si="106"/>
        <v>-1512607.2700220882</v>
      </c>
      <c r="M265" s="2">
        <f t="shared" si="106"/>
        <v>-1566201.5121217966</v>
      </c>
      <c r="N265" s="2">
        <f t="shared" si="106"/>
        <v>-1621420.8743415484</v>
      </c>
      <c r="O265" s="2">
        <f t="shared" si="106"/>
        <v>-1679866.6530259433</v>
      </c>
      <c r="P265" s="2">
        <f t="shared" si="106"/>
        <v>-1880341.4783244298</v>
      </c>
      <c r="Q265" s="2">
        <f t="shared" si="106"/>
        <v>-2104610.6565142288</v>
      </c>
      <c r="R265" s="2">
        <f t="shared" si="106"/>
        <v>-2341849.1933223456</v>
      </c>
      <c r="S265" s="2">
        <f t="shared" si="106"/>
        <v>-2608388.8772395989</v>
      </c>
      <c r="T265" s="2">
        <f t="shared" si="106"/>
        <v>-2890219.7350041429</v>
      </c>
      <c r="U265" s="2">
        <f t="shared" si="106"/>
        <v>-3051719.6088868105</v>
      </c>
      <c r="V265" s="2">
        <f t="shared" si="106"/>
        <v>-3220040.6510256091</v>
      </c>
      <c r="W265" s="2">
        <f t="shared" si="106"/>
        <v>-979222.50399248244</v>
      </c>
      <c r="X265" s="2">
        <f t="shared" si="106"/>
        <v>-1015036.6954430047</v>
      </c>
      <c r="Y265" s="2">
        <f t="shared" si="106"/>
        <v>-1051602.984913988</v>
      </c>
      <c r="Z265" s="2">
        <f t="shared" si="106"/>
        <v>-1088937.1664638617</v>
      </c>
      <c r="AA265" s="2">
        <f t="shared" si="106"/>
        <v>-1127055.3658262829</v>
      </c>
    </row>
    <row r="266" spans="4:28" customFormat="1" x14ac:dyDescent="0.25"/>
    <row r="267" spans="4:28" customFormat="1" x14ac:dyDescent="0.25">
      <c r="D267" t="s">
        <v>28</v>
      </c>
    </row>
    <row r="268" spans="4:28" customFormat="1" x14ac:dyDescent="0.25">
      <c r="E268" t="s">
        <v>1</v>
      </c>
      <c r="F268" t="s">
        <v>7</v>
      </c>
      <c r="G268" s="2">
        <f t="shared" ref="G268:AA275" si="107">G234</f>
        <v>-122483859.67901799</v>
      </c>
      <c r="H268" s="2">
        <f t="shared" si="107"/>
        <v>-3261116.0855198246</v>
      </c>
      <c r="I268" s="2">
        <f t="shared" si="107"/>
        <v>-2304756.9323546155</v>
      </c>
      <c r="J268" s="2">
        <f t="shared" si="107"/>
        <v>-376603.71211342595</v>
      </c>
      <c r="K268" s="2">
        <f t="shared" si="107"/>
        <v>-946651.96324235655</v>
      </c>
      <c r="L268" s="2">
        <f t="shared" si="107"/>
        <v>-93963.950627298487</v>
      </c>
      <c r="M268" s="2">
        <f t="shared" si="107"/>
        <v>0</v>
      </c>
      <c r="N268" s="2">
        <f t="shared" si="107"/>
        <v>0</v>
      </c>
      <c r="O268" s="2">
        <f t="shared" si="107"/>
        <v>0</v>
      </c>
      <c r="P268" s="2">
        <f t="shared" si="107"/>
        <v>0</v>
      </c>
      <c r="Q268" s="2">
        <f t="shared" si="107"/>
        <v>0</v>
      </c>
      <c r="R268" s="2">
        <f t="shared" si="107"/>
        <v>0</v>
      </c>
      <c r="S268" s="2">
        <f t="shared" si="107"/>
        <v>0</v>
      </c>
      <c r="T268" s="2">
        <f t="shared" si="107"/>
        <v>0</v>
      </c>
      <c r="U268" s="2">
        <f t="shared" si="107"/>
        <v>0</v>
      </c>
      <c r="V268" s="2">
        <f t="shared" si="107"/>
        <v>0</v>
      </c>
      <c r="W268" s="2">
        <f t="shared" si="107"/>
        <v>0</v>
      </c>
      <c r="X268" s="2">
        <f t="shared" si="107"/>
        <v>0</v>
      </c>
      <c r="Y268" s="2">
        <f t="shared" si="107"/>
        <v>0</v>
      </c>
      <c r="Z268" s="2">
        <f t="shared" si="107"/>
        <v>0</v>
      </c>
      <c r="AA268" s="2">
        <f t="shared" si="107"/>
        <v>0</v>
      </c>
    </row>
    <row r="269" spans="4:28" customFormat="1" x14ac:dyDescent="0.25">
      <c r="E269" t="s">
        <v>19</v>
      </c>
      <c r="F269" t="s">
        <v>7</v>
      </c>
      <c r="G269" s="2">
        <f t="shared" si="107"/>
        <v>0</v>
      </c>
      <c r="H269" s="2">
        <f t="shared" si="107"/>
        <v>0</v>
      </c>
      <c r="I269" s="2">
        <f t="shared" si="107"/>
        <v>0</v>
      </c>
      <c r="J269" s="2">
        <f t="shared" si="107"/>
        <v>0</v>
      </c>
      <c r="K269" s="2">
        <f t="shared" si="107"/>
        <v>0</v>
      </c>
      <c r="L269" s="2">
        <f t="shared" si="107"/>
        <v>0</v>
      </c>
      <c r="M269" s="2">
        <f t="shared" si="107"/>
        <v>0</v>
      </c>
      <c r="N269" s="2">
        <f t="shared" si="107"/>
        <v>0</v>
      </c>
      <c r="O269" s="2">
        <f t="shared" si="107"/>
        <v>0</v>
      </c>
      <c r="P269" s="2">
        <f t="shared" si="107"/>
        <v>0</v>
      </c>
      <c r="Q269" s="2">
        <f t="shared" si="107"/>
        <v>0</v>
      </c>
      <c r="R269" s="2">
        <f t="shared" si="107"/>
        <v>0</v>
      </c>
      <c r="S269" s="2">
        <f t="shared" si="107"/>
        <v>0</v>
      </c>
      <c r="T269" s="2">
        <f t="shared" si="107"/>
        <v>0</v>
      </c>
      <c r="U269" s="2">
        <f t="shared" si="107"/>
        <v>0</v>
      </c>
      <c r="V269" s="2">
        <f t="shared" si="107"/>
        <v>0</v>
      </c>
      <c r="W269" s="2">
        <f t="shared" si="107"/>
        <v>0</v>
      </c>
      <c r="X269" s="2">
        <f t="shared" si="107"/>
        <v>0</v>
      </c>
      <c r="Y269" s="2">
        <f t="shared" si="107"/>
        <v>0</v>
      </c>
      <c r="Z269" s="2">
        <f t="shared" si="107"/>
        <v>0</v>
      </c>
      <c r="AA269" s="2">
        <f t="shared" si="107"/>
        <v>0</v>
      </c>
    </row>
    <row r="270" spans="4:28" customFormat="1" x14ac:dyDescent="0.25">
      <c r="E270" t="s">
        <v>109</v>
      </c>
      <c r="F270" t="s">
        <v>7</v>
      </c>
      <c r="G270" s="2">
        <f t="shared" si="107"/>
        <v>0</v>
      </c>
      <c r="H270" s="2">
        <f t="shared" si="107"/>
        <v>0</v>
      </c>
      <c r="I270" s="2">
        <f t="shared" si="107"/>
        <v>0</v>
      </c>
      <c r="J270" s="2">
        <f t="shared" si="107"/>
        <v>0</v>
      </c>
      <c r="K270" s="2">
        <f t="shared" si="107"/>
        <v>0</v>
      </c>
      <c r="L270" s="2">
        <f t="shared" si="107"/>
        <v>0</v>
      </c>
      <c r="M270" s="2">
        <f t="shared" si="107"/>
        <v>0</v>
      </c>
      <c r="N270" s="2">
        <f t="shared" si="107"/>
        <v>0</v>
      </c>
      <c r="O270" s="2">
        <f t="shared" si="107"/>
        <v>0</v>
      </c>
      <c r="P270" s="2">
        <f t="shared" si="107"/>
        <v>0</v>
      </c>
      <c r="Q270" s="2">
        <f t="shared" si="107"/>
        <v>0</v>
      </c>
      <c r="R270" s="2">
        <f t="shared" si="107"/>
        <v>0</v>
      </c>
      <c r="S270" s="2">
        <f t="shared" si="107"/>
        <v>0</v>
      </c>
      <c r="T270" s="2">
        <f t="shared" si="107"/>
        <v>0</v>
      </c>
      <c r="U270" s="2">
        <f t="shared" si="107"/>
        <v>0</v>
      </c>
      <c r="V270" s="2">
        <f t="shared" si="107"/>
        <v>0</v>
      </c>
      <c r="W270" s="2">
        <f t="shared" si="107"/>
        <v>0</v>
      </c>
      <c r="X270" s="2">
        <f t="shared" si="107"/>
        <v>0</v>
      </c>
      <c r="Y270" s="2">
        <f t="shared" si="107"/>
        <v>0</v>
      </c>
      <c r="Z270" s="2">
        <f t="shared" si="107"/>
        <v>0</v>
      </c>
      <c r="AA270" s="2">
        <f t="shared" si="107"/>
        <v>0</v>
      </c>
    </row>
    <row r="271" spans="4:28" customFormat="1" x14ac:dyDescent="0.25">
      <c r="E271" t="s">
        <v>11</v>
      </c>
      <c r="F271" t="s">
        <v>7</v>
      </c>
      <c r="G271" s="2">
        <f t="shared" si="107"/>
        <v>0</v>
      </c>
      <c r="H271" s="2">
        <f t="shared" si="107"/>
        <v>381628.5170682458</v>
      </c>
      <c r="I271" s="2">
        <f t="shared" si="107"/>
        <v>757478.74779573421</v>
      </c>
      <c r="J271" s="2">
        <f t="shared" si="107"/>
        <v>1167015.8825859842</v>
      </c>
      <c r="K271" s="2">
        <f t="shared" si="107"/>
        <v>1579490.5779670491</v>
      </c>
      <c r="L271" s="2">
        <f t="shared" si="107"/>
        <v>1996224.5982853728</v>
      </c>
      <c r="M271" s="2">
        <f t="shared" si="107"/>
        <v>2414997.9624464838</v>
      </c>
      <c r="N271" s="2">
        <f t="shared" si="107"/>
        <v>2836651.6630771486</v>
      </c>
      <c r="O271" s="2">
        <f t="shared" si="107"/>
        <v>3262364.3658038136</v>
      </c>
      <c r="P271" s="2">
        <f t="shared" si="107"/>
        <v>3724111.9881470096</v>
      </c>
      <c r="Q271" s="2">
        <f t="shared" si="107"/>
        <v>4227628.0405966435</v>
      </c>
      <c r="R271" s="2">
        <f t="shared" si="107"/>
        <v>4774153.4381940626</v>
      </c>
      <c r="S271" s="2">
        <f t="shared" si="107"/>
        <v>5370495.3373514498</v>
      </c>
      <c r="T271" s="2">
        <f t="shared" si="107"/>
        <v>6017419.9043528102</v>
      </c>
      <c r="U271" s="2">
        <f t="shared" si="107"/>
        <v>6685953.2802573713</v>
      </c>
      <c r="V271" s="2">
        <f t="shared" si="107"/>
        <v>7377828.2750419639</v>
      </c>
      <c r="W271" s="2">
        <f t="shared" si="107"/>
        <v>7532762.6688178442</v>
      </c>
      <c r="X271" s="2">
        <f t="shared" si="107"/>
        <v>7690950.6848630179</v>
      </c>
      <c r="Y271" s="2">
        <f t="shared" si="107"/>
        <v>7852460.6492451411</v>
      </c>
      <c r="Z271" s="2">
        <f t="shared" si="107"/>
        <v>8017362.3228792883</v>
      </c>
      <c r="AA271" s="2">
        <f t="shared" si="107"/>
        <v>8185726.9316597525</v>
      </c>
      <c r="AB271" s="2">
        <f t="shared" ref="AB271:AB275" si="108">IF(V271=0,0,IF($G$15&gt;(AA271/V271)^(1/5)-1+2%,AA271*(AA271/V271)^(1/5)/($G$15-((AA271/V271)^(1/5)-1)),AA271*(1+$G$14)/$G$16))</f>
        <v>272857564.388659</v>
      </c>
    </row>
    <row r="272" spans="4:28" customFormat="1" x14ac:dyDescent="0.25">
      <c r="E272" t="s">
        <v>57</v>
      </c>
      <c r="F272" t="s">
        <v>7</v>
      </c>
      <c r="G272" s="2">
        <f t="shared" si="107"/>
        <v>0</v>
      </c>
      <c r="H272" s="2">
        <f t="shared" si="107"/>
        <v>0</v>
      </c>
      <c r="I272" s="2">
        <f t="shared" si="107"/>
        <v>0</v>
      </c>
      <c r="J272" s="2">
        <f t="shared" si="107"/>
        <v>0</v>
      </c>
      <c r="K272" s="2">
        <f t="shared" si="107"/>
        <v>0</v>
      </c>
      <c r="L272" s="2">
        <f t="shared" si="107"/>
        <v>0</v>
      </c>
      <c r="M272" s="2">
        <f t="shared" si="107"/>
        <v>0</v>
      </c>
      <c r="N272" s="2">
        <f t="shared" si="107"/>
        <v>0</v>
      </c>
      <c r="O272" s="2">
        <f t="shared" si="107"/>
        <v>0</v>
      </c>
      <c r="P272" s="2">
        <f t="shared" si="107"/>
        <v>0</v>
      </c>
      <c r="Q272" s="2">
        <f t="shared" si="107"/>
        <v>0</v>
      </c>
      <c r="R272" s="2">
        <f t="shared" si="107"/>
        <v>0</v>
      </c>
      <c r="S272" s="2">
        <f t="shared" si="107"/>
        <v>0</v>
      </c>
      <c r="T272" s="2">
        <f t="shared" si="107"/>
        <v>0</v>
      </c>
      <c r="U272" s="2">
        <f t="shared" si="107"/>
        <v>0</v>
      </c>
      <c r="V272" s="2">
        <f t="shared" si="107"/>
        <v>0</v>
      </c>
      <c r="W272" s="2">
        <f t="shared" si="107"/>
        <v>0</v>
      </c>
      <c r="X272" s="2">
        <f t="shared" si="107"/>
        <v>0</v>
      </c>
      <c r="Y272" s="2">
        <f t="shared" si="107"/>
        <v>0</v>
      </c>
      <c r="Z272" s="2">
        <f t="shared" si="107"/>
        <v>0</v>
      </c>
      <c r="AA272" s="2">
        <f t="shared" si="107"/>
        <v>0</v>
      </c>
      <c r="AB272" s="2">
        <f t="shared" si="108"/>
        <v>0</v>
      </c>
    </row>
    <row r="273" spans="1:28" x14ac:dyDescent="0.25">
      <c r="E273" t="s">
        <v>10</v>
      </c>
      <c r="F273" t="s">
        <v>7</v>
      </c>
      <c r="G273" s="2">
        <f t="shared" si="107"/>
        <v>0</v>
      </c>
      <c r="H273" s="2">
        <f t="shared" si="107"/>
        <v>-90983.147799999992</v>
      </c>
      <c r="I273" s="2">
        <f t="shared" si="107"/>
        <v>-185665.62221060001</v>
      </c>
      <c r="J273" s="2">
        <f t="shared" si="107"/>
        <v>-285988.95222780469</v>
      </c>
      <c r="K273" s="2">
        <f t="shared" si="107"/>
        <v>-387154.48473513121</v>
      </c>
      <c r="L273" s="2">
        <f t="shared" si="107"/>
        <v>-489303.17523078615</v>
      </c>
      <c r="M273" s="2">
        <f t="shared" si="107"/>
        <v>-592075.99816342373</v>
      </c>
      <c r="N273" s="2">
        <f t="shared" si="107"/>
        <v>-695596.3053507884</v>
      </c>
      <c r="O273" s="2">
        <f t="shared" si="107"/>
        <v>-800068.94891774247</v>
      </c>
      <c r="P273" s="2">
        <f t="shared" si="107"/>
        <v>-913458.30211050808</v>
      </c>
      <c r="Q273" s="2">
        <f t="shared" si="107"/>
        <v>-1037013.325353526</v>
      </c>
      <c r="R273" s="2">
        <f t="shared" si="107"/>
        <v>-1171144.6258517699</v>
      </c>
      <c r="S273" s="2">
        <f t="shared" si="107"/>
        <v>-1317367.386315461</v>
      </c>
      <c r="T273" s="2">
        <f t="shared" si="107"/>
        <v>-1476093.6622666921</v>
      </c>
      <c r="U273" s="2">
        <f t="shared" si="107"/>
        <v>-1640186.600059181</v>
      </c>
      <c r="V273" s="2">
        <f t="shared" si="107"/>
        <v>-1809961.1900921995</v>
      </c>
      <c r="W273" s="2">
        <f t="shared" si="107"/>
        <v>-1847970.3750841357</v>
      </c>
      <c r="X273" s="2">
        <f t="shared" si="107"/>
        <v>-1886777.7529609022</v>
      </c>
      <c r="Y273" s="2">
        <f t="shared" si="107"/>
        <v>-1926400.0857730811</v>
      </c>
      <c r="Z273" s="2">
        <f t="shared" si="107"/>
        <v>-1966854.4875743156</v>
      </c>
      <c r="AA273" s="2">
        <f t="shared" si="107"/>
        <v>-2008158.431813376</v>
      </c>
      <c r="AB273" s="2">
        <f t="shared" si="108"/>
        <v>-66938614.393779337</v>
      </c>
    </row>
    <row r="274" spans="1:28" x14ac:dyDescent="0.25">
      <c r="E274" t="s">
        <v>48</v>
      </c>
      <c r="F274" t="s">
        <v>7</v>
      </c>
      <c r="G274" s="2">
        <f t="shared" si="107"/>
        <v>0</v>
      </c>
      <c r="H274" s="2">
        <f t="shared" si="107"/>
        <v>0</v>
      </c>
      <c r="I274" s="2">
        <f t="shared" si="107"/>
        <v>0</v>
      </c>
      <c r="J274" s="2">
        <f t="shared" si="107"/>
        <v>0</v>
      </c>
      <c r="K274" s="2">
        <f t="shared" si="107"/>
        <v>0</v>
      </c>
      <c r="L274" s="2">
        <f t="shared" si="107"/>
        <v>0</v>
      </c>
      <c r="M274" s="2">
        <f t="shared" si="107"/>
        <v>0</v>
      </c>
      <c r="N274" s="2">
        <f t="shared" si="107"/>
        <v>0</v>
      </c>
      <c r="O274" s="2">
        <f t="shared" si="107"/>
        <v>0</v>
      </c>
      <c r="P274" s="2">
        <f t="shared" si="107"/>
        <v>0</v>
      </c>
      <c r="Q274" s="2">
        <f t="shared" si="107"/>
        <v>0</v>
      </c>
      <c r="R274" s="2">
        <f t="shared" si="107"/>
        <v>0</v>
      </c>
      <c r="S274" s="2">
        <f t="shared" si="107"/>
        <v>0</v>
      </c>
      <c r="T274" s="2">
        <f t="shared" si="107"/>
        <v>0</v>
      </c>
      <c r="U274" s="2">
        <f t="shared" si="107"/>
        <v>0</v>
      </c>
      <c r="V274" s="2">
        <f t="shared" si="107"/>
        <v>0</v>
      </c>
      <c r="W274" s="2">
        <f t="shared" si="107"/>
        <v>0</v>
      </c>
      <c r="X274" s="2">
        <f t="shared" si="107"/>
        <v>0</v>
      </c>
      <c r="Y274" s="2">
        <f t="shared" si="107"/>
        <v>0</v>
      </c>
      <c r="Z274" s="2">
        <f t="shared" si="107"/>
        <v>0</v>
      </c>
      <c r="AA274" s="2">
        <f t="shared" si="107"/>
        <v>0</v>
      </c>
      <c r="AB274" s="2">
        <f t="shared" si="108"/>
        <v>0</v>
      </c>
    </row>
    <row r="275" spans="1:28" x14ac:dyDescent="0.25">
      <c r="E275" t="s">
        <v>49</v>
      </c>
      <c r="F275" t="s">
        <v>7</v>
      </c>
      <c r="G275" s="2">
        <f t="shared" si="107"/>
        <v>0</v>
      </c>
      <c r="H275" s="2">
        <f t="shared" si="107"/>
        <v>0</v>
      </c>
      <c r="I275" s="2">
        <f t="shared" si="107"/>
        <v>0</v>
      </c>
      <c r="J275" s="2">
        <f t="shared" si="107"/>
        <v>0</v>
      </c>
      <c r="K275" s="2">
        <f t="shared" si="107"/>
        <v>0</v>
      </c>
      <c r="L275" s="2">
        <f t="shared" si="107"/>
        <v>0</v>
      </c>
      <c r="M275" s="2">
        <f t="shared" si="107"/>
        <v>0</v>
      </c>
      <c r="N275" s="2">
        <f t="shared" si="107"/>
        <v>0</v>
      </c>
      <c r="O275" s="2">
        <f t="shared" si="107"/>
        <v>0</v>
      </c>
      <c r="P275" s="2">
        <f t="shared" si="107"/>
        <v>0</v>
      </c>
      <c r="Q275" s="2">
        <f t="shared" si="107"/>
        <v>0</v>
      </c>
      <c r="R275" s="2">
        <f t="shared" si="107"/>
        <v>0</v>
      </c>
      <c r="S275" s="2">
        <f t="shared" si="107"/>
        <v>0</v>
      </c>
      <c r="T275" s="2">
        <f t="shared" si="107"/>
        <v>0</v>
      </c>
      <c r="U275" s="2">
        <f t="shared" si="107"/>
        <v>0</v>
      </c>
      <c r="V275" s="2">
        <f t="shared" si="107"/>
        <v>0</v>
      </c>
      <c r="W275" s="2">
        <f t="shared" si="107"/>
        <v>0</v>
      </c>
      <c r="X275" s="2">
        <f t="shared" si="107"/>
        <v>0</v>
      </c>
      <c r="Y275" s="2">
        <f t="shared" si="107"/>
        <v>0</v>
      </c>
      <c r="Z275" s="2">
        <f t="shared" si="107"/>
        <v>0</v>
      </c>
      <c r="AA275" s="2">
        <f t="shared" si="107"/>
        <v>0</v>
      </c>
      <c r="AB275" s="2">
        <f t="shared" si="108"/>
        <v>0</v>
      </c>
    </row>
    <row r="276" spans="1:28" x14ac:dyDescent="0.25">
      <c r="E276" t="s">
        <v>20</v>
      </c>
      <c r="F276" t="s">
        <v>7</v>
      </c>
      <c r="G276" s="2">
        <f t="shared" ref="G276:AA276" ca="1" si="109">G265</f>
        <v>-11123406.673109921</v>
      </c>
      <c r="H276" s="2">
        <f t="shared" si="109"/>
        <v>-1179800.9548986806</v>
      </c>
      <c r="I276" s="2">
        <f t="shared" si="109"/>
        <v>-1269064.8220725649</v>
      </c>
      <c r="J276" s="2">
        <f t="shared" si="109"/>
        <v>-1403251.6162236787</v>
      </c>
      <c r="K276" s="2">
        <f t="shared" si="109"/>
        <v>-1456092.4199070011</v>
      </c>
      <c r="L276" s="2">
        <f t="shared" si="109"/>
        <v>-1512607.2700220882</v>
      </c>
      <c r="M276" s="2">
        <f t="shared" si="109"/>
        <v>-1566201.5121217966</v>
      </c>
      <c r="N276" s="2">
        <f t="shared" si="109"/>
        <v>-1621420.8743415484</v>
      </c>
      <c r="O276" s="2">
        <f t="shared" si="109"/>
        <v>-1679866.6530259433</v>
      </c>
      <c r="P276" s="2">
        <f t="shared" si="109"/>
        <v>-1880341.4783244298</v>
      </c>
      <c r="Q276" s="2">
        <f t="shared" si="109"/>
        <v>-2104610.6565142288</v>
      </c>
      <c r="R276" s="2">
        <f t="shared" si="109"/>
        <v>-2341849.1933223456</v>
      </c>
      <c r="S276" s="2">
        <f t="shared" si="109"/>
        <v>-2608388.8772395989</v>
      </c>
      <c r="T276" s="2">
        <f t="shared" si="109"/>
        <v>-2890219.7350041429</v>
      </c>
      <c r="U276" s="2">
        <f t="shared" si="109"/>
        <v>-3051719.6088868105</v>
      </c>
      <c r="V276" s="2">
        <f t="shared" si="109"/>
        <v>-3220040.6510256091</v>
      </c>
      <c r="W276" s="2">
        <f t="shared" si="109"/>
        <v>-979222.50399248244</v>
      </c>
      <c r="X276" s="2">
        <f t="shared" si="109"/>
        <v>-1015036.6954430047</v>
      </c>
      <c r="Y276" s="2">
        <f t="shared" si="109"/>
        <v>-1051602.984913988</v>
      </c>
      <c r="Z276" s="2">
        <f t="shared" si="109"/>
        <v>-1088937.1664638617</v>
      </c>
      <c r="AA276" s="2">
        <f t="shared" si="109"/>
        <v>-1127055.3658262829</v>
      </c>
      <c r="AB276" s="2">
        <f>IF(V276=0,0,IF($G$15&gt;(AA276/V276)^(1/5)-1+2%,AA276*(AA276/V276)^(1/5)/($G$15-((AA276/V276)^(1/5)-1)),AA276*(1+$G$14)/$G$16))</f>
        <v>-3790750.2038038708</v>
      </c>
    </row>
    <row r="277" spans="1:28" x14ac:dyDescent="0.25">
      <c r="E277" t="s">
        <v>173</v>
      </c>
      <c r="F277" t="s">
        <v>7</v>
      </c>
      <c r="G277" s="2">
        <f ca="1">-$G$17*G276</f>
        <v>5561703.3365549603</v>
      </c>
      <c r="H277" s="2">
        <f t="shared" ref="H277:AA277" si="110">-$G$17*H276</f>
        <v>589900.47744934028</v>
      </c>
      <c r="I277" s="2">
        <f t="shared" si="110"/>
        <v>634532.41103628243</v>
      </c>
      <c r="J277" s="2">
        <f t="shared" si="110"/>
        <v>701625.80811183935</v>
      </c>
      <c r="K277" s="2">
        <f t="shared" si="110"/>
        <v>728046.20995350054</v>
      </c>
      <c r="L277" s="2">
        <f t="shared" si="110"/>
        <v>756303.6350110441</v>
      </c>
      <c r="M277" s="2">
        <f t="shared" si="110"/>
        <v>783100.7560608983</v>
      </c>
      <c r="N277" s="2">
        <f t="shared" si="110"/>
        <v>810710.43717077421</v>
      </c>
      <c r="O277" s="2">
        <f t="shared" si="110"/>
        <v>839933.32651297166</v>
      </c>
      <c r="P277" s="2">
        <f t="shared" si="110"/>
        <v>940170.73916221492</v>
      </c>
      <c r="Q277" s="2">
        <f t="shared" si="110"/>
        <v>1052305.3282571144</v>
      </c>
      <c r="R277" s="2">
        <f t="shared" si="110"/>
        <v>1170924.5966611728</v>
      </c>
      <c r="S277" s="2">
        <f t="shared" si="110"/>
        <v>1304194.4386197994</v>
      </c>
      <c r="T277" s="2">
        <f t="shared" si="110"/>
        <v>1445109.8675020714</v>
      </c>
      <c r="U277" s="2">
        <f t="shared" si="110"/>
        <v>1525859.8044434052</v>
      </c>
      <c r="V277" s="2">
        <f t="shared" si="110"/>
        <v>1610020.3255128046</v>
      </c>
      <c r="W277" s="2">
        <f t="shared" si="110"/>
        <v>489611.25199624122</v>
      </c>
      <c r="X277" s="2">
        <f t="shared" si="110"/>
        <v>507518.34772150236</v>
      </c>
      <c r="Y277" s="2">
        <f t="shared" si="110"/>
        <v>525801.49245699402</v>
      </c>
      <c r="Z277" s="2">
        <f t="shared" si="110"/>
        <v>544468.58323193085</v>
      </c>
      <c r="AA277" s="2">
        <f t="shared" si="110"/>
        <v>563527.68291314144</v>
      </c>
      <c r="AB277" s="2">
        <f t="shared" ref="AB277" si="111">IF(V277=0,0,IF($G$15&gt;(AA277/V277)^(1/5)-1+2%,AA277*(AA277/V277)^(1/5)/($G$15-((AA277/V277)^(1/5)-1)),AA277*(1+$G$14)/$G$16))</f>
        <v>1895375.1019019354</v>
      </c>
    </row>
    <row r="278" spans="1:28" x14ac:dyDescent="0.25">
      <c r="E278" t="s">
        <v>23</v>
      </c>
      <c r="F278" t="s">
        <v>7</v>
      </c>
      <c r="G278" s="2">
        <f t="shared" ref="G278:AB278" ca="1" si="112">SUM(G268:G277)</f>
        <v>-128045563.01557295</v>
      </c>
      <c r="H278" s="2">
        <f t="shared" si="112"/>
        <v>-3560371.1937009189</v>
      </c>
      <c r="I278" s="2">
        <f t="shared" si="112"/>
        <v>-2367476.2178057642</v>
      </c>
      <c r="J278" s="2">
        <f t="shared" si="112"/>
        <v>-197202.5898670858</v>
      </c>
      <c r="K278" s="2">
        <f t="shared" si="112"/>
        <v>-482362.07996393915</v>
      </c>
      <c r="L278" s="2">
        <f t="shared" si="112"/>
        <v>656653.83741624397</v>
      </c>
      <c r="M278" s="2">
        <f t="shared" si="112"/>
        <v>1039821.2082221617</v>
      </c>
      <c r="N278" s="2">
        <f t="shared" si="112"/>
        <v>1330344.920555586</v>
      </c>
      <c r="O278" s="2">
        <f t="shared" si="112"/>
        <v>1622362.0903730995</v>
      </c>
      <c r="P278" s="2">
        <f t="shared" si="112"/>
        <v>1870482.9468742865</v>
      </c>
      <c r="Q278" s="2">
        <f t="shared" si="112"/>
        <v>2138309.3869860033</v>
      </c>
      <c r="R278" s="2">
        <f t="shared" si="112"/>
        <v>2432084.2156811198</v>
      </c>
      <c r="S278" s="2">
        <f t="shared" si="112"/>
        <v>2748933.5124161891</v>
      </c>
      <c r="T278" s="2">
        <f t="shared" si="112"/>
        <v>3096216.3745840467</v>
      </c>
      <c r="U278" s="2">
        <f t="shared" si="112"/>
        <v>3519906.8757547857</v>
      </c>
      <c r="V278" s="2">
        <f t="shared" si="112"/>
        <v>3957846.7594369599</v>
      </c>
      <c r="W278" s="2">
        <f t="shared" si="112"/>
        <v>5195181.041737468</v>
      </c>
      <c r="X278" s="2">
        <f t="shared" si="112"/>
        <v>5296654.584180614</v>
      </c>
      <c r="Y278" s="2">
        <f t="shared" si="112"/>
        <v>5400259.0710150665</v>
      </c>
      <c r="Z278" s="2">
        <f t="shared" si="112"/>
        <v>5506039.2520730412</v>
      </c>
      <c r="AA278" s="2">
        <f t="shared" si="112"/>
        <v>5614040.8169332352</v>
      </c>
      <c r="AB278" s="2">
        <f t="shared" si="112"/>
        <v>204023574.89297774</v>
      </c>
    </row>
    <row r="279" spans="1:28" x14ac:dyDescent="0.25">
      <c r="E279" t="s">
        <v>31</v>
      </c>
      <c r="F279" t="s">
        <v>7</v>
      </c>
      <c r="G279" s="2">
        <f ca="1">NPV($G$15,H278:AB278)+G278</f>
        <v>-38438954.017911047</v>
      </c>
    </row>
    <row r="280" spans="1:28" x14ac:dyDescent="0.25">
      <c r="E280" s="3" t="s">
        <v>34</v>
      </c>
      <c r="F280" s="3"/>
      <c r="G280" s="4" t="str">
        <f ca="1">IF(G279&gt;0,"N/A",IF(ABS(G279+G253)&gt;1,"Error","OK"))</f>
        <v>OK</v>
      </c>
    </row>
    <row r="282" spans="1:28" x14ac:dyDescent="0.25">
      <c r="C282" s="1" t="s">
        <v>36</v>
      </c>
      <c r="D282" s="1"/>
    </row>
    <row r="283" spans="1:28" x14ac:dyDescent="0.25">
      <c r="A283" s="14">
        <f>'Notes &amp; Assumptions'!A67</f>
        <v>54</v>
      </c>
      <c r="C283" s="1"/>
      <c r="D283" s="1"/>
      <c r="E283" t="s">
        <v>42</v>
      </c>
      <c r="F283" t="s">
        <v>3</v>
      </c>
      <c r="G283" s="10"/>
      <c r="H283" s="10">
        <v>1</v>
      </c>
      <c r="I283" s="10">
        <v>1</v>
      </c>
      <c r="J283" s="10">
        <v>1</v>
      </c>
      <c r="K283" s="10">
        <v>1</v>
      </c>
      <c r="L283" s="10">
        <v>1</v>
      </c>
      <c r="M283" s="10">
        <v>1</v>
      </c>
      <c r="N283" s="10">
        <v>1</v>
      </c>
      <c r="O283" s="10">
        <v>1</v>
      </c>
      <c r="P283" s="10">
        <v>1</v>
      </c>
      <c r="Q283" s="10">
        <v>1</v>
      </c>
      <c r="R283" s="10">
        <v>1</v>
      </c>
      <c r="S283" s="10">
        <v>1</v>
      </c>
      <c r="T283" s="10">
        <v>1</v>
      </c>
      <c r="U283" s="10">
        <v>1</v>
      </c>
      <c r="V283" s="10">
        <v>1</v>
      </c>
      <c r="W283" s="10">
        <v>0</v>
      </c>
      <c r="X283" s="10">
        <v>0</v>
      </c>
      <c r="Y283" s="10">
        <v>0</v>
      </c>
      <c r="Z283" s="10">
        <v>0</v>
      </c>
      <c r="AA283" s="10">
        <v>0</v>
      </c>
    </row>
    <row r="284" spans="1:28" x14ac:dyDescent="0.25">
      <c r="E284" t="s">
        <v>37</v>
      </c>
      <c r="F284" t="s">
        <v>38</v>
      </c>
      <c r="G284" s="8">
        <f ca="1">MAX(0,-G311/(NPV($G$16,H283:AA283)+G283))</f>
        <v>3204583.7092428058</v>
      </c>
      <c r="H284" s="2">
        <f t="shared" ref="H284:AA284" ca="1" si="113">G284*(1+$G$14)</f>
        <v>3271879.9671369046</v>
      </c>
      <c r="I284" s="2">
        <f t="shared" ca="1" si="113"/>
        <v>3340589.4464467792</v>
      </c>
      <c r="J284" s="2">
        <f t="shared" ca="1" si="113"/>
        <v>3410741.8248221613</v>
      </c>
      <c r="K284" s="2">
        <f t="shared" ca="1" si="113"/>
        <v>3482367.4031434264</v>
      </c>
      <c r="L284" s="2">
        <f t="shared" ca="1" si="113"/>
        <v>3555497.1186094382</v>
      </c>
      <c r="M284" s="2">
        <f t="shared" ca="1" si="113"/>
        <v>3630162.5581002361</v>
      </c>
      <c r="N284" s="2">
        <f t="shared" ca="1" si="113"/>
        <v>3706395.971820341</v>
      </c>
      <c r="O284" s="2">
        <f t="shared" ca="1" si="113"/>
        <v>3784230.287228568</v>
      </c>
      <c r="P284" s="2">
        <f t="shared" ca="1" si="113"/>
        <v>3863699.1232603677</v>
      </c>
      <c r="Q284" s="2">
        <f t="shared" ca="1" si="113"/>
        <v>3944836.8048488349</v>
      </c>
      <c r="R284" s="2">
        <f t="shared" ca="1" si="113"/>
        <v>4027678.3777506598</v>
      </c>
      <c r="S284" s="2">
        <f t="shared" ca="1" si="113"/>
        <v>4112259.6236834233</v>
      </c>
      <c r="T284" s="2">
        <f t="shared" ca="1" si="113"/>
        <v>4198617.0757807745</v>
      </c>
      <c r="U284" s="2">
        <f t="shared" ca="1" si="113"/>
        <v>4286788.0343721705</v>
      </c>
      <c r="V284" s="2">
        <f t="shared" ca="1" si="113"/>
        <v>4376810.5830939859</v>
      </c>
      <c r="W284" s="2">
        <f t="shared" ca="1" si="113"/>
        <v>4468723.605338959</v>
      </c>
      <c r="X284" s="2">
        <f t="shared" ca="1" si="113"/>
        <v>4562566.8010510765</v>
      </c>
      <c r="Y284" s="2">
        <f t="shared" ca="1" si="113"/>
        <v>4658380.7038731491</v>
      </c>
      <c r="Z284" s="2">
        <f t="shared" ca="1" si="113"/>
        <v>4756206.6986544849</v>
      </c>
      <c r="AA284" s="2">
        <f t="shared" ca="1" si="113"/>
        <v>4856087.0393262291</v>
      </c>
    </row>
    <row r="285" spans="1:28" x14ac:dyDescent="0.25">
      <c r="E285" t="s">
        <v>21</v>
      </c>
      <c r="F285" t="s">
        <v>7</v>
      </c>
      <c r="G285" s="2">
        <f ca="1">G283*G284</f>
        <v>0</v>
      </c>
      <c r="H285" s="2">
        <f t="shared" ref="H285:AA285" ca="1" si="114">H283*H284</f>
        <v>3271879.9671369046</v>
      </c>
      <c r="I285" s="2">
        <f t="shared" ca="1" si="114"/>
        <v>3340589.4464467792</v>
      </c>
      <c r="J285" s="2">
        <f t="shared" ca="1" si="114"/>
        <v>3410741.8248221613</v>
      </c>
      <c r="K285" s="2">
        <f t="shared" ca="1" si="114"/>
        <v>3482367.4031434264</v>
      </c>
      <c r="L285" s="2">
        <f t="shared" ca="1" si="114"/>
        <v>3555497.1186094382</v>
      </c>
      <c r="M285" s="2">
        <f t="shared" ca="1" si="114"/>
        <v>3630162.5581002361</v>
      </c>
      <c r="N285" s="2">
        <f t="shared" ca="1" si="114"/>
        <v>3706395.971820341</v>
      </c>
      <c r="O285" s="2">
        <f t="shared" ca="1" si="114"/>
        <v>3784230.287228568</v>
      </c>
      <c r="P285" s="2">
        <f t="shared" ca="1" si="114"/>
        <v>3863699.1232603677</v>
      </c>
      <c r="Q285" s="2">
        <f t="shared" ca="1" si="114"/>
        <v>3944836.8048488349</v>
      </c>
      <c r="R285" s="2">
        <f t="shared" ca="1" si="114"/>
        <v>4027678.3777506598</v>
      </c>
      <c r="S285" s="2">
        <f t="shared" ca="1" si="114"/>
        <v>4112259.6236834233</v>
      </c>
      <c r="T285" s="2">
        <f t="shared" ca="1" si="114"/>
        <v>4198617.0757807745</v>
      </c>
      <c r="U285" s="2">
        <f t="shared" ca="1" si="114"/>
        <v>4286788.0343721705</v>
      </c>
      <c r="V285" s="2">
        <f t="shared" ca="1" si="114"/>
        <v>4376810.5830939859</v>
      </c>
      <c r="W285" s="2">
        <f t="shared" ca="1" si="114"/>
        <v>0</v>
      </c>
      <c r="X285" s="2">
        <f t="shared" ca="1" si="114"/>
        <v>0</v>
      </c>
      <c r="Y285" s="2">
        <f t="shared" ca="1" si="114"/>
        <v>0</v>
      </c>
      <c r="Z285" s="2">
        <f t="shared" ca="1" si="114"/>
        <v>0</v>
      </c>
      <c r="AA285" s="2">
        <f t="shared" ca="1" si="114"/>
        <v>0</v>
      </c>
    </row>
    <row r="286" spans="1:28" x14ac:dyDescent="0.25">
      <c r="G286" s="8">
        <f ca="1">-G311/(NPV($G$16,H283:AA283)+G283)</f>
        <v>3204583.7092428058</v>
      </c>
    </row>
    <row r="287" spans="1:28" x14ac:dyDescent="0.25">
      <c r="D287" t="s">
        <v>9</v>
      </c>
    </row>
    <row r="288" spans="1:28" x14ac:dyDescent="0.25">
      <c r="E288" t="s">
        <v>107</v>
      </c>
      <c r="F288" t="s">
        <v>7</v>
      </c>
      <c r="G288" s="2">
        <f t="shared" ref="G288:AA293" si="115">G222</f>
        <v>0</v>
      </c>
      <c r="H288" s="2">
        <f t="shared" si="115"/>
        <v>5095810.9999999991</v>
      </c>
      <c r="I288" s="2">
        <f t="shared" si="115"/>
        <v>5195525.9439999983</v>
      </c>
      <c r="J288" s="2">
        <f t="shared" si="115"/>
        <v>5397761.0616614986</v>
      </c>
      <c r="K288" s="2">
        <f t="shared" si="115"/>
        <v>5332354.6512262644</v>
      </c>
      <c r="L288" s="2">
        <f t="shared" si="115"/>
        <v>5265704.0214772699</v>
      </c>
      <c r="M288" s="2">
        <f t="shared" si="115"/>
        <v>5185972.8747449899</v>
      </c>
      <c r="N288" s="2">
        <f t="shared" si="115"/>
        <v>5108666.988573906</v>
      </c>
      <c r="O288" s="2">
        <f t="shared" si="115"/>
        <v>5038226.4859842258</v>
      </c>
      <c r="P288" s="2">
        <f t="shared" si="115"/>
        <v>5418321.2034223322</v>
      </c>
      <c r="Q288" s="2">
        <f t="shared" si="115"/>
        <v>5850934.4846781343</v>
      </c>
      <c r="R288" s="2">
        <f t="shared" si="115"/>
        <v>6299328.0440959726</v>
      </c>
      <c r="S288" s="2">
        <f t="shared" si="115"/>
        <v>6813378.7265323689</v>
      </c>
      <c r="T288" s="2">
        <f t="shared" si="115"/>
        <v>7346241.5339636486</v>
      </c>
      <c r="U288" s="2">
        <f t="shared" si="115"/>
        <v>7463056.8628251906</v>
      </c>
      <c r="V288" s="2">
        <f t="shared" si="115"/>
        <v>7586319.0322276978</v>
      </c>
      <c r="W288" s="2">
        <f t="shared" si="115"/>
        <v>0</v>
      </c>
      <c r="X288" s="2">
        <f t="shared" si="115"/>
        <v>0</v>
      </c>
      <c r="Y288" s="2">
        <f t="shared" si="115"/>
        <v>0</v>
      </c>
      <c r="Z288" s="2">
        <f t="shared" si="115"/>
        <v>0</v>
      </c>
      <c r="AA288" s="2">
        <f t="shared" si="115"/>
        <v>0</v>
      </c>
    </row>
    <row r="289" spans="4:28" customFormat="1" x14ac:dyDescent="0.25">
      <c r="E289" t="s">
        <v>11</v>
      </c>
      <c r="F289" t="s">
        <v>7</v>
      </c>
      <c r="G289" s="2">
        <f t="shared" si="115"/>
        <v>0</v>
      </c>
      <c r="H289" s="2">
        <f t="shared" si="115"/>
        <v>381628.5170682458</v>
      </c>
      <c r="I289" s="2">
        <f t="shared" si="115"/>
        <v>757478.74779573421</v>
      </c>
      <c r="J289" s="2">
        <f t="shared" si="115"/>
        <v>1167015.8825859842</v>
      </c>
      <c r="K289" s="2">
        <f t="shared" si="115"/>
        <v>1579490.5779670491</v>
      </c>
      <c r="L289" s="2">
        <f t="shared" si="115"/>
        <v>1996224.5982853728</v>
      </c>
      <c r="M289" s="2">
        <f t="shared" si="115"/>
        <v>2414997.9624464838</v>
      </c>
      <c r="N289" s="2">
        <f t="shared" si="115"/>
        <v>2836651.6630771486</v>
      </c>
      <c r="O289" s="2">
        <f t="shared" si="115"/>
        <v>3262364.3658038136</v>
      </c>
      <c r="P289" s="2">
        <f t="shared" si="115"/>
        <v>3724111.9881470096</v>
      </c>
      <c r="Q289" s="2">
        <f t="shared" si="115"/>
        <v>4227628.0405966435</v>
      </c>
      <c r="R289" s="2">
        <f t="shared" si="115"/>
        <v>4774153.4381940626</v>
      </c>
      <c r="S289" s="2">
        <f t="shared" si="115"/>
        <v>5370495.3373514498</v>
      </c>
      <c r="T289" s="2">
        <f t="shared" si="115"/>
        <v>6017419.9043528102</v>
      </c>
      <c r="U289" s="2">
        <f t="shared" si="115"/>
        <v>6685953.2802573713</v>
      </c>
      <c r="V289" s="2">
        <f t="shared" si="115"/>
        <v>7377828.2750419639</v>
      </c>
      <c r="W289" s="2">
        <f t="shared" si="115"/>
        <v>7532762.6688178442</v>
      </c>
      <c r="X289" s="2">
        <f t="shared" si="115"/>
        <v>7690950.6848630179</v>
      </c>
      <c r="Y289" s="2">
        <f t="shared" si="115"/>
        <v>7852460.6492451411</v>
      </c>
      <c r="Z289" s="2">
        <f t="shared" si="115"/>
        <v>8017362.3228792883</v>
      </c>
      <c r="AA289" s="2">
        <f t="shared" si="115"/>
        <v>8185726.9316597525</v>
      </c>
    </row>
    <row r="290" spans="4:28" customFormat="1" x14ac:dyDescent="0.25">
      <c r="E290" t="s">
        <v>57</v>
      </c>
      <c r="F290" t="s">
        <v>7</v>
      </c>
      <c r="G290" s="2">
        <f t="shared" si="115"/>
        <v>0</v>
      </c>
      <c r="H290" s="2">
        <f t="shared" si="115"/>
        <v>0</v>
      </c>
      <c r="I290" s="2">
        <f t="shared" si="115"/>
        <v>0</v>
      </c>
      <c r="J290" s="2">
        <f t="shared" si="115"/>
        <v>0</v>
      </c>
      <c r="K290" s="2">
        <f t="shared" si="115"/>
        <v>0</v>
      </c>
      <c r="L290" s="2">
        <f t="shared" si="115"/>
        <v>0</v>
      </c>
      <c r="M290" s="2">
        <f t="shared" si="115"/>
        <v>0</v>
      </c>
      <c r="N290" s="2">
        <f t="shared" si="115"/>
        <v>0</v>
      </c>
      <c r="O290" s="2">
        <f t="shared" si="115"/>
        <v>0</v>
      </c>
      <c r="P290" s="2">
        <f t="shared" si="115"/>
        <v>0</v>
      </c>
      <c r="Q290" s="2">
        <f t="shared" si="115"/>
        <v>0</v>
      </c>
      <c r="R290" s="2">
        <f t="shared" si="115"/>
        <v>0</v>
      </c>
      <c r="S290" s="2">
        <f t="shared" si="115"/>
        <v>0</v>
      </c>
      <c r="T290" s="2">
        <f t="shared" si="115"/>
        <v>0</v>
      </c>
      <c r="U290" s="2">
        <f t="shared" si="115"/>
        <v>0</v>
      </c>
      <c r="V290" s="2">
        <f t="shared" si="115"/>
        <v>0</v>
      </c>
      <c r="W290" s="2">
        <f t="shared" si="115"/>
        <v>0</v>
      </c>
      <c r="X290" s="2">
        <f t="shared" si="115"/>
        <v>0</v>
      </c>
      <c r="Y290" s="2">
        <f t="shared" si="115"/>
        <v>0</v>
      </c>
      <c r="Z290" s="2">
        <f t="shared" si="115"/>
        <v>0</v>
      </c>
      <c r="AA290" s="2">
        <f t="shared" si="115"/>
        <v>0</v>
      </c>
    </row>
    <row r="291" spans="4:28" customFormat="1" x14ac:dyDescent="0.25">
      <c r="E291" t="s">
        <v>10</v>
      </c>
      <c r="F291" t="s">
        <v>7</v>
      </c>
      <c r="G291" s="2">
        <f t="shared" si="115"/>
        <v>0</v>
      </c>
      <c r="H291" s="2">
        <f t="shared" si="115"/>
        <v>-90983.147799999992</v>
      </c>
      <c r="I291" s="2">
        <f t="shared" si="115"/>
        <v>-185665.62221060001</v>
      </c>
      <c r="J291" s="2">
        <f t="shared" si="115"/>
        <v>-285988.95222780469</v>
      </c>
      <c r="K291" s="2">
        <f t="shared" si="115"/>
        <v>-387154.48473513121</v>
      </c>
      <c r="L291" s="2">
        <f t="shared" si="115"/>
        <v>-489303.17523078615</v>
      </c>
      <c r="M291" s="2">
        <f t="shared" si="115"/>
        <v>-592075.99816342373</v>
      </c>
      <c r="N291" s="2">
        <f t="shared" si="115"/>
        <v>-695596.3053507884</v>
      </c>
      <c r="O291" s="2">
        <f t="shared" si="115"/>
        <v>-800068.94891774247</v>
      </c>
      <c r="P291" s="2">
        <f t="shared" si="115"/>
        <v>-913458.30211050808</v>
      </c>
      <c r="Q291" s="2">
        <f t="shared" si="115"/>
        <v>-1037013.325353526</v>
      </c>
      <c r="R291" s="2">
        <f t="shared" si="115"/>
        <v>-1171144.6258517699</v>
      </c>
      <c r="S291" s="2">
        <f t="shared" si="115"/>
        <v>-1317367.386315461</v>
      </c>
      <c r="T291" s="2">
        <f t="shared" si="115"/>
        <v>-1476093.6622666921</v>
      </c>
      <c r="U291" s="2">
        <f t="shared" si="115"/>
        <v>-1640186.600059181</v>
      </c>
      <c r="V291" s="2">
        <f t="shared" si="115"/>
        <v>-1809961.1900921995</v>
      </c>
      <c r="W291" s="2">
        <f t="shared" si="115"/>
        <v>-1847970.3750841357</v>
      </c>
      <c r="X291" s="2">
        <f t="shared" si="115"/>
        <v>-1886777.7529609022</v>
      </c>
      <c r="Y291" s="2">
        <f t="shared" si="115"/>
        <v>-1926400.0857730811</v>
      </c>
      <c r="Z291" s="2">
        <f t="shared" si="115"/>
        <v>-1966854.4875743156</v>
      </c>
      <c r="AA291" s="2">
        <f t="shared" si="115"/>
        <v>-2008158.431813376</v>
      </c>
    </row>
    <row r="292" spans="4:28" customFormat="1" x14ac:dyDescent="0.25">
      <c r="E292" t="s">
        <v>12</v>
      </c>
      <c r="F292" t="s">
        <v>7</v>
      </c>
      <c r="G292" s="2">
        <f t="shared" si="115"/>
        <v>-1360931.774211311</v>
      </c>
      <c r="H292" s="2">
        <f t="shared" si="115"/>
        <v>-1453786.5196059756</v>
      </c>
      <c r="I292" s="2">
        <f t="shared" si="115"/>
        <v>-1537122.9960099158</v>
      </c>
      <c r="J292" s="2">
        <f t="shared" si="115"/>
        <v>-1601282.6046074152</v>
      </c>
      <c r="K292" s="2">
        <f t="shared" si="115"/>
        <v>-1671049.3447681775</v>
      </c>
      <c r="L292" s="2">
        <f t="shared" si="115"/>
        <v>-1730601.2111248949</v>
      </c>
      <c r="M292" s="2">
        <f t="shared" si="115"/>
        <v>-1788223.1319553948</v>
      </c>
      <c r="N292" s="2">
        <f t="shared" si="115"/>
        <v>-1844986.0984951048</v>
      </c>
      <c r="O292" s="2">
        <f t="shared" si="115"/>
        <v>-1900966.3927838185</v>
      </c>
      <c r="P292" s="2">
        <f t="shared" si="115"/>
        <v>-1961169.9617107334</v>
      </c>
      <c r="Q292" s="2">
        <f t="shared" si="115"/>
        <v>-2026180.3448738237</v>
      </c>
      <c r="R292" s="2">
        <f t="shared" si="115"/>
        <v>-2096172.8786971122</v>
      </c>
      <c r="S292" s="2">
        <f t="shared" si="115"/>
        <v>-2171877.086769694</v>
      </c>
      <c r="T292" s="2">
        <f t="shared" si="115"/>
        <v>-2253501.9927026238</v>
      </c>
      <c r="U292" s="2">
        <f t="shared" si="115"/>
        <v>-2336424.8467340143</v>
      </c>
      <c r="V292" s="2">
        <f t="shared" si="115"/>
        <v>-2420717.2804254335</v>
      </c>
      <c r="W292" s="2">
        <f t="shared" si="115"/>
        <v>-2420717.2804254335</v>
      </c>
      <c r="X292" s="2">
        <f t="shared" si="115"/>
        <v>-2420717.2804254335</v>
      </c>
      <c r="Y292" s="2">
        <f t="shared" si="115"/>
        <v>-2420717.2804254335</v>
      </c>
      <c r="Z292" s="2">
        <f t="shared" si="115"/>
        <v>-2420717.2804254335</v>
      </c>
      <c r="AA292" s="2">
        <f t="shared" si="115"/>
        <v>-2420717.2804254335</v>
      </c>
    </row>
    <row r="293" spans="4:28" customFormat="1" x14ac:dyDescent="0.25">
      <c r="E293" t="s">
        <v>48</v>
      </c>
      <c r="F293" t="s">
        <v>7</v>
      </c>
      <c r="G293" s="2">
        <f t="shared" si="115"/>
        <v>0</v>
      </c>
      <c r="H293" s="2">
        <f t="shared" si="115"/>
        <v>0</v>
      </c>
      <c r="I293" s="2">
        <f t="shared" si="115"/>
        <v>0</v>
      </c>
      <c r="J293" s="2">
        <f t="shared" si="115"/>
        <v>0</v>
      </c>
      <c r="K293" s="2">
        <f t="shared" si="115"/>
        <v>0</v>
      </c>
      <c r="L293" s="2">
        <f t="shared" si="115"/>
        <v>0</v>
      </c>
      <c r="M293" s="2">
        <f t="shared" si="115"/>
        <v>0</v>
      </c>
      <c r="N293" s="2">
        <f t="shared" si="115"/>
        <v>0</v>
      </c>
      <c r="O293" s="2">
        <f t="shared" si="115"/>
        <v>0</v>
      </c>
      <c r="P293" s="2">
        <f t="shared" si="115"/>
        <v>0</v>
      </c>
      <c r="Q293" s="2">
        <f t="shared" si="115"/>
        <v>0</v>
      </c>
      <c r="R293" s="2">
        <f t="shared" si="115"/>
        <v>0</v>
      </c>
      <c r="S293" s="2">
        <f t="shared" si="115"/>
        <v>0</v>
      </c>
      <c r="T293" s="2">
        <f t="shared" si="115"/>
        <v>0</v>
      </c>
      <c r="U293" s="2">
        <f t="shared" si="115"/>
        <v>0</v>
      </c>
      <c r="V293" s="2">
        <f t="shared" si="115"/>
        <v>0</v>
      </c>
      <c r="W293" s="2">
        <f t="shared" si="115"/>
        <v>0</v>
      </c>
      <c r="X293" s="2">
        <f t="shared" si="115"/>
        <v>0</v>
      </c>
      <c r="Y293" s="2">
        <f t="shared" si="115"/>
        <v>0</v>
      </c>
      <c r="Z293" s="2">
        <f t="shared" si="115"/>
        <v>0</v>
      </c>
      <c r="AA293" s="2">
        <f t="shared" si="115"/>
        <v>0</v>
      </c>
    </row>
    <row r="294" spans="4:28" customFormat="1" x14ac:dyDescent="0.25">
      <c r="E294" t="s">
        <v>13</v>
      </c>
      <c r="F294" t="s">
        <v>7</v>
      </c>
      <c r="G294" s="2">
        <f t="shared" ref="G294:AA294" ca="1" si="116">G285</f>
        <v>0</v>
      </c>
      <c r="H294" s="2">
        <f t="shared" ca="1" si="116"/>
        <v>3271879.9671369046</v>
      </c>
      <c r="I294" s="2">
        <f t="shared" ca="1" si="116"/>
        <v>3340589.4464467792</v>
      </c>
      <c r="J294" s="2">
        <f t="shared" ca="1" si="116"/>
        <v>3410741.8248221613</v>
      </c>
      <c r="K294" s="2">
        <f t="shared" ca="1" si="116"/>
        <v>3482367.4031434264</v>
      </c>
      <c r="L294" s="2">
        <f t="shared" ca="1" si="116"/>
        <v>3555497.1186094382</v>
      </c>
      <c r="M294" s="2">
        <f t="shared" ca="1" si="116"/>
        <v>3630162.5581002361</v>
      </c>
      <c r="N294" s="2">
        <f t="shared" ca="1" si="116"/>
        <v>3706395.971820341</v>
      </c>
      <c r="O294" s="2">
        <f t="shared" ca="1" si="116"/>
        <v>3784230.287228568</v>
      </c>
      <c r="P294" s="2">
        <f t="shared" ca="1" si="116"/>
        <v>3863699.1232603677</v>
      </c>
      <c r="Q294" s="2">
        <f t="shared" ca="1" si="116"/>
        <v>3944836.8048488349</v>
      </c>
      <c r="R294" s="2">
        <f t="shared" ca="1" si="116"/>
        <v>4027678.3777506598</v>
      </c>
      <c r="S294" s="2">
        <f t="shared" ca="1" si="116"/>
        <v>4112259.6236834233</v>
      </c>
      <c r="T294" s="2">
        <f t="shared" ca="1" si="116"/>
        <v>4198617.0757807745</v>
      </c>
      <c r="U294" s="2">
        <f t="shared" ca="1" si="116"/>
        <v>4286788.0343721705</v>
      </c>
      <c r="V294" s="2">
        <f t="shared" ca="1" si="116"/>
        <v>4376810.5830939859</v>
      </c>
      <c r="W294" s="2">
        <f t="shared" ca="1" si="116"/>
        <v>0</v>
      </c>
      <c r="X294" s="2">
        <f t="shared" ca="1" si="116"/>
        <v>0</v>
      </c>
      <c r="Y294" s="2">
        <f t="shared" ca="1" si="116"/>
        <v>0</v>
      </c>
      <c r="Z294" s="2">
        <f t="shared" ca="1" si="116"/>
        <v>0</v>
      </c>
      <c r="AA294" s="2">
        <f t="shared" ca="1" si="116"/>
        <v>0</v>
      </c>
    </row>
    <row r="295" spans="4:28" customFormat="1" x14ac:dyDescent="0.25"/>
    <row r="296" spans="4:28" customFormat="1" x14ac:dyDescent="0.25">
      <c r="E296" t="s">
        <v>14</v>
      </c>
      <c r="F296" t="s">
        <v>7</v>
      </c>
      <c r="G296" s="2">
        <f t="shared" ref="G296:AA296" ca="1" si="117">SUM(G288:G294)</f>
        <v>-1360931.774211311</v>
      </c>
      <c r="H296" s="2">
        <f t="shared" ca="1" si="117"/>
        <v>7204549.8167991731</v>
      </c>
      <c r="I296" s="2">
        <f t="shared" ca="1" si="117"/>
        <v>7570805.5200219955</v>
      </c>
      <c r="J296" s="2">
        <f t="shared" ca="1" si="117"/>
        <v>8088247.2122344235</v>
      </c>
      <c r="K296" s="2">
        <f t="shared" ca="1" si="117"/>
        <v>8336008.8028334305</v>
      </c>
      <c r="L296" s="2">
        <f t="shared" ca="1" si="117"/>
        <v>8597521.3520163987</v>
      </c>
      <c r="M296" s="2">
        <f t="shared" ca="1" si="117"/>
        <v>8850834.2651728913</v>
      </c>
      <c r="N296" s="2">
        <f t="shared" ca="1" si="117"/>
        <v>9111132.2196255028</v>
      </c>
      <c r="O296" s="2">
        <f t="shared" ca="1" si="117"/>
        <v>9383785.7973150462</v>
      </c>
      <c r="P296" s="2">
        <f t="shared" ca="1" si="117"/>
        <v>10131504.051008467</v>
      </c>
      <c r="Q296" s="2">
        <f t="shared" ca="1" si="117"/>
        <v>10960205.659896264</v>
      </c>
      <c r="R296" s="2">
        <f t="shared" ca="1" si="117"/>
        <v>11833842.355491811</v>
      </c>
      <c r="S296" s="2">
        <f t="shared" ca="1" si="117"/>
        <v>12806889.214482086</v>
      </c>
      <c r="T296" s="2">
        <f t="shared" ca="1" si="117"/>
        <v>13832682.859127916</v>
      </c>
      <c r="U296" s="2">
        <f t="shared" ca="1" si="117"/>
        <v>14459186.730661537</v>
      </c>
      <c r="V296" s="2">
        <f t="shared" ca="1" si="117"/>
        <v>15110279.419846017</v>
      </c>
      <c r="W296" s="2">
        <f t="shared" ca="1" si="117"/>
        <v>3264075.013308275</v>
      </c>
      <c r="X296" s="2">
        <f t="shared" ca="1" si="117"/>
        <v>3383455.6514766826</v>
      </c>
      <c r="Y296" s="2">
        <f t="shared" ca="1" si="117"/>
        <v>3505343.283046627</v>
      </c>
      <c r="Z296" s="2">
        <f t="shared" ca="1" si="117"/>
        <v>3629790.5548795392</v>
      </c>
      <c r="AA296" s="2">
        <f t="shared" ca="1" si="117"/>
        <v>3756851.2194209429</v>
      </c>
    </row>
    <row r="297" spans="4:28" customFormat="1" x14ac:dyDescent="0.25">
      <c r="E297" t="s">
        <v>15</v>
      </c>
      <c r="F297" t="s">
        <v>7</v>
      </c>
      <c r="G297" s="2">
        <f t="shared" ref="G297:AA297" ca="1" si="118">-G296*G$18</f>
        <v>408279.53226339328</v>
      </c>
      <c r="H297" s="2">
        <f t="shared" ca="1" si="118"/>
        <v>-2161364.9450397519</v>
      </c>
      <c r="I297" s="2">
        <f t="shared" ca="1" si="118"/>
        <v>-2271241.6560065984</v>
      </c>
      <c r="J297" s="2">
        <f t="shared" ca="1" si="118"/>
        <v>-2426474.163670327</v>
      </c>
      <c r="K297" s="2">
        <f t="shared" ca="1" si="118"/>
        <v>-2500802.640850029</v>
      </c>
      <c r="L297" s="2">
        <f t="shared" ca="1" si="118"/>
        <v>-2579256.4056049194</v>
      </c>
      <c r="M297" s="2">
        <f t="shared" ca="1" si="118"/>
        <v>-2655250.2795518674</v>
      </c>
      <c r="N297" s="2">
        <f t="shared" ca="1" si="118"/>
        <v>-2733339.6658876506</v>
      </c>
      <c r="O297" s="2">
        <f t="shared" ca="1" si="118"/>
        <v>-2815135.7391945138</v>
      </c>
      <c r="P297" s="2">
        <f t="shared" ca="1" si="118"/>
        <v>-3039451.21530254</v>
      </c>
      <c r="Q297" s="2">
        <f t="shared" ca="1" si="118"/>
        <v>-3288061.6979688792</v>
      </c>
      <c r="R297" s="2">
        <f t="shared" ca="1" si="118"/>
        <v>-3550152.7066475432</v>
      </c>
      <c r="S297" s="2">
        <f t="shared" ca="1" si="118"/>
        <v>-3842066.7643446256</v>
      </c>
      <c r="T297" s="2">
        <f t="shared" ca="1" si="118"/>
        <v>-4149804.8577383747</v>
      </c>
      <c r="U297" s="2">
        <f t="shared" ca="1" si="118"/>
        <v>-4337756.0191984614</v>
      </c>
      <c r="V297" s="2">
        <f t="shared" ca="1" si="118"/>
        <v>-4533083.8259538049</v>
      </c>
      <c r="W297" s="2">
        <f t="shared" ca="1" si="118"/>
        <v>-979222.50399248244</v>
      </c>
      <c r="X297" s="2">
        <f t="shared" ca="1" si="118"/>
        <v>-1015036.6954430047</v>
      </c>
      <c r="Y297" s="2">
        <f t="shared" ca="1" si="118"/>
        <v>-1051602.984913988</v>
      </c>
      <c r="Z297" s="2">
        <f t="shared" ca="1" si="118"/>
        <v>-1088937.1664638617</v>
      </c>
      <c r="AA297" s="2">
        <f t="shared" ca="1" si="118"/>
        <v>-1127055.3658262829</v>
      </c>
    </row>
    <row r="298" spans="4:28" customFormat="1" x14ac:dyDescent="0.25"/>
    <row r="299" spans="4:28" customFormat="1" x14ac:dyDescent="0.25">
      <c r="D299" t="s">
        <v>28</v>
      </c>
    </row>
    <row r="300" spans="4:28" customFormat="1" x14ac:dyDescent="0.25">
      <c r="E300" t="s">
        <v>1</v>
      </c>
      <c r="F300" t="s">
        <v>7</v>
      </c>
      <c r="G300" s="2">
        <f t="shared" ref="G300:AA307" si="119">G234</f>
        <v>-122483859.67901799</v>
      </c>
      <c r="H300" s="2">
        <f t="shared" si="119"/>
        <v>-3261116.0855198246</v>
      </c>
      <c r="I300" s="2">
        <f t="shared" si="119"/>
        <v>-2304756.9323546155</v>
      </c>
      <c r="J300" s="2">
        <f t="shared" si="119"/>
        <v>-376603.71211342595</v>
      </c>
      <c r="K300" s="2">
        <f t="shared" si="119"/>
        <v>-946651.96324235655</v>
      </c>
      <c r="L300" s="2">
        <f t="shared" si="119"/>
        <v>-93963.950627298487</v>
      </c>
      <c r="M300" s="2">
        <f t="shared" si="119"/>
        <v>0</v>
      </c>
      <c r="N300" s="2">
        <f t="shared" si="119"/>
        <v>0</v>
      </c>
      <c r="O300" s="2">
        <f t="shared" si="119"/>
        <v>0</v>
      </c>
      <c r="P300" s="2">
        <f t="shared" si="119"/>
        <v>0</v>
      </c>
      <c r="Q300" s="2">
        <f t="shared" si="119"/>
        <v>0</v>
      </c>
      <c r="R300" s="2">
        <f t="shared" si="119"/>
        <v>0</v>
      </c>
      <c r="S300" s="2">
        <f t="shared" si="119"/>
        <v>0</v>
      </c>
      <c r="T300" s="2">
        <f t="shared" si="119"/>
        <v>0</v>
      </c>
      <c r="U300" s="2">
        <f t="shared" si="119"/>
        <v>0</v>
      </c>
      <c r="V300" s="2">
        <f t="shared" si="119"/>
        <v>0</v>
      </c>
      <c r="W300" s="2">
        <f t="shared" si="119"/>
        <v>0</v>
      </c>
      <c r="X300" s="2">
        <f t="shared" si="119"/>
        <v>0</v>
      </c>
      <c r="Y300" s="2">
        <f t="shared" si="119"/>
        <v>0</v>
      </c>
      <c r="Z300" s="2">
        <f t="shared" si="119"/>
        <v>0</v>
      </c>
      <c r="AA300" s="2">
        <f t="shared" si="119"/>
        <v>0</v>
      </c>
    </row>
    <row r="301" spans="4:28" customFormat="1" x14ac:dyDescent="0.25">
      <c r="E301" t="s">
        <v>19</v>
      </c>
      <c r="F301" t="s">
        <v>7</v>
      </c>
      <c r="G301" s="2">
        <f t="shared" si="119"/>
        <v>0</v>
      </c>
      <c r="H301" s="2">
        <f t="shared" si="119"/>
        <v>0</v>
      </c>
      <c r="I301" s="2">
        <f t="shared" si="119"/>
        <v>0</v>
      </c>
      <c r="J301" s="2">
        <f t="shared" si="119"/>
        <v>0</v>
      </c>
      <c r="K301" s="2">
        <f t="shared" si="119"/>
        <v>0</v>
      </c>
      <c r="L301" s="2">
        <f t="shared" si="119"/>
        <v>0</v>
      </c>
      <c r="M301" s="2">
        <f t="shared" si="119"/>
        <v>0</v>
      </c>
      <c r="N301" s="2">
        <f t="shared" si="119"/>
        <v>0</v>
      </c>
      <c r="O301" s="2">
        <f t="shared" si="119"/>
        <v>0</v>
      </c>
      <c r="P301" s="2">
        <f t="shared" si="119"/>
        <v>0</v>
      </c>
      <c r="Q301" s="2">
        <f t="shared" si="119"/>
        <v>0</v>
      </c>
      <c r="R301" s="2">
        <f t="shared" si="119"/>
        <v>0</v>
      </c>
      <c r="S301" s="2">
        <f t="shared" si="119"/>
        <v>0</v>
      </c>
      <c r="T301" s="2">
        <f t="shared" si="119"/>
        <v>0</v>
      </c>
      <c r="U301" s="2">
        <f t="shared" si="119"/>
        <v>0</v>
      </c>
      <c r="V301" s="2">
        <f t="shared" si="119"/>
        <v>0</v>
      </c>
      <c r="W301" s="2">
        <f t="shared" si="119"/>
        <v>0</v>
      </c>
      <c r="X301" s="2">
        <f t="shared" si="119"/>
        <v>0</v>
      </c>
      <c r="Y301" s="2">
        <f t="shared" si="119"/>
        <v>0</v>
      </c>
      <c r="Z301" s="2">
        <f t="shared" si="119"/>
        <v>0</v>
      </c>
      <c r="AA301" s="2">
        <f t="shared" si="119"/>
        <v>0</v>
      </c>
    </row>
    <row r="302" spans="4:28" customFormat="1" x14ac:dyDescent="0.25">
      <c r="E302" t="s">
        <v>109</v>
      </c>
      <c r="F302" t="s">
        <v>7</v>
      </c>
      <c r="G302" s="2">
        <f t="shared" si="119"/>
        <v>0</v>
      </c>
      <c r="H302" s="2">
        <f t="shared" si="119"/>
        <v>0</v>
      </c>
      <c r="I302" s="2">
        <f t="shared" si="119"/>
        <v>0</v>
      </c>
      <c r="J302" s="2">
        <f t="shared" si="119"/>
        <v>0</v>
      </c>
      <c r="K302" s="2">
        <f t="shared" si="119"/>
        <v>0</v>
      </c>
      <c r="L302" s="2">
        <f t="shared" si="119"/>
        <v>0</v>
      </c>
      <c r="M302" s="2">
        <f t="shared" si="119"/>
        <v>0</v>
      </c>
      <c r="N302" s="2">
        <f t="shared" si="119"/>
        <v>0</v>
      </c>
      <c r="O302" s="2">
        <f t="shared" si="119"/>
        <v>0</v>
      </c>
      <c r="P302" s="2">
        <f t="shared" si="119"/>
        <v>0</v>
      </c>
      <c r="Q302" s="2">
        <f t="shared" si="119"/>
        <v>0</v>
      </c>
      <c r="R302" s="2">
        <f t="shared" si="119"/>
        <v>0</v>
      </c>
      <c r="S302" s="2">
        <f t="shared" si="119"/>
        <v>0</v>
      </c>
      <c r="T302" s="2">
        <f t="shared" si="119"/>
        <v>0</v>
      </c>
      <c r="U302" s="2">
        <f t="shared" si="119"/>
        <v>0</v>
      </c>
      <c r="V302" s="2">
        <f t="shared" si="119"/>
        <v>0</v>
      </c>
      <c r="W302" s="2">
        <f t="shared" si="119"/>
        <v>0</v>
      </c>
      <c r="X302" s="2">
        <f t="shared" si="119"/>
        <v>0</v>
      </c>
      <c r="Y302" s="2">
        <f t="shared" si="119"/>
        <v>0</v>
      </c>
      <c r="Z302" s="2">
        <f t="shared" si="119"/>
        <v>0</v>
      </c>
      <c r="AA302" s="2">
        <f t="shared" si="119"/>
        <v>0</v>
      </c>
    </row>
    <row r="303" spans="4:28" customFormat="1" x14ac:dyDescent="0.25">
      <c r="E303" t="s">
        <v>11</v>
      </c>
      <c r="F303" t="s">
        <v>7</v>
      </c>
      <c r="G303" s="2">
        <f t="shared" si="119"/>
        <v>0</v>
      </c>
      <c r="H303" s="2">
        <f t="shared" si="119"/>
        <v>381628.5170682458</v>
      </c>
      <c r="I303" s="2">
        <f t="shared" si="119"/>
        <v>757478.74779573421</v>
      </c>
      <c r="J303" s="2">
        <f t="shared" si="119"/>
        <v>1167015.8825859842</v>
      </c>
      <c r="K303" s="2">
        <f t="shared" si="119"/>
        <v>1579490.5779670491</v>
      </c>
      <c r="L303" s="2">
        <f t="shared" si="119"/>
        <v>1996224.5982853728</v>
      </c>
      <c r="M303" s="2">
        <f t="shared" si="119"/>
        <v>2414997.9624464838</v>
      </c>
      <c r="N303" s="2">
        <f t="shared" si="119"/>
        <v>2836651.6630771486</v>
      </c>
      <c r="O303" s="2">
        <f t="shared" si="119"/>
        <v>3262364.3658038136</v>
      </c>
      <c r="P303" s="2">
        <f t="shared" si="119"/>
        <v>3724111.9881470096</v>
      </c>
      <c r="Q303" s="2">
        <f t="shared" si="119"/>
        <v>4227628.0405966435</v>
      </c>
      <c r="R303" s="2">
        <f t="shared" si="119"/>
        <v>4774153.4381940626</v>
      </c>
      <c r="S303" s="2">
        <f t="shared" si="119"/>
        <v>5370495.3373514498</v>
      </c>
      <c r="T303" s="2">
        <f t="shared" si="119"/>
        <v>6017419.9043528102</v>
      </c>
      <c r="U303" s="2">
        <f t="shared" si="119"/>
        <v>6685953.2802573713</v>
      </c>
      <c r="V303" s="2">
        <f t="shared" si="119"/>
        <v>7377828.2750419639</v>
      </c>
      <c r="W303" s="2">
        <f t="shared" si="119"/>
        <v>7532762.6688178442</v>
      </c>
      <c r="X303" s="2">
        <f t="shared" si="119"/>
        <v>7690950.6848630179</v>
      </c>
      <c r="Y303" s="2">
        <f t="shared" si="119"/>
        <v>7852460.6492451411</v>
      </c>
      <c r="Z303" s="2">
        <f t="shared" si="119"/>
        <v>8017362.3228792883</v>
      </c>
      <c r="AA303" s="2">
        <f t="shared" si="119"/>
        <v>8185726.9316597525</v>
      </c>
      <c r="AB303" s="2">
        <f t="shared" ref="AB303:AB307" si="120">IF(V303=0,0,IF($G$15&gt;(AA303/V303)^(1/5)-1+2%,AA303*(AA303/V303)^(1/5)/($G$15-((AA303/V303)^(1/5)-1)),AA303*(1+$G$14)/$G$16))</f>
        <v>272857564.388659</v>
      </c>
    </row>
    <row r="304" spans="4:28" customFormat="1" x14ac:dyDescent="0.25">
      <c r="E304" t="s">
        <v>57</v>
      </c>
      <c r="F304" t="s">
        <v>7</v>
      </c>
      <c r="G304" s="2">
        <f t="shared" si="119"/>
        <v>0</v>
      </c>
      <c r="H304" s="2">
        <f t="shared" si="119"/>
        <v>0</v>
      </c>
      <c r="I304" s="2">
        <f t="shared" si="119"/>
        <v>0</v>
      </c>
      <c r="J304" s="2">
        <f t="shared" si="119"/>
        <v>0</v>
      </c>
      <c r="K304" s="2">
        <f t="shared" si="119"/>
        <v>0</v>
      </c>
      <c r="L304" s="2">
        <f t="shared" si="119"/>
        <v>0</v>
      </c>
      <c r="M304" s="2">
        <f t="shared" si="119"/>
        <v>0</v>
      </c>
      <c r="N304" s="2">
        <f t="shared" si="119"/>
        <v>0</v>
      </c>
      <c r="O304" s="2">
        <f t="shared" si="119"/>
        <v>0</v>
      </c>
      <c r="P304" s="2">
        <f t="shared" si="119"/>
        <v>0</v>
      </c>
      <c r="Q304" s="2">
        <f t="shared" si="119"/>
        <v>0</v>
      </c>
      <c r="R304" s="2">
        <f t="shared" si="119"/>
        <v>0</v>
      </c>
      <c r="S304" s="2">
        <f t="shared" si="119"/>
        <v>0</v>
      </c>
      <c r="T304" s="2">
        <f t="shared" si="119"/>
        <v>0</v>
      </c>
      <c r="U304" s="2">
        <f t="shared" si="119"/>
        <v>0</v>
      </c>
      <c r="V304" s="2">
        <f t="shared" si="119"/>
        <v>0</v>
      </c>
      <c r="W304" s="2">
        <f t="shared" si="119"/>
        <v>0</v>
      </c>
      <c r="X304" s="2">
        <f t="shared" si="119"/>
        <v>0</v>
      </c>
      <c r="Y304" s="2">
        <f t="shared" si="119"/>
        <v>0</v>
      </c>
      <c r="Z304" s="2">
        <f t="shared" si="119"/>
        <v>0</v>
      </c>
      <c r="AA304" s="2">
        <f t="shared" si="119"/>
        <v>0</v>
      </c>
      <c r="AB304" s="2">
        <f t="shared" si="120"/>
        <v>0</v>
      </c>
    </row>
    <row r="305" spans="1:28" x14ac:dyDescent="0.25">
      <c r="E305" t="s">
        <v>10</v>
      </c>
      <c r="F305" t="s">
        <v>7</v>
      </c>
      <c r="G305" s="2">
        <f t="shared" si="119"/>
        <v>0</v>
      </c>
      <c r="H305" s="2">
        <f t="shared" si="119"/>
        <v>-90983.147799999992</v>
      </c>
      <c r="I305" s="2">
        <f t="shared" si="119"/>
        <v>-185665.62221060001</v>
      </c>
      <c r="J305" s="2">
        <f t="shared" si="119"/>
        <v>-285988.95222780469</v>
      </c>
      <c r="K305" s="2">
        <f t="shared" si="119"/>
        <v>-387154.48473513121</v>
      </c>
      <c r="L305" s="2">
        <f t="shared" si="119"/>
        <v>-489303.17523078615</v>
      </c>
      <c r="M305" s="2">
        <f t="shared" si="119"/>
        <v>-592075.99816342373</v>
      </c>
      <c r="N305" s="2">
        <f t="shared" si="119"/>
        <v>-695596.3053507884</v>
      </c>
      <c r="O305" s="2">
        <f t="shared" si="119"/>
        <v>-800068.94891774247</v>
      </c>
      <c r="P305" s="2">
        <f t="shared" si="119"/>
        <v>-913458.30211050808</v>
      </c>
      <c r="Q305" s="2">
        <f t="shared" si="119"/>
        <v>-1037013.325353526</v>
      </c>
      <c r="R305" s="2">
        <f t="shared" si="119"/>
        <v>-1171144.6258517699</v>
      </c>
      <c r="S305" s="2">
        <f t="shared" si="119"/>
        <v>-1317367.386315461</v>
      </c>
      <c r="T305" s="2">
        <f t="shared" si="119"/>
        <v>-1476093.6622666921</v>
      </c>
      <c r="U305" s="2">
        <f t="shared" si="119"/>
        <v>-1640186.600059181</v>
      </c>
      <c r="V305" s="2">
        <f t="shared" si="119"/>
        <v>-1809961.1900921995</v>
      </c>
      <c r="W305" s="2">
        <f t="shared" si="119"/>
        <v>-1847970.3750841357</v>
      </c>
      <c r="X305" s="2">
        <f t="shared" si="119"/>
        <v>-1886777.7529609022</v>
      </c>
      <c r="Y305" s="2">
        <f t="shared" si="119"/>
        <v>-1926400.0857730811</v>
      </c>
      <c r="Z305" s="2">
        <f t="shared" si="119"/>
        <v>-1966854.4875743156</v>
      </c>
      <c r="AA305" s="2">
        <f t="shared" si="119"/>
        <v>-2008158.431813376</v>
      </c>
      <c r="AB305" s="2">
        <f t="shared" si="120"/>
        <v>-66938614.393779337</v>
      </c>
    </row>
    <row r="306" spans="1:28" x14ac:dyDescent="0.25">
      <c r="E306" t="s">
        <v>48</v>
      </c>
      <c r="F306" t="s">
        <v>7</v>
      </c>
      <c r="G306" s="2">
        <f t="shared" si="119"/>
        <v>0</v>
      </c>
      <c r="H306" s="2">
        <f t="shared" si="119"/>
        <v>0</v>
      </c>
      <c r="I306" s="2">
        <f t="shared" si="119"/>
        <v>0</v>
      </c>
      <c r="J306" s="2">
        <f t="shared" si="119"/>
        <v>0</v>
      </c>
      <c r="K306" s="2">
        <f t="shared" si="119"/>
        <v>0</v>
      </c>
      <c r="L306" s="2">
        <f t="shared" si="119"/>
        <v>0</v>
      </c>
      <c r="M306" s="2">
        <f t="shared" si="119"/>
        <v>0</v>
      </c>
      <c r="N306" s="2">
        <f t="shared" si="119"/>
        <v>0</v>
      </c>
      <c r="O306" s="2">
        <f t="shared" si="119"/>
        <v>0</v>
      </c>
      <c r="P306" s="2">
        <f t="shared" si="119"/>
        <v>0</v>
      </c>
      <c r="Q306" s="2">
        <f t="shared" si="119"/>
        <v>0</v>
      </c>
      <c r="R306" s="2">
        <f t="shared" si="119"/>
        <v>0</v>
      </c>
      <c r="S306" s="2">
        <f t="shared" si="119"/>
        <v>0</v>
      </c>
      <c r="T306" s="2">
        <f t="shared" si="119"/>
        <v>0</v>
      </c>
      <c r="U306" s="2">
        <f t="shared" si="119"/>
        <v>0</v>
      </c>
      <c r="V306" s="2">
        <f t="shared" si="119"/>
        <v>0</v>
      </c>
      <c r="W306" s="2">
        <f t="shared" si="119"/>
        <v>0</v>
      </c>
      <c r="X306" s="2">
        <f t="shared" si="119"/>
        <v>0</v>
      </c>
      <c r="Y306" s="2">
        <f t="shared" si="119"/>
        <v>0</v>
      </c>
      <c r="Z306" s="2">
        <f t="shared" si="119"/>
        <v>0</v>
      </c>
      <c r="AA306" s="2">
        <f t="shared" si="119"/>
        <v>0</v>
      </c>
      <c r="AB306" s="2">
        <f t="shared" si="120"/>
        <v>0</v>
      </c>
    </row>
    <row r="307" spans="1:28" x14ac:dyDescent="0.25">
      <c r="E307" t="s">
        <v>49</v>
      </c>
      <c r="F307" t="s">
        <v>7</v>
      </c>
      <c r="G307" s="2">
        <f t="shared" si="119"/>
        <v>0</v>
      </c>
      <c r="H307" s="2">
        <f t="shared" si="119"/>
        <v>0</v>
      </c>
      <c r="I307" s="2">
        <f t="shared" si="119"/>
        <v>0</v>
      </c>
      <c r="J307" s="2">
        <f t="shared" si="119"/>
        <v>0</v>
      </c>
      <c r="K307" s="2">
        <f t="shared" si="119"/>
        <v>0</v>
      </c>
      <c r="L307" s="2">
        <f t="shared" si="119"/>
        <v>0</v>
      </c>
      <c r="M307" s="2">
        <f t="shared" si="119"/>
        <v>0</v>
      </c>
      <c r="N307" s="2">
        <f t="shared" si="119"/>
        <v>0</v>
      </c>
      <c r="O307" s="2">
        <f t="shared" si="119"/>
        <v>0</v>
      </c>
      <c r="P307" s="2">
        <f t="shared" si="119"/>
        <v>0</v>
      </c>
      <c r="Q307" s="2">
        <f t="shared" si="119"/>
        <v>0</v>
      </c>
      <c r="R307" s="2">
        <f t="shared" si="119"/>
        <v>0</v>
      </c>
      <c r="S307" s="2">
        <f t="shared" si="119"/>
        <v>0</v>
      </c>
      <c r="T307" s="2">
        <f t="shared" si="119"/>
        <v>0</v>
      </c>
      <c r="U307" s="2">
        <f t="shared" si="119"/>
        <v>0</v>
      </c>
      <c r="V307" s="2">
        <f t="shared" si="119"/>
        <v>0</v>
      </c>
      <c r="W307" s="2">
        <f t="shared" si="119"/>
        <v>0</v>
      </c>
      <c r="X307" s="2">
        <f t="shared" si="119"/>
        <v>0</v>
      </c>
      <c r="Y307" s="2">
        <f t="shared" si="119"/>
        <v>0</v>
      </c>
      <c r="Z307" s="2">
        <f t="shared" si="119"/>
        <v>0</v>
      </c>
      <c r="AA307" s="2">
        <f t="shared" si="119"/>
        <v>0</v>
      </c>
      <c r="AB307" s="2">
        <f t="shared" si="120"/>
        <v>0</v>
      </c>
    </row>
    <row r="308" spans="1:28" x14ac:dyDescent="0.25">
      <c r="E308" t="s">
        <v>20</v>
      </c>
      <c r="F308" t="s">
        <v>7</v>
      </c>
      <c r="G308" s="2">
        <f t="shared" ref="G308:AA308" ca="1" si="121">G297</f>
        <v>408279.53226339328</v>
      </c>
      <c r="H308" s="2">
        <f t="shared" ca="1" si="121"/>
        <v>-2161364.9450397519</v>
      </c>
      <c r="I308" s="2">
        <f t="shared" ca="1" si="121"/>
        <v>-2271241.6560065984</v>
      </c>
      <c r="J308" s="2">
        <f t="shared" ca="1" si="121"/>
        <v>-2426474.163670327</v>
      </c>
      <c r="K308" s="2">
        <f t="shared" ca="1" si="121"/>
        <v>-2500802.640850029</v>
      </c>
      <c r="L308" s="2">
        <f t="shared" ca="1" si="121"/>
        <v>-2579256.4056049194</v>
      </c>
      <c r="M308" s="2">
        <f t="shared" ca="1" si="121"/>
        <v>-2655250.2795518674</v>
      </c>
      <c r="N308" s="2">
        <f t="shared" ca="1" si="121"/>
        <v>-2733339.6658876506</v>
      </c>
      <c r="O308" s="2">
        <f t="shared" ca="1" si="121"/>
        <v>-2815135.7391945138</v>
      </c>
      <c r="P308" s="2">
        <f t="shared" ca="1" si="121"/>
        <v>-3039451.21530254</v>
      </c>
      <c r="Q308" s="2">
        <f t="shared" ca="1" si="121"/>
        <v>-3288061.6979688792</v>
      </c>
      <c r="R308" s="2">
        <f t="shared" ca="1" si="121"/>
        <v>-3550152.7066475432</v>
      </c>
      <c r="S308" s="2">
        <f t="shared" ca="1" si="121"/>
        <v>-3842066.7643446256</v>
      </c>
      <c r="T308" s="2">
        <f t="shared" ca="1" si="121"/>
        <v>-4149804.8577383747</v>
      </c>
      <c r="U308" s="2">
        <f t="shared" ca="1" si="121"/>
        <v>-4337756.0191984614</v>
      </c>
      <c r="V308" s="2">
        <f t="shared" ca="1" si="121"/>
        <v>-4533083.8259538049</v>
      </c>
      <c r="W308" s="2">
        <f t="shared" ca="1" si="121"/>
        <v>-979222.50399248244</v>
      </c>
      <c r="X308" s="2">
        <f t="shared" ca="1" si="121"/>
        <v>-1015036.6954430047</v>
      </c>
      <c r="Y308" s="2">
        <f t="shared" ca="1" si="121"/>
        <v>-1051602.984913988</v>
      </c>
      <c r="Z308" s="2">
        <f t="shared" ca="1" si="121"/>
        <v>-1088937.1664638617</v>
      </c>
      <c r="AA308" s="2">
        <f t="shared" ca="1" si="121"/>
        <v>-1127055.3658262829</v>
      </c>
      <c r="AB308" s="2">
        <f ca="1">IF(V308=0,0,IF($G$15&gt;(AA308/V308)^(1/5)-1+2%,AA308*(AA308/V308)^(1/5)/($G$15-((AA308/V308)^(1/5)-1)),AA308*(1+$G$14)/$G$16))</f>
        <v>-2896113.9062967026</v>
      </c>
    </row>
    <row r="309" spans="1:28" x14ac:dyDescent="0.25">
      <c r="E309" t="s">
        <v>173</v>
      </c>
      <c r="F309" t="s">
        <v>7</v>
      </c>
      <c r="G309" s="2">
        <f ca="1">-$G$17*G308</f>
        <v>-204139.76613169664</v>
      </c>
      <c r="H309" s="2">
        <f t="shared" ref="H309:AA309" ca="1" si="122">-$G$17*H308</f>
        <v>1080682.472519876</v>
      </c>
      <c r="I309" s="2">
        <f t="shared" ca="1" si="122"/>
        <v>1135620.8280032992</v>
      </c>
      <c r="J309" s="2">
        <f t="shared" ca="1" si="122"/>
        <v>1213237.0818351635</v>
      </c>
      <c r="K309" s="2">
        <f t="shared" ca="1" si="122"/>
        <v>1250401.3204250145</v>
      </c>
      <c r="L309" s="2">
        <f t="shared" ca="1" si="122"/>
        <v>1289628.2028024597</v>
      </c>
      <c r="M309" s="2">
        <f t="shared" ca="1" si="122"/>
        <v>1327625.1397759337</v>
      </c>
      <c r="N309" s="2">
        <f t="shared" ca="1" si="122"/>
        <v>1366669.8329438253</v>
      </c>
      <c r="O309" s="2">
        <f t="shared" ca="1" si="122"/>
        <v>1407567.8695972569</v>
      </c>
      <c r="P309" s="2">
        <f t="shared" ca="1" si="122"/>
        <v>1519725.60765127</v>
      </c>
      <c r="Q309" s="2">
        <f t="shared" ca="1" si="122"/>
        <v>1644030.8489844396</v>
      </c>
      <c r="R309" s="2">
        <f t="shared" ca="1" si="122"/>
        <v>1775076.3533237716</v>
      </c>
      <c r="S309" s="2">
        <f t="shared" ca="1" si="122"/>
        <v>1921033.3821723128</v>
      </c>
      <c r="T309" s="2">
        <f t="shared" ca="1" si="122"/>
        <v>2074902.4288691874</v>
      </c>
      <c r="U309" s="2">
        <f t="shared" ca="1" si="122"/>
        <v>2168878.0095992307</v>
      </c>
      <c r="V309" s="2">
        <f t="shared" ca="1" si="122"/>
        <v>2266541.9129769024</v>
      </c>
      <c r="W309" s="2">
        <f t="shared" ca="1" si="122"/>
        <v>489611.25199624122</v>
      </c>
      <c r="X309" s="2">
        <f t="shared" ca="1" si="122"/>
        <v>507518.34772150236</v>
      </c>
      <c r="Y309" s="2">
        <f t="shared" ca="1" si="122"/>
        <v>525801.49245699402</v>
      </c>
      <c r="Z309" s="2">
        <f t="shared" ca="1" si="122"/>
        <v>544468.58323193085</v>
      </c>
      <c r="AA309" s="2">
        <f t="shared" ca="1" si="122"/>
        <v>563527.68291314144</v>
      </c>
      <c r="AB309" s="2">
        <f t="shared" ref="AB309" ca="1" si="123">IF(V309=0,0,IF($G$15&gt;(AA309/V309)^(1/5)-1+2%,AA309*(AA309/V309)^(1/5)/($G$15-((AA309/V309)^(1/5)-1)),AA309*(1+$G$14)/$G$16))</f>
        <v>1448056.9531483513</v>
      </c>
    </row>
    <row r="310" spans="1:28" x14ac:dyDescent="0.25">
      <c r="E310" t="s">
        <v>23</v>
      </c>
      <c r="F310" t="s">
        <v>7</v>
      </c>
      <c r="G310" s="2">
        <f t="shared" ref="G310:AB310" ca="1" si="124">SUM(G300:G309)</f>
        <v>-122279719.91288629</v>
      </c>
      <c r="H310" s="2">
        <f t="shared" ca="1" si="124"/>
        <v>-4051153.1887714551</v>
      </c>
      <c r="I310" s="2">
        <f t="shared" ca="1" si="124"/>
        <v>-2868564.6347727804</v>
      </c>
      <c r="J310" s="2">
        <f t="shared" ca="1" si="124"/>
        <v>-708813.86359040998</v>
      </c>
      <c r="K310" s="2">
        <f t="shared" ca="1" si="124"/>
        <v>-1004717.1904354533</v>
      </c>
      <c r="L310" s="2">
        <f t="shared" ca="1" si="124"/>
        <v>123329.26962482836</v>
      </c>
      <c r="M310" s="2">
        <f t="shared" ca="1" si="124"/>
        <v>495296.82450712635</v>
      </c>
      <c r="N310" s="2">
        <f t="shared" ca="1" si="124"/>
        <v>774385.52478253492</v>
      </c>
      <c r="O310" s="2">
        <f t="shared" ca="1" si="124"/>
        <v>1054727.5472888143</v>
      </c>
      <c r="P310" s="2">
        <f t="shared" ca="1" si="124"/>
        <v>1290928.0783852316</v>
      </c>
      <c r="Q310" s="2">
        <f t="shared" ca="1" si="124"/>
        <v>1546583.8662586778</v>
      </c>
      <c r="R310" s="2">
        <f t="shared" ca="1" si="124"/>
        <v>1827932.459018521</v>
      </c>
      <c r="S310" s="2">
        <f t="shared" ca="1" si="124"/>
        <v>2132094.5688636759</v>
      </c>
      <c r="T310" s="2">
        <f t="shared" ca="1" si="124"/>
        <v>2466423.8132169307</v>
      </c>
      <c r="U310" s="2">
        <f t="shared" ca="1" si="124"/>
        <v>2876888.67059896</v>
      </c>
      <c r="V310" s="2">
        <f t="shared" ca="1" si="124"/>
        <v>3301325.171972862</v>
      </c>
      <c r="W310" s="2">
        <f t="shared" ca="1" si="124"/>
        <v>5195181.041737468</v>
      </c>
      <c r="X310" s="2">
        <f t="shared" ca="1" si="124"/>
        <v>5296654.584180614</v>
      </c>
      <c r="Y310" s="2">
        <f t="shared" ca="1" si="124"/>
        <v>5400259.0710150665</v>
      </c>
      <c r="Z310" s="2">
        <f t="shared" ca="1" si="124"/>
        <v>5506039.2520730412</v>
      </c>
      <c r="AA310" s="2">
        <f t="shared" ca="1" si="124"/>
        <v>5614040.8169332352</v>
      </c>
      <c r="AB310" s="2">
        <f t="shared" ca="1" si="124"/>
        <v>204470893.04173133</v>
      </c>
    </row>
    <row r="311" spans="1:28" x14ac:dyDescent="0.25">
      <c r="E311" t="s">
        <v>31</v>
      </c>
      <c r="F311" t="s">
        <v>7</v>
      </c>
      <c r="G311" s="2">
        <f ca="1">NPV($G$15,H310:AB310)+G310</f>
        <v>-38256112.301080719</v>
      </c>
    </row>
    <row r="313" spans="1:28" x14ac:dyDescent="0.25">
      <c r="E313" t="s">
        <v>13</v>
      </c>
      <c r="F313" t="s">
        <v>7</v>
      </c>
      <c r="G313" s="2">
        <f t="shared" ref="G313:AA313" ca="1" si="125">G285</f>
        <v>0</v>
      </c>
      <c r="H313" s="2">
        <f t="shared" ca="1" si="125"/>
        <v>3271879.9671369046</v>
      </c>
      <c r="I313" s="2">
        <f t="shared" ca="1" si="125"/>
        <v>3340589.4464467792</v>
      </c>
      <c r="J313" s="2">
        <f t="shared" ca="1" si="125"/>
        <v>3410741.8248221613</v>
      </c>
      <c r="K313" s="2">
        <f t="shared" ca="1" si="125"/>
        <v>3482367.4031434264</v>
      </c>
      <c r="L313" s="2">
        <f t="shared" ca="1" si="125"/>
        <v>3555497.1186094382</v>
      </c>
      <c r="M313" s="2">
        <f t="shared" ca="1" si="125"/>
        <v>3630162.5581002361</v>
      </c>
      <c r="N313" s="2">
        <f t="shared" ca="1" si="125"/>
        <v>3706395.971820341</v>
      </c>
      <c r="O313" s="2">
        <f t="shared" ca="1" si="125"/>
        <v>3784230.287228568</v>
      </c>
      <c r="P313" s="2">
        <f t="shared" ca="1" si="125"/>
        <v>3863699.1232603677</v>
      </c>
      <c r="Q313" s="2">
        <f t="shared" ca="1" si="125"/>
        <v>3944836.8048488349</v>
      </c>
      <c r="R313" s="2">
        <f t="shared" ca="1" si="125"/>
        <v>4027678.3777506598</v>
      </c>
      <c r="S313" s="2">
        <f t="shared" ca="1" si="125"/>
        <v>4112259.6236834233</v>
      </c>
      <c r="T313" s="2">
        <f t="shared" ca="1" si="125"/>
        <v>4198617.0757807745</v>
      </c>
      <c r="U313" s="2">
        <f t="shared" ca="1" si="125"/>
        <v>4286788.0343721705</v>
      </c>
      <c r="V313" s="2">
        <f t="shared" ca="1" si="125"/>
        <v>4376810.5830939859</v>
      </c>
      <c r="W313" s="2">
        <f t="shared" ca="1" si="125"/>
        <v>0</v>
      </c>
      <c r="X313" s="2">
        <f t="shared" ca="1" si="125"/>
        <v>0</v>
      </c>
      <c r="Y313" s="2">
        <f t="shared" ca="1" si="125"/>
        <v>0</v>
      </c>
      <c r="Z313" s="2">
        <f t="shared" ca="1" si="125"/>
        <v>0</v>
      </c>
      <c r="AA313" s="2">
        <f t="shared" ca="1" si="125"/>
        <v>0</v>
      </c>
    </row>
    <row r="314" spans="1:28" x14ac:dyDescent="0.25">
      <c r="E314" t="s">
        <v>24</v>
      </c>
      <c r="F314" t="s">
        <v>7</v>
      </c>
      <c r="G314" s="2">
        <f ca="1">NPV($G$15,H313:AA313)+G313</f>
        <v>38256112.301080734</v>
      </c>
    </row>
    <row r="315" spans="1:28" x14ac:dyDescent="0.25">
      <c r="E315" s="3" t="s">
        <v>34</v>
      </c>
      <c r="F315" s="3"/>
      <c r="G315" s="4" t="str">
        <f ca="1">IF(G311&gt;0,"N/A",IF(ABS(G311+G314)&gt;1,"Error","OK"))</f>
        <v>OK</v>
      </c>
    </row>
    <row r="318" spans="1:28" x14ac:dyDescent="0.25">
      <c r="C318" s="1" t="s">
        <v>110</v>
      </c>
    </row>
    <row r="319" spans="1:28" x14ac:dyDescent="0.25">
      <c r="E319" t="s">
        <v>116</v>
      </c>
      <c r="F319" t="s">
        <v>117</v>
      </c>
    </row>
    <row r="320" spans="1:28" x14ac:dyDescent="0.25">
      <c r="A320" s="14">
        <f>'Notes &amp; Assumptions'!A68</f>
        <v>55</v>
      </c>
      <c r="E320" s="19" t="s">
        <v>111</v>
      </c>
      <c r="F320" s="19" t="s">
        <v>119</v>
      </c>
    </row>
    <row r="321" spans="5:6" customFormat="1" x14ac:dyDescent="0.25">
      <c r="E321" s="19" t="s">
        <v>112</v>
      </c>
      <c r="F321" s="19" t="s">
        <v>120</v>
      </c>
    </row>
    <row r="322" spans="5:6" customFormat="1" x14ac:dyDescent="0.25">
      <c r="E322" s="19" t="s">
        <v>113</v>
      </c>
      <c r="F322" s="19" t="s">
        <v>121</v>
      </c>
    </row>
  </sheetData>
  <mergeCells count="1">
    <mergeCell ref="G4:H4"/>
  </mergeCells>
  <dataValidations count="1">
    <dataValidation type="list" showInputMessage="1" showErrorMessage="1" sqref="G4" xr:uid="{00000000-0002-0000-0E00-000000000000}">
      <formula1>$E$320:$E$322</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64EB6C-4AB3-4BE7-93AC-B8FDE4B6E48C}">
  <dimension ref="A2:Y33"/>
  <sheetViews>
    <sheetView workbookViewId="0">
      <selection activeCell="B14" sqref="B14:B15"/>
    </sheetView>
  </sheetViews>
  <sheetFormatPr defaultRowHeight="15.75" x14ac:dyDescent="0.25"/>
  <cols>
    <col min="1" max="1" width="46.125" customWidth="1"/>
    <col min="3" max="3" width="10.75" bestFit="1" customWidth="1"/>
  </cols>
  <sheetData>
    <row r="2" spans="1:25" x14ac:dyDescent="0.25">
      <c r="A2" s="1" t="s">
        <v>332</v>
      </c>
    </row>
    <row r="3" spans="1:25" x14ac:dyDescent="0.25">
      <c r="A3" s="210" t="s">
        <v>360</v>
      </c>
      <c r="B3" s="323" t="s">
        <v>226</v>
      </c>
      <c r="J3" s="41"/>
    </row>
    <row r="4" spans="1:25" x14ac:dyDescent="0.25">
      <c r="A4" s="211" t="s">
        <v>335</v>
      </c>
      <c r="B4" s="323" t="s">
        <v>336</v>
      </c>
      <c r="H4" s="41"/>
      <c r="I4" s="25"/>
    </row>
    <row r="5" spans="1:25" x14ac:dyDescent="0.25">
      <c r="A5" s="212" t="s">
        <v>359</v>
      </c>
      <c r="B5" s="323" t="s">
        <v>226</v>
      </c>
      <c r="I5" s="25"/>
      <c r="M5" s="1"/>
      <c r="S5" s="1"/>
      <c r="Y5" s="1"/>
    </row>
    <row r="6" spans="1:25" x14ac:dyDescent="0.25">
      <c r="A6" s="41"/>
      <c r="B6" s="5"/>
      <c r="I6" s="25"/>
      <c r="M6" s="1"/>
      <c r="S6" s="1"/>
      <c r="Y6" s="1"/>
    </row>
    <row r="7" spans="1:25" x14ac:dyDescent="0.25">
      <c r="A7" s="41" t="s">
        <v>358</v>
      </c>
      <c r="B7" s="54">
        <v>0.03</v>
      </c>
      <c r="E7" s="5"/>
      <c r="I7" s="25"/>
      <c r="M7" s="1"/>
      <c r="S7" s="1"/>
      <c r="Y7" s="1"/>
    </row>
    <row r="8" spans="1:25" x14ac:dyDescent="0.25">
      <c r="A8" s="202" t="s">
        <v>32</v>
      </c>
      <c r="B8" s="207">
        <f>(1+B7)*(1+B9)-1</f>
        <v>5.1629999999999843E-2</v>
      </c>
      <c r="C8" s="269"/>
      <c r="D8" s="5"/>
      <c r="I8" s="25"/>
      <c r="M8" s="1"/>
      <c r="S8" s="1"/>
      <c r="Y8" s="1"/>
    </row>
    <row r="9" spans="1:25" x14ac:dyDescent="0.25">
      <c r="A9" s="208" t="s">
        <v>230</v>
      </c>
      <c r="B9" s="209">
        <v>2.1000000000000001E-2</v>
      </c>
      <c r="C9" s="41"/>
      <c r="D9" s="5"/>
      <c r="I9" s="25"/>
      <c r="M9" s="1"/>
      <c r="S9" s="1"/>
      <c r="Y9" s="1"/>
    </row>
    <row r="10" spans="1:25" x14ac:dyDescent="0.25">
      <c r="A10" s="1"/>
      <c r="B10" s="49"/>
      <c r="C10" s="41"/>
      <c r="D10" s="5"/>
      <c r="I10" s="25"/>
      <c r="M10" s="1"/>
      <c r="S10" s="1"/>
      <c r="Y10" s="1"/>
    </row>
    <row r="11" spans="1:25" x14ac:dyDescent="0.25">
      <c r="A11" s="202" t="s">
        <v>333</v>
      </c>
      <c r="B11" s="203"/>
      <c r="C11" s="41"/>
      <c r="D11" s="5"/>
      <c r="I11" s="25"/>
      <c r="M11" s="1"/>
      <c r="S11" s="1"/>
      <c r="Y11" s="1"/>
    </row>
    <row r="12" spans="1:25" x14ac:dyDescent="0.25">
      <c r="A12" s="69" t="s">
        <v>176</v>
      </c>
      <c r="B12" s="81">
        <v>114</v>
      </c>
      <c r="C12" s="41"/>
      <c r="D12" s="5"/>
      <c r="I12" s="25"/>
      <c r="M12" s="1"/>
      <c r="S12" s="1"/>
      <c r="Y12" s="1"/>
    </row>
    <row r="13" spans="1:25" x14ac:dyDescent="0.25">
      <c r="A13" s="69" t="s">
        <v>308</v>
      </c>
      <c r="B13" s="81">
        <v>72</v>
      </c>
      <c r="C13" s="41"/>
      <c r="D13" s="5"/>
      <c r="I13" s="25"/>
      <c r="M13" s="1"/>
      <c r="S13" s="1"/>
      <c r="Y13" s="1"/>
    </row>
    <row r="14" spans="1:25" x14ac:dyDescent="0.25">
      <c r="A14" s="69" t="s">
        <v>310</v>
      </c>
      <c r="B14" s="81">
        <v>120</v>
      </c>
      <c r="C14" s="41"/>
      <c r="D14" s="5"/>
      <c r="I14" s="25"/>
      <c r="M14" s="1"/>
      <c r="S14" s="1"/>
      <c r="Y14" s="1"/>
    </row>
    <row r="15" spans="1:25" x14ac:dyDescent="0.25">
      <c r="A15" s="204" t="s">
        <v>338</v>
      </c>
      <c r="B15" s="81"/>
      <c r="D15" s="5"/>
      <c r="I15" s="25"/>
      <c r="M15" s="1"/>
      <c r="S15" s="1"/>
      <c r="Y15" s="1"/>
    </row>
    <row r="16" spans="1:25" x14ac:dyDescent="0.25">
      <c r="A16" s="69" t="s">
        <v>308</v>
      </c>
      <c r="B16" s="81">
        <v>400</v>
      </c>
      <c r="D16" s="5"/>
      <c r="I16" s="25"/>
      <c r="M16" s="1"/>
      <c r="S16" s="1"/>
      <c r="Y16" s="1"/>
    </row>
    <row r="17" spans="1:25" x14ac:dyDescent="0.25">
      <c r="A17" s="205" t="s">
        <v>310</v>
      </c>
      <c r="B17" s="206">
        <v>0</v>
      </c>
      <c r="D17" s="5"/>
      <c r="I17" s="25"/>
      <c r="M17" s="1"/>
      <c r="S17" s="1"/>
      <c r="Y17" s="1"/>
    </row>
    <row r="18" spans="1:25" x14ac:dyDescent="0.25">
      <c r="D18" s="5"/>
      <c r="I18" s="25"/>
      <c r="M18" s="1"/>
      <c r="S18" s="1"/>
      <c r="Y18" s="1"/>
    </row>
    <row r="19" spans="1:25" x14ac:dyDescent="0.25">
      <c r="A19" s="202" t="s">
        <v>337</v>
      </c>
      <c r="B19" s="203"/>
      <c r="D19" s="5"/>
      <c r="I19" s="25"/>
      <c r="M19" s="1"/>
      <c r="S19" s="1"/>
      <c r="Y19" s="1"/>
    </row>
    <row r="20" spans="1:25" x14ac:dyDescent="0.25">
      <c r="A20" s="204" t="s">
        <v>279</v>
      </c>
      <c r="B20" s="81"/>
      <c r="D20" s="5"/>
      <c r="I20" s="25"/>
      <c r="M20" s="1"/>
      <c r="S20" s="1"/>
      <c r="Y20" s="1"/>
    </row>
    <row r="21" spans="1:25" x14ac:dyDescent="0.25">
      <c r="A21" s="69" t="s">
        <v>343</v>
      </c>
      <c r="B21" s="81">
        <v>150</v>
      </c>
      <c r="D21" s="5"/>
      <c r="I21" s="25"/>
      <c r="M21" s="1"/>
      <c r="S21" s="1"/>
      <c r="Y21" s="1"/>
    </row>
    <row r="22" spans="1:25" x14ac:dyDescent="0.25">
      <c r="A22" s="69" t="s">
        <v>176</v>
      </c>
      <c r="B22" s="81">
        <v>110</v>
      </c>
      <c r="D22" s="5"/>
      <c r="I22" s="25"/>
      <c r="M22" s="1"/>
      <c r="S22" s="1"/>
      <c r="Y22" s="1"/>
    </row>
    <row r="23" spans="1:25" x14ac:dyDescent="0.25">
      <c r="A23" s="69" t="s">
        <v>311</v>
      </c>
      <c r="B23" s="81">
        <f>SUM(B22,B24)*0.75</f>
        <v>112.5</v>
      </c>
      <c r="D23" s="5"/>
      <c r="I23" s="25"/>
      <c r="M23" s="1"/>
      <c r="S23" s="1"/>
      <c r="Y23" s="1"/>
    </row>
    <row r="24" spans="1:25" x14ac:dyDescent="0.25">
      <c r="A24" s="69" t="s">
        <v>291</v>
      </c>
      <c r="B24" s="81">
        <v>40</v>
      </c>
      <c r="D24" s="5"/>
      <c r="I24" s="25"/>
      <c r="M24" s="1"/>
      <c r="S24" s="1"/>
      <c r="Y24" s="1"/>
    </row>
    <row r="25" spans="1:25" x14ac:dyDescent="0.25">
      <c r="A25" s="204" t="s">
        <v>288</v>
      </c>
      <c r="B25" s="81"/>
      <c r="D25" s="5"/>
      <c r="I25" s="25"/>
      <c r="M25" s="1"/>
      <c r="S25" s="1"/>
      <c r="Y25" s="1"/>
    </row>
    <row r="26" spans="1:25" x14ac:dyDescent="0.25">
      <c r="A26" s="69" t="s">
        <v>176</v>
      </c>
      <c r="B26" s="81">
        <v>520</v>
      </c>
      <c r="D26" s="5"/>
      <c r="I26" s="25"/>
      <c r="M26" s="1"/>
      <c r="S26" s="1"/>
      <c r="Y26" s="1"/>
    </row>
    <row r="27" spans="1:25" x14ac:dyDescent="0.25">
      <c r="A27" s="69" t="s">
        <v>311</v>
      </c>
      <c r="B27" s="81">
        <f>B26*0.55</f>
        <v>286</v>
      </c>
      <c r="D27" s="5"/>
      <c r="I27" s="25"/>
      <c r="M27" s="1"/>
      <c r="S27" s="1"/>
      <c r="Y27" s="1"/>
    </row>
    <row r="28" spans="1:25" x14ac:dyDescent="0.25">
      <c r="A28" s="205" t="s">
        <v>291</v>
      </c>
      <c r="B28" s="206">
        <v>2873</v>
      </c>
      <c r="D28" s="5"/>
      <c r="I28" s="25"/>
      <c r="M28" s="1"/>
      <c r="S28" s="1"/>
      <c r="Y28" s="1"/>
    </row>
    <row r="29" spans="1:25" x14ac:dyDescent="0.25">
      <c r="C29" s="41"/>
      <c r="D29" s="5"/>
      <c r="I29" s="25"/>
      <c r="M29" s="1"/>
      <c r="S29" s="1"/>
      <c r="Y29" s="1"/>
    </row>
    <row r="30" spans="1:25" x14ac:dyDescent="0.25">
      <c r="A30" s="202" t="s">
        <v>341</v>
      </c>
      <c r="B30" s="203"/>
      <c r="C30" s="41"/>
      <c r="D30" s="5"/>
      <c r="I30" s="25"/>
      <c r="M30" s="1"/>
      <c r="S30" s="1"/>
      <c r="Y30" s="1"/>
    </row>
    <row r="31" spans="1:25" x14ac:dyDescent="0.25">
      <c r="A31" s="69" t="s">
        <v>176</v>
      </c>
      <c r="B31" s="81">
        <v>3500</v>
      </c>
      <c r="C31" s="41"/>
      <c r="D31" s="5"/>
      <c r="I31" s="25"/>
      <c r="M31" s="1"/>
      <c r="S31" s="1"/>
      <c r="Y31" s="1"/>
    </row>
    <row r="32" spans="1:25" x14ac:dyDescent="0.25">
      <c r="A32" s="69" t="s">
        <v>308</v>
      </c>
      <c r="B32" s="81">
        <v>7000</v>
      </c>
      <c r="C32" s="41"/>
      <c r="D32" s="5"/>
      <c r="I32" s="25"/>
      <c r="M32" s="1"/>
      <c r="S32" s="1"/>
      <c r="Y32" s="1"/>
    </row>
    <row r="33" spans="1:25" x14ac:dyDescent="0.25">
      <c r="A33" s="205" t="s">
        <v>310</v>
      </c>
      <c r="B33" s="206">
        <v>3500</v>
      </c>
      <c r="C33" s="41"/>
      <c r="D33" s="5"/>
      <c r="I33" s="25"/>
      <c r="M33" s="1"/>
      <c r="S33" s="1"/>
      <c r="Y33" s="1"/>
    </row>
  </sheetData>
  <dataValidations count="1">
    <dataValidation type="list" allowBlank="1" showInputMessage="1" showErrorMessage="1" sqref="D8:D33 E7 B3:B6" xr:uid="{00000000-0002-0000-0000-000000000000}">
      <formula1>"Yes,No"</formula1>
    </dataValidation>
  </dataValidation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2:AC322"/>
  <sheetViews>
    <sheetView zoomScale="80" zoomScaleNormal="80" workbookViewId="0">
      <pane xSplit="5" ySplit="2" topLeftCell="L66" activePane="bottomRight" state="frozenSplit"/>
      <selection activeCell="AB72" sqref="AB72"/>
      <selection pane="topRight" activeCell="AB72" sqref="AB72"/>
      <selection pane="bottomLeft" activeCell="AB72" sqref="AB72"/>
      <selection pane="bottomRight" activeCell="Z90" sqref="Z90"/>
    </sheetView>
  </sheetViews>
  <sheetFormatPr defaultColWidth="11" defaultRowHeight="15.75" x14ac:dyDescent="0.25"/>
  <cols>
    <col min="1" max="1" width="7.625" style="14" customWidth="1"/>
    <col min="2" max="2" width="3.125" customWidth="1"/>
    <col min="3" max="3" width="3.375" customWidth="1"/>
    <col min="4" max="4" width="2.875" customWidth="1"/>
    <col min="5" max="5" width="36.5" bestFit="1" customWidth="1"/>
    <col min="6" max="6" width="17.5" customWidth="1"/>
    <col min="7" max="27" width="15.625" customWidth="1"/>
    <col min="28" max="28" width="11.125" customWidth="1"/>
  </cols>
  <sheetData>
    <row r="2" spans="1:27" x14ac:dyDescent="0.25">
      <c r="C2" s="1" t="s">
        <v>0</v>
      </c>
      <c r="D2" s="1"/>
      <c r="G2">
        <v>0</v>
      </c>
      <c r="H2">
        <v>1</v>
      </c>
      <c r="I2">
        <v>2</v>
      </c>
      <c r="J2">
        <v>3</v>
      </c>
      <c r="K2">
        <v>4</v>
      </c>
      <c r="L2">
        <v>5</v>
      </c>
      <c r="M2">
        <v>6</v>
      </c>
      <c r="N2">
        <v>7</v>
      </c>
      <c r="O2">
        <v>8</v>
      </c>
      <c r="P2">
        <v>9</v>
      </c>
      <c r="Q2">
        <v>10</v>
      </c>
      <c r="R2">
        <v>11</v>
      </c>
      <c r="S2">
        <v>12</v>
      </c>
      <c r="T2">
        <v>13</v>
      </c>
      <c r="U2">
        <v>14</v>
      </c>
      <c r="V2">
        <v>15</v>
      </c>
      <c r="W2">
        <v>16</v>
      </c>
      <c r="X2">
        <v>17</v>
      </c>
      <c r="Y2">
        <v>18</v>
      </c>
      <c r="Z2">
        <v>19</v>
      </c>
      <c r="AA2">
        <v>20</v>
      </c>
    </row>
    <row r="4" spans="1:27" x14ac:dyDescent="0.25">
      <c r="A4" s="14">
        <f>'Notes &amp; Assumptions'!A14</f>
        <v>1</v>
      </c>
      <c r="C4" s="1" t="s">
        <v>114</v>
      </c>
      <c r="F4" t="s">
        <v>115</v>
      </c>
      <c r="G4" s="368" t="s">
        <v>113</v>
      </c>
      <c r="H4" s="368"/>
    </row>
    <row r="6" spans="1:27" x14ac:dyDescent="0.25">
      <c r="C6" s="1" t="s">
        <v>126</v>
      </c>
    </row>
    <row r="7" spans="1:27" x14ac:dyDescent="0.25">
      <c r="A7" s="14">
        <f>'Notes &amp; Assumptions'!A15</f>
        <v>2</v>
      </c>
      <c r="E7" s="10" t="s">
        <v>128</v>
      </c>
      <c r="F7" t="s">
        <v>145</v>
      </c>
      <c r="G7" s="10">
        <v>80</v>
      </c>
    </row>
    <row r="8" spans="1:27" x14ac:dyDescent="0.25">
      <c r="A8" s="14">
        <f>'Notes &amp; Assumptions'!A16</f>
        <v>3</v>
      </c>
      <c r="E8" s="10" t="s">
        <v>129</v>
      </c>
      <c r="F8" t="s">
        <v>145</v>
      </c>
      <c r="G8" s="10">
        <v>25</v>
      </c>
    </row>
    <row r="9" spans="1:27" x14ac:dyDescent="0.25">
      <c r="A9" s="14">
        <f>'Notes &amp; Assumptions'!A17</f>
        <v>4</v>
      </c>
      <c r="E9" s="10" t="s">
        <v>130</v>
      </c>
      <c r="F9" t="s">
        <v>145</v>
      </c>
      <c r="G9" s="10">
        <v>30</v>
      </c>
    </row>
    <row r="10" spans="1:27" x14ac:dyDescent="0.25">
      <c r="A10" s="14">
        <f>'Notes &amp; Assumptions'!A18</f>
        <v>5</v>
      </c>
      <c r="E10" t="s">
        <v>127</v>
      </c>
      <c r="F10" t="s">
        <v>145</v>
      </c>
      <c r="G10" s="10">
        <v>5</v>
      </c>
    </row>
    <row r="13" spans="1:27" x14ac:dyDescent="0.25">
      <c r="C13" s="1" t="s">
        <v>92</v>
      </c>
    </row>
    <row r="14" spans="1:27" x14ac:dyDescent="0.25">
      <c r="A14" s="14">
        <f>'Notes &amp; Assumptions'!A19</f>
        <v>6</v>
      </c>
      <c r="E14" t="s">
        <v>5</v>
      </c>
      <c r="F14" t="s">
        <v>8</v>
      </c>
      <c r="G14" s="17">
        <f>'20 New UGB Water'!G14</f>
        <v>2.1000000000000001E-2</v>
      </c>
    </row>
    <row r="15" spans="1:27" x14ac:dyDescent="0.25">
      <c r="A15" s="14">
        <f>'Notes &amp; Assumptions'!A20</f>
        <v>7</v>
      </c>
      <c r="E15" t="s">
        <v>32</v>
      </c>
      <c r="F15" t="s">
        <v>8</v>
      </c>
      <c r="G15" s="17">
        <f>'20 New UGB Water'!G15</f>
        <v>5.1629999999999843E-2</v>
      </c>
    </row>
    <row r="16" spans="1:27" x14ac:dyDescent="0.25">
      <c r="E16" t="s">
        <v>30</v>
      </c>
      <c r="F16" t="s">
        <v>8</v>
      </c>
      <c r="G16" s="18">
        <f>(1+G15)/(1+G14)-1</f>
        <v>3.0000000000000027E-2</v>
      </c>
    </row>
    <row r="17" spans="1:27" x14ac:dyDescent="0.25">
      <c r="E17" t="s">
        <v>171</v>
      </c>
      <c r="F17" t="s">
        <v>8</v>
      </c>
      <c r="G17" s="11">
        <v>0.5</v>
      </c>
    </row>
    <row r="18" spans="1:27" x14ac:dyDescent="0.25">
      <c r="A18" s="14">
        <f>'Notes &amp; Assumptions'!A22</f>
        <v>9</v>
      </c>
      <c r="E18" t="s">
        <v>16</v>
      </c>
      <c r="F18" t="s">
        <v>8</v>
      </c>
      <c r="G18" s="11">
        <v>0.3</v>
      </c>
      <c r="H18" s="11">
        <v>0.3</v>
      </c>
      <c r="I18" s="11">
        <v>0.3</v>
      </c>
      <c r="J18" s="11">
        <v>0.3</v>
      </c>
      <c r="K18" s="11">
        <v>0.3</v>
      </c>
      <c r="L18" s="11">
        <v>0.3</v>
      </c>
      <c r="M18" s="11">
        <v>0.3</v>
      </c>
      <c r="N18" s="11">
        <v>0.3</v>
      </c>
      <c r="O18" s="11">
        <v>0.3</v>
      </c>
      <c r="P18" s="11">
        <v>0.3</v>
      </c>
      <c r="Q18" s="11">
        <v>0.3</v>
      </c>
      <c r="R18" s="11">
        <v>0.3</v>
      </c>
      <c r="S18" s="11">
        <v>0.3</v>
      </c>
      <c r="T18" s="11">
        <v>0.3</v>
      </c>
      <c r="U18" s="11">
        <v>0.3</v>
      </c>
      <c r="V18" s="11">
        <v>0.3</v>
      </c>
      <c r="W18" s="11">
        <v>0.3</v>
      </c>
      <c r="X18" s="11">
        <v>0.3</v>
      </c>
      <c r="Y18" s="11">
        <v>0.3</v>
      </c>
      <c r="Z18" s="11">
        <v>0.3</v>
      </c>
      <c r="AA18" s="11">
        <v>0.3</v>
      </c>
    </row>
    <row r="20" spans="1:27" x14ac:dyDescent="0.25">
      <c r="A20" s="14">
        <f>'Notes &amp; Assumptions'!A23</f>
        <v>10</v>
      </c>
      <c r="C20" s="1" t="s">
        <v>1</v>
      </c>
      <c r="D20" s="1"/>
    </row>
    <row r="21" spans="1:27" x14ac:dyDescent="0.25">
      <c r="E21" s="2" t="str">
        <f>E7</f>
        <v>Pipes</v>
      </c>
      <c r="F21" t="s">
        <v>7</v>
      </c>
      <c r="G21" s="43">
        <f>IF('Key assumptions'!B3="yes",SUM('Historical growth capex'!M93:V93),0)</f>
        <v>59357719.434771046</v>
      </c>
      <c r="H21" s="10">
        <f>'Forecast capex'!J99*1000*(1+$G$14)^H2</f>
        <v>25881804.690736853</v>
      </c>
      <c r="I21" s="10">
        <f>'Forecast capex'!K99*1000*(1+$G$14)^I2</f>
        <v>75166887.051169291</v>
      </c>
      <c r="J21" s="10">
        <f>'Forecast capex'!L99*1000*(1+$G$14)^J2</f>
        <v>123274412.5143224</v>
      </c>
      <c r="K21" s="10">
        <f>'Forecast capex'!M99*1000*(1+$G$14)^K2</f>
        <v>95588490.423266426</v>
      </c>
      <c r="L21" s="10">
        <f>'Forecast capex'!N99*1000*(1+$G$14)^L2</f>
        <v>55261567.106099769</v>
      </c>
      <c r="M21" s="10">
        <f>'Forecast capex'!O99*1000*(1+$G$14)^M2</f>
        <v>39182591.920356415</v>
      </c>
      <c r="N21" s="10">
        <f>'Forecast capex'!P99*1000*(1+$G$14)^N2</f>
        <v>69426673.456986621</v>
      </c>
      <c r="O21" s="10">
        <f>'Forecast capex'!Q99*1000*(1+$G$14)^O2</f>
        <v>107828694.40099752</v>
      </c>
      <c r="P21" s="10">
        <f>'Forecast capex'!R99*1000*(1+$G$14)^P2</f>
        <v>69690188.208208725</v>
      </c>
      <c r="Q21" s="10">
        <f>'Forecast capex'!S99*1000*(1+$G$14)^Q2</f>
        <v>27415391.484194569</v>
      </c>
      <c r="R21" s="10">
        <f>'[10]recycled water'!$X$158*(1+$G$14)^R2/5</f>
        <v>26607698.431031611</v>
      </c>
      <c r="S21" s="10">
        <f>'[10]recycled water'!$X$158*(1+$G$14)^S2/5</f>
        <v>27166460.098083265</v>
      </c>
      <c r="T21" s="10">
        <f>'[10]recycled water'!$X$158*(1+$G$14)^T2/5</f>
        <v>27736955.760143012</v>
      </c>
      <c r="U21" s="10">
        <f>'[10]recycled water'!$X$158*(1+$G$14)^U2/5</f>
        <v>28319431.831106015</v>
      </c>
      <c r="V21" s="10">
        <f>'[10]recycled water'!$X$158*(1+$G$14)^V2/5</f>
        <v>28914139.899559237</v>
      </c>
      <c r="W21" s="10"/>
      <c r="X21" s="10"/>
      <c r="Y21" s="10"/>
      <c r="Z21" s="10"/>
      <c r="AA21" s="10"/>
    </row>
    <row r="22" spans="1:27" x14ac:dyDescent="0.25">
      <c r="E22" s="2" t="str">
        <f>E8</f>
        <v>Pumps</v>
      </c>
      <c r="F22" t="s">
        <v>7</v>
      </c>
      <c r="G22" s="10"/>
      <c r="H22" s="10"/>
      <c r="I22" s="10"/>
      <c r="J22" s="10"/>
      <c r="K22" s="10"/>
      <c r="L22" s="10"/>
      <c r="M22" s="10"/>
      <c r="N22" s="10"/>
      <c r="O22" s="10"/>
      <c r="P22" s="10"/>
      <c r="Q22" s="10"/>
      <c r="R22" s="10"/>
      <c r="S22" s="10"/>
      <c r="T22" s="10"/>
      <c r="U22" s="10"/>
      <c r="V22" s="10"/>
      <c r="W22" s="10"/>
      <c r="X22" s="10"/>
      <c r="Y22" s="10"/>
      <c r="Z22" s="10"/>
      <c r="AA22" s="10"/>
    </row>
    <row r="23" spans="1:27" x14ac:dyDescent="0.25">
      <c r="E23" s="2" t="str">
        <f>E9</f>
        <v>Valves and Meters</v>
      </c>
      <c r="F23" t="s">
        <v>7</v>
      </c>
      <c r="G23" s="10"/>
      <c r="H23" s="10"/>
      <c r="I23" s="10"/>
      <c r="J23" s="10"/>
      <c r="K23" s="10"/>
      <c r="L23" s="10"/>
      <c r="M23" s="10"/>
      <c r="N23" s="10"/>
      <c r="O23" s="10"/>
      <c r="P23" s="10"/>
      <c r="Q23" s="10"/>
      <c r="R23" s="10"/>
      <c r="S23" s="10"/>
      <c r="T23" s="10"/>
      <c r="U23" s="10"/>
      <c r="V23" s="10"/>
      <c r="W23" s="10"/>
      <c r="X23" s="10"/>
      <c r="Y23" s="10"/>
      <c r="Z23" s="10"/>
      <c r="AA23" s="10"/>
    </row>
    <row r="24" spans="1:27" x14ac:dyDescent="0.25">
      <c r="E24" t="s">
        <v>127</v>
      </c>
      <c r="F24" t="s">
        <v>7</v>
      </c>
      <c r="G24" s="10"/>
      <c r="H24" s="10"/>
      <c r="I24" s="10"/>
      <c r="J24" s="10"/>
      <c r="K24" s="10"/>
      <c r="L24" s="10"/>
      <c r="M24" s="10"/>
      <c r="N24" s="10"/>
      <c r="O24" s="10"/>
      <c r="P24" s="10"/>
      <c r="Q24" s="10"/>
      <c r="R24" s="10"/>
      <c r="S24" s="10"/>
      <c r="T24" s="10"/>
      <c r="U24" s="10"/>
      <c r="V24" s="10"/>
      <c r="W24" s="10"/>
      <c r="X24" s="10"/>
      <c r="Y24" s="10"/>
      <c r="Z24" s="10"/>
      <c r="AA24" s="10"/>
    </row>
    <row r="25" spans="1:27" x14ac:dyDescent="0.25">
      <c r="E25" t="s">
        <v>131</v>
      </c>
      <c r="F25" t="s">
        <v>7</v>
      </c>
      <c r="G25" s="10"/>
      <c r="H25" s="10"/>
      <c r="I25" s="10"/>
      <c r="J25" s="10"/>
      <c r="K25" s="10"/>
      <c r="L25" s="10"/>
      <c r="M25" s="10"/>
      <c r="N25" s="10"/>
      <c r="O25" s="10"/>
      <c r="P25" s="10"/>
      <c r="Q25" s="10"/>
      <c r="R25" s="10"/>
      <c r="S25" s="10"/>
      <c r="T25" s="10"/>
      <c r="U25" s="10"/>
      <c r="V25" s="10"/>
      <c r="W25" s="10"/>
      <c r="X25" s="10"/>
      <c r="Y25" s="10"/>
      <c r="Z25" s="10"/>
      <c r="AA25" s="10"/>
    </row>
    <row r="26" spans="1:27" x14ac:dyDescent="0.25">
      <c r="G26" s="2">
        <f>SUM(G21:G25)</f>
        <v>59357719.434771046</v>
      </c>
      <c r="H26" s="2">
        <f t="shared" ref="H26:AA26" si="0">SUM(H21:H25)</f>
        <v>25881804.690736853</v>
      </c>
      <c r="I26" s="2">
        <f t="shared" si="0"/>
        <v>75166887.051169291</v>
      </c>
      <c r="J26" s="2">
        <f t="shared" si="0"/>
        <v>123274412.5143224</v>
      </c>
      <c r="K26" s="2">
        <f t="shared" si="0"/>
        <v>95588490.423266426</v>
      </c>
      <c r="L26" s="2">
        <f t="shared" si="0"/>
        <v>55261567.106099769</v>
      </c>
      <c r="M26" s="2">
        <f t="shared" si="0"/>
        <v>39182591.920356415</v>
      </c>
      <c r="N26" s="2">
        <f t="shared" si="0"/>
        <v>69426673.456986621</v>
      </c>
      <c r="O26" s="2">
        <f t="shared" si="0"/>
        <v>107828694.40099752</v>
      </c>
      <c r="P26" s="2">
        <f t="shared" si="0"/>
        <v>69690188.208208725</v>
      </c>
      <c r="Q26" s="2">
        <f t="shared" si="0"/>
        <v>27415391.484194569</v>
      </c>
      <c r="R26" s="2">
        <f t="shared" si="0"/>
        <v>26607698.431031611</v>
      </c>
      <c r="S26" s="2">
        <f t="shared" si="0"/>
        <v>27166460.098083265</v>
      </c>
      <c r="T26" s="2">
        <f t="shared" si="0"/>
        <v>27736955.760143012</v>
      </c>
      <c r="U26" s="2">
        <f t="shared" si="0"/>
        <v>28319431.831106015</v>
      </c>
      <c r="V26" s="2">
        <f t="shared" si="0"/>
        <v>28914139.899559237</v>
      </c>
      <c r="W26" s="2">
        <f t="shared" si="0"/>
        <v>0</v>
      </c>
      <c r="X26" s="2">
        <f t="shared" si="0"/>
        <v>0</v>
      </c>
      <c r="Y26" s="2">
        <f t="shared" si="0"/>
        <v>0</v>
      </c>
      <c r="Z26" s="2">
        <f t="shared" si="0"/>
        <v>0</v>
      </c>
      <c r="AA26" s="2">
        <f t="shared" si="0"/>
        <v>0</v>
      </c>
    </row>
    <row r="27" spans="1:27" x14ac:dyDescent="0.25">
      <c r="G27" s="2"/>
      <c r="H27" s="2"/>
      <c r="I27" s="2"/>
      <c r="J27" s="2"/>
      <c r="K27" s="2"/>
      <c r="L27" s="2"/>
      <c r="M27" s="2"/>
      <c r="N27" s="2"/>
      <c r="O27" s="2"/>
      <c r="P27" s="2"/>
      <c r="Q27" s="2"/>
    </row>
    <row r="28" spans="1:27" x14ac:dyDescent="0.25">
      <c r="D28" t="s">
        <v>132</v>
      </c>
      <c r="G28" s="2"/>
      <c r="H28" s="2"/>
      <c r="I28" s="2"/>
      <c r="J28" s="2"/>
      <c r="K28" s="2"/>
      <c r="L28" s="2"/>
      <c r="M28" s="2"/>
      <c r="N28" s="2"/>
      <c r="O28" s="2"/>
      <c r="P28" s="2"/>
      <c r="Q28" s="2"/>
    </row>
    <row r="29" spans="1:27" x14ac:dyDescent="0.25">
      <c r="E29" s="2" t="str">
        <f>E21</f>
        <v>Pipes</v>
      </c>
      <c r="F29" t="s">
        <v>7</v>
      </c>
      <c r="G29" s="2">
        <f t="shared" ref="G29:AA29" si="1">G21/$G7+IF((G$2-$G7+1)&gt;0,-INDEX($G21:$AA21,1,(G$2-$G7+1))/$G7,0)</f>
        <v>741971.49293463805</v>
      </c>
      <c r="H29" s="2">
        <f t="shared" si="1"/>
        <v>323522.55863421067</v>
      </c>
      <c r="I29" s="2">
        <f t="shared" si="1"/>
        <v>939586.08813961619</v>
      </c>
      <c r="J29" s="2">
        <f t="shared" si="1"/>
        <v>1540930.15642903</v>
      </c>
      <c r="K29" s="2">
        <f t="shared" si="1"/>
        <v>1194856.1302908303</v>
      </c>
      <c r="L29" s="2">
        <f t="shared" si="1"/>
        <v>690769.58882624714</v>
      </c>
      <c r="M29" s="2">
        <f t="shared" si="1"/>
        <v>489782.39900445519</v>
      </c>
      <c r="N29" s="2">
        <f t="shared" si="1"/>
        <v>867833.41821233276</v>
      </c>
      <c r="O29" s="2">
        <f t="shared" si="1"/>
        <v>1347858.6800124689</v>
      </c>
      <c r="P29" s="2">
        <f t="shared" si="1"/>
        <v>871127.35260260908</v>
      </c>
      <c r="Q29" s="2">
        <f t="shared" si="1"/>
        <v>342692.39355243213</v>
      </c>
      <c r="R29" s="2">
        <f t="shared" si="1"/>
        <v>332596.23038789514</v>
      </c>
      <c r="S29" s="2">
        <f t="shared" si="1"/>
        <v>339580.75122604083</v>
      </c>
      <c r="T29" s="2">
        <f t="shared" si="1"/>
        <v>346711.94700178766</v>
      </c>
      <c r="U29" s="2">
        <f t="shared" si="1"/>
        <v>353992.89788882516</v>
      </c>
      <c r="V29" s="2">
        <f t="shared" si="1"/>
        <v>361426.74874449044</v>
      </c>
      <c r="W29" s="2">
        <f t="shared" si="1"/>
        <v>0</v>
      </c>
      <c r="X29" s="2">
        <f t="shared" si="1"/>
        <v>0</v>
      </c>
      <c r="Y29" s="2">
        <f t="shared" si="1"/>
        <v>0</v>
      </c>
      <c r="Z29" s="2">
        <f t="shared" si="1"/>
        <v>0</v>
      </c>
      <c r="AA29" s="2">
        <f t="shared" si="1"/>
        <v>0</v>
      </c>
    </row>
    <row r="30" spans="1:27" x14ac:dyDescent="0.25">
      <c r="E30" s="2" t="str">
        <f t="shared" ref="E30:E32" si="2">E22</f>
        <v>Pumps</v>
      </c>
      <c r="F30" t="s">
        <v>7</v>
      </c>
      <c r="G30" s="2">
        <f t="shared" ref="G30:AA30" si="3">G22/$G8+IF((G$2-$G8+1)&gt;0,-INDEX($G22:$AA22,1,(G$2-$G8+1))/$G8,0)</f>
        <v>0</v>
      </c>
      <c r="H30" s="2">
        <f t="shared" si="3"/>
        <v>0</v>
      </c>
      <c r="I30" s="2">
        <f t="shared" si="3"/>
        <v>0</v>
      </c>
      <c r="J30" s="2">
        <f t="shared" si="3"/>
        <v>0</v>
      </c>
      <c r="K30" s="2">
        <f t="shared" si="3"/>
        <v>0</v>
      </c>
      <c r="L30" s="2">
        <f t="shared" si="3"/>
        <v>0</v>
      </c>
      <c r="M30" s="2">
        <f t="shared" si="3"/>
        <v>0</v>
      </c>
      <c r="N30" s="2">
        <f t="shared" si="3"/>
        <v>0</v>
      </c>
      <c r="O30" s="2">
        <f t="shared" si="3"/>
        <v>0</v>
      </c>
      <c r="P30" s="2">
        <f t="shared" si="3"/>
        <v>0</v>
      </c>
      <c r="Q30" s="2">
        <f t="shared" si="3"/>
        <v>0</v>
      </c>
      <c r="R30" s="2">
        <f t="shared" si="3"/>
        <v>0</v>
      </c>
      <c r="S30" s="2">
        <f t="shared" si="3"/>
        <v>0</v>
      </c>
      <c r="T30" s="2">
        <f t="shared" si="3"/>
        <v>0</v>
      </c>
      <c r="U30" s="2">
        <f t="shared" si="3"/>
        <v>0</v>
      </c>
      <c r="V30" s="2">
        <f t="shared" si="3"/>
        <v>0</v>
      </c>
      <c r="W30" s="2">
        <f t="shared" si="3"/>
        <v>0</v>
      </c>
      <c r="X30" s="2">
        <f t="shared" si="3"/>
        <v>0</v>
      </c>
      <c r="Y30" s="2">
        <f t="shared" si="3"/>
        <v>0</v>
      </c>
      <c r="Z30" s="2">
        <f t="shared" si="3"/>
        <v>0</v>
      </c>
      <c r="AA30" s="2">
        <f t="shared" si="3"/>
        <v>0</v>
      </c>
    </row>
    <row r="31" spans="1:27" x14ac:dyDescent="0.25">
      <c r="E31" s="2" t="str">
        <f t="shared" si="2"/>
        <v>Valves and Meters</v>
      </c>
      <c r="F31" t="s">
        <v>7</v>
      </c>
      <c r="G31" s="2">
        <f t="shared" ref="G31:AA31" si="4">G23/$G9+IF((G$2-$G9+1)&gt;0,-INDEX($G23:$AA23,1,(G$2-$G9+1))/$G9,0)</f>
        <v>0</v>
      </c>
      <c r="H31" s="2">
        <f t="shared" si="4"/>
        <v>0</v>
      </c>
      <c r="I31" s="2">
        <f t="shared" si="4"/>
        <v>0</v>
      </c>
      <c r="J31" s="2">
        <f t="shared" si="4"/>
        <v>0</v>
      </c>
      <c r="K31" s="2">
        <f t="shared" si="4"/>
        <v>0</v>
      </c>
      <c r="L31" s="2">
        <f t="shared" si="4"/>
        <v>0</v>
      </c>
      <c r="M31" s="2">
        <f t="shared" si="4"/>
        <v>0</v>
      </c>
      <c r="N31" s="2">
        <f t="shared" si="4"/>
        <v>0</v>
      </c>
      <c r="O31" s="2">
        <f t="shared" si="4"/>
        <v>0</v>
      </c>
      <c r="P31" s="2">
        <f t="shared" si="4"/>
        <v>0</v>
      </c>
      <c r="Q31" s="2">
        <f t="shared" si="4"/>
        <v>0</v>
      </c>
      <c r="R31" s="2">
        <f t="shared" si="4"/>
        <v>0</v>
      </c>
      <c r="S31" s="2">
        <f t="shared" si="4"/>
        <v>0</v>
      </c>
      <c r="T31" s="2">
        <f t="shared" si="4"/>
        <v>0</v>
      </c>
      <c r="U31" s="2">
        <f t="shared" si="4"/>
        <v>0</v>
      </c>
      <c r="V31" s="2">
        <f t="shared" si="4"/>
        <v>0</v>
      </c>
      <c r="W31" s="2">
        <f t="shared" si="4"/>
        <v>0</v>
      </c>
      <c r="X31" s="2">
        <f t="shared" si="4"/>
        <v>0</v>
      </c>
      <c r="Y31" s="2">
        <f t="shared" si="4"/>
        <v>0</v>
      </c>
      <c r="Z31" s="2">
        <f t="shared" si="4"/>
        <v>0</v>
      </c>
      <c r="AA31" s="2">
        <f t="shared" si="4"/>
        <v>0</v>
      </c>
    </row>
    <row r="32" spans="1:27" x14ac:dyDescent="0.25">
      <c r="E32" s="2" t="str">
        <f t="shared" si="2"/>
        <v>Temporary Assets</v>
      </c>
      <c r="F32" t="s">
        <v>7</v>
      </c>
      <c r="G32" s="2">
        <f t="shared" ref="G32:AA32" si="5">G24/$G10+IF((G$2-$G10+1)&gt;0,-INDEX($G24:$AA24,1,(G$2-$G10+1))/$G10,0)</f>
        <v>0</v>
      </c>
      <c r="H32" s="2">
        <f t="shared" si="5"/>
        <v>0</v>
      </c>
      <c r="I32" s="2">
        <f t="shared" si="5"/>
        <v>0</v>
      </c>
      <c r="J32" s="2">
        <f t="shared" si="5"/>
        <v>0</v>
      </c>
      <c r="K32" s="2">
        <f t="shared" si="5"/>
        <v>0</v>
      </c>
      <c r="L32" s="2">
        <f t="shared" si="5"/>
        <v>0</v>
      </c>
      <c r="M32" s="2">
        <f t="shared" si="5"/>
        <v>0</v>
      </c>
      <c r="N32" s="2">
        <f t="shared" si="5"/>
        <v>0</v>
      </c>
      <c r="O32" s="2">
        <f t="shared" si="5"/>
        <v>0</v>
      </c>
      <c r="P32" s="2">
        <f t="shared" si="5"/>
        <v>0</v>
      </c>
      <c r="Q32" s="2">
        <f t="shared" si="5"/>
        <v>0</v>
      </c>
      <c r="R32" s="2">
        <f t="shared" si="5"/>
        <v>0</v>
      </c>
      <c r="S32" s="2">
        <f t="shared" si="5"/>
        <v>0</v>
      </c>
      <c r="T32" s="2">
        <f t="shared" si="5"/>
        <v>0</v>
      </c>
      <c r="U32" s="2">
        <f t="shared" si="5"/>
        <v>0</v>
      </c>
      <c r="V32" s="2">
        <f t="shared" si="5"/>
        <v>0</v>
      </c>
      <c r="W32" s="2">
        <f t="shared" si="5"/>
        <v>0</v>
      </c>
      <c r="X32" s="2">
        <f t="shared" si="5"/>
        <v>0</v>
      </c>
      <c r="Y32" s="2">
        <f t="shared" si="5"/>
        <v>0</v>
      </c>
      <c r="Z32" s="2">
        <f t="shared" si="5"/>
        <v>0</v>
      </c>
      <c r="AA32" s="2">
        <f t="shared" si="5"/>
        <v>0</v>
      </c>
    </row>
    <row r="33" spans="1:27" x14ac:dyDescent="0.25">
      <c r="G33" s="2"/>
      <c r="H33" s="2"/>
      <c r="I33" s="2"/>
      <c r="J33" s="2"/>
      <c r="K33" s="2"/>
      <c r="L33" s="2"/>
      <c r="M33" s="2"/>
      <c r="N33" s="2"/>
      <c r="O33" s="2"/>
      <c r="P33" s="2"/>
      <c r="Q33" s="2"/>
    </row>
    <row r="34" spans="1:27" x14ac:dyDescent="0.25">
      <c r="D34" t="s">
        <v>133</v>
      </c>
      <c r="F34" t="s">
        <v>7</v>
      </c>
      <c r="G34" s="2">
        <f>SUM($G$29:G32)</f>
        <v>741971.49293463805</v>
      </c>
      <c r="H34" s="2">
        <f>SUM($G$29:H32)</f>
        <v>1065494.0515688488</v>
      </c>
      <c r="I34" s="2">
        <f>SUM($G$29:I32)</f>
        <v>2005080.139708465</v>
      </c>
      <c r="J34" s="2">
        <f>SUM($G$29:J32)</f>
        <v>3546010.296137495</v>
      </c>
      <c r="K34" s="2">
        <f>SUM($G$29:K32)</f>
        <v>4740866.4264283255</v>
      </c>
      <c r="L34" s="2">
        <f>SUM($G$29:L32)</f>
        <v>5431636.015254573</v>
      </c>
      <c r="M34" s="2">
        <f>SUM($G$29:M32)</f>
        <v>5921418.4142590277</v>
      </c>
      <c r="N34" s="2">
        <f>SUM($G$29:N32)</f>
        <v>6789251.8324713605</v>
      </c>
      <c r="O34" s="2">
        <f>SUM($G$29:O32)</f>
        <v>8137110.5124838296</v>
      </c>
      <c r="P34" s="2">
        <f>SUM($G$29:P32)</f>
        <v>9008237.8650864381</v>
      </c>
      <c r="Q34" s="2">
        <f>SUM($G$29:Q32)</f>
        <v>9350930.25863887</v>
      </c>
      <c r="R34" s="2">
        <f>SUM($G$29:R32)</f>
        <v>9683526.4890267644</v>
      </c>
      <c r="S34" s="2">
        <f>SUM($G$29:S32)</f>
        <v>10023107.240252806</v>
      </c>
      <c r="T34" s="2">
        <f>SUM($G$29:T32)</f>
        <v>10369819.187254593</v>
      </c>
      <c r="U34" s="2">
        <f>SUM($G$29:U32)</f>
        <v>10723812.085143417</v>
      </c>
      <c r="V34" s="2">
        <f>SUM($G$29:V32)</f>
        <v>11085238.833887907</v>
      </c>
      <c r="W34" s="2">
        <f>SUM($G$29:W32)</f>
        <v>11085238.833887907</v>
      </c>
      <c r="X34" s="2">
        <f>SUM($G$29:X32)</f>
        <v>11085238.833887907</v>
      </c>
      <c r="Y34" s="2">
        <f>SUM($G$29:Y32)</f>
        <v>11085238.833887907</v>
      </c>
      <c r="Z34" s="2">
        <f>SUM($G$29:Z32)</f>
        <v>11085238.833887907</v>
      </c>
      <c r="AA34" s="2">
        <f>SUM($G$29:AA32)</f>
        <v>11085238.833887907</v>
      </c>
    </row>
    <row r="35" spans="1:27" x14ac:dyDescent="0.25">
      <c r="G35" s="2"/>
      <c r="H35" s="2"/>
      <c r="I35" s="2"/>
      <c r="J35" s="2"/>
      <c r="K35" s="2"/>
      <c r="L35" s="2"/>
      <c r="M35" s="2"/>
      <c r="N35" s="2"/>
      <c r="O35" s="2"/>
      <c r="P35" s="2"/>
      <c r="Q35" s="2"/>
      <c r="R35" s="2"/>
      <c r="S35" s="2"/>
      <c r="T35" s="2"/>
      <c r="U35" s="2"/>
      <c r="V35" s="2"/>
      <c r="W35" s="2"/>
      <c r="X35" s="2"/>
      <c r="Y35" s="2"/>
      <c r="Z35" s="2"/>
      <c r="AA35" s="2"/>
    </row>
    <row r="36" spans="1:27" x14ac:dyDescent="0.25">
      <c r="A36" s="14">
        <f>'Notes &amp; Assumptions'!A24</f>
        <v>11</v>
      </c>
      <c r="C36" s="1" t="s">
        <v>107</v>
      </c>
      <c r="D36" s="1"/>
    </row>
    <row r="37" spans="1:27" x14ac:dyDescent="0.25">
      <c r="E37" s="2" t="str">
        <f>E7</f>
        <v>Pipes</v>
      </c>
      <c r="F37" t="s">
        <v>7</v>
      </c>
      <c r="G37" s="10"/>
      <c r="H37" s="10">
        <f>'Key assumptions'!$B33*(1+$G$14)^H2*(H90+H111+H132+H153)</f>
        <v>6682444.9999999991</v>
      </c>
      <c r="I37" s="10">
        <f>'Key assumptions'!$B33*(1+$G$14)^I2*(I90+I111+I132+I153)</f>
        <v>8610562.6599999964</v>
      </c>
      <c r="J37" s="10">
        <f>'Key assumptions'!$B33*(1+$G$14)^J2*(J90+J111+J132+J153)</f>
        <v>10801854.900275948</v>
      </c>
      <c r="K37" s="10">
        <f>'Key assumptions'!$B33*(1+$G$14)^K2*(K90+K111+K132+K153)</f>
        <v>12481969.682164304</v>
      </c>
      <c r="L37" s="10">
        <f>'Key assumptions'!$B33*(1+$G$14)^L2*(L90+L111+L132+L153)</f>
        <v>14064011.98715651</v>
      </c>
      <c r="M37" s="10">
        <f>'Key assumptions'!$B33*(1+$G$14)^M2*(M90+M111+M132+M153)</f>
        <v>15585672.301699199</v>
      </c>
      <c r="N37" s="10">
        <f>'Key assumptions'!$B33*(1+$G$14)^N2*(N90+N111+N132+N153)</f>
        <v>17019309.524612732</v>
      </c>
      <c r="O37" s="10">
        <f>'Key assumptions'!$B33*(1+$G$14)^O2*(O90+O111+O132+O153)</f>
        <v>18375267.542278316</v>
      </c>
      <c r="P37" s="10">
        <f>'Key assumptions'!$B33*(1+$G$14)^P2*(P90+P111+P132+P153)</f>
        <v>21694806.182955258</v>
      </c>
      <c r="Q37" s="10">
        <f>'Key assumptions'!$B33*(1+$G$14)^Q2*(Q90+Q111+Q132+Q153)</f>
        <v>25440362.924653146</v>
      </c>
      <c r="R37" s="10">
        <f>'Key assumptions'!$B33*(1+$G$14)^R2*(R90+R111+R132+R153)</f>
        <v>27500174.06959914</v>
      </c>
      <c r="S37" s="10">
        <f>'Key assumptions'!$B33*(1+$G$14)^S2*(S90+S111+S132+S153)</f>
        <v>29740824.819612414</v>
      </c>
      <c r="T37" s="10">
        <f>'Key assumptions'!$B33*(1+$G$14)^T2*(T90+T111+T132+T153)</f>
        <v>32166174.307108615</v>
      </c>
      <c r="U37" s="10">
        <f>'Key assumptions'!$B33*(1+$G$14)^U2*(U90+U111+U132+U153)</f>
        <v>32626761.640077546</v>
      </c>
      <c r="V37" s="10">
        <f>'Key assumptions'!$B33*(1+$G$14)^V2*(V90+V111+V132+V153)</f>
        <v>33068128.883010909</v>
      </c>
      <c r="W37" s="10"/>
      <c r="X37" s="10"/>
      <c r="Y37" s="10"/>
      <c r="Z37" s="10"/>
      <c r="AA37" s="10"/>
    </row>
    <row r="38" spans="1:27" x14ac:dyDescent="0.25">
      <c r="E38" s="2" t="str">
        <f>E8</f>
        <v>Pumps</v>
      </c>
      <c r="F38" t="s">
        <v>7</v>
      </c>
      <c r="G38" s="10"/>
      <c r="H38" s="10"/>
      <c r="I38" s="10"/>
      <c r="J38" s="10"/>
      <c r="K38" s="10"/>
      <c r="L38" s="10"/>
      <c r="M38" s="10"/>
      <c r="N38" s="10"/>
      <c r="O38" s="10"/>
      <c r="P38" s="10"/>
      <c r="Q38" s="10"/>
      <c r="R38" s="10"/>
      <c r="S38" s="10"/>
      <c r="T38" s="10"/>
      <c r="U38" s="10"/>
      <c r="V38" s="10"/>
      <c r="W38" s="10"/>
      <c r="X38" s="10"/>
      <c r="Y38" s="10"/>
      <c r="Z38" s="10"/>
      <c r="AA38" s="10"/>
    </row>
    <row r="39" spans="1:27" x14ac:dyDescent="0.25">
      <c r="E39" s="2" t="str">
        <f>E9</f>
        <v>Valves and Meters</v>
      </c>
      <c r="F39" t="s">
        <v>7</v>
      </c>
      <c r="G39" s="10"/>
      <c r="H39" s="10"/>
      <c r="I39" s="10"/>
      <c r="J39" s="10"/>
      <c r="K39" s="10"/>
      <c r="L39" s="10"/>
      <c r="M39" s="10"/>
      <c r="N39" s="10"/>
      <c r="O39" s="10"/>
      <c r="P39" s="10"/>
      <c r="Q39" s="10"/>
      <c r="R39" s="10"/>
      <c r="S39" s="10"/>
      <c r="T39" s="10"/>
      <c r="U39" s="10"/>
      <c r="V39" s="10"/>
      <c r="W39" s="10"/>
      <c r="X39" s="10"/>
      <c r="Y39" s="10"/>
      <c r="Z39" s="10"/>
      <c r="AA39" s="10"/>
    </row>
    <row r="40" spans="1:27" x14ac:dyDescent="0.25">
      <c r="E40" s="2" t="str">
        <f>E10</f>
        <v>Temporary Assets</v>
      </c>
      <c r="F40" t="s">
        <v>7</v>
      </c>
      <c r="G40" s="10"/>
      <c r="H40" s="10"/>
      <c r="I40" s="10"/>
      <c r="J40" s="10"/>
      <c r="K40" s="10"/>
      <c r="L40" s="10"/>
      <c r="M40" s="10"/>
      <c r="N40" s="10"/>
      <c r="O40" s="10"/>
      <c r="P40" s="10"/>
      <c r="Q40" s="10"/>
      <c r="R40" s="10"/>
      <c r="S40" s="10"/>
      <c r="T40" s="10"/>
      <c r="U40" s="10"/>
      <c r="V40" s="10"/>
      <c r="W40" s="10"/>
      <c r="X40" s="10"/>
      <c r="Y40" s="10"/>
      <c r="Z40" s="10"/>
      <c r="AA40" s="10"/>
    </row>
    <row r="41" spans="1:27" x14ac:dyDescent="0.25">
      <c r="E41" t="s">
        <v>131</v>
      </c>
      <c r="F41" t="s">
        <v>7</v>
      </c>
      <c r="G41" s="10"/>
      <c r="H41" s="10"/>
      <c r="I41" s="10"/>
      <c r="J41" s="10"/>
      <c r="K41" s="10"/>
      <c r="L41" s="10"/>
      <c r="M41" s="10"/>
      <c r="N41" s="10"/>
      <c r="O41" s="10"/>
      <c r="P41" s="10"/>
      <c r="Q41" s="10"/>
      <c r="R41" s="10"/>
      <c r="S41" s="10"/>
      <c r="T41" s="10"/>
      <c r="U41" s="10"/>
      <c r="V41" s="10"/>
      <c r="W41" s="10"/>
      <c r="X41" s="10"/>
      <c r="Y41" s="10"/>
      <c r="Z41" s="10"/>
      <c r="AA41" s="10"/>
    </row>
    <row r="42" spans="1:27" x14ac:dyDescent="0.25">
      <c r="G42" s="2">
        <f>SUM(G37:G41)</f>
        <v>0</v>
      </c>
      <c r="H42" s="2">
        <f t="shared" ref="H42:AA42" si="6">SUM(H37:H41)</f>
        <v>6682444.9999999991</v>
      </c>
      <c r="I42" s="2">
        <f t="shared" si="6"/>
        <v>8610562.6599999964</v>
      </c>
      <c r="J42" s="2">
        <f t="shared" si="6"/>
        <v>10801854.900275948</v>
      </c>
      <c r="K42" s="2">
        <f t="shared" si="6"/>
        <v>12481969.682164304</v>
      </c>
      <c r="L42" s="2">
        <f t="shared" si="6"/>
        <v>14064011.98715651</v>
      </c>
      <c r="M42" s="2">
        <f t="shared" si="6"/>
        <v>15585672.301699199</v>
      </c>
      <c r="N42" s="2">
        <f t="shared" si="6"/>
        <v>17019309.524612732</v>
      </c>
      <c r="O42" s="2">
        <f t="shared" si="6"/>
        <v>18375267.542278316</v>
      </c>
      <c r="P42" s="2">
        <f t="shared" si="6"/>
        <v>21694806.182955258</v>
      </c>
      <c r="Q42" s="2">
        <f t="shared" si="6"/>
        <v>25440362.924653146</v>
      </c>
      <c r="R42" s="2">
        <f t="shared" si="6"/>
        <v>27500174.06959914</v>
      </c>
      <c r="S42" s="2">
        <f t="shared" si="6"/>
        <v>29740824.819612414</v>
      </c>
      <c r="T42" s="2">
        <f t="shared" si="6"/>
        <v>32166174.307108615</v>
      </c>
      <c r="U42" s="2">
        <f t="shared" si="6"/>
        <v>32626761.640077546</v>
      </c>
      <c r="V42" s="2">
        <f t="shared" si="6"/>
        <v>33068128.883010909</v>
      </c>
      <c r="W42" s="2">
        <f t="shared" si="6"/>
        <v>0</v>
      </c>
      <c r="X42" s="2">
        <f t="shared" si="6"/>
        <v>0</v>
      </c>
      <c r="Y42" s="2">
        <f t="shared" si="6"/>
        <v>0</v>
      </c>
      <c r="Z42" s="2">
        <f t="shared" si="6"/>
        <v>0</v>
      </c>
      <c r="AA42" s="2">
        <f t="shared" si="6"/>
        <v>0</v>
      </c>
    </row>
    <row r="43" spans="1:27" x14ac:dyDescent="0.25">
      <c r="G43" s="2"/>
      <c r="H43" s="2"/>
      <c r="I43" s="2"/>
      <c r="J43" s="2"/>
      <c r="K43" s="2"/>
      <c r="L43" s="2"/>
      <c r="M43" s="2"/>
      <c r="N43" s="2"/>
      <c r="O43" s="2"/>
      <c r="P43" s="2"/>
      <c r="Q43" s="2"/>
    </row>
    <row r="44" spans="1:27" x14ac:dyDescent="0.25">
      <c r="D44" t="s">
        <v>134</v>
      </c>
      <c r="G44" s="2"/>
      <c r="H44" s="2"/>
      <c r="I44" s="2"/>
      <c r="J44" s="2"/>
      <c r="K44" s="2"/>
      <c r="L44" s="2"/>
      <c r="M44" s="2"/>
      <c r="N44" s="2"/>
      <c r="O44" s="2"/>
      <c r="P44" s="2"/>
      <c r="Q44" s="2"/>
    </row>
    <row r="45" spans="1:27" x14ac:dyDescent="0.25">
      <c r="E45" s="2" t="str">
        <f>E37</f>
        <v>Pipes</v>
      </c>
      <c r="F45" t="s">
        <v>7</v>
      </c>
      <c r="G45" s="2">
        <f t="shared" ref="G45:AA45" si="7">G37/$G7+IF((G$2-$G7+1)&gt;0,-INDEX($G37:$AA37,1,(G$2-$G7+1))/$G7,0)</f>
        <v>0</v>
      </c>
      <c r="H45" s="2">
        <f t="shared" si="7"/>
        <v>83530.562499999985</v>
      </c>
      <c r="I45" s="2">
        <f t="shared" si="7"/>
        <v>107632.03324999995</v>
      </c>
      <c r="J45" s="2">
        <f t="shared" si="7"/>
        <v>135023.18625344936</v>
      </c>
      <c r="K45" s="2">
        <f t="shared" si="7"/>
        <v>156024.6210270538</v>
      </c>
      <c r="L45" s="2">
        <f t="shared" si="7"/>
        <v>175800.14983945637</v>
      </c>
      <c r="M45" s="2">
        <f t="shared" si="7"/>
        <v>194820.90377123997</v>
      </c>
      <c r="N45" s="2">
        <f t="shared" si="7"/>
        <v>212741.36905765915</v>
      </c>
      <c r="O45" s="2">
        <f t="shared" si="7"/>
        <v>229690.84427847894</v>
      </c>
      <c r="P45" s="2">
        <f t="shared" si="7"/>
        <v>271185.07728694071</v>
      </c>
      <c r="Q45" s="2">
        <f t="shared" si="7"/>
        <v>318004.53655816434</v>
      </c>
      <c r="R45" s="2">
        <f t="shared" si="7"/>
        <v>343752.17586998927</v>
      </c>
      <c r="S45" s="2">
        <f t="shared" si="7"/>
        <v>371760.31024515518</v>
      </c>
      <c r="T45" s="2">
        <f t="shared" si="7"/>
        <v>402077.17883885768</v>
      </c>
      <c r="U45" s="2">
        <f t="shared" si="7"/>
        <v>407834.52050096932</v>
      </c>
      <c r="V45" s="2">
        <f t="shared" si="7"/>
        <v>413351.61103763635</v>
      </c>
      <c r="W45" s="2">
        <f t="shared" si="7"/>
        <v>0</v>
      </c>
      <c r="X45" s="2">
        <f t="shared" si="7"/>
        <v>0</v>
      </c>
      <c r="Y45" s="2">
        <f t="shared" si="7"/>
        <v>0</v>
      </c>
      <c r="Z45" s="2">
        <f t="shared" si="7"/>
        <v>0</v>
      </c>
      <c r="AA45" s="2">
        <f t="shared" si="7"/>
        <v>0</v>
      </c>
    </row>
    <row r="46" spans="1:27" x14ac:dyDescent="0.25">
      <c r="E46" s="2" t="str">
        <f t="shared" ref="E46:E48" si="8">E38</f>
        <v>Pumps</v>
      </c>
      <c r="F46" t="s">
        <v>7</v>
      </c>
      <c r="G46" s="2">
        <f t="shared" ref="G46:AA46" si="9">G38/$G8+IF((G$2-$G8+1)&gt;0,-INDEX($G38:$AA38,1,(G$2-$G8+1))/$G8,0)</f>
        <v>0</v>
      </c>
      <c r="H46" s="2">
        <f t="shared" si="9"/>
        <v>0</v>
      </c>
      <c r="I46" s="2">
        <f t="shared" si="9"/>
        <v>0</v>
      </c>
      <c r="J46" s="2">
        <f t="shared" si="9"/>
        <v>0</v>
      </c>
      <c r="K46" s="2">
        <f t="shared" si="9"/>
        <v>0</v>
      </c>
      <c r="L46" s="2">
        <f t="shared" si="9"/>
        <v>0</v>
      </c>
      <c r="M46" s="2">
        <f t="shared" si="9"/>
        <v>0</v>
      </c>
      <c r="N46" s="2">
        <f t="shared" si="9"/>
        <v>0</v>
      </c>
      <c r="O46" s="2">
        <f t="shared" si="9"/>
        <v>0</v>
      </c>
      <c r="P46" s="2">
        <f t="shared" si="9"/>
        <v>0</v>
      </c>
      <c r="Q46" s="2">
        <f t="shared" si="9"/>
        <v>0</v>
      </c>
      <c r="R46" s="2">
        <f t="shared" si="9"/>
        <v>0</v>
      </c>
      <c r="S46" s="2">
        <f t="shared" si="9"/>
        <v>0</v>
      </c>
      <c r="T46" s="2">
        <f t="shared" si="9"/>
        <v>0</v>
      </c>
      <c r="U46" s="2">
        <f t="shared" si="9"/>
        <v>0</v>
      </c>
      <c r="V46" s="2">
        <f t="shared" si="9"/>
        <v>0</v>
      </c>
      <c r="W46" s="2">
        <f t="shared" si="9"/>
        <v>0</v>
      </c>
      <c r="X46" s="2">
        <f t="shared" si="9"/>
        <v>0</v>
      </c>
      <c r="Y46" s="2">
        <f t="shared" si="9"/>
        <v>0</v>
      </c>
      <c r="Z46" s="2">
        <f t="shared" si="9"/>
        <v>0</v>
      </c>
      <c r="AA46" s="2">
        <f t="shared" si="9"/>
        <v>0</v>
      </c>
    </row>
    <row r="47" spans="1:27" x14ac:dyDescent="0.25">
      <c r="E47" s="2" t="str">
        <f t="shared" si="8"/>
        <v>Valves and Meters</v>
      </c>
      <c r="F47" t="s">
        <v>7</v>
      </c>
      <c r="G47" s="2">
        <f t="shared" ref="G47:AA47" si="10">G39/$G9+IF((G$2-$G9+1)&gt;0,-INDEX($G39:$AA39,1,(G$2-$G9+1))/$G9,0)</f>
        <v>0</v>
      </c>
      <c r="H47" s="2">
        <f t="shared" si="10"/>
        <v>0</v>
      </c>
      <c r="I47" s="2">
        <f t="shared" si="10"/>
        <v>0</v>
      </c>
      <c r="J47" s="2">
        <f t="shared" si="10"/>
        <v>0</v>
      </c>
      <c r="K47" s="2">
        <f t="shared" si="10"/>
        <v>0</v>
      </c>
      <c r="L47" s="2">
        <f t="shared" si="10"/>
        <v>0</v>
      </c>
      <c r="M47" s="2">
        <f t="shared" si="10"/>
        <v>0</v>
      </c>
      <c r="N47" s="2">
        <f t="shared" si="10"/>
        <v>0</v>
      </c>
      <c r="O47" s="2">
        <f t="shared" si="10"/>
        <v>0</v>
      </c>
      <c r="P47" s="2">
        <f t="shared" si="10"/>
        <v>0</v>
      </c>
      <c r="Q47" s="2">
        <f t="shared" si="10"/>
        <v>0</v>
      </c>
      <c r="R47" s="2">
        <f t="shared" si="10"/>
        <v>0</v>
      </c>
      <c r="S47" s="2">
        <f t="shared" si="10"/>
        <v>0</v>
      </c>
      <c r="T47" s="2">
        <f t="shared" si="10"/>
        <v>0</v>
      </c>
      <c r="U47" s="2">
        <f t="shared" si="10"/>
        <v>0</v>
      </c>
      <c r="V47" s="2">
        <f t="shared" si="10"/>
        <v>0</v>
      </c>
      <c r="W47" s="2">
        <f t="shared" si="10"/>
        <v>0</v>
      </c>
      <c r="X47" s="2">
        <f t="shared" si="10"/>
        <v>0</v>
      </c>
      <c r="Y47" s="2">
        <f t="shared" si="10"/>
        <v>0</v>
      </c>
      <c r="Z47" s="2">
        <f t="shared" si="10"/>
        <v>0</v>
      </c>
      <c r="AA47" s="2">
        <f t="shared" si="10"/>
        <v>0</v>
      </c>
    </row>
    <row r="48" spans="1:27" x14ac:dyDescent="0.25">
      <c r="E48" s="2" t="str">
        <f t="shared" si="8"/>
        <v>Temporary Assets</v>
      </c>
      <c r="F48" t="s">
        <v>7</v>
      </c>
      <c r="G48" s="2">
        <f t="shared" ref="G48:AA48" si="11">G40/$G10+IF((G$2-$G10+1)&gt;0,-INDEX($G40:$AA40,1,(G$2-$G10+1))/$G10,0)</f>
        <v>0</v>
      </c>
      <c r="H48" s="2">
        <f t="shared" si="11"/>
        <v>0</v>
      </c>
      <c r="I48" s="2">
        <f t="shared" si="11"/>
        <v>0</v>
      </c>
      <c r="J48" s="2">
        <f t="shared" si="11"/>
        <v>0</v>
      </c>
      <c r="K48" s="2">
        <f t="shared" si="11"/>
        <v>0</v>
      </c>
      <c r="L48" s="2">
        <f t="shared" si="11"/>
        <v>0</v>
      </c>
      <c r="M48" s="2">
        <f t="shared" si="11"/>
        <v>0</v>
      </c>
      <c r="N48" s="2">
        <f t="shared" si="11"/>
        <v>0</v>
      </c>
      <c r="O48" s="2">
        <f t="shared" si="11"/>
        <v>0</v>
      </c>
      <c r="P48" s="2">
        <f t="shared" si="11"/>
        <v>0</v>
      </c>
      <c r="Q48" s="2">
        <f t="shared" si="11"/>
        <v>0</v>
      </c>
      <c r="R48" s="2">
        <f t="shared" si="11"/>
        <v>0</v>
      </c>
      <c r="S48" s="2">
        <f t="shared" si="11"/>
        <v>0</v>
      </c>
      <c r="T48" s="2">
        <f t="shared" si="11"/>
        <v>0</v>
      </c>
      <c r="U48" s="2">
        <f t="shared" si="11"/>
        <v>0</v>
      </c>
      <c r="V48" s="2">
        <f t="shared" si="11"/>
        <v>0</v>
      </c>
      <c r="W48" s="2">
        <f t="shared" si="11"/>
        <v>0</v>
      </c>
      <c r="X48" s="2">
        <f t="shared" si="11"/>
        <v>0</v>
      </c>
      <c r="Y48" s="2">
        <f t="shared" si="11"/>
        <v>0</v>
      </c>
      <c r="Z48" s="2">
        <f t="shared" si="11"/>
        <v>0</v>
      </c>
      <c r="AA48" s="2">
        <f t="shared" si="11"/>
        <v>0</v>
      </c>
    </row>
    <row r="49" spans="1:27" x14ac:dyDescent="0.25">
      <c r="G49" s="2"/>
      <c r="H49" s="2"/>
      <c r="I49" s="2"/>
      <c r="J49" s="2"/>
      <c r="K49" s="2"/>
      <c r="L49" s="2"/>
      <c r="M49" s="2"/>
      <c r="N49" s="2"/>
      <c r="O49" s="2"/>
      <c r="P49" s="2"/>
      <c r="Q49" s="2"/>
    </row>
    <row r="50" spans="1:27" x14ac:dyDescent="0.25">
      <c r="D50" t="s">
        <v>135</v>
      </c>
      <c r="F50" t="s">
        <v>7</v>
      </c>
      <c r="G50" s="2">
        <f>SUM($G$45:G48)</f>
        <v>0</v>
      </c>
      <c r="H50" s="2">
        <f>SUM($G$45:H48)</f>
        <v>83530.562499999985</v>
      </c>
      <c r="I50" s="2">
        <f>SUM($G$45:I48)</f>
        <v>191162.59574999992</v>
      </c>
      <c r="J50" s="2">
        <f>SUM($G$45:J48)</f>
        <v>326185.78200344928</v>
      </c>
      <c r="K50" s="2">
        <f>SUM($G$45:K48)</f>
        <v>482210.40303050308</v>
      </c>
      <c r="L50" s="2">
        <f>SUM($G$45:L48)</f>
        <v>658010.5528699595</v>
      </c>
      <c r="M50" s="2">
        <f>SUM($G$45:M48)</f>
        <v>852831.45664119953</v>
      </c>
      <c r="N50" s="2">
        <f>SUM($G$45:N48)</f>
        <v>1065572.8256988586</v>
      </c>
      <c r="O50" s="2">
        <f>SUM($G$45:O48)</f>
        <v>1295263.6699773376</v>
      </c>
      <c r="P50" s="2">
        <f>SUM($G$45:P48)</f>
        <v>1566448.7472642784</v>
      </c>
      <c r="Q50" s="2">
        <f>SUM($G$45:Q48)</f>
        <v>1884453.2838224426</v>
      </c>
      <c r="R50" s="2">
        <f>SUM($G$45:R48)</f>
        <v>2228205.4596924321</v>
      </c>
      <c r="S50" s="2">
        <f>SUM($G$45:S48)</f>
        <v>2599965.7699375874</v>
      </c>
      <c r="T50" s="2">
        <f>SUM($G$45:T48)</f>
        <v>3002042.9487764454</v>
      </c>
      <c r="U50" s="2">
        <f>SUM($G$45:U48)</f>
        <v>3409877.4692774145</v>
      </c>
      <c r="V50" s="2">
        <f>SUM($G$45:V48)</f>
        <v>3823229.0803150507</v>
      </c>
      <c r="W50" s="2">
        <f>SUM($G$45:W48)</f>
        <v>3823229.0803150507</v>
      </c>
      <c r="X50" s="2">
        <f>SUM($G$45:X48)</f>
        <v>3823229.0803150507</v>
      </c>
      <c r="Y50" s="2">
        <f>SUM($G$45:Y48)</f>
        <v>3823229.0803150507</v>
      </c>
      <c r="Z50" s="2">
        <f>SUM($G$45:Z48)</f>
        <v>3823229.0803150507</v>
      </c>
      <c r="AA50" s="2">
        <f>SUM($G$45:AA48)</f>
        <v>3823229.0803150507</v>
      </c>
    </row>
    <row r="51" spans="1:27" x14ac:dyDescent="0.25">
      <c r="G51" s="2"/>
      <c r="H51" s="2"/>
      <c r="I51" s="2"/>
      <c r="J51" s="2"/>
      <c r="K51" s="2"/>
      <c r="L51" s="2"/>
      <c r="M51" s="2"/>
      <c r="N51" s="2"/>
      <c r="O51" s="2"/>
      <c r="P51" s="2"/>
      <c r="Q51" s="2"/>
      <c r="R51" s="2"/>
      <c r="S51" s="2"/>
      <c r="T51" s="2"/>
      <c r="U51" s="2"/>
      <c r="V51" s="2"/>
      <c r="W51" s="2"/>
      <c r="X51" s="2"/>
      <c r="Y51" s="2"/>
      <c r="Z51" s="2"/>
      <c r="AA51" s="2"/>
    </row>
    <row r="52" spans="1:27" x14ac:dyDescent="0.25">
      <c r="A52" s="14">
        <f>'Notes &amp; Assumptions'!A25</f>
        <v>12</v>
      </c>
      <c r="C52" s="1" t="s">
        <v>109</v>
      </c>
      <c r="G52" s="2"/>
      <c r="H52" s="2"/>
      <c r="I52" s="2"/>
      <c r="J52" s="2"/>
      <c r="K52" s="2"/>
      <c r="L52" s="2"/>
      <c r="M52" s="2"/>
      <c r="N52" s="2"/>
      <c r="O52" s="2"/>
      <c r="P52" s="2"/>
      <c r="Q52" s="2"/>
      <c r="R52" s="2"/>
      <c r="S52" s="2"/>
      <c r="T52" s="2"/>
      <c r="U52" s="2"/>
      <c r="V52" s="2"/>
      <c r="W52" s="2"/>
      <c r="X52" s="2"/>
      <c r="Y52" s="2"/>
      <c r="Z52" s="2"/>
      <c r="AA52" s="2"/>
    </row>
    <row r="53" spans="1:27" x14ac:dyDescent="0.25">
      <c r="E53" t="s">
        <v>109</v>
      </c>
      <c r="F53" t="s">
        <v>7</v>
      </c>
      <c r="G53" s="10"/>
      <c r="H53" s="10"/>
      <c r="I53" s="10"/>
      <c r="J53" s="10"/>
      <c r="K53" s="10"/>
      <c r="L53" s="10"/>
      <c r="M53" s="10"/>
      <c r="N53" s="10"/>
      <c r="O53" s="10"/>
      <c r="P53" s="10"/>
      <c r="Q53" s="10"/>
      <c r="R53" s="10"/>
      <c r="S53" s="10"/>
      <c r="T53" s="10"/>
      <c r="U53" s="10"/>
      <c r="V53" s="10"/>
      <c r="W53" s="10"/>
      <c r="X53" s="10"/>
      <c r="Y53" s="10"/>
      <c r="Z53" s="10"/>
      <c r="AA53" s="10"/>
    </row>
    <row r="55" spans="1:27" x14ac:dyDescent="0.25">
      <c r="C55" s="1" t="s">
        <v>25</v>
      </c>
      <c r="D55" s="1"/>
    </row>
    <row r="56" spans="1:27" x14ac:dyDescent="0.25">
      <c r="A56" s="14">
        <f>'Notes &amp; Assumptions'!A26</f>
        <v>13</v>
      </c>
      <c r="D56" t="s">
        <v>2</v>
      </c>
    </row>
    <row r="57" spans="1:27" x14ac:dyDescent="0.25">
      <c r="E57" s="2" t="str">
        <f>E7</f>
        <v>Pipes</v>
      </c>
      <c r="F57" t="s">
        <v>7</v>
      </c>
      <c r="G57" s="10"/>
      <c r="H57" s="10"/>
      <c r="I57" s="10"/>
      <c r="J57" s="10"/>
      <c r="K57" s="10"/>
      <c r="L57" s="10"/>
      <c r="M57" s="10"/>
      <c r="N57" s="10"/>
      <c r="O57" s="10"/>
      <c r="P57" s="10"/>
      <c r="Q57" s="10"/>
      <c r="R57" s="10"/>
      <c r="S57" s="10"/>
      <c r="T57" s="10"/>
      <c r="U57" s="10"/>
      <c r="V57" s="10"/>
      <c r="W57" s="10"/>
      <c r="X57" s="10"/>
      <c r="Y57" s="10"/>
      <c r="Z57" s="10"/>
      <c r="AA57" s="10"/>
    </row>
    <row r="58" spans="1:27" x14ac:dyDescent="0.25">
      <c r="E58" s="2" t="str">
        <f>E8</f>
        <v>Pumps</v>
      </c>
      <c r="F58" t="s">
        <v>7</v>
      </c>
      <c r="G58" s="10"/>
      <c r="H58" s="10"/>
      <c r="I58" s="10"/>
      <c r="J58" s="10"/>
      <c r="K58" s="10"/>
      <c r="L58" s="10"/>
      <c r="M58" s="10"/>
      <c r="N58" s="10"/>
      <c r="O58" s="10"/>
      <c r="P58" s="10"/>
      <c r="Q58" s="10"/>
      <c r="R58" s="10"/>
      <c r="S58" s="10"/>
      <c r="T58" s="10"/>
      <c r="U58" s="10"/>
      <c r="V58" s="10"/>
      <c r="W58" s="10"/>
      <c r="X58" s="10"/>
      <c r="Y58" s="10"/>
      <c r="Z58" s="10"/>
      <c r="AA58" s="10"/>
    </row>
    <row r="59" spans="1:27" x14ac:dyDescent="0.25">
      <c r="E59" s="2" t="str">
        <f>E9</f>
        <v>Valves and Meters</v>
      </c>
      <c r="F59" t="s">
        <v>7</v>
      </c>
      <c r="G59" s="10"/>
      <c r="H59" s="10"/>
      <c r="I59" s="10"/>
      <c r="J59" s="10"/>
      <c r="K59" s="10"/>
      <c r="L59" s="10"/>
      <c r="M59" s="10"/>
      <c r="N59" s="10"/>
      <c r="O59" s="10"/>
      <c r="P59" s="10"/>
      <c r="Q59" s="10"/>
      <c r="R59" s="10"/>
      <c r="S59" s="10"/>
      <c r="T59" s="10"/>
      <c r="U59" s="10"/>
      <c r="V59" s="10"/>
      <c r="W59" s="10"/>
      <c r="X59" s="10"/>
      <c r="Y59" s="10"/>
      <c r="Z59" s="10"/>
      <c r="AA59" s="10"/>
    </row>
    <row r="60" spans="1:27" x14ac:dyDescent="0.25">
      <c r="E60" t="s">
        <v>131</v>
      </c>
      <c r="F60" t="s">
        <v>7</v>
      </c>
      <c r="G60" s="10"/>
      <c r="H60" s="10"/>
      <c r="I60" s="10"/>
      <c r="J60" s="10"/>
      <c r="K60" s="10"/>
      <c r="L60" s="10"/>
      <c r="M60" s="10"/>
      <c r="N60" s="10"/>
      <c r="O60" s="10"/>
      <c r="P60" s="10"/>
      <c r="Q60" s="10"/>
      <c r="R60" s="10"/>
      <c r="S60" s="10"/>
      <c r="T60" s="10"/>
      <c r="U60" s="10"/>
      <c r="V60" s="10"/>
      <c r="W60" s="10"/>
      <c r="X60" s="10"/>
      <c r="Y60" s="10"/>
      <c r="Z60" s="10"/>
      <c r="AA60" s="10"/>
    </row>
    <row r="61" spans="1:27" x14ac:dyDescent="0.25">
      <c r="G61" s="2">
        <f>SUM(G57:G60)</f>
        <v>0</v>
      </c>
      <c r="H61" s="2">
        <f t="shared" ref="H61:AA61" si="12">SUM(H57:H60)</f>
        <v>0</v>
      </c>
      <c r="I61" s="2">
        <f t="shared" si="12"/>
        <v>0</v>
      </c>
      <c r="J61" s="2">
        <f t="shared" si="12"/>
        <v>0</v>
      </c>
      <c r="K61" s="2">
        <f t="shared" si="12"/>
        <v>0</v>
      </c>
      <c r="L61" s="2">
        <f t="shared" si="12"/>
        <v>0</v>
      </c>
      <c r="M61" s="2">
        <f t="shared" si="12"/>
        <v>0</v>
      </c>
      <c r="N61" s="2">
        <f t="shared" si="12"/>
        <v>0</v>
      </c>
      <c r="O61" s="2">
        <f t="shared" si="12"/>
        <v>0</v>
      </c>
      <c r="P61" s="2">
        <f t="shared" si="12"/>
        <v>0</v>
      </c>
      <c r="Q61" s="2">
        <f t="shared" si="12"/>
        <v>0</v>
      </c>
      <c r="R61" s="2">
        <f t="shared" si="12"/>
        <v>0</v>
      </c>
      <c r="S61" s="2">
        <f t="shared" si="12"/>
        <v>0</v>
      </c>
      <c r="T61" s="2">
        <f t="shared" si="12"/>
        <v>0</v>
      </c>
      <c r="U61" s="2">
        <f t="shared" si="12"/>
        <v>0</v>
      </c>
      <c r="V61" s="2">
        <f t="shared" si="12"/>
        <v>0</v>
      </c>
      <c r="W61" s="2">
        <f t="shared" si="12"/>
        <v>0</v>
      </c>
      <c r="X61" s="2">
        <f t="shared" si="12"/>
        <v>0</v>
      </c>
      <c r="Y61" s="2">
        <f t="shared" si="12"/>
        <v>0</v>
      </c>
      <c r="Z61" s="2">
        <f t="shared" si="12"/>
        <v>0</v>
      </c>
      <c r="AA61" s="2">
        <f t="shared" si="12"/>
        <v>0</v>
      </c>
    </row>
    <row r="63" spans="1:27" x14ac:dyDescent="0.25">
      <c r="D63" t="s">
        <v>136</v>
      </c>
      <c r="G63" s="2"/>
      <c r="H63" s="2"/>
      <c r="I63" s="2"/>
      <c r="J63" s="2"/>
      <c r="K63" s="2"/>
      <c r="L63" s="2"/>
      <c r="M63" s="2"/>
      <c r="N63" s="2"/>
      <c r="O63" s="2"/>
      <c r="P63" s="2"/>
      <c r="Q63" s="2"/>
    </row>
    <row r="64" spans="1:27" x14ac:dyDescent="0.25">
      <c r="E64" s="2" t="str">
        <f>E57</f>
        <v>Pipes</v>
      </c>
      <c r="F64" t="s">
        <v>7</v>
      </c>
      <c r="G64" s="2">
        <f t="shared" ref="G64:AA64" si="13">G57/$G7+IF((G$2-$G7+1)&gt;0,-INDEX($G57:$AA57,1,(G$2-$G7+1))/$G7,0)</f>
        <v>0</v>
      </c>
      <c r="H64" s="2">
        <f t="shared" si="13"/>
        <v>0</v>
      </c>
      <c r="I64" s="2">
        <f t="shared" si="13"/>
        <v>0</v>
      </c>
      <c r="J64" s="2">
        <f t="shared" si="13"/>
        <v>0</v>
      </c>
      <c r="K64" s="2">
        <f t="shared" si="13"/>
        <v>0</v>
      </c>
      <c r="L64" s="2">
        <f t="shared" si="13"/>
        <v>0</v>
      </c>
      <c r="M64" s="2">
        <f t="shared" si="13"/>
        <v>0</v>
      </c>
      <c r="N64" s="2">
        <f t="shared" si="13"/>
        <v>0</v>
      </c>
      <c r="O64" s="2">
        <f t="shared" si="13"/>
        <v>0</v>
      </c>
      <c r="P64" s="2">
        <f t="shared" si="13"/>
        <v>0</v>
      </c>
      <c r="Q64" s="2">
        <f t="shared" si="13"/>
        <v>0</v>
      </c>
      <c r="R64" s="2">
        <f t="shared" si="13"/>
        <v>0</v>
      </c>
      <c r="S64" s="2">
        <f t="shared" si="13"/>
        <v>0</v>
      </c>
      <c r="T64" s="2">
        <f t="shared" si="13"/>
        <v>0</v>
      </c>
      <c r="U64" s="2">
        <f t="shared" si="13"/>
        <v>0</v>
      </c>
      <c r="V64" s="2">
        <f t="shared" si="13"/>
        <v>0</v>
      </c>
      <c r="W64" s="2">
        <f t="shared" si="13"/>
        <v>0</v>
      </c>
      <c r="X64" s="2">
        <f t="shared" si="13"/>
        <v>0</v>
      </c>
      <c r="Y64" s="2">
        <f t="shared" si="13"/>
        <v>0</v>
      </c>
      <c r="Z64" s="2">
        <f t="shared" si="13"/>
        <v>0</v>
      </c>
      <c r="AA64" s="2">
        <f t="shared" si="13"/>
        <v>0</v>
      </c>
    </row>
    <row r="65" spans="1:27" x14ac:dyDescent="0.25">
      <c r="E65" s="2" t="str">
        <f t="shared" ref="E65:E66" si="14">E58</f>
        <v>Pumps</v>
      </c>
      <c r="F65" t="s">
        <v>7</v>
      </c>
      <c r="G65" s="2">
        <f t="shared" ref="G65:AA65" si="15">G58/$G8+IF((G$2-$G8+1)&gt;0,-INDEX($G58:$AA58,1,(G$2-$G8+1))/$G8,0)</f>
        <v>0</v>
      </c>
      <c r="H65" s="2">
        <f t="shared" si="15"/>
        <v>0</v>
      </c>
      <c r="I65" s="2">
        <f t="shared" si="15"/>
        <v>0</v>
      </c>
      <c r="J65" s="2">
        <f t="shared" si="15"/>
        <v>0</v>
      </c>
      <c r="K65" s="2">
        <f t="shared" si="15"/>
        <v>0</v>
      </c>
      <c r="L65" s="2">
        <f t="shared" si="15"/>
        <v>0</v>
      </c>
      <c r="M65" s="2">
        <f t="shared" si="15"/>
        <v>0</v>
      </c>
      <c r="N65" s="2">
        <f t="shared" si="15"/>
        <v>0</v>
      </c>
      <c r="O65" s="2">
        <f t="shared" si="15"/>
        <v>0</v>
      </c>
      <c r="P65" s="2">
        <f t="shared" si="15"/>
        <v>0</v>
      </c>
      <c r="Q65" s="2">
        <f t="shared" si="15"/>
        <v>0</v>
      </c>
      <c r="R65" s="2">
        <f t="shared" si="15"/>
        <v>0</v>
      </c>
      <c r="S65" s="2">
        <f t="shared" si="15"/>
        <v>0</v>
      </c>
      <c r="T65" s="2">
        <f t="shared" si="15"/>
        <v>0</v>
      </c>
      <c r="U65" s="2">
        <f t="shared" si="15"/>
        <v>0</v>
      </c>
      <c r="V65" s="2">
        <f t="shared" si="15"/>
        <v>0</v>
      </c>
      <c r="W65" s="2">
        <f t="shared" si="15"/>
        <v>0</v>
      </c>
      <c r="X65" s="2">
        <f t="shared" si="15"/>
        <v>0</v>
      </c>
      <c r="Y65" s="2">
        <f t="shared" si="15"/>
        <v>0</v>
      </c>
      <c r="Z65" s="2">
        <f t="shared" si="15"/>
        <v>0</v>
      </c>
      <c r="AA65" s="2">
        <f t="shared" si="15"/>
        <v>0</v>
      </c>
    </row>
    <row r="66" spans="1:27" x14ac:dyDescent="0.25">
      <c r="E66" s="2" t="str">
        <f t="shared" si="14"/>
        <v>Valves and Meters</v>
      </c>
      <c r="F66" t="s">
        <v>7</v>
      </c>
      <c r="G66" s="2">
        <f t="shared" ref="G66:AA66" si="16">G59/$G9+IF((G$2-$G9+1)&gt;0,-INDEX($G59:$AA59,1,(G$2-$G9+1))/$G9,0)</f>
        <v>0</v>
      </c>
      <c r="H66" s="2">
        <f t="shared" si="16"/>
        <v>0</v>
      </c>
      <c r="I66" s="2">
        <f t="shared" si="16"/>
        <v>0</v>
      </c>
      <c r="J66" s="2">
        <f t="shared" si="16"/>
        <v>0</v>
      </c>
      <c r="K66" s="2">
        <f t="shared" si="16"/>
        <v>0</v>
      </c>
      <c r="L66" s="2">
        <f t="shared" si="16"/>
        <v>0</v>
      </c>
      <c r="M66" s="2">
        <f t="shared" si="16"/>
        <v>0</v>
      </c>
      <c r="N66" s="2">
        <f t="shared" si="16"/>
        <v>0</v>
      </c>
      <c r="O66" s="2">
        <f t="shared" si="16"/>
        <v>0</v>
      </c>
      <c r="P66" s="2">
        <f t="shared" si="16"/>
        <v>0</v>
      </c>
      <c r="Q66" s="2">
        <f t="shared" si="16"/>
        <v>0</v>
      </c>
      <c r="R66" s="2">
        <f t="shared" si="16"/>
        <v>0</v>
      </c>
      <c r="S66" s="2">
        <f t="shared" si="16"/>
        <v>0</v>
      </c>
      <c r="T66" s="2">
        <f t="shared" si="16"/>
        <v>0</v>
      </c>
      <c r="U66" s="2">
        <f t="shared" si="16"/>
        <v>0</v>
      </c>
      <c r="V66" s="2">
        <f t="shared" si="16"/>
        <v>0</v>
      </c>
      <c r="W66" s="2">
        <f t="shared" si="16"/>
        <v>0</v>
      </c>
      <c r="X66" s="2">
        <f t="shared" si="16"/>
        <v>0</v>
      </c>
      <c r="Y66" s="2">
        <f t="shared" si="16"/>
        <v>0</v>
      </c>
      <c r="Z66" s="2">
        <f t="shared" si="16"/>
        <v>0</v>
      </c>
      <c r="AA66" s="2">
        <f t="shared" si="16"/>
        <v>0</v>
      </c>
    </row>
    <row r="68" spans="1:27" x14ac:dyDescent="0.25">
      <c r="D68" t="s">
        <v>137</v>
      </c>
      <c r="F68" t="s">
        <v>7</v>
      </c>
      <c r="G68" s="2">
        <f>SUM($G$64:G66)</f>
        <v>0</v>
      </c>
      <c r="H68" s="2">
        <f>SUM($G$64:H66)</f>
        <v>0</v>
      </c>
      <c r="I68" s="2">
        <f>SUM($G$64:I66)</f>
        <v>0</v>
      </c>
      <c r="J68" s="2">
        <f>SUM($G$64:J66)</f>
        <v>0</v>
      </c>
      <c r="K68" s="2">
        <f>SUM($G$64:K66)</f>
        <v>0</v>
      </c>
      <c r="L68" s="2">
        <f>SUM($G$64:L66)</f>
        <v>0</v>
      </c>
      <c r="M68" s="2">
        <f>SUM($G$64:M66)</f>
        <v>0</v>
      </c>
      <c r="N68" s="2">
        <f>SUM($G$64:N66)</f>
        <v>0</v>
      </c>
      <c r="O68" s="2">
        <f>SUM($G$64:O66)</f>
        <v>0</v>
      </c>
      <c r="P68" s="2">
        <f>SUM($G$64:P66)</f>
        <v>0</v>
      </c>
      <c r="Q68" s="2">
        <f>SUM($G$64:Q66)</f>
        <v>0</v>
      </c>
      <c r="R68" s="2">
        <f>SUM($G$64:R66)</f>
        <v>0</v>
      </c>
      <c r="S68" s="2">
        <f>SUM($G$64:S66)</f>
        <v>0</v>
      </c>
      <c r="T68" s="2">
        <f>SUM($G$64:T66)</f>
        <v>0</v>
      </c>
      <c r="U68" s="2">
        <f>SUM($G$64:U66)</f>
        <v>0</v>
      </c>
      <c r="V68" s="2">
        <f>SUM($G$64:V66)</f>
        <v>0</v>
      </c>
      <c r="W68" s="2">
        <f>SUM($G$64:W66)</f>
        <v>0</v>
      </c>
      <c r="X68" s="2">
        <f>SUM($G$64:X66)</f>
        <v>0</v>
      </c>
      <c r="Y68" s="2">
        <f>SUM($G$64:Y66)</f>
        <v>0</v>
      </c>
      <c r="Z68" s="2">
        <f>SUM($G$64:Z66)</f>
        <v>0</v>
      </c>
      <c r="AA68" s="2">
        <f>SUM($G$64:AA66)</f>
        <v>0</v>
      </c>
    </row>
    <row r="70" spans="1:27" x14ac:dyDescent="0.25">
      <c r="A70" s="14">
        <f>'Notes &amp; Assumptions'!A27</f>
        <v>14</v>
      </c>
      <c r="D70" t="s">
        <v>6</v>
      </c>
    </row>
    <row r="71" spans="1:27" x14ac:dyDescent="0.25">
      <c r="E71" s="2" t="str">
        <f>E7</f>
        <v>Pipes</v>
      </c>
      <c r="F71" t="s">
        <v>7</v>
      </c>
      <c r="G71" s="10"/>
      <c r="H71" s="10"/>
      <c r="I71" s="10"/>
      <c r="J71" s="10"/>
      <c r="K71" s="10"/>
      <c r="L71" s="10"/>
      <c r="M71" s="10"/>
      <c r="N71" s="10"/>
      <c r="O71" s="10"/>
      <c r="P71" s="10"/>
      <c r="Q71" s="10"/>
      <c r="R71" s="10"/>
      <c r="S71" s="10"/>
      <c r="T71" s="10"/>
      <c r="U71" s="10"/>
      <c r="V71" s="10"/>
      <c r="W71" s="10"/>
      <c r="X71" s="10"/>
      <c r="Y71" s="10"/>
      <c r="Z71" s="10"/>
      <c r="AA71" s="10"/>
    </row>
    <row r="72" spans="1:27" x14ac:dyDescent="0.25">
      <c r="E72" s="2" t="str">
        <f>E8</f>
        <v>Pumps</v>
      </c>
      <c r="F72" t="s">
        <v>7</v>
      </c>
      <c r="G72" s="10"/>
      <c r="H72" s="10"/>
      <c r="I72" s="10"/>
      <c r="J72" s="10"/>
      <c r="K72" s="10"/>
      <c r="L72" s="10"/>
      <c r="M72" s="10"/>
      <c r="N72" s="10"/>
      <c r="O72" s="10"/>
      <c r="P72" s="10"/>
      <c r="Q72" s="10"/>
      <c r="R72" s="10"/>
      <c r="S72" s="10"/>
      <c r="T72" s="10"/>
      <c r="U72" s="10"/>
      <c r="V72" s="10"/>
      <c r="W72" s="10"/>
      <c r="X72" s="10"/>
      <c r="Y72" s="10"/>
      <c r="Z72" s="10"/>
      <c r="AA72" s="10"/>
    </row>
    <row r="73" spans="1:27" x14ac:dyDescent="0.25">
      <c r="E73" s="2" t="str">
        <f>E9</f>
        <v>Valves and Meters</v>
      </c>
      <c r="F73" t="s">
        <v>7</v>
      </c>
      <c r="G73" s="10"/>
      <c r="H73" s="10"/>
      <c r="I73" s="10"/>
      <c r="J73" s="10"/>
      <c r="K73" s="10"/>
      <c r="L73" s="10"/>
      <c r="M73" s="10"/>
      <c r="N73" s="10"/>
      <c r="O73" s="10"/>
      <c r="P73" s="10"/>
      <c r="Q73" s="10"/>
      <c r="R73" s="10"/>
      <c r="S73" s="10"/>
      <c r="T73" s="10"/>
      <c r="U73" s="10"/>
      <c r="V73" s="10"/>
      <c r="W73" s="10"/>
      <c r="X73" s="10"/>
      <c r="Y73" s="10"/>
      <c r="Z73" s="10"/>
      <c r="AA73" s="10"/>
    </row>
    <row r="74" spans="1:27" x14ac:dyDescent="0.25">
      <c r="E74" t="s">
        <v>131</v>
      </c>
      <c r="F74" t="s">
        <v>7</v>
      </c>
      <c r="G74" s="10"/>
      <c r="H74" s="10"/>
      <c r="I74" s="10"/>
      <c r="J74" s="10"/>
      <c r="K74" s="10"/>
      <c r="L74" s="10"/>
      <c r="M74" s="10"/>
      <c r="N74" s="10"/>
      <c r="O74" s="10"/>
      <c r="P74" s="10"/>
      <c r="Q74" s="10"/>
      <c r="R74" s="10"/>
      <c r="S74" s="10"/>
      <c r="T74" s="10"/>
      <c r="U74" s="10"/>
      <c r="V74" s="10"/>
      <c r="W74" s="10"/>
      <c r="X74" s="10"/>
      <c r="Y74" s="10"/>
      <c r="Z74" s="10"/>
      <c r="AA74" s="10"/>
    </row>
    <row r="75" spans="1:27" x14ac:dyDescent="0.25">
      <c r="G75" s="2">
        <f>SUM(G71:G74)</f>
        <v>0</v>
      </c>
      <c r="H75" s="2">
        <f t="shared" ref="H75:AA75" si="17">SUM(H71:H74)</f>
        <v>0</v>
      </c>
      <c r="I75" s="2">
        <f t="shared" si="17"/>
        <v>0</v>
      </c>
      <c r="J75" s="2">
        <f t="shared" si="17"/>
        <v>0</v>
      </c>
      <c r="K75" s="2">
        <f t="shared" si="17"/>
        <v>0</v>
      </c>
      <c r="L75" s="2">
        <f t="shared" si="17"/>
        <v>0</v>
      </c>
      <c r="M75" s="2">
        <f t="shared" si="17"/>
        <v>0</v>
      </c>
      <c r="N75" s="2">
        <f t="shared" si="17"/>
        <v>0</v>
      </c>
      <c r="O75" s="2">
        <f t="shared" si="17"/>
        <v>0</v>
      </c>
      <c r="P75" s="2">
        <f t="shared" si="17"/>
        <v>0</v>
      </c>
      <c r="Q75" s="2">
        <f t="shared" si="17"/>
        <v>0</v>
      </c>
      <c r="R75" s="2">
        <f t="shared" si="17"/>
        <v>0</v>
      </c>
      <c r="S75" s="2">
        <f t="shared" si="17"/>
        <v>0</v>
      </c>
      <c r="T75" s="2">
        <f t="shared" si="17"/>
        <v>0</v>
      </c>
      <c r="U75" s="2">
        <f t="shared" si="17"/>
        <v>0</v>
      </c>
      <c r="V75" s="2">
        <f t="shared" si="17"/>
        <v>0</v>
      </c>
      <c r="W75" s="2">
        <f t="shared" si="17"/>
        <v>0</v>
      </c>
      <c r="X75" s="2">
        <f t="shared" si="17"/>
        <v>0</v>
      </c>
      <c r="Y75" s="2">
        <f t="shared" si="17"/>
        <v>0</v>
      </c>
      <c r="Z75" s="2">
        <f t="shared" si="17"/>
        <v>0</v>
      </c>
      <c r="AA75" s="2">
        <f t="shared" si="17"/>
        <v>0</v>
      </c>
    </row>
    <row r="76" spans="1:27" x14ac:dyDescent="0.25">
      <c r="G76" s="2"/>
      <c r="H76" s="2"/>
      <c r="I76" s="2"/>
      <c r="J76" s="2"/>
      <c r="K76" s="2"/>
      <c r="L76" s="2"/>
      <c r="M76" s="2"/>
      <c r="N76" s="2"/>
      <c r="O76" s="2"/>
      <c r="P76" s="2"/>
      <c r="Q76" s="2"/>
      <c r="R76" s="2"/>
      <c r="S76" s="2"/>
      <c r="T76" s="2"/>
      <c r="U76" s="2"/>
      <c r="V76" s="2"/>
      <c r="W76" s="2"/>
      <c r="X76" s="2"/>
      <c r="Y76" s="2"/>
      <c r="Z76" s="2"/>
      <c r="AA76" s="2"/>
    </row>
    <row r="77" spans="1:27" x14ac:dyDescent="0.25">
      <c r="D77" t="s">
        <v>136</v>
      </c>
      <c r="G77" s="2"/>
      <c r="H77" s="2"/>
      <c r="I77" s="2"/>
      <c r="J77" s="2"/>
      <c r="K77" s="2"/>
      <c r="L77" s="2"/>
      <c r="M77" s="2"/>
      <c r="N77" s="2"/>
      <c r="O77" s="2"/>
      <c r="P77" s="2"/>
      <c r="Q77" s="2"/>
    </row>
    <row r="78" spans="1:27" x14ac:dyDescent="0.25">
      <c r="E78" s="2" t="str">
        <f>E71</f>
        <v>Pipes</v>
      </c>
      <c r="F78" t="s">
        <v>7</v>
      </c>
      <c r="G78" s="2">
        <f t="shared" ref="G78:AA78" si="18">G71/$G7+IF((G$2-$G7+1)&gt;0,-INDEX($G71:$AA71,1,(G$2-$G7+1))/$G7,0)</f>
        <v>0</v>
      </c>
      <c r="H78" s="2">
        <f t="shared" si="18"/>
        <v>0</v>
      </c>
      <c r="I78" s="2">
        <f t="shared" si="18"/>
        <v>0</v>
      </c>
      <c r="J78" s="2">
        <f t="shared" si="18"/>
        <v>0</v>
      </c>
      <c r="K78" s="2">
        <f t="shared" si="18"/>
        <v>0</v>
      </c>
      <c r="L78" s="2">
        <f t="shared" si="18"/>
        <v>0</v>
      </c>
      <c r="M78" s="2">
        <f t="shared" si="18"/>
        <v>0</v>
      </c>
      <c r="N78" s="2">
        <f t="shared" si="18"/>
        <v>0</v>
      </c>
      <c r="O78" s="2">
        <f t="shared" si="18"/>
        <v>0</v>
      </c>
      <c r="P78" s="2">
        <f t="shared" si="18"/>
        <v>0</v>
      </c>
      <c r="Q78" s="2">
        <f t="shared" si="18"/>
        <v>0</v>
      </c>
      <c r="R78" s="2">
        <f t="shared" si="18"/>
        <v>0</v>
      </c>
      <c r="S78" s="2">
        <f t="shared" si="18"/>
        <v>0</v>
      </c>
      <c r="T78" s="2">
        <f t="shared" si="18"/>
        <v>0</v>
      </c>
      <c r="U78" s="2">
        <f t="shared" si="18"/>
        <v>0</v>
      </c>
      <c r="V78" s="2">
        <f t="shared" si="18"/>
        <v>0</v>
      </c>
      <c r="W78" s="2">
        <f t="shared" si="18"/>
        <v>0</v>
      </c>
      <c r="X78" s="2">
        <f t="shared" si="18"/>
        <v>0</v>
      </c>
      <c r="Y78" s="2">
        <f t="shared" si="18"/>
        <v>0</v>
      </c>
      <c r="Z78" s="2">
        <f t="shared" si="18"/>
        <v>0</v>
      </c>
      <c r="AA78" s="2">
        <f t="shared" si="18"/>
        <v>0</v>
      </c>
    </row>
    <row r="79" spans="1:27" x14ac:dyDescent="0.25">
      <c r="E79" s="2" t="str">
        <f t="shared" ref="E79:E80" si="19">E72</f>
        <v>Pumps</v>
      </c>
      <c r="F79" t="s">
        <v>7</v>
      </c>
      <c r="G79" s="2">
        <f t="shared" ref="G79:AA79" si="20">G72/$G8+IF((G$2-$G8+1)&gt;0,-INDEX($G72:$AA72,1,(G$2-$G8+1))/$G8,0)</f>
        <v>0</v>
      </c>
      <c r="H79" s="2">
        <f t="shared" si="20"/>
        <v>0</v>
      </c>
      <c r="I79" s="2">
        <f t="shared" si="20"/>
        <v>0</v>
      </c>
      <c r="J79" s="2">
        <f t="shared" si="20"/>
        <v>0</v>
      </c>
      <c r="K79" s="2">
        <f t="shared" si="20"/>
        <v>0</v>
      </c>
      <c r="L79" s="2">
        <f t="shared" si="20"/>
        <v>0</v>
      </c>
      <c r="M79" s="2">
        <f t="shared" si="20"/>
        <v>0</v>
      </c>
      <c r="N79" s="2">
        <f t="shared" si="20"/>
        <v>0</v>
      </c>
      <c r="O79" s="2">
        <f t="shared" si="20"/>
        <v>0</v>
      </c>
      <c r="P79" s="2">
        <f t="shared" si="20"/>
        <v>0</v>
      </c>
      <c r="Q79" s="2">
        <f t="shared" si="20"/>
        <v>0</v>
      </c>
      <c r="R79" s="2">
        <f t="shared" si="20"/>
        <v>0</v>
      </c>
      <c r="S79" s="2">
        <f t="shared" si="20"/>
        <v>0</v>
      </c>
      <c r="T79" s="2">
        <f t="shared" si="20"/>
        <v>0</v>
      </c>
      <c r="U79" s="2">
        <f t="shared" si="20"/>
        <v>0</v>
      </c>
      <c r="V79" s="2">
        <f t="shared" si="20"/>
        <v>0</v>
      </c>
      <c r="W79" s="2">
        <f t="shared" si="20"/>
        <v>0</v>
      </c>
      <c r="X79" s="2">
        <f t="shared" si="20"/>
        <v>0</v>
      </c>
      <c r="Y79" s="2">
        <f t="shared" si="20"/>
        <v>0</v>
      </c>
      <c r="Z79" s="2">
        <f t="shared" si="20"/>
        <v>0</v>
      </c>
      <c r="AA79" s="2">
        <f t="shared" si="20"/>
        <v>0</v>
      </c>
    </row>
    <row r="80" spans="1:27" x14ac:dyDescent="0.25">
      <c r="E80" s="2" t="str">
        <f t="shared" si="19"/>
        <v>Valves and Meters</v>
      </c>
      <c r="F80" t="s">
        <v>7</v>
      </c>
      <c r="G80" s="2">
        <f t="shared" ref="G80:AA80" si="21">G73/$G9+IF((G$2-$G9+1)&gt;0,-INDEX($G73:$AA73,1,(G$2-$G9+1))/$G9,0)</f>
        <v>0</v>
      </c>
      <c r="H80" s="2">
        <f t="shared" si="21"/>
        <v>0</v>
      </c>
      <c r="I80" s="2">
        <f t="shared" si="21"/>
        <v>0</v>
      </c>
      <c r="J80" s="2">
        <f t="shared" si="21"/>
        <v>0</v>
      </c>
      <c r="K80" s="2">
        <f t="shared" si="21"/>
        <v>0</v>
      </c>
      <c r="L80" s="2">
        <f t="shared" si="21"/>
        <v>0</v>
      </c>
      <c r="M80" s="2">
        <f t="shared" si="21"/>
        <v>0</v>
      </c>
      <c r="N80" s="2">
        <f t="shared" si="21"/>
        <v>0</v>
      </c>
      <c r="O80" s="2">
        <f t="shared" si="21"/>
        <v>0</v>
      </c>
      <c r="P80" s="2">
        <f t="shared" si="21"/>
        <v>0</v>
      </c>
      <c r="Q80" s="2">
        <f t="shared" si="21"/>
        <v>0</v>
      </c>
      <c r="R80" s="2">
        <f t="shared" si="21"/>
        <v>0</v>
      </c>
      <c r="S80" s="2">
        <f t="shared" si="21"/>
        <v>0</v>
      </c>
      <c r="T80" s="2">
        <f t="shared" si="21"/>
        <v>0</v>
      </c>
      <c r="U80" s="2">
        <f t="shared" si="21"/>
        <v>0</v>
      </c>
      <c r="V80" s="2">
        <f t="shared" si="21"/>
        <v>0</v>
      </c>
      <c r="W80" s="2">
        <f t="shared" si="21"/>
        <v>0</v>
      </c>
      <c r="X80" s="2">
        <f t="shared" si="21"/>
        <v>0</v>
      </c>
      <c r="Y80" s="2">
        <f t="shared" si="21"/>
        <v>0</v>
      </c>
      <c r="Z80" s="2">
        <f t="shared" si="21"/>
        <v>0</v>
      </c>
      <c r="AA80" s="2">
        <f t="shared" si="21"/>
        <v>0</v>
      </c>
    </row>
    <row r="82" spans="1:27" x14ac:dyDescent="0.25">
      <c r="D82" t="s">
        <v>137</v>
      </c>
      <c r="F82" t="s">
        <v>7</v>
      </c>
      <c r="G82" s="2">
        <f>SUM($G$77:G80)</f>
        <v>0</v>
      </c>
      <c r="H82" s="2">
        <f>SUM($G$77:H80)</f>
        <v>0</v>
      </c>
      <c r="I82" s="2">
        <f>SUM($G$77:I80)</f>
        <v>0</v>
      </c>
      <c r="J82" s="2">
        <f>SUM($G$77:J80)</f>
        <v>0</v>
      </c>
      <c r="K82" s="2">
        <f>SUM($G$77:K80)</f>
        <v>0</v>
      </c>
      <c r="L82" s="2">
        <f>SUM($G$77:L80)</f>
        <v>0</v>
      </c>
      <c r="M82" s="2">
        <f>SUM($G$77:M80)</f>
        <v>0</v>
      </c>
      <c r="N82" s="2">
        <f>SUM($G$77:N80)</f>
        <v>0</v>
      </c>
      <c r="O82" s="2">
        <f>SUM($G$77:O80)</f>
        <v>0</v>
      </c>
      <c r="P82" s="2">
        <f>SUM($G$77:P80)</f>
        <v>0</v>
      </c>
      <c r="Q82" s="2">
        <f>SUM($G$77:Q80)</f>
        <v>0</v>
      </c>
      <c r="R82" s="2">
        <f>SUM($G$77:R80)</f>
        <v>0</v>
      </c>
      <c r="S82" s="2">
        <f>SUM($G$77:S80)</f>
        <v>0</v>
      </c>
      <c r="T82" s="2">
        <f>SUM($G$77:T80)</f>
        <v>0</v>
      </c>
      <c r="U82" s="2">
        <f>SUM($G$77:U80)</f>
        <v>0</v>
      </c>
      <c r="V82" s="2">
        <f>SUM($G$77:V80)</f>
        <v>0</v>
      </c>
      <c r="W82" s="2">
        <f>SUM($G$77:W80)</f>
        <v>0</v>
      </c>
      <c r="X82" s="2">
        <f>SUM($G$77:X80)</f>
        <v>0</v>
      </c>
      <c r="Y82" s="2">
        <f>SUM($G$77:Y80)</f>
        <v>0</v>
      </c>
      <c r="Z82" s="2">
        <f>SUM($G$77:Z80)</f>
        <v>0</v>
      </c>
      <c r="AA82" s="2">
        <f>SUM($G$77:AA80)</f>
        <v>0</v>
      </c>
    </row>
    <row r="83" spans="1:27" x14ac:dyDescent="0.25">
      <c r="G83" s="2"/>
      <c r="H83" s="2"/>
      <c r="I83" s="2"/>
      <c r="J83" s="2"/>
      <c r="K83" s="2"/>
      <c r="L83" s="2"/>
      <c r="M83" s="2"/>
      <c r="N83" s="2"/>
      <c r="O83" s="2"/>
      <c r="P83" s="2"/>
      <c r="Q83" s="2"/>
      <c r="R83" s="2"/>
      <c r="S83" s="2"/>
      <c r="T83" s="2"/>
      <c r="U83" s="2"/>
      <c r="V83" s="2"/>
      <c r="W83" s="2"/>
      <c r="X83" s="2"/>
      <c r="Y83" s="2"/>
      <c r="Z83" s="2"/>
      <c r="AA83" s="2"/>
    </row>
    <row r="84" spans="1:27" x14ac:dyDescent="0.25">
      <c r="D84" t="s">
        <v>138</v>
      </c>
      <c r="F84" t="s">
        <v>7</v>
      </c>
      <c r="G84" s="2">
        <f t="shared" ref="G84:AA84" si="22">G61-G75</f>
        <v>0</v>
      </c>
      <c r="H84" s="2">
        <f t="shared" si="22"/>
        <v>0</v>
      </c>
      <c r="I84" s="2">
        <f t="shared" si="22"/>
        <v>0</v>
      </c>
      <c r="J84" s="2">
        <f t="shared" si="22"/>
        <v>0</v>
      </c>
      <c r="K84" s="2">
        <f t="shared" si="22"/>
        <v>0</v>
      </c>
      <c r="L84" s="2">
        <f t="shared" si="22"/>
        <v>0</v>
      </c>
      <c r="M84" s="2">
        <f t="shared" si="22"/>
        <v>0</v>
      </c>
      <c r="N84" s="2">
        <f t="shared" si="22"/>
        <v>0</v>
      </c>
      <c r="O84" s="2">
        <f t="shared" si="22"/>
        <v>0</v>
      </c>
      <c r="P84" s="2">
        <f t="shared" si="22"/>
        <v>0</v>
      </c>
      <c r="Q84" s="2">
        <f t="shared" si="22"/>
        <v>0</v>
      </c>
      <c r="R84" s="2">
        <f t="shared" si="22"/>
        <v>0</v>
      </c>
      <c r="S84" s="2">
        <f t="shared" si="22"/>
        <v>0</v>
      </c>
      <c r="T84" s="2">
        <f t="shared" si="22"/>
        <v>0</v>
      </c>
      <c r="U84" s="2">
        <f t="shared" si="22"/>
        <v>0</v>
      </c>
      <c r="V84" s="2">
        <f t="shared" si="22"/>
        <v>0</v>
      </c>
      <c r="W84" s="2">
        <f t="shared" si="22"/>
        <v>0</v>
      </c>
      <c r="X84" s="2">
        <f t="shared" si="22"/>
        <v>0</v>
      </c>
      <c r="Y84" s="2">
        <f t="shared" si="22"/>
        <v>0</v>
      </c>
      <c r="Z84" s="2">
        <f t="shared" si="22"/>
        <v>0</v>
      </c>
      <c r="AA84" s="2">
        <f t="shared" si="22"/>
        <v>0</v>
      </c>
    </row>
    <row r="85" spans="1:27" x14ac:dyDescent="0.25">
      <c r="D85" t="s">
        <v>139</v>
      </c>
      <c r="F85" t="s">
        <v>7</v>
      </c>
      <c r="G85" s="2">
        <f t="shared" ref="G85:AA85" si="23">-G68+G82</f>
        <v>0</v>
      </c>
      <c r="H85" s="2">
        <f t="shared" si="23"/>
        <v>0</v>
      </c>
      <c r="I85" s="2">
        <f t="shared" si="23"/>
        <v>0</v>
      </c>
      <c r="J85" s="2">
        <f t="shared" si="23"/>
        <v>0</v>
      </c>
      <c r="K85" s="2">
        <f t="shared" si="23"/>
        <v>0</v>
      </c>
      <c r="L85" s="2">
        <f t="shared" si="23"/>
        <v>0</v>
      </c>
      <c r="M85" s="2">
        <f t="shared" si="23"/>
        <v>0</v>
      </c>
      <c r="N85" s="2">
        <f t="shared" si="23"/>
        <v>0</v>
      </c>
      <c r="O85" s="2">
        <f t="shared" si="23"/>
        <v>0</v>
      </c>
      <c r="P85" s="2">
        <f t="shared" si="23"/>
        <v>0</v>
      </c>
      <c r="Q85" s="2">
        <f t="shared" si="23"/>
        <v>0</v>
      </c>
      <c r="R85" s="2">
        <f t="shared" si="23"/>
        <v>0</v>
      </c>
      <c r="S85" s="2">
        <f t="shared" si="23"/>
        <v>0</v>
      </c>
      <c r="T85" s="2">
        <f t="shared" si="23"/>
        <v>0</v>
      </c>
      <c r="U85" s="2">
        <f t="shared" si="23"/>
        <v>0</v>
      </c>
      <c r="V85" s="2">
        <f t="shared" si="23"/>
        <v>0</v>
      </c>
      <c r="W85" s="2">
        <f t="shared" si="23"/>
        <v>0</v>
      </c>
      <c r="X85" s="2">
        <f t="shared" si="23"/>
        <v>0</v>
      </c>
      <c r="Y85" s="2">
        <f t="shared" si="23"/>
        <v>0</v>
      </c>
      <c r="Z85" s="2">
        <f t="shared" si="23"/>
        <v>0</v>
      </c>
      <c r="AA85" s="2">
        <f t="shared" si="23"/>
        <v>0</v>
      </c>
    </row>
    <row r="87" spans="1:27" x14ac:dyDescent="0.25">
      <c r="C87" s="1" t="str">
        <f>"Incremental "&amp;G4&amp;" Service Revenue"</f>
        <v>Incremental Recycled Water Service Revenue</v>
      </c>
      <c r="D87" s="1"/>
    </row>
    <row r="88" spans="1:27" x14ac:dyDescent="0.25">
      <c r="C88" s="1"/>
      <c r="D88" s="1"/>
    </row>
    <row r="89" spans="1:27" x14ac:dyDescent="0.25">
      <c r="C89" s="1"/>
      <c r="D89" t="s">
        <v>59</v>
      </c>
    </row>
    <row r="90" spans="1:27" x14ac:dyDescent="0.25">
      <c r="A90" s="14">
        <f>'Notes &amp; Assumptions'!A28</f>
        <v>15</v>
      </c>
      <c r="C90" s="1"/>
      <c r="D90" s="1"/>
      <c r="E90" t="s">
        <v>87</v>
      </c>
      <c r="F90" t="s">
        <v>3</v>
      </c>
      <c r="H90" s="10">
        <f>'Customer numbers'!P62</f>
        <v>1866</v>
      </c>
      <c r="I90" s="10">
        <f>'Customer numbers'!Q62</f>
        <v>2356</v>
      </c>
      <c r="J90" s="10">
        <f>'Customer numbers'!R62</f>
        <v>2895.7000000000003</v>
      </c>
      <c r="K90" s="10">
        <f>'Customer numbers'!S62</f>
        <v>3277.8</v>
      </c>
      <c r="L90" s="10">
        <f>'Customer numbers'!T62</f>
        <v>3617.7</v>
      </c>
      <c r="M90" s="10">
        <f>'Customer numbers'!U62</f>
        <v>3926.9999999999995</v>
      </c>
      <c r="N90" s="10">
        <f>'Customer numbers'!V62</f>
        <v>4200.2999999999993</v>
      </c>
      <c r="O90" s="10">
        <f>'Customer numbers'!W62</f>
        <v>4441.8999999999996</v>
      </c>
      <c r="P90" s="10">
        <f>'Customer numbers'!X62</f>
        <v>5137.0999999999995</v>
      </c>
      <c r="Q90" s="10">
        <f>'Customer numbers'!Y62</f>
        <v>5900.6999999999989</v>
      </c>
      <c r="R90" s="10">
        <f>'Customer numbers'!Z62</f>
        <v>6247.4999999999991</v>
      </c>
      <c r="S90" s="10">
        <f>'Customer numbers'!AA62</f>
        <v>6619.7999999999984</v>
      </c>
      <c r="T90" s="10">
        <f>'Customer numbers'!AB62</f>
        <v>7012.4999999999982</v>
      </c>
      <c r="U90" s="10">
        <f>'Customer numbers'!AC62</f>
        <v>6966.5999999999985</v>
      </c>
      <c r="V90" s="10">
        <f>'Customer numbers'!AD62</f>
        <v>6915.5999999999985</v>
      </c>
    </row>
    <row r="91" spans="1:27" x14ac:dyDescent="0.25">
      <c r="C91" s="1"/>
      <c r="D91" s="1"/>
      <c r="E91" t="s">
        <v>60</v>
      </c>
      <c r="F91" t="s">
        <v>3</v>
      </c>
      <c r="H91" s="2">
        <f>G91+H90</f>
        <v>1866</v>
      </c>
      <c r="I91" s="2">
        <f t="shared" ref="I91:AA91" si="24">H91+I90</f>
        <v>4222</v>
      </c>
      <c r="J91" s="2">
        <f t="shared" si="24"/>
        <v>7117.7000000000007</v>
      </c>
      <c r="K91" s="2">
        <f t="shared" si="24"/>
        <v>10395.5</v>
      </c>
      <c r="L91" s="2">
        <f t="shared" si="24"/>
        <v>14013.2</v>
      </c>
      <c r="M91" s="2">
        <f t="shared" si="24"/>
        <v>17940.2</v>
      </c>
      <c r="N91" s="2">
        <f t="shared" si="24"/>
        <v>22140.5</v>
      </c>
      <c r="O91" s="2">
        <f t="shared" si="24"/>
        <v>26582.400000000001</v>
      </c>
      <c r="P91" s="2">
        <f t="shared" si="24"/>
        <v>31719.5</v>
      </c>
      <c r="Q91" s="2">
        <f t="shared" si="24"/>
        <v>37620.199999999997</v>
      </c>
      <c r="R91" s="2">
        <f t="shared" si="24"/>
        <v>43867.7</v>
      </c>
      <c r="S91" s="2">
        <f t="shared" si="24"/>
        <v>50487.499999999993</v>
      </c>
      <c r="T91" s="2">
        <f t="shared" si="24"/>
        <v>57499.999999999993</v>
      </c>
      <c r="U91" s="2">
        <f t="shared" si="24"/>
        <v>64466.599999999991</v>
      </c>
      <c r="V91" s="2">
        <f t="shared" si="24"/>
        <v>71382.199999999983</v>
      </c>
      <c r="W91" s="2">
        <f t="shared" si="24"/>
        <v>71382.199999999983</v>
      </c>
      <c r="X91" s="2">
        <f t="shared" si="24"/>
        <v>71382.199999999983</v>
      </c>
      <c r="Y91" s="2">
        <f t="shared" si="24"/>
        <v>71382.199999999983</v>
      </c>
      <c r="Z91" s="2">
        <f t="shared" si="24"/>
        <v>71382.199999999983</v>
      </c>
      <c r="AA91" s="2">
        <f t="shared" si="24"/>
        <v>71382.199999999983</v>
      </c>
    </row>
    <row r="92" spans="1:27" x14ac:dyDescent="0.25">
      <c r="A92" s="14">
        <f>'Notes &amp; Assumptions'!A29</f>
        <v>16</v>
      </c>
      <c r="C92" s="1"/>
      <c r="D92" s="1"/>
      <c r="E92" t="s">
        <v>61</v>
      </c>
      <c r="F92" t="s">
        <v>3</v>
      </c>
      <c r="G92" s="10">
        <v>1</v>
      </c>
    </row>
    <row r="93" spans="1:27" x14ac:dyDescent="0.25">
      <c r="C93" s="1"/>
      <c r="D93" s="1"/>
      <c r="E93" t="s">
        <v>88</v>
      </c>
      <c r="F93" t="s">
        <v>3</v>
      </c>
      <c r="H93">
        <f>H90*$G92</f>
        <v>1866</v>
      </c>
      <c r="I93">
        <f t="shared" ref="I93:AA93" si="25">I90*$G92</f>
        <v>2356</v>
      </c>
      <c r="J93">
        <f t="shared" si="25"/>
        <v>2895.7000000000003</v>
      </c>
      <c r="K93">
        <f t="shared" si="25"/>
        <v>3277.8</v>
      </c>
      <c r="L93">
        <f t="shared" si="25"/>
        <v>3617.7</v>
      </c>
      <c r="M93">
        <f t="shared" si="25"/>
        <v>3926.9999999999995</v>
      </c>
      <c r="N93">
        <f t="shared" si="25"/>
        <v>4200.2999999999993</v>
      </c>
      <c r="O93">
        <f t="shared" si="25"/>
        <v>4441.8999999999996</v>
      </c>
      <c r="P93">
        <f t="shared" si="25"/>
        <v>5137.0999999999995</v>
      </c>
      <c r="Q93">
        <f t="shared" si="25"/>
        <v>5900.6999999999989</v>
      </c>
      <c r="R93">
        <f t="shared" si="25"/>
        <v>6247.4999999999991</v>
      </c>
      <c r="S93">
        <f t="shared" si="25"/>
        <v>6619.7999999999984</v>
      </c>
      <c r="T93">
        <f t="shared" si="25"/>
        <v>7012.4999999999982</v>
      </c>
      <c r="U93">
        <f t="shared" si="25"/>
        <v>6966.5999999999985</v>
      </c>
      <c r="V93">
        <f t="shared" si="25"/>
        <v>6915.5999999999985</v>
      </c>
      <c r="W93">
        <f t="shared" si="25"/>
        <v>0</v>
      </c>
      <c r="X93">
        <f t="shared" si="25"/>
        <v>0</v>
      </c>
      <c r="Y93">
        <f t="shared" si="25"/>
        <v>0</v>
      </c>
      <c r="Z93">
        <f t="shared" si="25"/>
        <v>0</v>
      </c>
      <c r="AA93">
        <f t="shared" si="25"/>
        <v>0</v>
      </c>
    </row>
    <row r="94" spans="1:27" x14ac:dyDescent="0.25">
      <c r="C94" s="1"/>
      <c r="D94" s="1"/>
      <c r="E94" t="s">
        <v>89</v>
      </c>
      <c r="F94" t="s">
        <v>3</v>
      </c>
      <c r="H94">
        <f>H91*$G92</f>
        <v>1866</v>
      </c>
      <c r="I94">
        <f t="shared" ref="I94:AA94" si="26">I91*$G92</f>
        <v>4222</v>
      </c>
      <c r="J94">
        <f t="shared" si="26"/>
        <v>7117.7000000000007</v>
      </c>
      <c r="K94">
        <f t="shared" si="26"/>
        <v>10395.5</v>
      </c>
      <c r="L94">
        <f t="shared" si="26"/>
        <v>14013.2</v>
      </c>
      <c r="M94">
        <f t="shared" si="26"/>
        <v>17940.2</v>
      </c>
      <c r="N94">
        <f t="shared" si="26"/>
        <v>22140.5</v>
      </c>
      <c r="O94">
        <f t="shared" si="26"/>
        <v>26582.400000000001</v>
      </c>
      <c r="P94">
        <f t="shared" si="26"/>
        <v>31719.5</v>
      </c>
      <c r="Q94">
        <f t="shared" si="26"/>
        <v>37620.199999999997</v>
      </c>
      <c r="R94">
        <f t="shared" si="26"/>
        <v>43867.7</v>
      </c>
      <c r="S94">
        <f t="shared" si="26"/>
        <v>50487.499999999993</v>
      </c>
      <c r="T94">
        <f t="shared" si="26"/>
        <v>57499.999999999993</v>
      </c>
      <c r="U94">
        <f t="shared" si="26"/>
        <v>64466.599999999991</v>
      </c>
      <c r="V94">
        <f t="shared" si="26"/>
        <v>71382.199999999983</v>
      </c>
      <c r="W94">
        <f t="shared" si="26"/>
        <v>71382.199999999983</v>
      </c>
      <c r="X94">
        <f t="shared" si="26"/>
        <v>71382.199999999983</v>
      </c>
      <c r="Y94">
        <f t="shared" si="26"/>
        <v>71382.199999999983</v>
      </c>
      <c r="Z94">
        <f t="shared" si="26"/>
        <v>71382.199999999983</v>
      </c>
      <c r="AA94">
        <f t="shared" si="26"/>
        <v>71382.199999999983</v>
      </c>
    </row>
    <row r="95" spans="1:27" x14ac:dyDescent="0.25">
      <c r="A95" s="14">
        <f>'Notes &amp; Assumptions'!A30</f>
        <v>17</v>
      </c>
      <c r="C95" s="1"/>
      <c r="D95" s="1"/>
      <c r="E95" t="s">
        <v>62</v>
      </c>
      <c r="F95" t="s">
        <v>43</v>
      </c>
      <c r="H95" s="10">
        <f>'Key assumptions'!B24</f>
        <v>40</v>
      </c>
      <c r="I95" s="10">
        <f>H95</f>
        <v>40</v>
      </c>
      <c r="J95" s="10">
        <f t="shared" ref="J95:AA95" si="27">I95</f>
        <v>40</v>
      </c>
      <c r="K95" s="10">
        <f t="shared" si="27"/>
        <v>40</v>
      </c>
      <c r="L95" s="10">
        <f t="shared" si="27"/>
        <v>40</v>
      </c>
      <c r="M95" s="10">
        <f t="shared" si="27"/>
        <v>40</v>
      </c>
      <c r="N95" s="10">
        <f t="shared" si="27"/>
        <v>40</v>
      </c>
      <c r="O95" s="10">
        <f t="shared" si="27"/>
        <v>40</v>
      </c>
      <c r="P95" s="10">
        <f t="shared" si="27"/>
        <v>40</v>
      </c>
      <c r="Q95" s="10">
        <f t="shared" si="27"/>
        <v>40</v>
      </c>
      <c r="R95" s="10">
        <f t="shared" si="27"/>
        <v>40</v>
      </c>
      <c r="S95" s="10">
        <f t="shared" si="27"/>
        <v>40</v>
      </c>
      <c r="T95" s="10">
        <f t="shared" si="27"/>
        <v>40</v>
      </c>
      <c r="U95" s="10">
        <f t="shared" si="27"/>
        <v>40</v>
      </c>
      <c r="V95" s="10">
        <f t="shared" si="27"/>
        <v>40</v>
      </c>
      <c r="W95" s="10">
        <f t="shared" si="27"/>
        <v>40</v>
      </c>
      <c r="X95" s="10">
        <f t="shared" si="27"/>
        <v>40</v>
      </c>
      <c r="Y95" s="10">
        <f t="shared" si="27"/>
        <v>40</v>
      </c>
      <c r="Z95" s="10">
        <f t="shared" si="27"/>
        <v>40</v>
      </c>
      <c r="AA95" s="10">
        <f t="shared" si="27"/>
        <v>40</v>
      </c>
    </row>
    <row r="96" spans="1:27" x14ac:dyDescent="0.25">
      <c r="C96" s="1"/>
      <c r="D96" s="1"/>
      <c r="E96" t="s">
        <v>63</v>
      </c>
      <c r="F96" t="s">
        <v>43</v>
      </c>
      <c r="H96" s="10"/>
      <c r="I96" s="10"/>
      <c r="J96" s="10"/>
      <c r="K96" s="10"/>
      <c r="L96" s="10"/>
      <c r="M96" s="10"/>
      <c r="N96" s="10"/>
      <c r="O96" s="10"/>
      <c r="P96" s="10"/>
      <c r="Q96" s="10"/>
      <c r="R96" s="10"/>
      <c r="S96" s="10"/>
      <c r="T96" s="10"/>
      <c r="U96" s="10"/>
      <c r="V96" s="10"/>
      <c r="W96" s="10"/>
      <c r="X96" s="10"/>
      <c r="Y96" s="10"/>
      <c r="Z96" s="10"/>
      <c r="AA96" s="10"/>
    </row>
    <row r="97" spans="1:27" x14ac:dyDescent="0.25">
      <c r="C97" s="1"/>
      <c r="D97" s="1"/>
      <c r="E97" t="s">
        <v>140</v>
      </c>
      <c r="F97" t="s">
        <v>43</v>
      </c>
      <c r="H97" s="10"/>
      <c r="I97" s="10"/>
      <c r="J97" s="10"/>
      <c r="K97" s="10"/>
      <c r="L97" s="10"/>
      <c r="M97" s="10"/>
      <c r="N97" s="10"/>
      <c r="O97" s="10"/>
      <c r="P97" s="10"/>
      <c r="Q97" s="10"/>
      <c r="R97" s="10"/>
      <c r="S97" s="10"/>
      <c r="T97" s="10"/>
      <c r="U97" s="10"/>
      <c r="V97" s="10"/>
      <c r="W97" s="10"/>
      <c r="X97" s="10"/>
      <c r="Y97" s="10"/>
      <c r="Z97" s="10"/>
      <c r="AA97" s="10"/>
    </row>
    <row r="98" spans="1:27" x14ac:dyDescent="0.25">
      <c r="C98" s="1"/>
      <c r="D98" s="1"/>
      <c r="E98" t="s">
        <v>64</v>
      </c>
      <c r="F98" t="s">
        <v>144</v>
      </c>
      <c r="H98" s="2">
        <f>H91*H95</f>
        <v>74640</v>
      </c>
      <c r="I98" s="2">
        <f t="shared" ref="I98:AA98" si="28">I91*I95</f>
        <v>168880</v>
      </c>
      <c r="J98" s="2">
        <f t="shared" si="28"/>
        <v>284708</v>
      </c>
      <c r="K98" s="2">
        <f t="shared" si="28"/>
        <v>415820</v>
      </c>
      <c r="L98" s="2">
        <f t="shared" si="28"/>
        <v>560528</v>
      </c>
      <c r="M98" s="2">
        <f t="shared" si="28"/>
        <v>717608</v>
      </c>
      <c r="N98" s="2">
        <f t="shared" si="28"/>
        <v>885620</v>
      </c>
      <c r="O98" s="2">
        <f t="shared" si="28"/>
        <v>1063296</v>
      </c>
      <c r="P98" s="2">
        <f t="shared" si="28"/>
        <v>1268780</v>
      </c>
      <c r="Q98" s="2">
        <f t="shared" si="28"/>
        <v>1504808</v>
      </c>
      <c r="R98" s="2">
        <f t="shared" si="28"/>
        <v>1754708</v>
      </c>
      <c r="S98" s="2">
        <f t="shared" si="28"/>
        <v>2019499.9999999998</v>
      </c>
      <c r="T98" s="2">
        <f t="shared" si="28"/>
        <v>2299999.9999999995</v>
      </c>
      <c r="U98" s="2">
        <f t="shared" si="28"/>
        <v>2578663.9999999995</v>
      </c>
      <c r="V98" s="2">
        <f t="shared" si="28"/>
        <v>2855287.9999999991</v>
      </c>
      <c r="W98" s="2">
        <f t="shared" si="28"/>
        <v>2855287.9999999991</v>
      </c>
      <c r="X98" s="2">
        <f t="shared" si="28"/>
        <v>2855287.9999999991</v>
      </c>
      <c r="Y98" s="2">
        <f t="shared" si="28"/>
        <v>2855287.9999999991</v>
      </c>
      <c r="Z98" s="2">
        <f t="shared" si="28"/>
        <v>2855287.9999999991</v>
      </c>
      <c r="AA98" s="2">
        <f t="shared" si="28"/>
        <v>2855287.9999999991</v>
      </c>
    </row>
    <row r="99" spans="1:27" x14ac:dyDescent="0.25">
      <c r="C99" s="1"/>
      <c r="D99" s="1"/>
      <c r="E99" t="s">
        <v>65</v>
      </c>
      <c r="F99" t="s">
        <v>144</v>
      </c>
      <c r="H99" s="2">
        <f>H91*H96</f>
        <v>0</v>
      </c>
      <c r="I99" s="2">
        <f t="shared" ref="I99:AA99" si="29">I91*I96</f>
        <v>0</v>
      </c>
      <c r="J99" s="2">
        <f t="shared" si="29"/>
        <v>0</v>
      </c>
      <c r="K99" s="2">
        <f t="shared" si="29"/>
        <v>0</v>
      </c>
      <c r="L99" s="2">
        <f t="shared" si="29"/>
        <v>0</v>
      </c>
      <c r="M99" s="2">
        <f t="shared" si="29"/>
        <v>0</v>
      </c>
      <c r="N99" s="2">
        <f t="shared" si="29"/>
        <v>0</v>
      </c>
      <c r="O99" s="2">
        <f t="shared" si="29"/>
        <v>0</v>
      </c>
      <c r="P99" s="2">
        <f t="shared" si="29"/>
        <v>0</v>
      </c>
      <c r="Q99" s="2">
        <f t="shared" si="29"/>
        <v>0</v>
      </c>
      <c r="R99" s="2">
        <f t="shared" si="29"/>
        <v>0</v>
      </c>
      <c r="S99" s="2">
        <f t="shared" si="29"/>
        <v>0</v>
      </c>
      <c r="T99" s="2">
        <f t="shared" si="29"/>
        <v>0</v>
      </c>
      <c r="U99" s="2">
        <f t="shared" si="29"/>
        <v>0</v>
      </c>
      <c r="V99" s="2">
        <f t="shared" si="29"/>
        <v>0</v>
      </c>
      <c r="W99" s="2">
        <f t="shared" si="29"/>
        <v>0</v>
      </c>
      <c r="X99" s="2">
        <f t="shared" si="29"/>
        <v>0</v>
      </c>
      <c r="Y99" s="2">
        <f t="shared" si="29"/>
        <v>0</v>
      </c>
      <c r="Z99" s="2">
        <f t="shared" si="29"/>
        <v>0</v>
      </c>
      <c r="AA99" s="2">
        <f t="shared" si="29"/>
        <v>0</v>
      </c>
    </row>
    <row r="100" spans="1:27" x14ac:dyDescent="0.25">
      <c r="C100" s="1"/>
      <c r="D100" s="1"/>
      <c r="E100" t="s">
        <v>141</v>
      </c>
      <c r="F100" t="s">
        <v>144</v>
      </c>
      <c r="H100" s="2">
        <f>H91*H97</f>
        <v>0</v>
      </c>
      <c r="I100" s="2">
        <f t="shared" ref="I100:AA100" si="30">I91*I97</f>
        <v>0</v>
      </c>
      <c r="J100" s="2">
        <f t="shared" si="30"/>
        <v>0</v>
      </c>
      <c r="K100" s="2">
        <f t="shared" si="30"/>
        <v>0</v>
      </c>
      <c r="L100" s="2">
        <f t="shared" si="30"/>
        <v>0</v>
      </c>
      <c r="M100" s="2">
        <f t="shared" si="30"/>
        <v>0</v>
      </c>
      <c r="N100" s="2">
        <f t="shared" si="30"/>
        <v>0</v>
      </c>
      <c r="O100" s="2">
        <f t="shared" si="30"/>
        <v>0</v>
      </c>
      <c r="P100" s="2">
        <f t="shared" si="30"/>
        <v>0</v>
      </c>
      <c r="Q100" s="2">
        <f t="shared" si="30"/>
        <v>0</v>
      </c>
      <c r="R100" s="2">
        <f t="shared" si="30"/>
        <v>0</v>
      </c>
      <c r="S100" s="2">
        <f t="shared" si="30"/>
        <v>0</v>
      </c>
      <c r="T100" s="2">
        <f t="shared" si="30"/>
        <v>0</v>
      </c>
      <c r="U100" s="2">
        <f t="shared" si="30"/>
        <v>0</v>
      </c>
      <c r="V100" s="2">
        <f t="shared" si="30"/>
        <v>0</v>
      </c>
      <c r="W100" s="2">
        <f t="shared" si="30"/>
        <v>0</v>
      </c>
      <c r="X100" s="2">
        <f t="shared" si="30"/>
        <v>0</v>
      </c>
      <c r="Y100" s="2">
        <f t="shared" si="30"/>
        <v>0</v>
      </c>
      <c r="Z100" s="2">
        <f t="shared" si="30"/>
        <v>0</v>
      </c>
      <c r="AA100" s="2">
        <f t="shared" si="30"/>
        <v>0</v>
      </c>
    </row>
    <row r="101" spans="1:27" x14ac:dyDescent="0.25">
      <c r="A101" s="14">
        <f>'Notes &amp; Assumptions'!A31</f>
        <v>18</v>
      </c>
      <c r="C101" s="1"/>
      <c r="D101" s="1"/>
      <c r="E101" t="s">
        <v>66</v>
      </c>
      <c r="F101" t="s">
        <v>8</v>
      </c>
      <c r="H101" s="11">
        <f>'YVW tariffs'!D32</f>
        <v>-4.24E-2</v>
      </c>
      <c r="I101" s="11">
        <f>'YVW tariffs'!E32</f>
        <v>-2.7400000000000001E-2</v>
      </c>
      <c r="J101" s="11">
        <f>'YVW tariffs'!F32</f>
        <v>0</v>
      </c>
      <c r="K101" s="11">
        <f>'YVW tariffs'!G32</f>
        <v>0</v>
      </c>
      <c r="L101" s="11">
        <f>'YVW tariffs'!H32</f>
        <v>0</v>
      </c>
      <c r="M101" s="11">
        <v>0</v>
      </c>
      <c r="N101" s="11">
        <v>0</v>
      </c>
      <c r="O101" s="11">
        <v>0</v>
      </c>
      <c r="P101" s="11">
        <v>0</v>
      </c>
      <c r="Q101" s="11">
        <v>0</v>
      </c>
      <c r="R101" s="11">
        <v>0</v>
      </c>
      <c r="S101" s="11">
        <v>0</v>
      </c>
      <c r="T101" s="11">
        <v>0</v>
      </c>
      <c r="U101" s="11">
        <v>0</v>
      </c>
      <c r="V101" s="11">
        <v>0</v>
      </c>
      <c r="W101" s="11">
        <v>0</v>
      </c>
      <c r="X101" s="11">
        <v>0</v>
      </c>
      <c r="Y101" s="11">
        <v>0</v>
      </c>
      <c r="Z101" s="11">
        <v>0</v>
      </c>
      <c r="AA101" s="11">
        <v>0</v>
      </c>
    </row>
    <row r="102" spans="1:27" x14ac:dyDescent="0.25">
      <c r="A102" s="14">
        <f>'Notes &amp; Assumptions'!A32</f>
        <v>19</v>
      </c>
      <c r="C102" s="1"/>
      <c r="D102" s="1"/>
      <c r="E102" t="s">
        <v>40</v>
      </c>
      <c r="F102" t="s">
        <v>41</v>
      </c>
      <c r="G102" s="43"/>
      <c r="H102" s="2">
        <f>G102*(1+$G$14)*(1+H101)</f>
        <v>0</v>
      </c>
      <c r="I102" s="2">
        <f t="shared" ref="I102:AA102" si="31">H102*(1+$G$14)*(1+I101)</f>
        <v>0</v>
      </c>
      <c r="J102" s="2">
        <f t="shared" si="31"/>
        <v>0</v>
      </c>
      <c r="K102" s="2">
        <f t="shared" si="31"/>
        <v>0</v>
      </c>
      <c r="L102" s="2">
        <f t="shared" si="31"/>
        <v>0</v>
      </c>
      <c r="M102" s="2">
        <f t="shared" si="31"/>
        <v>0</v>
      </c>
      <c r="N102" s="2">
        <f t="shared" si="31"/>
        <v>0</v>
      </c>
      <c r="O102" s="2">
        <f t="shared" si="31"/>
        <v>0</v>
      </c>
      <c r="P102" s="2">
        <f t="shared" si="31"/>
        <v>0</v>
      </c>
      <c r="Q102" s="2">
        <f t="shared" si="31"/>
        <v>0</v>
      </c>
      <c r="R102" s="2">
        <f t="shared" si="31"/>
        <v>0</v>
      </c>
      <c r="S102" s="2">
        <f t="shared" si="31"/>
        <v>0</v>
      </c>
      <c r="T102" s="2">
        <f t="shared" si="31"/>
        <v>0</v>
      </c>
      <c r="U102" s="2">
        <f t="shared" si="31"/>
        <v>0</v>
      </c>
      <c r="V102" s="2">
        <f t="shared" si="31"/>
        <v>0</v>
      </c>
      <c r="W102" s="2">
        <f t="shared" si="31"/>
        <v>0</v>
      </c>
      <c r="X102" s="2">
        <f t="shared" si="31"/>
        <v>0</v>
      </c>
      <c r="Y102" s="2">
        <f t="shared" si="31"/>
        <v>0</v>
      </c>
      <c r="Z102" s="2">
        <f t="shared" si="31"/>
        <v>0</v>
      </c>
      <c r="AA102" s="2">
        <f t="shared" si="31"/>
        <v>0</v>
      </c>
    </row>
    <row r="103" spans="1:27" x14ac:dyDescent="0.25">
      <c r="C103" s="1"/>
      <c r="D103" s="1"/>
      <c r="E103" t="s">
        <v>67</v>
      </c>
      <c r="F103" t="s">
        <v>143</v>
      </c>
      <c r="G103" s="20">
        <f>'YVW tariffs'!E22</f>
        <v>1.7391713999999998</v>
      </c>
      <c r="H103" s="21">
        <f>G103*(1+$G$14)*(1+H101)</f>
        <v>1.7004045738254396</v>
      </c>
      <c r="I103" s="21">
        <f t="shared" ref="I103:AA103" si="32">H103*(1+$G$14)*(1+I101)</f>
        <v>1.6885435717611774</v>
      </c>
      <c r="J103" s="21">
        <f>I103*(1+$G$14)*(1+J101)</f>
        <v>1.7240029867681619</v>
      </c>
      <c r="K103" s="21">
        <f t="shared" si="32"/>
        <v>1.7602070494902931</v>
      </c>
      <c r="L103" s="21">
        <f t="shared" si="32"/>
        <v>1.7971713975295891</v>
      </c>
      <c r="M103" s="21">
        <f t="shared" si="32"/>
        <v>1.8349119968777103</v>
      </c>
      <c r="N103" s="21">
        <f t="shared" si="32"/>
        <v>1.8734451488121422</v>
      </c>
      <c r="O103" s="21">
        <f t="shared" si="32"/>
        <v>1.912787496937197</v>
      </c>
      <c r="P103" s="21">
        <f t="shared" si="32"/>
        <v>1.952956034372878</v>
      </c>
      <c r="Q103" s="21">
        <f t="shared" si="32"/>
        <v>1.9939681110947083</v>
      </c>
      <c r="R103" s="21">
        <f t="shared" si="32"/>
        <v>2.0358414414276971</v>
      </c>
      <c r="S103" s="21">
        <f t="shared" si="32"/>
        <v>2.0785941116976785</v>
      </c>
      <c r="T103" s="21">
        <f t="shared" si="32"/>
        <v>2.1222445880433294</v>
      </c>
      <c r="U103" s="21">
        <f t="shared" si="32"/>
        <v>2.1668117243922391</v>
      </c>
      <c r="V103" s="21">
        <f t="shared" si="32"/>
        <v>2.2123147706044759</v>
      </c>
      <c r="W103" s="21">
        <f t="shared" si="32"/>
        <v>2.2587733807871695</v>
      </c>
      <c r="X103" s="21">
        <f t="shared" si="32"/>
        <v>2.3062076217836998</v>
      </c>
      <c r="Y103" s="21">
        <f t="shared" si="32"/>
        <v>2.3546379818411571</v>
      </c>
      <c r="Z103" s="21">
        <f t="shared" si="32"/>
        <v>2.4040853794598211</v>
      </c>
      <c r="AA103" s="21">
        <f t="shared" si="32"/>
        <v>2.4545711724284773</v>
      </c>
    </row>
    <row r="104" spans="1:27" x14ac:dyDescent="0.25">
      <c r="C104" s="1"/>
      <c r="D104" s="1"/>
      <c r="E104" t="s">
        <v>68</v>
      </c>
      <c r="F104" t="s">
        <v>143</v>
      </c>
      <c r="G104" s="20"/>
      <c r="H104" s="21">
        <f>G104*(1+$G$14)*(1+H101)</f>
        <v>0</v>
      </c>
      <c r="I104" s="21">
        <f t="shared" ref="I104:AA104" si="33">H104*(1+$G$14)*(1+I101)</f>
        <v>0</v>
      </c>
      <c r="J104" s="21">
        <f t="shared" si="33"/>
        <v>0</v>
      </c>
      <c r="K104" s="21">
        <f t="shared" si="33"/>
        <v>0</v>
      </c>
      <c r="L104" s="21">
        <f t="shared" si="33"/>
        <v>0</v>
      </c>
      <c r="M104" s="21">
        <f t="shared" si="33"/>
        <v>0</v>
      </c>
      <c r="N104" s="21">
        <f t="shared" si="33"/>
        <v>0</v>
      </c>
      <c r="O104" s="21">
        <f t="shared" si="33"/>
        <v>0</v>
      </c>
      <c r="P104" s="21">
        <f t="shared" si="33"/>
        <v>0</v>
      </c>
      <c r="Q104" s="21">
        <f t="shared" si="33"/>
        <v>0</v>
      </c>
      <c r="R104" s="21">
        <f t="shared" si="33"/>
        <v>0</v>
      </c>
      <c r="S104" s="21">
        <f t="shared" si="33"/>
        <v>0</v>
      </c>
      <c r="T104" s="21">
        <f t="shared" si="33"/>
        <v>0</v>
      </c>
      <c r="U104" s="21">
        <f t="shared" si="33"/>
        <v>0</v>
      </c>
      <c r="V104" s="21">
        <f t="shared" si="33"/>
        <v>0</v>
      </c>
      <c r="W104" s="21">
        <f t="shared" si="33"/>
        <v>0</v>
      </c>
      <c r="X104" s="21">
        <f t="shared" si="33"/>
        <v>0</v>
      </c>
      <c r="Y104" s="21">
        <f t="shared" si="33"/>
        <v>0</v>
      </c>
      <c r="Z104" s="21">
        <f t="shared" si="33"/>
        <v>0</v>
      </c>
      <c r="AA104" s="21">
        <f t="shared" si="33"/>
        <v>0</v>
      </c>
    </row>
    <row r="105" spans="1:27" x14ac:dyDescent="0.25">
      <c r="C105" s="1"/>
      <c r="D105" s="1"/>
      <c r="E105" t="s">
        <v>142</v>
      </c>
      <c r="F105" t="s">
        <v>143</v>
      </c>
      <c r="G105" s="20"/>
      <c r="H105" s="21">
        <f>G105*(1+$G$14)*(1+H101)</f>
        <v>0</v>
      </c>
      <c r="I105" s="21">
        <f t="shared" ref="I105:AA105" si="34">H105*(1+$G$14)*(1+I101)</f>
        <v>0</v>
      </c>
      <c r="J105" s="21">
        <f t="shared" si="34"/>
        <v>0</v>
      </c>
      <c r="K105" s="21">
        <f t="shared" si="34"/>
        <v>0</v>
      </c>
      <c r="L105" s="21">
        <f t="shared" si="34"/>
        <v>0</v>
      </c>
      <c r="M105" s="21">
        <f t="shared" si="34"/>
        <v>0</v>
      </c>
      <c r="N105" s="21">
        <f t="shared" si="34"/>
        <v>0</v>
      </c>
      <c r="O105" s="21">
        <f t="shared" si="34"/>
        <v>0</v>
      </c>
      <c r="P105" s="21">
        <f t="shared" si="34"/>
        <v>0</v>
      </c>
      <c r="Q105" s="21">
        <f t="shared" si="34"/>
        <v>0</v>
      </c>
      <c r="R105" s="21">
        <f t="shared" si="34"/>
        <v>0</v>
      </c>
      <c r="S105" s="21">
        <f t="shared" si="34"/>
        <v>0</v>
      </c>
      <c r="T105" s="21">
        <f t="shared" si="34"/>
        <v>0</v>
      </c>
      <c r="U105" s="21">
        <f t="shared" si="34"/>
        <v>0</v>
      </c>
      <c r="V105" s="21">
        <f t="shared" si="34"/>
        <v>0</v>
      </c>
      <c r="W105" s="21">
        <f t="shared" si="34"/>
        <v>0</v>
      </c>
      <c r="X105" s="21">
        <f t="shared" si="34"/>
        <v>0</v>
      </c>
      <c r="Y105" s="21">
        <f t="shared" si="34"/>
        <v>0</v>
      </c>
      <c r="Z105" s="21">
        <f t="shared" si="34"/>
        <v>0</v>
      </c>
      <c r="AA105" s="21">
        <f t="shared" si="34"/>
        <v>0</v>
      </c>
    </row>
    <row r="106" spans="1:27" x14ac:dyDescent="0.25">
      <c r="C106" s="1"/>
      <c r="D106" s="1"/>
    </row>
    <row r="107" spans="1:27" x14ac:dyDescent="0.25">
      <c r="C107" s="1"/>
      <c r="D107" s="1"/>
      <c r="E107" t="s">
        <v>69</v>
      </c>
      <c r="F107" t="s">
        <v>58</v>
      </c>
      <c r="H107" s="2">
        <f>SUM(H98:H100)/1000</f>
        <v>74.64</v>
      </c>
      <c r="I107" s="2">
        <f t="shared" ref="I107:AA107" si="35">SUM(I98:I100)/1000</f>
        <v>168.88</v>
      </c>
      <c r="J107" s="2">
        <f t="shared" si="35"/>
        <v>284.70800000000003</v>
      </c>
      <c r="K107" s="2">
        <f t="shared" si="35"/>
        <v>415.82</v>
      </c>
      <c r="L107" s="2">
        <f t="shared" si="35"/>
        <v>560.52800000000002</v>
      </c>
      <c r="M107" s="2">
        <f t="shared" si="35"/>
        <v>717.60799999999995</v>
      </c>
      <c r="N107" s="2">
        <f t="shared" si="35"/>
        <v>885.62</v>
      </c>
      <c r="O107" s="2">
        <f t="shared" si="35"/>
        <v>1063.296</v>
      </c>
      <c r="P107" s="2">
        <f t="shared" si="35"/>
        <v>1268.78</v>
      </c>
      <c r="Q107" s="2">
        <f t="shared" si="35"/>
        <v>1504.808</v>
      </c>
      <c r="R107" s="2">
        <f t="shared" si="35"/>
        <v>1754.7080000000001</v>
      </c>
      <c r="S107" s="2">
        <f t="shared" si="35"/>
        <v>2019.4999999999998</v>
      </c>
      <c r="T107" s="2">
        <f t="shared" si="35"/>
        <v>2299.9999999999995</v>
      </c>
      <c r="U107" s="2">
        <f t="shared" si="35"/>
        <v>2578.6639999999998</v>
      </c>
      <c r="V107" s="2">
        <f t="shared" si="35"/>
        <v>2855.2879999999991</v>
      </c>
      <c r="W107" s="2">
        <f t="shared" si="35"/>
        <v>2855.2879999999991</v>
      </c>
      <c r="X107" s="2">
        <f t="shared" si="35"/>
        <v>2855.2879999999991</v>
      </c>
      <c r="Y107" s="2">
        <f t="shared" si="35"/>
        <v>2855.2879999999991</v>
      </c>
      <c r="Z107" s="2">
        <f t="shared" si="35"/>
        <v>2855.2879999999991</v>
      </c>
      <c r="AA107" s="2">
        <f t="shared" si="35"/>
        <v>2855.2879999999991</v>
      </c>
    </row>
    <row r="108" spans="1:27" x14ac:dyDescent="0.25">
      <c r="C108" s="1"/>
      <c r="D108" s="1"/>
      <c r="E108" t="s">
        <v>70</v>
      </c>
      <c r="F108" t="s">
        <v>7</v>
      </c>
      <c r="H108" s="2">
        <f>H91*H102+H98*H103+H99*H104+H100*H105</f>
        <v>126918.19739033081</v>
      </c>
      <c r="I108" s="2">
        <f t="shared" ref="I108:AA108" si="36">I91*I102+I98*I103+I99*I104+I100*I105</f>
        <v>285161.23839902761</v>
      </c>
      <c r="J108" s="2">
        <f t="shared" si="36"/>
        <v>490837.44235678983</v>
      </c>
      <c r="K108" s="2">
        <f t="shared" si="36"/>
        <v>731929.29531905369</v>
      </c>
      <c r="L108" s="2">
        <f t="shared" si="36"/>
        <v>1007364.8891144656</v>
      </c>
      <c r="M108" s="2">
        <f t="shared" si="36"/>
        <v>1316747.52825542</v>
      </c>
      <c r="N108" s="2">
        <f t="shared" si="36"/>
        <v>1659160.4926910093</v>
      </c>
      <c r="O108" s="2">
        <f t="shared" si="36"/>
        <v>2033859.2943433337</v>
      </c>
      <c r="P108" s="2">
        <f t="shared" si="36"/>
        <v>2477871.5572916199</v>
      </c>
      <c r="Q108" s="2">
        <f t="shared" si="36"/>
        <v>3000539.165320206</v>
      </c>
      <c r="R108" s="2">
        <f t="shared" si="36"/>
        <v>3572307.2640047115</v>
      </c>
      <c r="S108" s="2">
        <f t="shared" si="36"/>
        <v>4197720.8085734611</v>
      </c>
      <c r="T108" s="2">
        <f t="shared" si="36"/>
        <v>4881162.5524996566</v>
      </c>
      <c r="U108" s="2">
        <f t="shared" si="36"/>
        <v>5587479.3884681882</v>
      </c>
      <c r="V108" s="2">
        <f t="shared" si="36"/>
        <v>6316795.8167297104</v>
      </c>
      <c r="W108" s="2">
        <f t="shared" si="36"/>
        <v>6449448.5288810339</v>
      </c>
      <c r="X108" s="2">
        <f t="shared" si="36"/>
        <v>6584886.9479875341</v>
      </c>
      <c r="Y108" s="2">
        <f t="shared" si="36"/>
        <v>6723169.5738952719</v>
      </c>
      <c r="Z108" s="2">
        <f t="shared" si="36"/>
        <v>6864356.1349470718</v>
      </c>
      <c r="AA108" s="2">
        <f t="shared" si="36"/>
        <v>7008507.6137809595</v>
      </c>
    </row>
    <row r="109" spans="1:27" x14ac:dyDescent="0.25">
      <c r="C109" s="1"/>
      <c r="D109" s="1"/>
    </row>
    <row r="110" spans="1:27" x14ac:dyDescent="0.25">
      <c r="C110" s="1"/>
      <c r="D110" t="s">
        <v>71</v>
      </c>
    </row>
    <row r="111" spans="1:27" x14ac:dyDescent="0.25">
      <c r="A111" s="14">
        <f>'Notes &amp; Assumptions'!A33</f>
        <v>20</v>
      </c>
      <c r="C111" s="1"/>
      <c r="D111" s="1"/>
      <c r="E111" t="s">
        <v>87</v>
      </c>
      <c r="F111" t="s">
        <v>3</v>
      </c>
      <c r="H111" s="10">
        <f>'Customer numbers'!P68</f>
        <v>4</v>
      </c>
      <c r="I111" s="10">
        <f>'Customer numbers'!Q68</f>
        <v>4</v>
      </c>
      <c r="J111" s="10">
        <f>'Customer numbers'!R68</f>
        <v>4</v>
      </c>
      <c r="K111" s="10">
        <f>'Customer numbers'!S68</f>
        <v>4</v>
      </c>
      <c r="L111" s="10">
        <f>'Customer numbers'!T68</f>
        <v>4</v>
      </c>
      <c r="M111" s="10">
        <f>'Customer numbers'!U68</f>
        <v>4</v>
      </c>
      <c r="N111" s="10">
        <f>'Customer numbers'!V68</f>
        <v>4</v>
      </c>
      <c r="O111" s="10">
        <f>'Customer numbers'!W68</f>
        <v>4</v>
      </c>
      <c r="P111" s="10">
        <f>'Customer numbers'!X68</f>
        <v>4</v>
      </c>
      <c r="Q111" s="10">
        <f>'Customer numbers'!Y68</f>
        <v>4</v>
      </c>
      <c r="R111" s="10">
        <f>'Customer numbers'!Z68</f>
        <v>4</v>
      </c>
      <c r="S111" s="10">
        <f>'Customer numbers'!AA68</f>
        <v>2</v>
      </c>
      <c r="T111" s="10">
        <f>'Customer numbers'!AB68</f>
        <v>2</v>
      </c>
      <c r="U111" s="10">
        <f>'Customer numbers'!AC68</f>
        <v>2</v>
      </c>
      <c r="V111" s="10">
        <f>'Customer numbers'!AD68</f>
        <v>2</v>
      </c>
    </row>
    <row r="112" spans="1:27" x14ac:dyDescent="0.25">
      <c r="C112" s="1"/>
      <c r="D112" s="1"/>
      <c r="E112" t="s">
        <v>60</v>
      </c>
      <c r="F112" t="s">
        <v>3</v>
      </c>
      <c r="H112" s="2">
        <f>G112+H111</f>
        <v>4</v>
      </c>
      <c r="I112" s="2">
        <f t="shared" ref="I112:AA112" si="37">H112+I111</f>
        <v>8</v>
      </c>
      <c r="J112" s="2">
        <f t="shared" si="37"/>
        <v>12</v>
      </c>
      <c r="K112" s="2">
        <f t="shared" si="37"/>
        <v>16</v>
      </c>
      <c r="L112" s="2">
        <f t="shared" si="37"/>
        <v>20</v>
      </c>
      <c r="M112" s="2">
        <f t="shared" si="37"/>
        <v>24</v>
      </c>
      <c r="N112" s="2">
        <f t="shared" si="37"/>
        <v>28</v>
      </c>
      <c r="O112" s="2">
        <f t="shared" si="37"/>
        <v>32</v>
      </c>
      <c r="P112" s="2">
        <f t="shared" si="37"/>
        <v>36</v>
      </c>
      <c r="Q112" s="2">
        <f t="shared" si="37"/>
        <v>40</v>
      </c>
      <c r="R112" s="2">
        <f t="shared" si="37"/>
        <v>44</v>
      </c>
      <c r="S112" s="2">
        <f t="shared" si="37"/>
        <v>46</v>
      </c>
      <c r="T112" s="2">
        <f t="shared" si="37"/>
        <v>48</v>
      </c>
      <c r="U112" s="2">
        <f t="shared" si="37"/>
        <v>50</v>
      </c>
      <c r="V112" s="2">
        <f t="shared" si="37"/>
        <v>52</v>
      </c>
      <c r="W112" s="2">
        <f t="shared" si="37"/>
        <v>52</v>
      </c>
      <c r="X112" s="2">
        <f t="shared" si="37"/>
        <v>52</v>
      </c>
      <c r="Y112" s="2">
        <f t="shared" si="37"/>
        <v>52</v>
      </c>
      <c r="Z112" s="2">
        <f t="shared" si="37"/>
        <v>52</v>
      </c>
      <c r="AA112" s="2">
        <f t="shared" si="37"/>
        <v>52</v>
      </c>
    </row>
    <row r="113" spans="1:27" x14ac:dyDescent="0.25">
      <c r="A113" s="14">
        <f>'Notes &amp; Assumptions'!A34</f>
        <v>21</v>
      </c>
      <c r="C113" s="1"/>
      <c r="D113" s="1"/>
      <c r="E113" t="s">
        <v>61</v>
      </c>
      <c r="F113" t="s">
        <v>3</v>
      </c>
      <c r="G113" s="10">
        <v>1</v>
      </c>
    </row>
    <row r="114" spans="1:27" x14ac:dyDescent="0.25">
      <c r="C114" s="1"/>
      <c r="D114" s="1"/>
      <c r="E114" t="s">
        <v>88</v>
      </c>
      <c r="F114" t="s">
        <v>3</v>
      </c>
      <c r="H114">
        <f>H111*$G113</f>
        <v>4</v>
      </c>
      <c r="I114">
        <f t="shared" ref="I114:AA114" si="38">I111*$G113</f>
        <v>4</v>
      </c>
      <c r="J114">
        <f t="shared" si="38"/>
        <v>4</v>
      </c>
      <c r="K114">
        <f t="shared" si="38"/>
        <v>4</v>
      </c>
      <c r="L114">
        <f t="shared" si="38"/>
        <v>4</v>
      </c>
      <c r="M114">
        <f t="shared" si="38"/>
        <v>4</v>
      </c>
      <c r="N114">
        <f t="shared" si="38"/>
        <v>4</v>
      </c>
      <c r="O114">
        <f t="shared" si="38"/>
        <v>4</v>
      </c>
      <c r="P114">
        <f t="shared" si="38"/>
        <v>4</v>
      </c>
      <c r="Q114">
        <f t="shared" si="38"/>
        <v>4</v>
      </c>
      <c r="R114">
        <f t="shared" si="38"/>
        <v>4</v>
      </c>
      <c r="S114">
        <f t="shared" si="38"/>
        <v>2</v>
      </c>
      <c r="T114">
        <f t="shared" si="38"/>
        <v>2</v>
      </c>
      <c r="U114">
        <f t="shared" si="38"/>
        <v>2</v>
      </c>
      <c r="V114">
        <f t="shared" si="38"/>
        <v>2</v>
      </c>
      <c r="W114">
        <f t="shared" si="38"/>
        <v>0</v>
      </c>
      <c r="X114">
        <f t="shared" si="38"/>
        <v>0</v>
      </c>
      <c r="Y114">
        <f t="shared" si="38"/>
        <v>0</v>
      </c>
      <c r="Z114">
        <f t="shared" si="38"/>
        <v>0</v>
      </c>
      <c r="AA114">
        <f t="shared" si="38"/>
        <v>0</v>
      </c>
    </row>
    <row r="115" spans="1:27" x14ac:dyDescent="0.25">
      <c r="C115" s="1"/>
      <c r="D115" s="1"/>
      <c r="E115" t="s">
        <v>89</v>
      </c>
      <c r="F115" t="s">
        <v>3</v>
      </c>
      <c r="H115">
        <f>H112*$G113</f>
        <v>4</v>
      </c>
      <c r="I115">
        <f t="shared" ref="I115:AA115" si="39">I112*$G113</f>
        <v>8</v>
      </c>
      <c r="J115">
        <f t="shared" si="39"/>
        <v>12</v>
      </c>
      <c r="K115">
        <f t="shared" si="39"/>
        <v>16</v>
      </c>
      <c r="L115">
        <f t="shared" si="39"/>
        <v>20</v>
      </c>
      <c r="M115">
        <f t="shared" si="39"/>
        <v>24</v>
      </c>
      <c r="N115">
        <f t="shared" si="39"/>
        <v>28</v>
      </c>
      <c r="O115">
        <f t="shared" si="39"/>
        <v>32</v>
      </c>
      <c r="P115">
        <f t="shared" si="39"/>
        <v>36</v>
      </c>
      <c r="Q115">
        <f t="shared" si="39"/>
        <v>40</v>
      </c>
      <c r="R115">
        <f t="shared" si="39"/>
        <v>44</v>
      </c>
      <c r="S115">
        <f t="shared" si="39"/>
        <v>46</v>
      </c>
      <c r="T115">
        <f t="shared" si="39"/>
        <v>48</v>
      </c>
      <c r="U115">
        <f t="shared" si="39"/>
        <v>50</v>
      </c>
      <c r="V115">
        <f t="shared" si="39"/>
        <v>52</v>
      </c>
      <c r="W115">
        <f t="shared" si="39"/>
        <v>52</v>
      </c>
      <c r="X115">
        <f t="shared" si="39"/>
        <v>52</v>
      </c>
      <c r="Y115">
        <f t="shared" si="39"/>
        <v>52</v>
      </c>
      <c r="Z115">
        <f t="shared" si="39"/>
        <v>52</v>
      </c>
      <c r="AA115">
        <f t="shared" si="39"/>
        <v>52</v>
      </c>
    </row>
    <row r="116" spans="1:27" x14ac:dyDescent="0.25">
      <c r="A116" s="14">
        <f>'Notes &amp; Assumptions'!A35</f>
        <v>22</v>
      </c>
      <c r="C116" s="1"/>
      <c r="D116" s="1"/>
      <c r="E116" t="s">
        <v>62</v>
      </c>
      <c r="F116" t="s">
        <v>43</v>
      </c>
      <c r="H116" s="10">
        <v>2873</v>
      </c>
      <c r="I116" s="10">
        <f>H116</f>
        <v>2873</v>
      </c>
      <c r="J116" s="10">
        <f t="shared" ref="J116:AA116" si="40">I116</f>
        <v>2873</v>
      </c>
      <c r="K116" s="10">
        <f t="shared" si="40"/>
        <v>2873</v>
      </c>
      <c r="L116" s="10">
        <f t="shared" si="40"/>
        <v>2873</v>
      </c>
      <c r="M116" s="10">
        <f t="shared" si="40"/>
        <v>2873</v>
      </c>
      <c r="N116" s="10">
        <f t="shared" si="40"/>
        <v>2873</v>
      </c>
      <c r="O116" s="10">
        <f t="shared" si="40"/>
        <v>2873</v>
      </c>
      <c r="P116" s="10">
        <f t="shared" si="40"/>
        <v>2873</v>
      </c>
      <c r="Q116" s="10">
        <f t="shared" si="40"/>
        <v>2873</v>
      </c>
      <c r="R116" s="10">
        <f t="shared" si="40"/>
        <v>2873</v>
      </c>
      <c r="S116" s="10">
        <f t="shared" si="40"/>
        <v>2873</v>
      </c>
      <c r="T116" s="10">
        <f t="shared" si="40"/>
        <v>2873</v>
      </c>
      <c r="U116" s="10">
        <f t="shared" si="40"/>
        <v>2873</v>
      </c>
      <c r="V116" s="10">
        <f t="shared" si="40"/>
        <v>2873</v>
      </c>
      <c r="W116" s="10">
        <f t="shared" si="40"/>
        <v>2873</v>
      </c>
      <c r="X116" s="10">
        <f t="shared" si="40"/>
        <v>2873</v>
      </c>
      <c r="Y116" s="10">
        <f t="shared" si="40"/>
        <v>2873</v>
      </c>
      <c r="Z116" s="10">
        <f t="shared" si="40"/>
        <v>2873</v>
      </c>
      <c r="AA116" s="10">
        <f t="shared" si="40"/>
        <v>2873</v>
      </c>
    </row>
    <row r="117" spans="1:27" x14ac:dyDescent="0.25">
      <c r="C117" s="1"/>
      <c r="D117" s="1"/>
      <c r="E117" t="s">
        <v>63</v>
      </c>
      <c r="F117" t="s">
        <v>43</v>
      </c>
      <c r="H117" s="10"/>
      <c r="I117" s="10"/>
      <c r="J117" s="10"/>
      <c r="K117" s="10"/>
      <c r="L117" s="10"/>
      <c r="M117" s="10"/>
      <c r="N117" s="10"/>
      <c r="O117" s="10"/>
      <c r="P117" s="10"/>
      <c r="Q117" s="10"/>
      <c r="R117" s="10"/>
      <c r="S117" s="10"/>
      <c r="T117" s="10"/>
      <c r="U117" s="10"/>
      <c r="V117" s="10"/>
      <c r="W117" s="10"/>
      <c r="X117" s="10"/>
      <c r="Y117" s="10"/>
      <c r="Z117" s="10"/>
      <c r="AA117" s="10"/>
    </row>
    <row r="118" spans="1:27" x14ac:dyDescent="0.25">
      <c r="C118" s="1"/>
      <c r="D118" s="1"/>
      <c r="E118" t="s">
        <v>140</v>
      </c>
      <c r="F118" t="s">
        <v>43</v>
      </c>
      <c r="H118" s="10"/>
      <c r="I118" s="10"/>
      <c r="J118" s="10"/>
      <c r="K118" s="10"/>
      <c r="L118" s="10"/>
      <c r="M118" s="10"/>
      <c r="N118" s="10"/>
      <c r="O118" s="10"/>
      <c r="P118" s="10"/>
      <c r="Q118" s="10"/>
      <c r="R118" s="10"/>
      <c r="S118" s="10"/>
      <c r="T118" s="10"/>
      <c r="U118" s="10"/>
      <c r="V118" s="10"/>
      <c r="W118" s="10"/>
      <c r="X118" s="10"/>
      <c r="Y118" s="10"/>
      <c r="Z118" s="10"/>
      <c r="AA118" s="10"/>
    </row>
    <row r="119" spans="1:27" x14ac:dyDescent="0.25">
      <c r="C119" s="1"/>
      <c r="D119" s="1"/>
      <c r="E119" t="s">
        <v>64</v>
      </c>
      <c r="F119" t="s">
        <v>144</v>
      </c>
      <c r="H119" s="2">
        <f>H112*H116</f>
        <v>11492</v>
      </c>
      <c r="I119" s="2">
        <f t="shared" ref="I119:AA119" si="41">I112*I116</f>
        <v>22984</v>
      </c>
      <c r="J119" s="2">
        <f t="shared" si="41"/>
        <v>34476</v>
      </c>
      <c r="K119" s="2">
        <f t="shared" si="41"/>
        <v>45968</v>
      </c>
      <c r="L119" s="2">
        <f t="shared" si="41"/>
        <v>57460</v>
      </c>
      <c r="M119" s="2">
        <f t="shared" si="41"/>
        <v>68952</v>
      </c>
      <c r="N119" s="2">
        <f t="shared" si="41"/>
        <v>80444</v>
      </c>
      <c r="O119" s="2">
        <f t="shared" si="41"/>
        <v>91936</v>
      </c>
      <c r="P119" s="2">
        <f t="shared" si="41"/>
        <v>103428</v>
      </c>
      <c r="Q119" s="2">
        <f t="shared" si="41"/>
        <v>114920</v>
      </c>
      <c r="R119" s="2">
        <f t="shared" si="41"/>
        <v>126412</v>
      </c>
      <c r="S119" s="2">
        <f t="shared" si="41"/>
        <v>132158</v>
      </c>
      <c r="T119" s="2">
        <f t="shared" si="41"/>
        <v>137904</v>
      </c>
      <c r="U119" s="2">
        <f t="shared" si="41"/>
        <v>143650</v>
      </c>
      <c r="V119" s="2">
        <f t="shared" si="41"/>
        <v>149396</v>
      </c>
      <c r="W119" s="2">
        <f t="shared" si="41"/>
        <v>149396</v>
      </c>
      <c r="X119" s="2">
        <f t="shared" si="41"/>
        <v>149396</v>
      </c>
      <c r="Y119" s="2">
        <f t="shared" si="41"/>
        <v>149396</v>
      </c>
      <c r="Z119" s="2">
        <f t="shared" si="41"/>
        <v>149396</v>
      </c>
      <c r="AA119" s="2">
        <f t="shared" si="41"/>
        <v>149396</v>
      </c>
    </row>
    <row r="120" spans="1:27" x14ac:dyDescent="0.25">
      <c r="C120" s="1"/>
      <c r="D120" s="1"/>
      <c r="E120" t="s">
        <v>65</v>
      </c>
      <c r="F120" t="s">
        <v>144</v>
      </c>
      <c r="H120" s="2">
        <f>H112*H117</f>
        <v>0</v>
      </c>
      <c r="I120" s="2">
        <f t="shared" ref="I120:AA120" si="42">I112*I117</f>
        <v>0</v>
      </c>
      <c r="J120" s="2">
        <f t="shared" si="42"/>
        <v>0</v>
      </c>
      <c r="K120" s="2">
        <f t="shared" si="42"/>
        <v>0</v>
      </c>
      <c r="L120" s="2">
        <f t="shared" si="42"/>
        <v>0</v>
      </c>
      <c r="M120" s="2">
        <f t="shared" si="42"/>
        <v>0</v>
      </c>
      <c r="N120" s="2">
        <f t="shared" si="42"/>
        <v>0</v>
      </c>
      <c r="O120" s="2">
        <f t="shared" si="42"/>
        <v>0</v>
      </c>
      <c r="P120" s="2">
        <f t="shared" si="42"/>
        <v>0</v>
      </c>
      <c r="Q120" s="2">
        <f t="shared" si="42"/>
        <v>0</v>
      </c>
      <c r="R120" s="2">
        <f t="shared" si="42"/>
        <v>0</v>
      </c>
      <c r="S120" s="2">
        <f t="shared" si="42"/>
        <v>0</v>
      </c>
      <c r="T120" s="2">
        <f t="shared" si="42"/>
        <v>0</v>
      </c>
      <c r="U120" s="2">
        <f t="shared" si="42"/>
        <v>0</v>
      </c>
      <c r="V120" s="2">
        <f t="shared" si="42"/>
        <v>0</v>
      </c>
      <c r="W120" s="2">
        <f t="shared" si="42"/>
        <v>0</v>
      </c>
      <c r="X120" s="2">
        <f t="shared" si="42"/>
        <v>0</v>
      </c>
      <c r="Y120" s="2">
        <f t="shared" si="42"/>
        <v>0</v>
      </c>
      <c r="Z120" s="2">
        <f t="shared" si="42"/>
        <v>0</v>
      </c>
      <c r="AA120" s="2">
        <f t="shared" si="42"/>
        <v>0</v>
      </c>
    </row>
    <row r="121" spans="1:27" x14ac:dyDescent="0.25">
      <c r="C121" s="1"/>
      <c r="D121" s="1"/>
      <c r="E121" t="s">
        <v>141</v>
      </c>
      <c r="F121" t="s">
        <v>144</v>
      </c>
      <c r="H121" s="2">
        <f>H112*H118</f>
        <v>0</v>
      </c>
      <c r="I121" s="2">
        <f t="shared" ref="I121:AA121" si="43">I112*I118</f>
        <v>0</v>
      </c>
      <c r="J121" s="2">
        <f t="shared" si="43"/>
        <v>0</v>
      </c>
      <c r="K121" s="2">
        <f t="shared" si="43"/>
        <v>0</v>
      </c>
      <c r="L121" s="2">
        <f t="shared" si="43"/>
        <v>0</v>
      </c>
      <c r="M121" s="2">
        <f t="shared" si="43"/>
        <v>0</v>
      </c>
      <c r="N121" s="2">
        <f t="shared" si="43"/>
        <v>0</v>
      </c>
      <c r="O121" s="2">
        <f t="shared" si="43"/>
        <v>0</v>
      </c>
      <c r="P121" s="2">
        <f t="shared" si="43"/>
        <v>0</v>
      </c>
      <c r="Q121" s="2">
        <f t="shared" si="43"/>
        <v>0</v>
      </c>
      <c r="R121" s="2">
        <f t="shared" si="43"/>
        <v>0</v>
      </c>
      <c r="S121" s="2">
        <f t="shared" si="43"/>
        <v>0</v>
      </c>
      <c r="T121" s="2">
        <f t="shared" si="43"/>
        <v>0</v>
      </c>
      <c r="U121" s="2">
        <f t="shared" si="43"/>
        <v>0</v>
      </c>
      <c r="V121" s="2">
        <f t="shared" si="43"/>
        <v>0</v>
      </c>
      <c r="W121" s="2">
        <f t="shared" si="43"/>
        <v>0</v>
      </c>
      <c r="X121" s="2">
        <f t="shared" si="43"/>
        <v>0</v>
      </c>
      <c r="Y121" s="2">
        <f t="shared" si="43"/>
        <v>0</v>
      </c>
      <c r="Z121" s="2">
        <f t="shared" si="43"/>
        <v>0</v>
      </c>
      <c r="AA121" s="2">
        <f t="shared" si="43"/>
        <v>0</v>
      </c>
    </row>
    <row r="122" spans="1:27" x14ac:dyDescent="0.25">
      <c r="A122" s="14">
        <f>'Notes &amp; Assumptions'!A36</f>
        <v>23</v>
      </c>
      <c r="C122" s="1"/>
      <c r="D122" s="1"/>
      <c r="E122" t="s">
        <v>66</v>
      </c>
      <c r="F122" t="s">
        <v>8</v>
      </c>
      <c r="H122" s="11">
        <f>'YVW tariffs'!D39</f>
        <v>-4.24E-2</v>
      </c>
      <c r="I122" s="11">
        <f>'YVW tariffs'!E39</f>
        <v>-2.7400000000000001E-2</v>
      </c>
      <c r="J122" s="11">
        <f>'YVW tariffs'!F39</f>
        <v>0</v>
      </c>
      <c r="K122" s="11">
        <f>'YVW tariffs'!G39</f>
        <v>0</v>
      </c>
      <c r="L122" s="11">
        <f>'YVW tariffs'!H39</f>
        <v>0</v>
      </c>
      <c r="M122" s="11"/>
      <c r="N122" s="11"/>
      <c r="O122" s="11"/>
      <c r="P122" s="11"/>
      <c r="Q122" s="11"/>
      <c r="R122" s="11"/>
      <c r="S122" s="11"/>
      <c r="T122" s="11"/>
      <c r="U122" s="11"/>
      <c r="V122" s="11"/>
      <c r="W122" s="11"/>
      <c r="X122" s="11"/>
      <c r="Y122" s="11"/>
      <c r="Z122" s="11"/>
      <c r="AA122" s="11"/>
    </row>
    <row r="123" spans="1:27" x14ac:dyDescent="0.25">
      <c r="A123" s="14">
        <f>'Notes &amp; Assumptions'!A37</f>
        <v>24</v>
      </c>
      <c r="C123" s="1"/>
      <c r="D123" s="1"/>
      <c r="E123" t="s">
        <v>40</v>
      </c>
      <c r="F123" t="s">
        <v>41</v>
      </c>
      <c r="G123" s="43"/>
      <c r="H123" s="2">
        <f>G123*(1+$G$14)*(1+H122)</f>
        <v>0</v>
      </c>
      <c r="I123" s="2">
        <f t="shared" ref="I123:AA123" si="44">H123*(1+$G$14)*(1+I122)</f>
        <v>0</v>
      </c>
      <c r="J123" s="2">
        <f t="shared" si="44"/>
        <v>0</v>
      </c>
      <c r="K123" s="2">
        <f t="shared" si="44"/>
        <v>0</v>
      </c>
      <c r="L123" s="2">
        <f t="shared" si="44"/>
        <v>0</v>
      </c>
      <c r="M123" s="2">
        <f t="shared" si="44"/>
        <v>0</v>
      </c>
      <c r="N123" s="2">
        <f t="shared" si="44"/>
        <v>0</v>
      </c>
      <c r="O123" s="2">
        <f t="shared" si="44"/>
        <v>0</v>
      </c>
      <c r="P123" s="2">
        <f t="shared" si="44"/>
        <v>0</v>
      </c>
      <c r="Q123" s="2">
        <f t="shared" si="44"/>
        <v>0</v>
      </c>
      <c r="R123" s="2">
        <f t="shared" si="44"/>
        <v>0</v>
      </c>
      <c r="S123" s="2">
        <f t="shared" si="44"/>
        <v>0</v>
      </c>
      <c r="T123" s="2">
        <f t="shared" si="44"/>
        <v>0</v>
      </c>
      <c r="U123" s="2">
        <f t="shared" si="44"/>
        <v>0</v>
      </c>
      <c r="V123" s="2">
        <f t="shared" si="44"/>
        <v>0</v>
      </c>
      <c r="W123" s="2">
        <f t="shared" si="44"/>
        <v>0</v>
      </c>
      <c r="X123" s="2">
        <f t="shared" si="44"/>
        <v>0</v>
      </c>
      <c r="Y123" s="2">
        <f t="shared" si="44"/>
        <v>0</v>
      </c>
      <c r="Z123" s="2">
        <f t="shared" si="44"/>
        <v>0</v>
      </c>
      <c r="AA123" s="2">
        <f t="shared" si="44"/>
        <v>0</v>
      </c>
    </row>
    <row r="124" spans="1:27" x14ac:dyDescent="0.25">
      <c r="C124" s="1"/>
      <c r="D124" s="1"/>
      <c r="E124" t="s">
        <v>67</v>
      </c>
      <c r="F124" t="s">
        <v>143</v>
      </c>
      <c r="G124" s="20">
        <f>G103</f>
        <v>1.7391713999999998</v>
      </c>
      <c r="H124" s="21">
        <f>G124*(1+$G$14)*(1+H122)</f>
        <v>1.7004045738254396</v>
      </c>
      <c r="I124" s="21">
        <f t="shared" ref="I124:AA124" si="45">H124*(1+$G$14)*(1+I122)</f>
        <v>1.6885435717611774</v>
      </c>
      <c r="J124" s="21">
        <f t="shared" si="45"/>
        <v>1.7240029867681619</v>
      </c>
      <c r="K124" s="21">
        <f t="shared" si="45"/>
        <v>1.7602070494902931</v>
      </c>
      <c r="L124" s="21">
        <f t="shared" si="45"/>
        <v>1.7971713975295891</v>
      </c>
      <c r="M124" s="21">
        <f t="shared" si="45"/>
        <v>1.8349119968777103</v>
      </c>
      <c r="N124" s="21">
        <f t="shared" si="45"/>
        <v>1.8734451488121422</v>
      </c>
      <c r="O124" s="21">
        <f t="shared" si="45"/>
        <v>1.912787496937197</v>
      </c>
      <c r="P124" s="21">
        <f t="shared" si="45"/>
        <v>1.952956034372878</v>
      </c>
      <c r="Q124" s="21">
        <f t="shared" si="45"/>
        <v>1.9939681110947083</v>
      </c>
      <c r="R124" s="21">
        <f t="shared" si="45"/>
        <v>2.0358414414276971</v>
      </c>
      <c r="S124" s="21">
        <f t="shared" si="45"/>
        <v>2.0785941116976785</v>
      </c>
      <c r="T124" s="21">
        <f t="shared" si="45"/>
        <v>2.1222445880433294</v>
      </c>
      <c r="U124" s="21">
        <f t="shared" si="45"/>
        <v>2.1668117243922391</v>
      </c>
      <c r="V124" s="21">
        <f t="shared" si="45"/>
        <v>2.2123147706044759</v>
      </c>
      <c r="W124" s="21">
        <f t="shared" si="45"/>
        <v>2.2587733807871695</v>
      </c>
      <c r="X124" s="21">
        <f t="shared" si="45"/>
        <v>2.3062076217836998</v>
      </c>
      <c r="Y124" s="21">
        <f t="shared" si="45"/>
        <v>2.3546379818411571</v>
      </c>
      <c r="Z124" s="21">
        <f t="shared" si="45"/>
        <v>2.4040853794598211</v>
      </c>
      <c r="AA124" s="21">
        <f t="shared" si="45"/>
        <v>2.4545711724284773</v>
      </c>
    </row>
    <row r="125" spans="1:27" x14ac:dyDescent="0.25">
      <c r="C125" s="1"/>
      <c r="D125" s="1"/>
      <c r="E125" t="s">
        <v>68</v>
      </c>
      <c r="F125" t="s">
        <v>143</v>
      </c>
      <c r="G125" s="20"/>
      <c r="H125" s="21">
        <f>G125*(1+$G$14)*(1+H122)</f>
        <v>0</v>
      </c>
      <c r="I125" s="21">
        <f t="shared" ref="I125:AA125" si="46">H125*(1+$G$14)*(1+I122)</f>
        <v>0</v>
      </c>
      <c r="J125" s="21">
        <f t="shared" si="46"/>
        <v>0</v>
      </c>
      <c r="K125" s="21">
        <f t="shared" si="46"/>
        <v>0</v>
      </c>
      <c r="L125" s="21">
        <f t="shared" si="46"/>
        <v>0</v>
      </c>
      <c r="M125" s="21">
        <f t="shared" si="46"/>
        <v>0</v>
      </c>
      <c r="N125" s="21">
        <f t="shared" si="46"/>
        <v>0</v>
      </c>
      <c r="O125" s="21">
        <f t="shared" si="46"/>
        <v>0</v>
      </c>
      <c r="P125" s="21">
        <f t="shared" si="46"/>
        <v>0</v>
      </c>
      <c r="Q125" s="21">
        <f t="shared" si="46"/>
        <v>0</v>
      </c>
      <c r="R125" s="21">
        <f t="shared" si="46"/>
        <v>0</v>
      </c>
      <c r="S125" s="21">
        <f t="shared" si="46"/>
        <v>0</v>
      </c>
      <c r="T125" s="21">
        <f t="shared" si="46"/>
        <v>0</v>
      </c>
      <c r="U125" s="21">
        <f t="shared" si="46"/>
        <v>0</v>
      </c>
      <c r="V125" s="21">
        <f t="shared" si="46"/>
        <v>0</v>
      </c>
      <c r="W125" s="21">
        <f t="shared" si="46"/>
        <v>0</v>
      </c>
      <c r="X125" s="21">
        <f t="shared" si="46"/>
        <v>0</v>
      </c>
      <c r="Y125" s="21">
        <f t="shared" si="46"/>
        <v>0</v>
      </c>
      <c r="Z125" s="21">
        <f t="shared" si="46"/>
        <v>0</v>
      </c>
      <c r="AA125" s="21">
        <f t="shared" si="46"/>
        <v>0</v>
      </c>
    </row>
    <row r="126" spans="1:27" x14ac:dyDescent="0.25">
      <c r="C126" s="1"/>
      <c r="D126" s="1"/>
      <c r="E126" t="s">
        <v>142</v>
      </c>
      <c r="F126" t="s">
        <v>143</v>
      </c>
      <c r="G126" s="20"/>
      <c r="H126" s="21">
        <f>G126*(1+$G$14)*(1+H122)</f>
        <v>0</v>
      </c>
      <c r="I126" s="21">
        <f t="shared" ref="I126:AA126" si="47">H126*(1+$G$14)*(1+I122)</f>
        <v>0</v>
      </c>
      <c r="J126" s="21">
        <f t="shared" si="47"/>
        <v>0</v>
      </c>
      <c r="K126" s="21">
        <f t="shared" si="47"/>
        <v>0</v>
      </c>
      <c r="L126" s="21">
        <f t="shared" si="47"/>
        <v>0</v>
      </c>
      <c r="M126" s="21">
        <f t="shared" si="47"/>
        <v>0</v>
      </c>
      <c r="N126" s="21">
        <f t="shared" si="47"/>
        <v>0</v>
      </c>
      <c r="O126" s="21">
        <f t="shared" si="47"/>
        <v>0</v>
      </c>
      <c r="P126" s="21">
        <f t="shared" si="47"/>
        <v>0</v>
      </c>
      <c r="Q126" s="21">
        <f t="shared" si="47"/>
        <v>0</v>
      </c>
      <c r="R126" s="21">
        <f t="shared" si="47"/>
        <v>0</v>
      </c>
      <c r="S126" s="21">
        <f t="shared" si="47"/>
        <v>0</v>
      </c>
      <c r="T126" s="21">
        <f t="shared" si="47"/>
        <v>0</v>
      </c>
      <c r="U126" s="21">
        <f t="shared" si="47"/>
        <v>0</v>
      </c>
      <c r="V126" s="21">
        <f t="shared" si="47"/>
        <v>0</v>
      </c>
      <c r="W126" s="21">
        <f t="shared" si="47"/>
        <v>0</v>
      </c>
      <c r="X126" s="21">
        <f t="shared" si="47"/>
        <v>0</v>
      </c>
      <c r="Y126" s="21">
        <f t="shared" si="47"/>
        <v>0</v>
      </c>
      <c r="Z126" s="21">
        <f t="shared" si="47"/>
        <v>0</v>
      </c>
      <c r="AA126" s="21">
        <f t="shared" si="47"/>
        <v>0</v>
      </c>
    </row>
    <row r="127" spans="1:27" x14ac:dyDescent="0.25">
      <c r="C127" s="1"/>
      <c r="D127" s="1"/>
    </row>
    <row r="128" spans="1:27" x14ac:dyDescent="0.25">
      <c r="C128" s="1"/>
      <c r="D128" s="1"/>
      <c r="E128" t="s">
        <v>72</v>
      </c>
      <c r="F128" t="s">
        <v>58</v>
      </c>
      <c r="H128" s="2">
        <f>SUM(H119:H121)/1000</f>
        <v>11.492000000000001</v>
      </c>
      <c r="I128" s="2">
        <f t="shared" ref="I128:AA128" si="48">SUM(I119:I121)/1000</f>
        <v>22.984000000000002</v>
      </c>
      <c r="J128" s="2">
        <f t="shared" si="48"/>
        <v>34.475999999999999</v>
      </c>
      <c r="K128" s="2">
        <f t="shared" si="48"/>
        <v>45.968000000000004</v>
      </c>
      <c r="L128" s="2">
        <f t="shared" si="48"/>
        <v>57.46</v>
      </c>
      <c r="M128" s="2">
        <f t="shared" si="48"/>
        <v>68.951999999999998</v>
      </c>
      <c r="N128" s="2">
        <f t="shared" si="48"/>
        <v>80.444000000000003</v>
      </c>
      <c r="O128" s="2">
        <f t="shared" si="48"/>
        <v>91.936000000000007</v>
      </c>
      <c r="P128" s="2">
        <f t="shared" si="48"/>
        <v>103.428</v>
      </c>
      <c r="Q128" s="2">
        <f t="shared" si="48"/>
        <v>114.92</v>
      </c>
      <c r="R128" s="2">
        <f t="shared" si="48"/>
        <v>126.41200000000001</v>
      </c>
      <c r="S128" s="2">
        <f t="shared" si="48"/>
        <v>132.15799999999999</v>
      </c>
      <c r="T128" s="2">
        <f t="shared" si="48"/>
        <v>137.904</v>
      </c>
      <c r="U128" s="2">
        <f t="shared" si="48"/>
        <v>143.65</v>
      </c>
      <c r="V128" s="2">
        <f t="shared" si="48"/>
        <v>149.39599999999999</v>
      </c>
      <c r="W128" s="2">
        <f t="shared" si="48"/>
        <v>149.39599999999999</v>
      </c>
      <c r="X128" s="2">
        <f t="shared" si="48"/>
        <v>149.39599999999999</v>
      </c>
      <c r="Y128" s="2">
        <f t="shared" si="48"/>
        <v>149.39599999999999</v>
      </c>
      <c r="Z128" s="2">
        <f t="shared" si="48"/>
        <v>149.39599999999999</v>
      </c>
      <c r="AA128" s="2">
        <f t="shared" si="48"/>
        <v>149.39599999999999</v>
      </c>
    </row>
    <row r="129" spans="1:27" x14ac:dyDescent="0.25">
      <c r="C129" s="1"/>
      <c r="D129" s="1"/>
      <c r="E129" t="s">
        <v>73</v>
      </c>
      <c r="F129" t="s">
        <v>7</v>
      </c>
      <c r="H129" s="2">
        <f>H112*H123+H119*H124+H120*H125+H121*H126</f>
        <v>19541.049362401951</v>
      </c>
      <c r="I129" s="2">
        <f t="shared" ref="I129:AA129" si="49">I112*I123+I119*I124+I120*I125+I121*I126</f>
        <v>38809.485453358902</v>
      </c>
      <c r="J129" s="2">
        <f t="shared" si="49"/>
        <v>59436.726971819146</v>
      </c>
      <c r="K129" s="2">
        <f t="shared" si="49"/>
        <v>80913.197650969785</v>
      </c>
      <c r="L129" s="2">
        <f t="shared" si="49"/>
        <v>103265.46850205019</v>
      </c>
      <c r="M129" s="2">
        <f t="shared" si="49"/>
        <v>126520.85200871188</v>
      </c>
      <c r="N129" s="2">
        <f t="shared" si="49"/>
        <v>150707.42155104395</v>
      </c>
      <c r="O129" s="2">
        <f t="shared" si="49"/>
        <v>175854.03131841813</v>
      </c>
      <c r="P129" s="2">
        <f t="shared" si="49"/>
        <v>201990.33672311803</v>
      </c>
      <c r="Q129" s="2">
        <f t="shared" si="49"/>
        <v>229146.81532700389</v>
      </c>
      <c r="R129" s="2">
        <f t="shared" si="49"/>
        <v>257354.78829375803</v>
      </c>
      <c r="S129" s="2">
        <f t="shared" si="49"/>
        <v>274702.84061374178</v>
      </c>
      <c r="T129" s="2">
        <f t="shared" si="49"/>
        <v>292666.01766952727</v>
      </c>
      <c r="U129" s="2">
        <f t="shared" si="49"/>
        <v>311262.50420894515</v>
      </c>
      <c r="V129" s="2">
        <f t="shared" si="49"/>
        <v>330510.97746922629</v>
      </c>
      <c r="W129" s="2">
        <f t="shared" si="49"/>
        <v>337451.70799607999</v>
      </c>
      <c r="X129" s="2">
        <f t="shared" si="49"/>
        <v>344538.19386399759</v>
      </c>
      <c r="Y129" s="2">
        <f t="shared" si="49"/>
        <v>351773.49593514152</v>
      </c>
      <c r="Z129" s="2">
        <f t="shared" si="49"/>
        <v>359160.73934977944</v>
      </c>
      <c r="AA129" s="2">
        <f t="shared" si="49"/>
        <v>366703.11487612478</v>
      </c>
    </row>
    <row r="130" spans="1:27" x14ac:dyDescent="0.25">
      <c r="C130" s="1"/>
      <c r="D130" s="1"/>
    </row>
    <row r="131" spans="1:27" x14ac:dyDescent="0.25">
      <c r="C131" s="1"/>
      <c r="D131" t="s">
        <v>74</v>
      </c>
    </row>
    <row r="132" spans="1:27" x14ac:dyDescent="0.25">
      <c r="A132" s="14">
        <f>'Notes &amp; Assumptions'!A38</f>
        <v>25</v>
      </c>
      <c r="C132" s="1"/>
      <c r="D132" s="1"/>
      <c r="E132" t="s">
        <v>87</v>
      </c>
      <c r="F132" t="s">
        <v>3</v>
      </c>
      <c r="H132" s="10">
        <v>0</v>
      </c>
      <c r="I132" s="10">
        <v>0</v>
      </c>
      <c r="J132" s="10">
        <v>0</v>
      </c>
      <c r="K132" s="10">
        <v>0</v>
      </c>
      <c r="L132" s="10">
        <v>0</v>
      </c>
      <c r="M132" s="10">
        <v>0</v>
      </c>
      <c r="N132" s="10">
        <v>0</v>
      </c>
      <c r="O132" s="10">
        <v>0</v>
      </c>
      <c r="P132" s="10">
        <v>0</v>
      </c>
      <c r="Q132" s="10">
        <v>0</v>
      </c>
      <c r="R132" s="10">
        <f>AVERAGE($O132:$Q132)</f>
        <v>0</v>
      </c>
      <c r="S132" s="10">
        <f t="shared" ref="S132:V132" si="50">AVERAGE($O132:$Q132)</f>
        <v>0</v>
      </c>
      <c r="T132" s="10">
        <f t="shared" si="50"/>
        <v>0</v>
      </c>
      <c r="U132" s="10">
        <f t="shared" si="50"/>
        <v>0</v>
      </c>
      <c r="V132" s="10">
        <f t="shared" si="50"/>
        <v>0</v>
      </c>
    </row>
    <row r="133" spans="1:27" x14ac:dyDescent="0.25">
      <c r="C133" s="1"/>
      <c r="D133" s="1"/>
      <c r="E133" t="s">
        <v>60</v>
      </c>
      <c r="F133" t="s">
        <v>3</v>
      </c>
      <c r="H133" s="2">
        <f>G133+H132</f>
        <v>0</v>
      </c>
      <c r="I133" s="2">
        <f t="shared" ref="I133:AA133" si="51">H133+I132</f>
        <v>0</v>
      </c>
      <c r="J133" s="2">
        <f t="shared" si="51"/>
        <v>0</v>
      </c>
      <c r="K133" s="2">
        <f t="shared" si="51"/>
        <v>0</v>
      </c>
      <c r="L133" s="2">
        <f t="shared" si="51"/>
        <v>0</v>
      </c>
      <c r="M133" s="2">
        <f t="shared" si="51"/>
        <v>0</v>
      </c>
      <c r="N133" s="2">
        <f t="shared" si="51"/>
        <v>0</v>
      </c>
      <c r="O133" s="2">
        <f t="shared" si="51"/>
        <v>0</v>
      </c>
      <c r="P133" s="2">
        <f t="shared" si="51"/>
        <v>0</v>
      </c>
      <c r="Q133" s="2">
        <f t="shared" si="51"/>
        <v>0</v>
      </c>
      <c r="R133" s="2">
        <f t="shared" si="51"/>
        <v>0</v>
      </c>
      <c r="S133" s="2">
        <f t="shared" si="51"/>
        <v>0</v>
      </c>
      <c r="T133" s="2">
        <f t="shared" si="51"/>
        <v>0</v>
      </c>
      <c r="U133" s="2">
        <f t="shared" si="51"/>
        <v>0</v>
      </c>
      <c r="V133" s="2">
        <f t="shared" si="51"/>
        <v>0</v>
      </c>
      <c r="W133" s="2">
        <f t="shared" si="51"/>
        <v>0</v>
      </c>
      <c r="X133" s="2">
        <f t="shared" si="51"/>
        <v>0</v>
      </c>
      <c r="Y133" s="2">
        <f t="shared" si="51"/>
        <v>0</v>
      </c>
      <c r="Z133" s="2">
        <f t="shared" si="51"/>
        <v>0</v>
      </c>
      <c r="AA133" s="2">
        <f t="shared" si="51"/>
        <v>0</v>
      </c>
    </row>
    <row r="134" spans="1:27" x14ac:dyDescent="0.25">
      <c r="A134" s="14">
        <f>'Notes &amp; Assumptions'!A39</f>
        <v>26</v>
      </c>
      <c r="C134" s="1"/>
      <c r="D134" s="1"/>
      <c r="E134" t="s">
        <v>61</v>
      </c>
      <c r="F134" t="s">
        <v>3</v>
      </c>
      <c r="G134" s="10">
        <v>1</v>
      </c>
    </row>
    <row r="135" spans="1:27" x14ac:dyDescent="0.25">
      <c r="C135" s="1"/>
      <c r="D135" s="1"/>
      <c r="E135" t="s">
        <v>88</v>
      </c>
      <c r="F135" t="s">
        <v>3</v>
      </c>
      <c r="H135">
        <f>H132*$G134</f>
        <v>0</v>
      </c>
      <c r="I135">
        <f t="shared" ref="I135:AA135" si="52">I132*$G134</f>
        <v>0</v>
      </c>
      <c r="J135">
        <f t="shared" si="52"/>
        <v>0</v>
      </c>
      <c r="K135">
        <f t="shared" si="52"/>
        <v>0</v>
      </c>
      <c r="L135">
        <f t="shared" si="52"/>
        <v>0</v>
      </c>
      <c r="M135">
        <f t="shared" si="52"/>
        <v>0</v>
      </c>
      <c r="N135">
        <f t="shared" si="52"/>
        <v>0</v>
      </c>
      <c r="O135">
        <f t="shared" si="52"/>
        <v>0</v>
      </c>
      <c r="P135">
        <f t="shared" si="52"/>
        <v>0</v>
      </c>
      <c r="Q135">
        <f t="shared" si="52"/>
        <v>0</v>
      </c>
      <c r="R135">
        <f t="shared" si="52"/>
        <v>0</v>
      </c>
      <c r="S135">
        <f t="shared" si="52"/>
        <v>0</v>
      </c>
      <c r="T135">
        <f t="shared" si="52"/>
        <v>0</v>
      </c>
      <c r="U135">
        <f t="shared" si="52"/>
        <v>0</v>
      </c>
      <c r="V135">
        <f t="shared" si="52"/>
        <v>0</v>
      </c>
      <c r="W135">
        <f t="shared" si="52"/>
        <v>0</v>
      </c>
      <c r="X135">
        <f t="shared" si="52"/>
        <v>0</v>
      </c>
      <c r="Y135">
        <f t="shared" si="52"/>
        <v>0</v>
      </c>
      <c r="Z135">
        <f t="shared" si="52"/>
        <v>0</v>
      </c>
      <c r="AA135">
        <f t="shared" si="52"/>
        <v>0</v>
      </c>
    </row>
    <row r="136" spans="1:27" x14ac:dyDescent="0.25">
      <c r="C136" s="1"/>
      <c r="D136" s="1"/>
      <c r="E136" t="s">
        <v>89</v>
      </c>
      <c r="F136" t="s">
        <v>3</v>
      </c>
      <c r="H136">
        <f>H133*$G134</f>
        <v>0</v>
      </c>
      <c r="I136">
        <f t="shared" ref="I136:AA136" si="53">I133*$G134</f>
        <v>0</v>
      </c>
      <c r="J136">
        <f t="shared" si="53"/>
        <v>0</v>
      </c>
      <c r="K136">
        <f t="shared" si="53"/>
        <v>0</v>
      </c>
      <c r="L136">
        <f t="shared" si="53"/>
        <v>0</v>
      </c>
      <c r="M136">
        <f t="shared" si="53"/>
        <v>0</v>
      </c>
      <c r="N136">
        <f t="shared" si="53"/>
        <v>0</v>
      </c>
      <c r="O136">
        <f t="shared" si="53"/>
        <v>0</v>
      </c>
      <c r="P136">
        <f t="shared" si="53"/>
        <v>0</v>
      </c>
      <c r="Q136">
        <f t="shared" si="53"/>
        <v>0</v>
      </c>
      <c r="R136">
        <f t="shared" si="53"/>
        <v>0</v>
      </c>
      <c r="S136">
        <f t="shared" si="53"/>
        <v>0</v>
      </c>
      <c r="T136">
        <f t="shared" si="53"/>
        <v>0</v>
      </c>
      <c r="U136">
        <f t="shared" si="53"/>
        <v>0</v>
      </c>
      <c r="V136">
        <f t="shared" si="53"/>
        <v>0</v>
      </c>
      <c r="W136">
        <f t="shared" si="53"/>
        <v>0</v>
      </c>
      <c r="X136">
        <f t="shared" si="53"/>
        <v>0</v>
      </c>
      <c r="Y136">
        <f t="shared" si="53"/>
        <v>0</v>
      </c>
      <c r="Z136">
        <f t="shared" si="53"/>
        <v>0</v>
      </c>
      <c r="AA136">
        <f t="shared" si="53"/>
        <v>0</v>
      </c>
    </row>
    <row r="137" spans="1:27" x14ac:dyDescent="0.25">
      <c r="A137" s="14">
        <f>'Notes &amp; Assumptions'!A40</f>
        <v>27</v>
      </c>
      <c r="C137" s="1"/>
      <c r="D137" s="1"/>
      <c r="E137" t="s">
        <v>62</v>
      </c>
      <c r="F137" t="s">
        <v>43</v>
      </c>
      <c r="H137" s="10"/>
      <c r="I137" s="10"/>
      <c r="J137" s="10"/>
      <c r="K137" s="10"/>
      <c r="L137" s="10"/>
      <c r="M137" s="10"/>
      <c r="N137" s="10"/>
      <c r="O137" s="10"/>
      <c r="P137" s="10"/>
      <c r="Q137" s="10"/>
      <c r="R137" s="10"/>
      <c r="S137" s="10"/>
      <c r="T137" s="10"/>
      <c r="U137" s="10"/>
      <c r="V137" s="10"/>
      <c r="W137" s="10"/>
      <c r="X137" s="10"/>
      <c r="Y137" s="10"/>
      <c r="Z137" s="10"/>
      <c r="AA137" s="10"/>
    </row>
    <row r="138" spans="1:27" x14ac:dyDescent="0.25">
      <c r="C138" s="1"/>
      <c r="D138" s="1"/>
      <c r="E138" t="s">
        <v>63</v>
      </c>
      <c r="F138" t="s">
        <v>43</v>
      </c>
      <c r="H138" s="10"/>
      <c r="I138" s="10"/>
      <c r="J138" s="10"/>
      <c r="K138" s="10"/>
      <c r="L138" s="10"/>
      <c r="M138" s="10"/>
      <c r="N138" s="10"/>
      <c r="O138" s="10"/>
      <c r="P138" s="10"/>
      <c r="Q138" s="10"/>
      <c r="R138" s="10"/>
      <c r="S138" s="10"/>
      <c r="T138" s="10"/>
      <c r="U138" s="10"/>
      <c r="V138" s="10"/>
      <c r="W138" s="10"/>
      <c r="X138" s="10"/>
      <c r="Y138" s="10"/>
      <c r="Z138" s="10"/>
      <c r="AA138" s="10"/>
    </row>
    <row r="139" spans="1:27" x14ac:dyDescent="0.25">
      <c r="A139" s="14">
        <f>'Notes &amp; Assumptions'!A41</f>
        <v>28</v>
      </c>
      <c r="C139" s="1"/>
      <c r="D139" s="1"/>
      <c r="E139" t="s">
        <v>140</v>
      </c>
      <c r="F139" t="s">
        <v>43</v>
      </c>
      <c r="H139" s="10"/>
      <c r="I139" s="10"/>
      <c r="J139" s="10"/>
      <c r="K139" s="10"/>
      <c r="L139" s="10"/>
      <c r="M139" s="10"/>
      <c r="N139" s="10"/>
      <c r="O139" s="10"/>
      <c r="P139" s="10"/>
      <c r="Q139" s="10"/>
      <c r="R139" s="10"/>
      <c r="S139" s="10"/>
      <c r="T139" s="10"/>
      <c r="U139" s="10"/>
      <c r="V139" s="10"/>
      <c r="W139" s="10"/>
      <c r="X139" s="10"/>
      <c r="Y139" s="10"/>
      <c r="Z139" s="10"/>
      <c r="AA139" s="10"/>
    </row>
    <row r="140" spans="1:27" x14ac:dyDescent="0.25">
      <c r="C140" s="1"/>
      <c r="D140" s="1"/>
      <c r="E140" t="s">
        <v>64</v>
      </c>
      <c r="F140" t="s">
        <v>144</v>
      </c>
      <c r="H140" s="2">
        <f>H133*H137</f>
        <v>0</v>
      </c>
      <c r="I140" s="2">
        <f t="shared" ref="I140:AA140" si="54">I133*I137</f>
        <v>0</v>
      </c>
      <c r="J140" s="2">
        <f t="shared" si="54"/>
        <v>0</v>
      </c>
      <c r="K140" s="2">
        <f t="shared" si="54"/>
        <v>0</v>
      </c>
      <c r="L140" s="2">
        <f t="shared" si="54"/>
        <v>0</v>
      </c>
      <c r="M140" s="2">
        <f t="shared" si="54"/>
        <v>0</v>
      </c>
      <c r="N140" s="2">
        <f t="shared" si="54"/>
        <v>0</v>
      </c>
      <c r="O140" s="2">
        <f t="shared" si="54"/>
        <v>0</v>
      </c>
      <c r="P140" s="2">
        <f t="shared" si="54"/>
        <v>0</v>
      </c>
      <c r="Q140" s="2">
        <f t="shared" si="54"/>
        <v>0</v>
      </c>
      <c r="R140" s="2">
        <f t="shared" si="54"/>
        <v>0</v>
      </c>
      <c r="S140" s="2">
        <f t="shared" si="54"/>
        <v>0</v>
      </c>
      <c r="T140" s="2">
        <f t="shared" si="54"/>
        <v>0</v>
      </c>
      <c r="U140" s="2">
        <f t="shared" si="54"/>
        <v>0</v>
      </c>
      <c r="V140" s="2">
        <f t="shared" si="54"/>
        <v>0</v>
      </c>
      <c r="W140" s="2">
        <f t="shared" si="54"/>
        <v>0</v>
      </c>
      <c r="X140" s="2">
        <f t="shared" si="54"/>
        <v>0</v>
      </c>
      <c r="Y140" s="2">
        <f t="shared" si="54"/>
        <v>0</v>
      </c>
      <c r="Z140" s="2">
        <f t="shared" si="54"/>
        <v>0</v>
      </c>
      <c r="AA140" s="2">
        <f t="shared" si="54"/>
        <v>0</v>
      </c>
    </row>
    <row r="141" spans="1:27" x14ac:dyDescent="0.25">
      <c r="C141" s="1"/>
      <c r="D141" s="1"/>
      <c r="E141" t="s">
        <v>65</v>
      </c>
      <c r="F141" t="s">
        <v>144</v>
      </c>
      <c r="H141" s="2">
        <f>H133*H138</f>
        <v>0</v>
      </c>
      <c r="I141" s="2">
        <f t="shared" ref="I141:AA141" si="55">I133*I138</f>
        <v>0</v>
      </c>
      <c r="J141" s="2">
        <f t="shared" si="55"/>
        <v>0</v>
      </c>
      <c r="K141" s="2">
        <f t="shared" si="55"/>
        <v>0</v>
      </c>
      <c r="L141" s="2">
        <f t="shared" si="55"/>
        <v>0</v>
      </c>
      <c r="M141" s="2">
        <f t="shared" si="55"/>
        <v>0</v>
      </c>
      <c r="N141" s="2">
        <f t="shared" si="55"/>
        <v>0</v>
      </c>
      <c r="O141" s="2">
        <f t="shared" si="55"/>
        <v>0</v>
      </c>
      <c r="P141" s="2">
        <f t="shared" si="55"/>
        <v>0</v>
      </c>
      <c r="Q141" s="2">
        <f t="shared" si="55"/>
        <v>0</v>
      </c>
      <c r="R141" s="2">
        <f t="shared" si="55"/>
        <v>0</v>
      </c>
      <c r="S141" s="2">
        <f t="shared" si="55"/>
        <v>0</v>
      </c>
      <c r="T141" s="2">
        <f t="shared" si="55"/>
        <v>0</v>
      </c>
      <c r="U141" s="2">
        <f t="shared" si="55"/>
        <v>0</v>
      </c>
      <c r="V141" s="2">
        <f t="shared" si="55"/>
        <v>0</v>
      </c>
      <c r="W141" s="2">
        <f t="shared" si="55"/>
        <v>0</v>
      </c>
      <c r="X141" s="2">
        <f t="shared" si="55"/>
        <v>0</v>
      </c>
      <c r="Y141" s="2">
        <f t="shared" si="55"/>
        <v>0</v>
      </c>
      <c r="Z141" s="2">
        <f t="shared" si="55"/>
        <v>0</v>
      </c>
      <c r="AA141" s="2">
        <f t="shared" si="55"/>
        <v>0</v>
      </c>
    </row>
    <row r="142" spans="1:27" x14ac:dyDescent="0.25">
      <c r="C142" s="1"/>
      <c r="D142" s="1"/>
      <c r="E142" t="s">
        <v>141</v>
      </c>
      <c r="F142" t="s">
        <v>144</v>
      </c>
      <c r="H142" s="2">
        <f>H133*H139</f>
        <v>0</v>
      </c>
      <c r="I142" s="2">
        <f t="shared" ref="I142:AA142" si="56">I133*I139</f>
        <v>0</v>
      </c>
      <c r="J142" s="2">
        <f t="shared" si="56"/>
        <v>0</v>
      </c>
      <c r="K142" s="2">
        <f t="shared" si="56"/>
        <v>0</v>
      </c>
      <c r="L142" s="2">
        <f t="shared" si="56"/>
        <v>0</v>
      </c>
      <c r="M142" s="2">
        <f t="shared" si="56"/>
        <v>0</v>
      </c>
      <c r="N142" s="2">
        <f t="shared" si="56"/>
        <v>0</v>
      </c>
      <c r="O142" s="2">
        <f t="shared" si="56"/>
        <v>0</v>
      </c>
      <c r="P142" s="2">
        <f t="shared" si="56"/>
        <v>0</v>
      </c>
      <c r="Q142" s="2">
        <f t="shared" si="56"/>
        <v>0</v>
      </c>
      <c r="R142" s="2">
        <f t="shared" si="56"/>
        <v>0</v>
      </c>
      <c r="S142" s="2">
        <f t="shared" si="56"/>
        <v>0</v>
      </c>
      <c r="T142" s="2">
        <f t="shared" si="56"/>
        <v>0</v>
      </c>
      <c r="U142" s="2">
        <f t="shared" si="56"/>
        <v>0</v>
      </c>
      <c r="V142" s="2">
        <f t="shared" si="56"/>
        <v>0</v>
      </c>
      <c r="W142" s="2">
        <f t="shared" si="56"/>
        <v>0</v>
      </c>
      <c r="X142" s="2">
        <f t="shared" si="56"/>
        <v>0</v>
      </c>
      <c r="Y142" s="2">
        <f t="shared" si="56"/>
        <v>0</v>
      </c>
      <c r="Z142" s="2">
        <f t="shared" si="56"/>
        <v>0</v>
      </c>
      <c r="AA142" s="2">
        <f t="shared" si="56"/>
        <v>0</v>
      </c>
    </row>
    <row r="143" spans="1:27" x14ac:dyDescent="0.25">
      <c r="A143" s="14">
        <f>'Notes &amp; Assumptions'!A42</f>
        <v>29</v>
      </c>
      <c r="C143" s="1"/>
      <c r="D143" s="1"/>
      <c r="E143" t="s">
        <v>66</v>
      </c>
      <c r="F143" t="s">
        <v>8</v>
      </c>
      <c r="H143" s="11"/>
      <c r="I143" s="11"/>
      <c r="J143" s="11"/>
      <c r="K143" s="11"/>
      <c r="L143" s="11"/>
      <c r="M143" s="11"/>
      <c r="N143" s="11"/>
      <c r="O143" s="11"/>
      <c r="P143" s="11"/>
      <c r="Q143" s="11"/>
      <c r="R143" s="11"/>
      <c r="S143" s="11"/>
      <c r="T143" s="11"/>
      <c r="U143" s="11"/>
      <c r="V143" s="11"/>
      <c r="W143" s="11"/>
      <c r="X143" s="11"/>
      <c r="Y143" s="11"/>
      <c r="Z143" s="11"/>
      <c r="AA143" s="11"/>
    </row>
    <row r="144" spans="1:27" x14ac:dyDescent="0.25">
      <c r="A144" s="14">
        <f>'Notes &amp; Assumptions'!A43</f>
        <v>30</v>
      </c>
      <c r="C144" s="1"/>
      <c r="D144" s="1"/>
      <c r="E144" t="s">
        <v>40</v>
      </c>
      <c r="F144" t="s">
        <v>41</v>
      </c>
      <c r="G144" s="10"/>
      <c r="H144" s="2">
        <f>G144*(1+$G$14)*(1+H143)</f>
        <v>0</v>
      </c>
      <c r="I144" s="2">
        <f t="shared" ref="I144:AA144" si="57">H144*(1+$G$14)*(1+I143)</f>
        <v>0</v>
      </c>
      <c r="J144" s="2">
        <f t="shared" si="57"/>
        <v>0</v>
      </c>
      <c r="K144" s="2">
        <f t="shared" si="57"/>
        <v>0</v>
      </c>
      <c r="L144" s="2">
        <f t="shared" si="57"/>
        <v>0</v>
      </c>
      <c r="M144" s="2">
        <f t="shared" si="57"/>
        <v>0</v>
      </c>
      <c r="N144" s="2">
        <f t="shared" si="57"/>
        <v>0</v>
      </c>
      <c r="O144" s="2">
        <f t="shared" si="57"/>
        <v>0</v>
      </c>
      <c r="P144" s="2">
        <f t="shared" si="57"/>
        <v>0</v>
      </c>
      <c r="Q144" s="2">
        <f t="shared" si="57"/>
        <v>0</v>
      </c>
      <c r="R144" s="2">
        <f t="shared" si="57"/>
        <v>0</v>
      </c>
      <c r="S144" s="2">
        <f t="shared" si="57"/>
        <v>0</v>
      </c>
      <c r="T144" s="2">
        <f t="shared" si="57"/>
        <v>0</v>
      </c>
      <c r="U144" s="2">
        <f t="shared" si="57"/>
        <v>0</v>
      </c>
      <c r="V144" s="2">
        <f t="shared" si="57"/>
        <v>0</v>
      </c>
      <c r="W144" s="2">
        <f t="shared" si="57"/>
        <v>0</v>
      </c>
      <c r="X144" s="2">
        <f t="shared" si="57"/>
        <v>0</v>
      </c>
      <c r="Y144" s="2">
        <f t="shared" si="57"/>
        <v>0</v>
      </c>
      <c r="Z144" s="2">
        <f t="shared" si="57"/>
        <v>0</v>
      </c>
      <c r="AA144" s="2">
        <f t="shared" si="57"/>
        <v>0</v>
      </c>
    </row>
    <row r="145" spans="1:27" x14ac:dyDescent="0.25">
      <c r="C145" s="1"/>
      <c r="D145" s="1"/>
      <c r="E145" t="s">
        <v>67</v>
      </c>
      <c r="F145" t="s">
        <v>143</v>
      </c>
      <c r="G145" s="20"/>
      <c r="H145" s="21">
        <f>G145*(1+$G$14)*(1+H143)</f>
        <v>0</v>
      </c>
      <c r="I145" s="21">
        <f t="shared" ref="I145:AA145" si="58">H145*(1+$G$14)*(1+I143)</f>
        <v>0</v>
      </c>
      <c r="J145" s="21">
        <f t="shared" si="58"/>
        <v>0</v>
      </c>
      <c r="K145" s="21">
        <f t="shared" si="58"/>
        <v>0</v>
      </c>
      <c r="L145" s="21">
        <f t="shared" si="58"/>
        <v>0</v>
      </c>
      <c r="M145" s="21">
        <f t="shared" si="58"/>
        <v>0</v>
      </c>
      <c r="N145" s="21">
        <f t="shared" si="58"/>
        <v>0</v>
      </c>
      <c r="O145" s="21">
        <f t="shared" si="58"/>
        <v>0</v>
      </c>
      <c r="P145" s="21">
        <f t="shared" si="58"/>
        <v>0</v>
      </c>
      <c r="Q145" s="21">
        <f t="shared" si="58"/>
        <v>0</v>
      </c>
      <c r="R145" s="21">
        <f t="shared" si="58"/>
        <v>0</v>
      </c>
      <c r="S145" s="21">
        <f t="shared" si="58"/>
        <v>0</v>
      </c>
      <c r="T145" s="21">
        <f t="shared" si="58"/>
        <v>0</v>
      </c>
      <c r="U145" s="21">
        <f t="shared" si="58"/>
        <v>0</v>
      </c>
      <c r="V145" s="21">
        <f t="shared" si="58"/>
        <v>0</v>
      </c>
      <c r="W145" s="21">
        <f t="shared" si="58"/>
        <v>0</v>
      </c>
      <c r="X145" s="21">
        <f t="shared" si="58"/>
        <v>0</v>
      </c>
      <c r="Y145" s="21">
        <f t="shared" si="58"/>
        <v>0</v>
      </c>
      <c r="Z145" s="21">
        <f t="shared" si="58"/>
        <v>0</v>
      </c>
      <c r="AA145" s="21">
        <f t="shared" si="58"/>
        <v>0</v>
      </c>
    </row>
    <row r="146" spans="1:27" x14ac:dyDescent="0.25">
      <c r="C146" s="1"/>
      <c r="D146" s="1"/>
      <c r="E146" t="s">
        <v>68</v>
      </c>
      <c r="F146" t="s">
        <v>143</v>
      </c>
      <c r="G146" s="20"/>
      <c r="H146" s="21">
        <f>G146*(1+$G$14)*(1+H143)</f>
        <v>0</v>
      </c>
      <c r="I146" s="21">
        <f t="shared" ref="I146:AA146" si="59">H146*(1+$G$14)*(1+I143)</f>
        <v>0</v>
      </c>
      <c r="J146" s="21">
        <f t="shared" si="59"/>
        <v>0</v>
      </c>
      <c r="K146" s="21">
        <f t="shared" si="59"/>
        <v>0</v>
      </c>
      <c r="L146" s="21">
        <f t="shared" si="59"/>
        <v>0</v>
      </c>
      <c r="M146" s="21">
        <f t="shared" si="59"/>
        <v>0</v>
      </c>
      <c r="N146" s="21">
        <f t="shared" si="59"/>
        <v>0</v>
      </c>
      <c r="O146" s="21">
        <f t="shared" si="59"/>
        <v>0</v>
      </c>
      <c r="P146" s="21">
        <f t="shared" si="59"/>
        <v>0</v>
      </c>
      <c r="Q146" s="21">
        <f t="shared" si="59"/>
        <v>0</v>
      </c>
      <c r="R146" s="21">
        <f t="shared" si="59"/>
        <v>0</v>
      </c>
      <c r="S146" s="21">
        <f t="shared" si="59"/>
        <v>0</v>
      </c>
      <c r="T146" s="21">
        <f t="shared" si="59"/>
        <v>0</v>
      </c>
      <c r="U146" s="21">
        <f t="shared" si="59"/>
        <v>0</v>
      </c>
      <c r="V146" s="21">
        <f t="shared" si="59"/>
        <v>0</v>
      </c>
      <c r="W146" s="21">
        <f t="shared" si="59"/>
        <v>0</v>
      </c>
      <c r="X146" s="21">
        <f t="shared" si="59"/>
        <v>0</v>
      </c>
      <c r="Y146" s="21">
        <f t="shared" si="59"/>
        <v>0</v>
      </c>
      <c r="Z146" s="21">
        <f t="shared" si="59"/>
        <v>0</v>
      </c>
      <c r="AA146" s="21">
        <f t="shared" si="59"/>
        <v>0</v>
      </c>
    </row>
    <row r="147" spans="1:27" x14ac:dyDescent="0.25">
      <c r="C147" s="1"/>
      <c r="D147" s="1"/>
      <c r="E147" t="s">
        <v>142</v>
      </c>
      <c r="F147" t="s">
        <v>143</v>
      </c>
      <c r="G147" s="20"/>
      <c r="H147" s="21">
        <f>G147*(1+$G$14)*(1+H143)</f>
        <v>0</v>
      </c>
      <c r="I147" s="21">
        <f t="shared" ref="I147:AA147" si="60">H147*(1+$G$14)*(1+I143)</f>
        <v>0</v>
      </c>
      <c r="J147" s="21">
        <f t="shared" si="60"/>
        <v>0</v>
      </c>
      <c r="K147" s="21">
        <f t="shared" si="60"/>
        <v>0</v>
      </c>
      <c r="L147" s="21">
        <f t="shared" si="60"/>
        <v>0</v>
      </c>
      <c r="M147" s="21">
        <f t="shared" si="60"/>
        <v>0</v>
      </c>
      <c r="N147" s="21">
        <f t="shared" si="60"/>
        <v>0</v>
      </c>
      <c r="O147" s="21">
        <f t="shared" si="60"/>
        <v>0</v>
      </c>
      <c r="P147" s="21">
        <f t="shared" si="60"/>
        <v>0</v>
      </c>
      <c r="Q147" s="21">
        <f t="shared" si="60"/>
        <v>0</v>
      </c>
      <c r="R147" s="21">
        <f t="shared" si="60"/>
        <v>0</v>
      </c>
      <c r="S147" s="21">
        <f t="shared" si="60"/>
        <v>0</v>
      </c>
      <c r="T147" s="21">
        <f t="shared" si="60"/>
        <v>0</v>
      </c>
      <c r="U147" s="21">
        <f t="shared" si="60"/>
        <v>0</v>
      </c>
      <c r="V147" s="21">
        <f t="shared" si="60"/>
        <v>0</v>
      </c>
      <c r="W147" s="21">
        <f t="shared" si="60"/>
        <v>0</v>
      </c>
      <c r="X147" s="21">
        <f t="shared" si="60"/>
        <v>0</v>
      </c>
      <c r="Y147" s="21">
        <f t="shared" si="60"/>
        <v>0</v>
      </c>
      <c r="Z147" s="21">
        <f t="shared" si="60"/>
        <v>0</v>
      </c>
      <c r="AA147" s="21">
        <f t="shared" si="60"/>
        <v>0</v>
      </c>
    </row>
    <row r="148" spans="1:27" x14ac:dyDescent="0.25">
      <c r="C148" s="1"/>
      <c r="D148" s="1"/>
    </row>
    <row r="149" spans="1:27" x14ac:dyDescent="0.25">
      <c r="C149" s="1"/>
      <c r="D149" s="1"/>
      <c r="E149" t="s">
        <v>75</v>
      </c>
      <c r="F149" t="s">
        <v>58</v>
      </c>
      <c r="H149" s="2">
        <f>SUM(H140:H142)/1000</f>
        <v>0</v>
      </c>
      <c r="I149" s="2">
        <f t="shared" ref="I149:AA149" si="61">SUM(I140:I142)/1000</f>
        <v>0</v>
      </c>
      <c r="J149" s="2">
        <f t="shared" si="61"/>
        <v>0</v>
      </c>
      <c r="K149" s="2">
        <f t="shared" si="61"/>
        <v>0</v>
      </c>
      <c r="L149" s="2">
        <f t="shared" si="61"/>
        <v>0</v>
      </c>
      <c r="M149" s="2">
        <f t="shared" si="61"/>
        <v>0</v>
      </c>
      <c r="N149" s="2">
        <f t="shared" si="61"/>
        <v>0</v>
      </c>
      <c r="O149" s="2">
        <f t="shared" si="61"/>
        <v>0</v>
      </c>
      <c r="P149" s="2">
        <f t="shared" si="61"/>
        <v>0</v>
      </c>
      <c r="Q149" s="2">
        <f t="shared" si="61"/>
        <v>0</v>
      </c>
      <c r="R149" s="2">
        <f t="shared" si="61"/>
        <v>0</v>
      </c>
      <c r="S149" s="2">
        <f t="shared" si="61"/>
        <v>0</v>
      </c>
      <c r="T149" s="2">
        <f t="shared" si="61"/>
        <v>0</v>
      </c>
      <c r="U149" s="2">
        <f t="shared" si="61"/>
        <v>0</v>
      </c>
      <c r="V149" s="2">
        <f t="shared" si="61"/>
        <v>0</v>
      </c>
      <c r="W149" s="2">
        <f t="shared" si="61"/>
        <v>0</v>
      </c>
      <c r="X149" s="2">
        <f t="shared" si="61"/>
        <v>0</v>
      </c>
      <c r="Y149" s="2">
        <f t="shared" si="61"/>
        <v>0</v>
      </c>
      <c r="Z149" s="2">
        <f t="shared" si="61"/>
        <v>0</v>
      </c>
      <c r="AA149" s="2">
        <f t="shared" si="61"/>
        <v>0</v>
      </c>
    </row>
    <row r="150" spans="1:27" x14ac:dyDescent="0.25">
      <c r="C150" s="1"/>
      <c r="D150" s="1"/>
      <c r="E150" t="s">
        <v>76</v>
      </c>
      <c r="F150" t="s">
        <v>7</v>
      </c>
      <c r="H150" s="2">
        <f>H133*H144+H140*H145+H141*H146+H142*H147</f>
        <v>0</v>
      </c>
      <c r="I150" s="2">
        <f t="shared" ref="I150:AA150" si="62">I133*I144+I140*I145+I141*I146+I142*I147</f>
        <v>0</v>
      </c>
      <c r="J150" s="2">
        <f t="shared" si="62"/>
        <v>0</v>
      </c>
      <c r="K150" s="2">
        <f t="shared" si="62"/>
        <v>0</v>
      </c>
      <c r="L150" s="2">
        <f t="shared" si="62"/>
        <v>0</v>
      </c>
      <c r="M150" s="2">
        <f t="shared" si="62"/>
        <v>0</v>
      </c>
      <c r="N150" s="2">
        <f t="shared" si="62"/>
        <v>0</v>
      </c>
      <c r="O150" s="2">
        <f t="shared" si="62"/>
        <v>0</v>
      </c>
      <c r="P150" s="2">
        <f t="shared" si="62"/>
        <v>0</v>
      </c>
      <c r="Q150" s="2">
        <f t="shared" si="62"/>
        <v>0</v>
      </c>
      <c r="R150" s="2">
        <f t="shared" si="62"/>
        <v>0</v>
      </c>
      <c r="S150" s="2">
        <f t="shared" si="62"/>
        <v>0</v>
      </c>
      <c r="T150" s="2">
        <f t="shared" si="62"/>
        <v>0</v>
      </c>
      <c r="U150" s="2">
        <f t="shared" si="62"/>
        <v>0</v>
      </c>
      <c r="V150" s="2">
        <f t="shared" si="62"/>
        <v>0</v>
      </c>
      <c r="W150" s="2">
        <f t="shared" si="62"/>
        <v>0</v>
      </c>
      <c r="X150" s="2">
        <f t="shared" si="62"/>
        <v>0</v>
      </c>
      <c r="Y150" s="2">
        <f t="shared" si="62"/>
        <v>0</v>
      </c>
      <c r="Z150" s="2">
        <f t="shared" si="62"/>
        <v>0</v>
      </c>
      <c r="AA150" s="2">
        <f t="shared" si="62"/>
        <v>0</v>
      </c>
    </row>
    <row r="151" spans="1:27" x14ac:dyDescent="0.25">
      <c r="C151" s="1"/>
      <c r="D151" s="1"/>
    </row>
    <row r="152" spans="1:27" x14ac:dyDescent="0.25">
      <c r="C152" s="1"/>
      <c r="D152" t="s">
        <v>77</v>
      </c>
    </row>
    <row r="153" spans="1:27" x14ac:dyDescent="0.25">
      <c r="A153" s="14">
        <f>'Notes &amp; Assumptions'!A44</f>
        <v>31</v>
      </c>
      <c r="C153" s="1"/>
      <c r="D153" s="1"/>
      <c r="E153" t="s">
        <v>87</v>
      </c>
      <c r="F153" t="s">
        <v>3</v>
      </c>
      <c r="H153" s="10">
        <v>0</v>
      </c>
      <c r="I153" s="10">
        <v>0</v>
      </c>
      <c r="J153" s="10">
        <v>0</v>
      </c>
      <c r="K153" s="10">
        <v>0</v>
      </c>
      <c r="L153" s="10">
        <v>0</v>
      </c>
      <c r="M153" s="10">
        <v>0</v>
      </c>
      <c r="N153" s="10">
        <v>0</v>
      </c>
      <c r="O153" s="10">
        <v>0</v>
      </c>
      <c r="P153" s="10">
        <v>0</v>
      </c>
      <c r="Q153" s="10">
        <v>0</v>
      </c>
      <c r="R153" s="10">
        <f>AVERAGE($O153:$Q153)</f>
        <v>0</v>
      </c>
      <c r="S153" s="10">
        <f t="shared" ref="S153:V153" si="63">AVERAGE($O153:$Q153)</f>
        <v>0</v>
      </c>
      <c r="T153" s="10">
        <f t="shared" si="63"/>
        <v>0</v>
      </c>
      <c r="U153" s="10">
        <f t="shared" si="63"/>
        <v>0</v>
      </c>
      <c r="V153" s="10">
        <f t="shared" si="63"/>
        <v>0</v>
      </c>
    </row>
    <row r="154" spans="1:27" x14ac:dyDescent="0.25">
      <c r="C154" s="1"/>
      <c r="D154" s="1"/>
      <c r="E154" t="s">
        <v>60</v>
      </c>
      <c r="F154" t="s">
        <v>3</v>
      </c>
      <c r="H154" s="2">
        <f>G154+H153</f>
        <v>0</v>
      </c>
      <c r="I154" s="2">
        <f t="shared" ref="I154:AA154" si="64">H154+I153</f>
        <v>0</v>
      </c>
      <c r="J154" s="2">
        <f t="shared" si="64"/>
        <v>0</v>
      </c>
      <c r="K154" s="2">
        <f t="shared" si="64"/>
        <v>0</v>
      </c>
      <c r="L154" s="2">
        <f t="shared" si="64"/>
        <v>0</v>
      </c>
      <c r="M154" s="2">
        <f t="shared" si="64"/>
        <v>0</v>
      </c>
      <c r="N154" s="2">
        <f t="shared" si="64"/>
        <v>0</v>
      </c>
      <c r="O154" s="2">
        <f t="shared" si="64"/>
        <v>0</v>
      </c>
      <c r="P154" s="2">
        <f t="shared" si="64"/>
        <v>0</v>
      </c>
      <c r="Q154" s="2">
        <f t="shared" si="64"/>
        <v>0</v>
      </c>
      <c r="R154" s="2">
        <f t="shared" si="64"/>
        <v>0</v>
      </c>
      <c r="S154" s="2">
        <f t="shared" si="64"/>
        <v>0</v>
      </c>
      <c r="T154" s="2">
        <f t="shared" si="64"/>
        <v>0</v>
      </c>
      <c r="U154" s="2">
        <f t="shared" si="64"/>
        <v>0</v>
      </c>
      <c r="V154" s="2">
        <f t="shared" si="64"/>
        <v>0</v>
      </c>
      <c r="W154" s="2">
        <f t="shared" si="64"/>
        <v>0</v>
      </c>
      <c r="X154" s="2">
        <f t="shared" si="64"/>
        <v>0</v>
      </c>
      <c r="Y154" s="2">
        <f t="shared" si="64"/>
        <v>0</v>
      </c>
      <c r="Z154" s="2">
        <f t="shared" si="64"/>
        <v>0</v>
      </c>
      <c r="AA154" s="2">
        <f t="shared" si="64"/>
        <v>0</v>
      </c>
    </row>
    <row r="155" spans="1:27" x14ac:dyDescent="0.25">
      <c r="A155" s="14">
        <f>'Notes &amp; Assumptions'!A45</f>
        <v>32</v>
      </c>
      <c r="C155" s="1"/>
      <c r="D155" s="1"/>
      <c r="E155" t="s">
        <v>61</v>
      </c>
      <c r="F155" t="s">
        <v>3</v>
      </c>
      <c r="G155" s="10">
        <v>1</v>
      </c>
    </row>
    <row r="156" spans="1:27" x14ac:dyDescent="0.25">
      <c r="C156" s="1"/>
      <c r="D156" s="1"/>
      <c r="E156" t="s">
        <v>88</v>
      </c>
      <c r="F156" t="s">
        <v>3</v>
      </c>
      <c r="H156">
        <f>H153*$G155</f>
        <v>0</v>
      </c>
      <c r="I156">
        <f t="shared" ref="I156:AA156" si="65">I153*$G155</f>
        <v>0</v>
      </c>
      <c r="J156">
        <f t="shared" si="65"/>
        <v>0</v>
      </c>
      <c r="K156">
        <f t="shared" si="65"/>
        <v>0</v>
      </c>
      <c r="L156">
        <f t="shared" si="65"/>
        <v>0</v>
      </c>
      <c r="M156">
        <f t="shared" si="65"/>
        <v>0</v>
      </c>
      <c r="N156">
        <f t="shared" si="65"/>
        <v>0</v>
      </c>
      <c r="O156">
        <f t="shared" si="65"/>
        <v>0</v>
      </c>
      <c r="P156">
        <f t="shared" si="65"/>
        <v>0</v>
      </c>
      <c r="Q156">
        <f t="shared" si="65"/>
        <v>0</v>
      </c>
      <c r="R156">
        <f t="shared" si="65"/>
        <v>0</v>
      </c>
      <c r="S156">
        <f t="shared" si="65"/>
        <v>0</v>
      </c>
      <c r="T156">
        <f t="shared" si="65"/>
        <v>0</v>
      </c>
      <c r="U156">
        <f t="shared" si="65"/>
        <v>0</v>
      </c>
      <c r="V156">
        <f t="shared" si="65"/>
        <v>0</v>
      </c>
      <c r="W156">
        <f t="shared" si="65"/>
        <v>0</v>
      </c>
      <c r="X156">
        <f t="shared" si="65"/>
        <v>0</v>
      </c>
      <c r="Y156">
        <f t="shared" si="65"/>
        <v>0</v>
      </c>
      <c r="Z156">
        <f t="shared" si="65"/>
        <v>0</v>
      </c>
      <c r="AA156">
        <f t="shared" si="65"/>
        <v>0</v>
      </c>
    </row>
    <row r="157" spans="1:27" x14ac:dyDescent="0.25">
      <c r="C157" s="1"/>
      <c r="D157" s="1"/>
      <c r="E157" t="s">
        <v>89</v>
      </c>
      <c r="F157" t="s">
        <v>3</v>
      </c>
      <c r="H157">
        <f>H154*$G155</f>
        <v>0</v>
      </c>
      <c r="I157">
        <f t="shared" ref="I157:AA157" si="66">I154*$G155</f>
        <v>0</v>
      </c>
      <c r="J157">
        <f t="shared" si="66"/>
        <v>0</v>
      </c>
      <c r="K157">
        <f t="shared" si="66"/>
        <v>0</v>
      </c>
      <c r="L157">
        <f t="shared" si="66"/>
        <v>0</v>
      </c>
      <c r="M157">
        <f t="shared" si="66"/>
        <v>0</v>
      </c>
      <c r="N157">
        <f t="shared" si="66"/>
        <v>0</v>
      </c>
      <c r="O157">
        <f t="shared" si="66"/>
        <v>0</v>
      </c>
      <c r="P157">
        <f t="shared" si="66"/>
        <v>0</v>
      </c>
      <c r="Q157">
        <f t="shared" si="66"/>
        <v>0</v>
      </c>
      <c r="R157">
        <f t="shared" si="66"/>
        <v>0</v>
      </c>
      <c r="S157">
        <f t="shared" si="66"/>
        <v>0</v>
      </c>
      <c r="T157">
        <f t="shared" si="66"/>
        <v>0</v>
      </c>
      <c r="U157">
        <f t="shared" si="66"/>
        <v>0</v>
      </c>
      <c r="V157">
        <f t="shared" si="66"/>
        <v>0</v>
      </c>
      <c r="W157">
        <f t="shared" si="66"/>
        <v>0</v>
      </c>
      <c r="X157">
        <f t="shared" si="66"/>
        <v>0</v>
      </c>
      <c r="Y157">
        <f t="shared" si="66"/>
        <v>0</v>
      </c>
      <c r="Z157">
        <f t="shared" si="66"/>
        <v>0</v>
      </c>
      <c r="AA157">
        <f t="shared" si="66"/>
        <v>0</v>
      </c>
    </row>
    <row r="158" spans="1:27" x14ac:dyDescent="0.25">
      <c r="A158" s="14">
        <f>'Notes &amp; Assumptions'!A46</f>
        <v>33</v>
      </c>
      <c r="C158" s="1"/>
      <c r="D158" s="1"/>
      <c r="E158" t="s">
        <v>62</v>
      </c>
      <c r="F158" t="s">
        <v>43</v>
      </c>
      <c r="H158" s="10"/>
      <c r="I158" s="10"/>
      <c r="J158" s="10"/>
      <c r="K158" s="10"/>
      <c r="L158" s="10"/>
      <c r="M158" s="10"/>
      <c r="N158" s="10"/>
      <c r="O158" s="10"/>
      <c r="P158" s="10"/>
      <c r="Q158" s="10"/>
      <c r="R158" s="10"/>
      <c r="S158" s="10"/>
      <c r="T158" s="10"/>
      <c r="U158" s="10"/>
      <c r="V158" s="10"/>
      <c r="W158" s="10"/>
      <c r="X158" s="10"/>
      <c r="Y158" s="10"/>
      <c r="Z158" s="10"/>
      <c r="AA158" s="10"/>
    </row>
    <row r="159" spans="1:27" x14ac:dyDescent="0.25">
      <c r="C159" s="1"/>
      <c r="D159" s="1"/>
      <c r="E159" t="s">
        <v>63</v>
      </c>
      <c r="F159" t="s">
        <v>43</v>
      </c>
      <c r="H159" s="10"/>
      <c r="I159" s="10"/>
      <c r="J159" s="10"/>
      <c r="K159" s="10"/>
      <c r="L159" s="10"/>
      <c r="M159" s="10"/>
      <c r="N159" s="10"/>
      <c r="O159" s="10"/>
      <c r="P159" s="10"/>
      <c r="Q159" s="10"/>
      <c r="R159" s="10"/>
      <c r="S159" s="10"/>
      <c r="T159" s="10"/>
      <c r="U159" s="10"/>
      <c r="V159" s="10"/>
      <c r="W159" s="10"/>
      <c r="X159" s="10"/>
      <c r="Y159" s="10"/>
      <c r="Z159" s="10"/>
      <c r="AA159" s="10"/>
    </row>
    <row r="160" spans="1:27" x14ac:dyDescent="0.25">
      <c r="A160" s="14">
        <f>'Notes &amp; Assumptions'!A47</f>
        <v>34</v>
      </c>
      <c r="C160" s="1"/>
      <c r="D160" s="1"/>
      <c r="E160" t="s">
        <v>140</v>
      </c>
      <c r="F160" t="s">
        <v>43</v>
      </c>
      <c r="H160" s="10"/>
      <c r="I160" s="10"/>
      <c r="J160" s="10"/>
      <c r="K160" s="10"/>
      <c r="L160" s="10"/>
      <c r="M160" s="10"/>
      <c r="N160" s="10"/>
      <c r="O160" s="10"/>
      <c r="P160" s="10"/>
      <c r="Q160" s="10"/>
      <c r="R160" s="10"/>
      <c r="S160" s="10"/>
      <c r="T160" s="10"/>
      <c r="U160" s="10"/>
      <c r="V160" s="10"/>
      <c r="W160" s="10"/>
      <c r="X160" s="10"/>
      <c r="Y160" s="10"/>
      <c r="Z160" s="10"/>
      <c r="AA160" s="10"/>
    </row>
    <row r="161" spans="1:27" x14ac:dyDescent="0.25">
      <c r="C161" s="1"/>
      <c r="D161" s="1"/>
      <c r="E161" t="s">
        <v>64</v>
      </c>
      <c r="F161" t="s">
        <v>144</v>
      </c>
      <c r="H161" s="2">
        <f>H154*H158</f>
        <v>0</v>
      </c>
      <c r="I161" s="2">
        <f t="shared" ref="I161:AA161" si="67">I154*I158</f>
        <v>0</v>
      </c>
      <c r="J161" s="2">
        <f t="shared" si="67"/>
        <v>0</v>
      </c>
      <c r="K161" s="2">
        <f t="shared" si="67"/>
        <v>0</v>
      </c>
      <c r="L161" s="2">
        <f t="shared" si="67"/>
        <v>0</v>
      </c>
      <c r="M161" s="2">
        <f t="shared" si="67"/>
        <v>0</v>
      </c>
      <c r="N161" s="2">
        <f t="shared" si="67"/>
        <v>0</v>
      </c>
      <c r="O161" s="2">
        <f t="shared" si="67"/>
        <v>0</v>
      </c>
      <c r="P161" s="2">
        <f t="shared" si="67"/>
        <v>0</v>
      </c>
      <c r="Q161" s="2">
        <f t="shared" si="67"/>
        <v>0</v>
      </c>
      <c r="R161" s="2">
        <f t="shared" si="67"/>
        <v>0</v>
      </c>
      <c r="S161" s="2">
        <f t="shared" si="67"/>
        <v>0</v>
      </c>
      <c r="T161" s="2">
        <f t="shared" si="67"/>
        <v>0</v>
      </c>
      <c r="U161" s="2">
        <f t="shared" si="67"/>
        <v>0</v>
      </c>
      <c r="V161" s="2">
        <f t="shared" si="67"/>
        <v>0</v>
      </c>
      <c r="W161" s="2">
        <f t="shared" si="67"/>
        <v>0</v>
      </c>
      <c r="X161" s="2">
        <f t="shared" si="67"/>
        <v>0</v>
      </c>
      <c r="Y161" s="2">
        <f t="shared" si="67"/>
        <v>0</v>
      </c>
      <c r="Z161" s="2">
        <f t="shared" si="67"/>
        <v>0</v>
      </c>
      <c r="AA161" s="2">
        <f t="shared" si="67"/>
        <v>0</v>
      </c>
    </row>
    <row r="162" spans="1:27" x14ac:dyDescent="0.25">
      <c r="C162" s="1"/>
      <c r="D162" s="1"/>
      <c r="E162" t="s">
        <v>65</v>
      </c>
      <c r="F162" t="s">
        <v>144</v>
      </c>
      <c r="H162" s="2">
        <f>H154*H159</f>
        <v>0</v>
      </c>
      <c r="I162" s="2">
        <f t="shared" ref="I162:AA162" si="68">I154*I159</f>
        <v>0</v>
      </c>
      <c r="J162" s="2">
        <f t="shared" si="68"/>
        <v>0</v>
      </c>
      <c r="K162" s="2">
        <f t="shared" si="68"/>
        <v>0</v>
      </c>
      <c r="L162" s="2">
        <f t="shared" si="68"/>
        <v>0</v>
      </c>
      <c r="M162" s="2">
        <f t="shared" si="68"/>
        <v>0</v>
      </c>
      <c r="N162" s="2">
        <f t="shared" si="68"/>
        <v>0</v>
      </c>
      <c r="O162" s="2">
        <f t="shared" si="68"/>
        <v>0</v>
      </c>
      <c r="P162" s="2">
        <f t="shared" si="68"/>
        <v>0</v>
      </c>
      <c r="Q162" s="2">
        <f t="shared" si="68"/>
        <v>0</v>
      </c>
      <c r="R162" s="2">
        <f t="shared" si="68"/>
        <v>0</v>
      </c>
      <c r="S162" s="2">
        <f t="shared" si="68"/>
        <v>0</v>
      </c>
      <c r="T162" s="2">
        <f t="shared" si="68"/>
        <v>0</v>
      </c>
      <c r="U162" s="2">
        <f t="shared" si="68"/>
        <v>0</v>
      </c>
      <c r="V162" s="2">
        <f t="shared" si="68"/>
        <v>0</v>
      </c>
      <c r="W162" s="2">
        <f t="shared" si="68"/>
        <v>0</v>
      </c>
      <c r="X162" s="2">
        <f t="shared" si="68"/>
        <v>0</v>
      </c>
      <c r="Y162" s="2">
        <f t="shared" si="68"/>
        <v>0</v>
      </c>
      <c r="Z162" s="2">
        <f t="shared" si="68"/>
        <v>0</v>
      </c>
      <c r="AA162" s="2">
        <f t="shared" si="68"/>
        <v>0</v>
      </c>
    </row>
    <row r="163" spans="1:27" x14ac:dyDescent="0.25">
      <c r="C163" s="1"/>
      <c r="D163" s="1"/>
      <c r="E163" t="s">
        <v>141</v>
      </c>
      <c r="F163" t="s">
        <v>144</v>
      </c>
      <c r="H163" s="2">
        <f>H154*H160</f>
        <v>0</v>
      </c>
      <c r="I163" s="2">
        <f t="shared" ref="I163:AA163" si="69">I154*I160</f>
        <v>0</v>
      </c>
      <c r="J163" s="2">
        <f t="shared" si="69"/>
        <v>0</v>
      </c>
      <c r="K163" s="2">
        <f t="shared" si="69"/>
        <v>0</v>
      </c>
      <c r="L163" s="2">
        <f t="shared" si="69"/>
        <v>0</v>
      </c>
      <c r="M163" s="2">
        <f t="shared" si="69"/>
        <v>0</v>
      </c>
      <c r="N163" s="2">
        <f t="shared" si="69"/>
        <v>0</v>
      </c>
      <c r="O163" s="2">
        <f t="shared" si="69"/>
        <v>0</v>
      </c>
      <c r="P163" s="2">
        <f t="shared" si="69"/>
        <v>0</v>
      </c>
      <c r="Q163" s="2">
        <f t="shared" si="69"/>
        <v>0</v>
      </c>
      <c r="R163" s="2">
        <f t="shared" si="69"/>
        <v>0</v>
      </c>
      <c r="S163" s="2">
        <f t="shared" si="69"/>
        <v>0</v>
      </c>
      <c r="T163" s="2">
        <f t="shared" si="69"/>
        <v>0</v>
      </c>
      <c r="U163" s="2">
        <f t="shared" si="69"/>
        <v>0</v>
      </c>
      <c r="V163" s="2">
        <f t="shared" si="69"/>
        <v>0</v>
      </c>
      <c r="W163" s="2">
        <f t="shared" si="69"/>
        <v>0</v>
      </c>
      <c r="X163" s="2">
        <f t="shared" si="69"/>
        <v>0</v>
      </c>
      <c r="Y163" s="2">
        <f t="shared" si="69"/>
        <v>0</v>
      </c>
      <c r="Z163" s="2">
        <f t="shared" si="69"/>
        <v>0</v>
      </c>
      <c r="AA163" s="2">
        <f t="shared" si="69"/>
        <v>0</v>
      </c>
    </row>
    <row r="164" spans="1:27" x14ac:dyDescent="0.25">
      <c r="A164" s="14">
        <f>'Notes &amp; Assumptions'!A48</f>
        <v>35</v>
      </c>
      <c r="C164" s="1"/>
      <c r="D164" s="1"/>
      <c r="E164" t="s">
        <v>66</v>
      </c>
      <c r="F164" t="s">
        <v>8</v>
      </c>
      <c r="H164" s="11"/>
      <c r="I164" s="11"/>
      <c r="J164" s="11"/>
      <c r="K164" s="11"/>
      <c r="L164" s="11"/>
      <c r="M164" s="11"/>
      <c r="N164" s="11"/>
      <c r="O164" s="11"/>
      <c r="P164" s="11"/>
      <c r="Q164" s="11"/>
      <c r="R164" s="11"/>
      <c r="S164" s="11"/>
      <c r="T164" s="11"/>
      <c r="U164" s="11"/>
      <c r="V164" s="11"/>
      <c r="W164" s="11"/>
      <c r="X164" s="11"/>
      <c r="Y164" s="11"/>
      <c r="Z164" s="11"/>
      <c r="AA164" s="11"/>
    </row>
    <row r="165" spans="1:27" x14ac:dyDescent="0.25">
      <c r="A165" s="14">
        <f>'Notes &amp; Assumptions'!A49</f>
        <v>36</v>
      </c>
      <c r="C165" s="1"/>
      <c r="D165" s="1"/>
      <c r="E165" t="s">
        <v>40</v>
      </c>
      <c r="F165" t="s">
        <v>41</v>
      </c>
      <c r="G165" s="10"/>
      <c r="H165" s="2">
        <f>G165*(1+$G$14)*(1+H164)</f>
        <v>0</v>
      </c>
      <c r="I165" s="2">
        <f t="shared" ref="I165:AA165" si="70">H165*(1+$G$14)*(1+I164)</f>
        <v>0</v>
      </c>
      <c r="J165" s="2">
        <f t="shared" si="70"/>
        <v>0</v>
      </c>
      <c r="K165" s="2">
        <f t="shared" si="70"/>
        <v>0</v>
      </c>
      <c r="L165" s="2">
        <f t="shared" si="70"/>
        <v>0</v>
      </c>
      <c r="M165" s="2">
        <f t="shared" si="70"/>
        <v>0</v>
      </c>
      <c r="N165" s="2">
        <f t="shared" si="70"/>
        <v>0</v>
      </c>
      <c r="O165" s="2">
        <f t="shared" si="70"/>
        <v>0</v>
      </c>
      <c r="P165" s="2">
        <f t="shared" si="70"/>
        <v>0</v>
      </c>
      <c r="Q165" s="2">
        <f t="shared" si="70"/>
        <v>0</v>
      </c>
      <c r="R165" s="2">
        <f t="shared" si="70"/>
        <v>0</v>
      </c>
      <c r="S165" s="2">
        <f t="shared" si="70"/>
        <v>0</v>
      </c>
      <c r="T165" s="2">
        <f t="shared" si="70"/>
        <v>0</v>
      </c>
      <c r="U165" s="2">
        <f t="shared" si="70"/>
        <v>0</v>
      </c>
      <c r="V165" s="2">
        <f t="shared" si="70"/>
        <v>0</v>
      </c>
      <c r="W165" s="2">
        <f t="shared" si="70"/>
        <v>0</v>
      </c>
      <c r="X165" s="2">
        <f t="shared" si="70"/>
        <v>0</v>
      </c>
      <c r="Y165" s="2">
        <f t="shared" si="70"/>
        <v>0</v>
      </c>
      <c r="Z165" s="2">
        <f t="shared" si="70"/>
        <v>0</v>
      </c>
      <c r="AA165" s="2">
        <f t="shared" si="70"/>
        <v>0</v>
      </c>
    </row>
    <row r="166" spans="1:27" x14ac:dyDescent="0.25">
      <c r="C166" s="1"/>
      <c r="D166" s="1"/>
      <c r="E166" t="s">
        <v>67</v>
      </c>
      <c r="F166" t="s">
        <v>143</v>
      </c>
      <c r="G166" s="20"/>
      <c r="H166" s="21">
        <f>G166*(1+$G$14)*(1+H164)</f>
        <v>0</v>
      </c>
      <c r="I166" s="21">
        <f t="shared" ref="I166:AA166" si="71">H166*(1+$G$14)*(1+I164)</f>
        <v>0</v>
      </c>
      <c r="J166" s="21">
        <f t="shared" si="71"/>
        <v>0</v>
      </c>
      <c r="K166" s="21">
        <f t="shared" si="71"/>
        <v>0</v>
      </c>
      <c r="L166" s="21">
        <f t="shared" si="71"/>
        <v>0</v>
      </c>
      <c r="M166" s="21">
        <f t="shared" si="71"/>
        <v>0</v>
      </c>
      <c r="N166" s="21">
        <f t="shared" si="71"/>
        <v>0</v>
      </c>
      <c r="O166" s="21">
        <f t="shared" si="71"/>
        <v>0</v>
      </c>
      <c r="P166" s="21">
        <f t="shared" si="71"/>
        <v>0</v>
      </c>
      <c r="Q166" s="21">
        <f t="shared" si="71"/>
        <v>0</v>
      </c>
      <c r="R166" s="21">
        <f t="shared" si="71"/>
        <v>0</v>
      </c>
      <c r="S166" s="21">
        <f t="shared" si="71"/>
        <v>0</v>
      </c>
      <c r="T166" s="21">
        <f t="shared" si="71"/>
        <v>0</v>
      </c>
      <c r="U166" s="21">
        <f t="shared" si="71"/>
        <v>0</v>
      </c>
      <c r="V166" s="21">
        <f t="shared" si="71"/>
        <v>0</v>
      </c>
      <c r="W166" s="21">
        <f t="shared" si="71"/>
        <v>0</v>
      </c>
      <c r="X166" s="21">
        <f t="shared" si="71"/>
        <v>0</v>
      </c>
      <c r="Y166" s="21">
        <f t="shared" si="71"/>
        <v>0</v>
      </c>
      <c r="Z166" s="21">
        <f t="shared" si="71"/>
        <v>0</v>
      </c>
      <c r="AA166" s="21">
        <f t="shared" si="71"/>
        <v>0</v>
      </c>
    </row>
    <row r="167" spans="1:27" x14ac:dyDescent="0.25">
      <c r="C167" s="1"/>
      <c r="D167" s="1"/>
      <c r="E167" t="s">
        <v>68</v>
      </c>
      <c r="F167" t="s">
        <v>143</v>
      </c>
      <c r="G167" s="20"/>
      <c r="H167" s="21">
        <f>G167*(1+$G$14)*(1+H164)</f>
        <v>0</v>
      </c>
      <c r="I167" s="21">
        <f t="shared" ref="I167:AA167" si="72">H167*(1+$G$14)*(1+I164)</f>
        <v>0</v>
      </c>
      <c r="J167" s="21">
        <f t="shared" si="72"/>
        <v>0</v>
      </c>
      <c r="K167" s="21">
        <f t="shared" si="72"/>
        <v>0</v>
      </c>
      <c r="L167" s="21">
        <f t="shared" si="72"/>
        <v>0</v>
      </c>
      <c r="M167" s="21">
        <f t="shared" si="72"/>
        <v>0</v>
      </c>
      <c r="N167" s="21">
        <f t="shared" si="72"/>
        <v>0</v>
      </c>
      <c r="O167" s="21">
        <f t="shared" si="72"/>
        <v>0</v>
      </c>
      <c r="P167" s="21">
        <f t="shared" si="72"/>
        <v>0</v>
      </c>
      <c r="Q167" s="21">
        <f t="shared" si="72"/>
        <v>0</v>
      </c>
      <c r="R167" s="21">
        <f t="shared" si="72"/>
        <v>0</v>
      </c>
      <c r="S167" s="21">
        <f t="shared" si="72"/>
        <v>0</v>
      </c>
      <c r="T167" s="21">
        <f t="shared" si="72"/>
        <v>0</v>
      </c>
      <c r="U167" s="21">
        <f t="shared" si="72"/>
        <v>0</v>
      </c>
      <c r="V167" s="21">
        <f t="shared" si="72"/>
        <v>0</v>
      </c>
      <c r="W167" s="21">
        <f t="shared" si="72"/>
        <v>0</v>
      </c>
      <c r="X167" s="21">
        <f t="shared" si="72"/>
        <v>0</v>
      </c>
      <c r="Y167" s="21">
        <f t="shared" si="72"/>
        <v>0</v>
      </c>
      <c r="Z167" s="21">
        <f t="shared" si="72"/>
        <v>0</v>
      </c>
      <c r="AA167" s="21">
        <f t="shared" si="72"/>
        <v>0</v>
      </c>
    </row>
    <row r="168" spans="1:27" x14ac:dyDescent="0.25">
      <c r="C168" s="1"/>
      <c r="D168" s="1"/>
      <c r="E168" t="s">
        <v>142</v>
      </c>
      <c r="F168" t="s">
        <v>143</v>
      </c>
      <c r="G168" s="20"/>
      <c r="H168" s="21">
        <f>G168*(1+$G$14)*(1+H164)</f>
        <v>0</v>
      </c>
      <c r="I168" s="21">
        <f t="shared" ref="I168:AA168" si="73">H168*(1+$G$14)*(1+I164)</f>
        <v>0</v>
      </c>
      <c r="J168" s="21">
        <f t="shared" si="73"/>
        <v>0</v>
      </c>
      <c r="K168" s="21">
        <f t="shared" si="73"/>
        <v>0</v>
      </c>
      <c r="L168" s="21">
        <f t="shared" si="73"/>
        <v>0</v>
      </c>
      <c r="M168" s="21">
        <f t="shared" si="73"/>
        <v>0</v>
      </c>
      <c r="N168" s="21">
        <f t="shared" si="73"/>
        <v>0</v>
      </c>
      <c r="O168" s="21">
        <f t="shared" si="73"/>
        <v>0</v>
      </c>
      <c r="P168" s="21">
        <f t="shared" si="73"/>
        <v>0</v>
      </c>
      <c r="Q168" s="21">
        <f t="shared" si="73"/>
        <v>0</v>
      </c>
      <c r="R168" s="21">
        <f t="shared" si="73"/>
        <v>0</v>
      </c>
      <c r="S168" s="21">
        <f t="shared" si="73"/>
        <v>0</v>
      </c>
      <c r="T168" s="21">
        <f t="shared" si="73"/>
        <v>0</v>
      </c>
      <c r="U168" s="21">
        <f t="shared" si="73"/>
        <v>0</v>
      </c>
      <c r="V168" s="21">
        <f t="shared" si="73"/>
        <v>0</v>
      </c>
      <c r="W168" s="21">
        <f t="shared" si="73"/>
        <v>0</v>
      </c>
      <c r="X168" s="21">
        <f t="shared" si="73"/>
        <v>0</v>
      </c>
      <c r="Y168" s="21">
        <f t="shared" si="73"/>
        <v>0</v>
      </c>
      <c r="Z168" s="21">
        <f t="shared" si="73"/>
        <v>0</v>
      </c>
      <c r="AA168" s="21">
        <f t="shared" si="73"/>
        <v>0</v>
      </c>
    </row>
    <row r="169" spans="1:27" x14ac:dyDescent="0.25">
      <c r="C169" s="1"/>
      <c r="D169" s="1"/>
    </row>
    <row r="170" spans="1:27" x14ac:dyDescent="0.25">
      <c r="C170" s="1"/>
      <c r="D170" s="1"/>
      <c r="E170" t="s">
        <v>78</v>
      </c>
      <c r="F170" t="s">
        <v>58</v>
      </c>
      <c r="H170" s="2">
        <f>SUM(H161:H163)/1000</f>
        <v>0</v>
      </c>
      <c r="I170" s="2">
        <f t="shared" ref="I170:AA170" si="74">SUM(I161:I163)/1000</f>
        <v>0</v>
      </c>
      <c r="J170" s="2">
        <f t="shared" si="74"/>
        <v>0</v>
      </c>
      <c r="K170" s="2">
        <f t="shared" si="74"/>
        <v>0</v>
      </c>
      <c r="L170" s="2">
        <f t="shared" si="74"/>
        <v>0</v>
      </c>
      <c r="M170" s="2">
        <f t="shared" si="74"/>
        <v>0</v>
      </c>
      <c r="N170" s="2">
        <f t="shared" si="74"/>
        <v>0</v>
      </c>
      <c r="O170" s="2">
        <f t="shared" si="74"/>
        <v>0</v>
      </c>
      <c r="P170" s="2">
        <f t="shared" si="74"/>
        <v>0</v>
      </c>
      <c r="Q170" s="2">
        <f t="shared" si="74"/>
        <v>0</v>
      </c>
      <c r="R170" s="2">
        <f t="shared" si="74"/>
        <v>0</v>
      </c>
      <c r="S170" s="2">
        <f t="shared" si="74"/>
        <v>0</v>
      </c>
      <c r="T170" s="2">
        <f t="shared" si="74"/>
        <v>0</v>
      </c>
      <c r="U170" s="2">
        <f t="shared" si="74"/>
        <v>0</v>
      </c>
      <c r="V170" s="2">
        <f t="shared" si="74"/>
        <v>0</v>
      </c>
      <c r="W170" s="2">
        <f t="shared" si="74"/>
        <v>0</v>
      </c>
      <c r="X170" s="2">
        <f t="shared" si="74"/>
        <v>0</v>
      </c>
      <c r="Y170" s="2">
        <f t="shared" si="74"/>
        <v>0</v>
      </c>
      <c r="Z170" s="2">
        <f t="shared" si="74"/>
        <v>0</v>
      </c>
      <c r="AA170" s="2">
        <f t="shared" si="74"/>
        <v>0</v>
      </c>
    </row>
    <row r="171" spans="1:27" x14ac:dyDescent="0.25">
      <c r="C171" s="1"/>
      <c r="D171" s="1"/>
      <c r="E171" t="s">
        <v>79</v>
      </c>
      <c r="F171" t="s">
        <v>7</v>
      </c>
      <c r="H171" s="2">
        <f>H154*H165+H161*H166+H162*H167+H163*H168</f>
        <v>0</v>
      </c>
      <c r="I171" s="2">
        <f t="shared" ref="I171:AA171" si="75">I154*I165+I161*I166+I162*I167+I163*I168</f>
        <v>0</v>
      </c>
      <c r="J171" s="2">
        <f t="shared" si="75"/>
        <v>0</v>
      </c>
      <c r="K171" s="2">
        <f t="shared" si="75"/>
        <v>0</v>
      </c>
      <c r="L171" s="2">
        <f t="shared" si="75"/>
        <v>0</v>
      </c>
      <c r="M171" s="2">
        <f t="shared" si="75"/>
        <v>0</v>
      </c>
      <c r="N171" s="2">
        <f t="shared" si="75"/>
        <v>0</v>
      </c>
      <c r="O171" s="2">
        <f t="shared" si="75"/>
        <v>0</v>
      </c>
      <c r="P171" s="2">
        <f t="shared" si="75"/>
        <v>0</v>
      </c>
      <c r="Q171" s="2">
        <f t="shared" si="75"/>
        <v>0</v>
      </c>
      <c r="R171" s="2">
        <f t="shared" si="75"/>
        <v>0</v>
      </c>
      <c r="S171" s="2">
        <f t="shared" si="75"/>
        <v>0</v>
      </c>
      <c r="T171" s="2">
        <f t="shared" si="75"/>
        <v>0</v>
      </c>
      <c r="U171" s="2">
        <f t="shared" si="75"/>
        <v>0</v>
      </c>
      <c r="V171" s="2">
        <f t="shared" si="75"/>
        <v>0</v>
      </c>
      <c r="W171" s="2">
        <f t="shared" si="75"/>
        <v>0</v>
      </c>
      <c r="X171" s="2">
        <f t="shared" si="75"/>
        <v>0</v>
      </c>
      <c r="Y171" s="2">
        <f t="shared" si="75"/>
        <v>0</v>
      </c>
      <c r="Z171" s="2">
        <f t="shared" si="75"/>
        <v>0</v>
      </c>
      <c r="AA171" s="2">
        <f t="shared" si="75"/>
        <v>0</v>
      </c>
    </row>
    <row r="172" spans="1:27" x14ac:dyDescent="0.25">
      <c r="C172" s="1"/>
      <c r="D172" s="1"/>
    </row>
    <row r="173" spans="1:27" x14ac:dyDescent="0.25">
      <c r="C173" s="1"/>
      <c r="D173" t="s">
        <v>80</v>
      </c>
    </row>
    <row r="174" spans="1:27" x14ac:dyDescent="0.25">
      <c r="C174" s="1"/>
      <c r="E174" t="s">
        <v>91</v>
      </c>
      <c r="F174" t="s">
        <v>3</v>
      </c>
      <c r="H174">
        <f t="shared" ref="H174:AA175" si="76">SUM(H93,H114,H135,H156)</f>
        <v>1870</v>
      </c>
      <c r="I174">
        <f t="shared" si="76"/>
        <v>2360</v>
      </c>
      <c r="J174">
        <f t="shared" si="76"/>
        <v>2899.7000000000003</v>
      </c>
      <c r="K174">
        <f t="shared" si="76"/>
        <v>3281.8</v>
      </c>
      <c r="L174">
        <f t="shared" si="76"/>
        <v>3621.7</v>
      </c>
      <c r="M174">
        <f t="shared" si="76"/>
        <v>3930.9999999999995</v>
      </c>
      <c r="N174">
        <f t="shared" si="76"/>
        <v>4204.2999999999993</v>
      </c>
      <c r="O174">
        <f t="shared" si="76"/>
        <v>4445.8999999999996</v>
      </c>
      <c r="P174">
        <f t="shared" si="76"/>
        <v>5141.0999999999995</v>
      </c>
      <c r="Q174">
        <f t="shared" si="76"/>
        <v>5904.6999999999989</v>
      </c>
      <c r="R174">
        <f t="shared" si="76"/>
        <v>6251.4999999999991</v>
      </c>
      <c r="S174">
        <f t="shared" si="76"/>
        <v>6621.7999999999984</v>
      </c>
      <c r="T174">
        <f t="shared" si="76"/>
        <v>7014.4999999999982</v>
      </c>
      <c r="U174">
        <f t="shared" si="76"/>
        <v>6968.5999999999985</v>
      </c>
      <c r="V174">
        <f t="shared" si="76"/>
        <v>6917.5999999999985</v>
      </c>
      <c r="W174">
        <f t="shared" si="76"/>
        <v>0</v>
      </c>
      <c r="X174">
        <f t="shared" si="76"/>
        <v>0</v>
      </c>
      <c r="Y174">
        <f t="shared" si="76"/>
        <v>0</v>
      </c>
      <c r="Z174">
        <f t="shared" si="76"/>
        <v>0</v>
      </c>
      <c r="AA174">
        <f t="shared" si="76"/>
        <v>0</v>
      </c>
    </row>
    <row r="175" spans="1:27" x14ac:dyDescent="0.25">
      <c r="C175" s="1"/>
      <c r="D175" s="1"/>
      <c r="E175" t="s">
        <v>90</v>
      </c>
      <c r="F175" t="s">
        <v>3</v>
      </c>
      <c r="H175">
        <f t="shared" si="76"/>
        <v>1870</v>
      </c>
      <c r="I175">
        <f t="shared" si="76"/>
        <v>4230</v>
      </c>
      <c r="J175">
        <f t="shared" si="76"/>
        <v>7129.7000000000007</v>
      </c>
      <c r="K175">
        <f t="shared" si="76"/>
        <v>10411.5</v>
      </c>
      <c r="L175">
        <f t="shared" si="76"/>
        <v>14033.2</v>
      </c>
      <c r="M175">
        <f t="shared" si="76"/>
        <v>17964.2</v>
      </c>
      <c r="N175">
        <f t="shared" si="76"/>
        <v>22168.5</v>
      </c>
      <c r="O175">
        <f t="shared" si="76"/>
        <v>26614.400000000001</v>
      </c>
      <c r="P175">
        <f t="shared" si="76"/>
        <v>31755.5</v>
      </c>
      <c r="Q175">
        <f t="shared" si="76"/>
        <v>37660.199999999997</v>
      </c>
      <c r="R175">
        <f t="shared" si="76"/>
        <v>43911.7</v>
      </c>
      <c r="S175">
        <f t="shared" si="76"/>
        <v>50533.499999999993</v>
      </c>
      <c r="T175">
        <f t="shared" si="76"/>
        <v>57547.999999999993</v>
      </c>
      <c r="U175">
        <f t="shared" si="76"/>
        <v>64516.599999999991</v>
      </c>
      <c r="V175">
        <f t="shared" si="76"/>
        <v>71434.199999999983</v>
      </c>
      <c r="W175">
        <f t="shared" si="76"/>
        <v>71434.199999999983</v>
      </c>
      <c r="X175">
        <f t="shared" si="76"/>
        <v>71434.199999999983</v>
      </c>
      <c r="Y175">
        <f t="shared" si="76"/>
        <v>71434.199999999983</v>
      </c>
      <c r="Z175">
        <f t="shared" si="76"/>
        <v>71434.199999999983</v>
      </c>
      <c r="AA175">
        <f t="shared" si="76"/>
        <v>71434.199999999983</v>
      </c>
    </row>
    <row r="176" spans="1:27" x14ac:dyDescent="0.25">
      <c r="C176" s="1"/>
      <c r="D176" s="1"/>
      <c r="E176" t="s">
        <v>81</v>
      </c>
      <c r="F176" t="s">
        <v>58</v>
      </c>
      <c r="H176" s="2">
        <f t="shared" ref="H176:AA177" si="77">SUM(H107,H128,H149,H170)</f>
        <v>86.132000000000005</v>
      </c>
      <c r="I176" s="2">
        <f>SUM(I107,I128,I149,I170)</f>
        <v>191.864</v>
      </c>
      <c r="J176" s="2">
        <f t="shared" si="77"/>
        <v>319.18400000000003</v>
      </c>
      <c r="K176" s="2">
        <f t="shared" si="77"/>
        <v>461.78800000000001</v>
      </c>
      <c r="L176" s="2">
        <f t="shared" si="77"/>
        <v>617.98800000000006</v>
      </c>
      <c r="M176" s="2">
        <f t="shared" si="77"/>
        <v>786.56</v>
      </c>
      <c r="N176" s="2">
        <f t="shared" si="77"/>
        <v>966.06399999999996</v>
      </c>
      <c r="O176" s="2">
        <f t="shared" si="77"/>
        <v>1155.232</v>
      </c>
      <c r="P176" s="2">
        <f t="shared" si="77"/>
        <v>1372.2080000000001</v>
      </c>
      <c r="Q176" s="2">
        <f t="shared" si="77"/>
        <v>1619.7280000000001</v>
      </c>
      <c r="R176" s="2">
        <f t="shared" si="77"/>
        <v>1881.1200000000001</v>
      </c>
      <c r="S176" s="2">
        <f t="shared" si="77"/>
        <v>2151.6579999999999</v>
      </c>
      <c r="T176" s="2">
        <f t="shared" si="77"/>
        <v>2437.9039999999995</v>
      </c>
      <c r="U176" s="2">
        <f t="shared" si="77"/>
        <v>2722.3139999999999</v>
      </c>
      <c r="V176" s="2">
        <f t="shared" si="77"/>
        <v>3004.6839999999993</v>
      </c>
      <c r="W176" s="2">
        <f t="shared" si="77"/>
        <v>3004.6839999999993</v>
      </c>
      <c r="X176" s="2">
        <f t="shared" si="77"/>
        <v>3004.6839999999993</v>
      </c>
      <c r="Y176" s="2">
        <f t="shared" si="77"/>
        <v>3004.6839999999993</v>
      </c>
      <c r="Z176" s="2">
        <f t="shared" si="77"/>
        <v>3004.6839999999993</v>
      </c>
      <c r="AA176" s="2">
        <f t="shared" si="77"/>
        <v>3004.6839999999993</v>
      </c>
    </row>
    <row r="177" spans="1:27" x14ac:dyDescent="0.25">
      <c r="C177" s="1"/>
      <c r="D177" s="1"/>
      <c r="E177" t="s">
        <v>82</v>
      </c>
      <c r="F177" t="s">
        <v>7</v>
      </c>
      <c r="H177" s="2">
        <f t="shared" si="77"/>
        <v>146459.24675273275</v>
      </c>
      <c r="I177" s="2">
        <f t="shared" si="77"/>
        <v>323970.72385238652</v>
      </c>
      <c r="J177" s="2">
        <f t="shared" si="77"/>
        <v>550274.16932860902</v>
      </c>
      <c r="K177" s="2">
        <f t="shared" si="77"/>
        <v>812842.49297002354</v>
      </c>
      <c r="L177" s="2">
        <f t="shared" si="77"/>
        <v>1110630.3576165158</v>
      </c>
      <c r="M177" s="2">
        <f t="shared" si="77"/>
        <v>1443268.3802641318</v>
      </c>
      <c r="N177" s="2">
        <f t="shared" si="77"/>
        <v>1809867.9142420532</v>
      </c>
      <c r="O177" s="2">
        <f t="shared" si="77"/>
        <v>2209713.3256617519</v>
      </c>
      <c r="P177" s="2">
        <f t="shared" si="77"/>
        <v>2679861.894014738</v>
      </c>
      <c r="Q177" s="2">
        <f t="shared" si="77"/>
        <v>3229685.98064721</v>
      </c>
      <c r="R177" s="2">
        <f t="shared" si="77"/>
        <v>3829662.0522984695</v>
      </c>
      <c r="S177" s="2">
        <f t="shared" si="77"/>
        <v>4472423.6491872026</v>
      </c>
      <c r="T177" s="2">
        <f t="shared" si="77"/>
        <v>5173828.5701691834</v>
      </c>
      <c r="U177" s="2">
        <f t="shared" si="77"/>
        <v>5898741.892677133</v>
      </c>
      <c r="V177" s="2">
        <f t="shared" si="77"/>
        <v>6647306.7941989368</v>
      </c>
      <c r="W177" s="2">
        <f t="shared" si="77"/>
        <v>6786900.2368771136</v>
      </c>
      <c r="X177" s="2">
        <f t="shared" si="77"/>
        <v>6929425.1418515313</v>
      </c>
      <c r="Y177" s="2">
        <f t="shared" si="77"/>
        <v>7074943.069830413</v>
      </c>
      <c r="Z177" s="2">
        <f t="shared" si="77"/>
        <v>7223516.8742968515</v>
      </c>
      <c r="AA177" s="2">
        <f t="shared" si="77"/>
        <v>7375210.7286570845</v>
      </c>
    </row>
    <row r="178" spans="1:27" x14ac:dyDescent="0.25">
      <c r="C178" s="1"/>
      <c r="D178" s="1"/>
    </row>
    <row r="179" spans="1:27" x14ac:dyDescent="0.25">
      <c r="C179" s="1"/>
      <c r="D179" s="1"/>
      <c r="E179" s="3" t="s">
        <v>84</v>
      </c>
      <c r="F179" s="3" t="s">
        <v>85</v>
      </c>
      <c r="G179" s="3"/>
      <c r="H179" s="9">
        <f>H176*1000/H175</f>
        <v>46.059893048128345</v>
      </c>
      <c r="I179" s="9">
        <f t="shared" ref="I179:AA179" si="78">I176*1000/I175</f>
        <v>45.35791962174941</v>
      </c>
      <c r="J179" s="9">
        <f t="shared" si="78"/>
        <v>44.768223066889206</v>
      </c>
      <c r="K179" s="9">
        <f t="shared" si="78"/>
        <v>44.35364740911492</v>
      </c>
      <c r="L179" s="9">
        <f t="shared" si="78"/>
        <v>44.037568052903111</v>
      </c>
      <c r="M179" s="9">
        <f t="shared" si="78"/>
        <v>43.784861001324856</v>
      </c>
      <c r="N179" s="9">
        <f t="shared" si="78"/>
        <v>43.578230371924128</v>
      </c>
      <c r="O179" s="9">
        <f t="shared" si="78"/>
        <v>43.406276301551038</v>
      </c>
      <c r="P179" s="9">
        <f t="shared" si="78"/>
        <v>43.211664121175858</v>
      </c>
      <c r="Q179" s="9">
        <f t="shared" si="78"/>
        <v>43.009012166690567</v>
      </c>
      <c r="R179" s="9">
        <f t="shared" si="78"/>
        <v>42.83869674824706</v>
      </c>
      <c r="S179" s="9">
        <f t="shared" si="78"/>
        <v>42.578843737322771</v>
      </c>
      <c r="T179" s="9">
        <f t="shared" si="78"/>
        <v>42.362966567039685</v>
      </c>
      <c r="U179" s="9">
        <f t="shared" si="78"/>
        <v>42.195558972419505</v>
      </c>
      <c r="V179" s="9">
        <f t="shared" si="78"/>
        <v>42.062261493794288</v>
      </c>
      <c r="W179" s="9">
        <f t="shared" si="78"/>
        <v>42.062261493794288</v>
      </c>
      <c r="X179" s="9">
        <f t="shared" si="78"/>
        <v>42.062261493794288</v>
      </c>
      <c r="Y179" s="9">
        <f t="shared" si="78"/>
        <v>42.062261493794288</v>
      </c>
      <c r="Z179" s="9">
        <f t="shared" si="78"/>
        <v>42.062261493794288</v>
      </c>
      <c r="AA179" s="9">
        <f t="shared" si="78"/>
        <v>42.062261493794288</v>
      </c>
    </row>
    <row r="180" spans="1:27" x14ac:dyDescent="0.25">
      <c r="C180" s="1"/>
      <c r="D180" s="1"/>
      <c r="E180" s="3" t="s">
        <v>83</v>
      </c>
      <c r="F180" s="3" t="s">
        <v>22</v>
      </c>
      <c r="G180" s="3"/>
      <c r="H180" s="9">
        <f>H177/H175</f>
        <v>78.320452808947991</v>
      </c>
      <c r="I180" s="9">
        <f t="shared" ref="I180:AA180" si="79">I177/I175</f>
        <v>76.588823605765143</v>
      </c>
      <c r="J180" s="9">
        <f t="shared" si="79"/>
        <v>77.18055027962032</v>
      </c>
      <c r="K180" s="9">
        <f t="shared" si="79"/>
        <v>78.071602840130964</v>
      </c>
      <c r="L180" s="9">
        <f t="shared" si="79"/>
        <v>79.143057721440286</v>
      </c>
      <c r="M180" s="9">
        <f t="shared" si="79"/>
        <v>80.341366732953972</v>
      </c>
      <c r="N180" s="9">
        <f t="shared" si="79"/>
        <v>81.641424284099202</v>
      </c>
      <c r="O180" s="9">
        <f t="shared" si="79"/>
        <v>83.026982598208178</v>
      </c>
      <c r="P180" s="9">
        <f t="shared" si="79"/>
        <v>84.390480200744378</v>
      </c>
      <c r="Q180" s="9">
        <f t="shared" si="79"/>
        <v>85.758598750065332</v>
      </c>
      <c r="R180" s="9">
        <f t="shared" si="79"/>
        <v>87.212794136835285</v>
      </c>
      <c r="S180" s="9">
        <f t="shared" si="79"/>
        <v>88.50413387529467</v>
      </c>
      <c r="T180" s="9">
        <f t="shared" si="79"/>
        <v>89.904576530360472</v>
      </c>
      <c r="U180" s="9">
        <f t="shared" si="79"/>
        <v>91.429831898722711</v>
      </c>
      <c r="V180" s="9">
        <f t="shared" si="79"/>
        <v>93.054962387748986</v>
      </c>
      <c r="W180" s="9">
        <f t="shared" si="79"/>
        <v>95.009116597891705</v>
      </c>
      <c r="X180" s="9">
        <f t="shared" si="79"/>
        <v>97.004308046447406</v>
      </c>
      <c r="Y180" s="9">
        <f t="shared" si="79"/>
        <v>99.041398515422784</v>
      </c>
      <c r="Z180" s="9">
        <f t="shared" si="79"/>
        <v>101.12126788424666</v>
      </c>
      <c r="AA180" s="9">
        <f t="shared" si="79"/>
        <v>103.24481450981584</v>
      </c>
    </row>
    <row r="181" spans="1:27" x14ac:dyDescent="0.25">
      <c r="C181" s="1"/>
      <c r="D181" s="1"/>
      <c r="E181" s="3" t="s">
        <v>86</v>
      </c>
      <c r="F181" s="3" t="s">
        <v>4</v>
      </c>
      <c r="G181" s="3"/>
      <c r="H181" s="9">
        <f>H177/H176</f>
        <v>1700.4045738254395</v>
      </c>
      <c r="I181" s="9">
        <f t="shared" ref="I181:AA181" si="80">I177/I176</f>
        <v>1688.5435717611772</v>
      </c>
      <c r="J181" s="9">
        <f t="shared" si="80"/>
        <v>1724.0029867681619</v>
      </c>
      <c r="K181" s="9">
        <f t="shared" si="80"/>
        <v>1760.2070494902932</v>
      </c>
      <c r="L181" s="9">
        <f t="shared" si="80"/>
        <v>1797.1713975295891</v>
      </c>
      <c r="M181" s="9">
        <f t="shared" si="80"/>
        <v>1834.9119968777104</v>
      </c>
      <c r="N181" s="9">
        <f t="shared" si="80"/>
        <v>1873.4451488121422</v>
      </c>
      <c r="O181" s="9">
        <f t="shared" si="80"/>
        <v>1912.7874969371969</v>
      </c>
      <c r="P181" s="9">
        <f t="shared" si="80"/>
        <v>1952.9560343728779</v>
      </c>
      <c r="Q181" s="9">
        <f t="shared" si="80"/>
        <v>1993.9681110947083</v>
      </c>
      <c r="R181" s="9">
        <f t="shared" si="80"/>
        <v>2035.841441427697</v>
      </c>
      <c r="S181" s="9">
        <f t="shared" si="80"/>
        <v>2078.5941116976783</v>
      </c>
      <c r="T181" s="9">
        <f t="shared" si="80"/>
        <v>2122.2445880433293</v>
      </c>
      <c r="U181" s="9">
        <f t="shared" si="80"/>
        <v>2166.8117243922388</v>
      </c>
      <c r="V181" s="9">
        <f t="shared" si="80"/>
        <v>2212.3147706044756</v>
      </c>
      <c r="W181" s="9">
        <f t="shared" si="80"/>
        <v>2258.7733807871696</v>
      </c>
      <c r="X181" s="9">
        <f t="shared" si="80"/>
        <v>2306.2076217836993</v>
      </c>
      <c r="Y181" s="9">
        <f t="shared" si="80"/>
        <v>2354.6379818411569</v>
      </c>
      <c r="Z181" s="9">
        <f t="shared" si="80"/>
        <v>2404.0853794598211</v>
      </c>
      <c r="AA181" s="9">
        <f t="shared" si="80"/>
        <v>2454.571172428477</v>
      </c>
    </row>
    <row r="182" spans="1:27" x14ac:dyDescent="0.25">
      <c r="C182" s="1"/>
      <c r="D182" s="1"/>
    </row>
    <row r="183" spans="1:27" x14ac:dyDescent="0.25">
      <c r="C183" s="1" t="str">
        <f>"Incremental "&amp;VLOOKUP(G4,E320:F322,2,FALSE)&amp;" Charges"</f>
        <v>Incremental Bulk Recycled Water Processing Charges</v>
      </c>
      <c r="H183" s="2"/>
      <c r="I183" s="2"/>
      <c r="J183" s="2"/>
      <c r="K183" s="2"/>
      <c r="L183" s="2"/>
      <c r="M183" s="2"/>
      <c r="N183" s="2"/>
      <c r="O183" s="2"/>
      <c r="P183" s="2"/>
      <c r="Q183" s="2"/>
      <c r="R183" s="2"/>
      <c r="S183" s="2"/>
      <c r="T183" s="2"/>
      <c r="U183" s="2"/>
      <c r="V183" s="2"/>
      <c r="W183" s="2"/>
      <c r="X183" s="2"/>
      <c r="Y183" s="2"/>
      <c r="Z183" s="2"/>
      <c r="AA183" s="2"/>
    </row>
    <row r="184" spans="1:27" x14ac:dyDescent="0.25">
      <c r="A184" s="14">
        <f>'Notes &amp; Assumptions'!A50</f>
        <v>37</v>
      </c>
      <c r="E184" t="s">
        <v>118</v>
      </c>
      <c r="F184" t="s">
        <v>8</v>
      </c>
      <c r="H184" s="11"/>
      <c r="I184" s="11"/>
      <c r="J184" s="11"/>
      <c r="K184" s="11"/>
      <c r="L184" s="11"/>
      <c r="M184" s="11"/>
      <c r="N184" s="11"/>
      <c r="O184" s="11"/>
      <c r="P184" s="11"/>
      <c r="Q184" s="11"/>
      <c r="R184" s="11"/>
      <c r="S184" s="11"/>
      <c r="T184" s="11"/>
      <c r="U184" s="11"/>
      <c r="V184" s="11"/>
      <c r="W184" s="11"/>
      <c r="X184" s="11"/>
      <c r="Y184" s="11"/>
      <c r="Z184" s="11"/>
      <c r="AA184" s="11"/>
    </row>
    <row r="185" spans="1:27" x14ac:dyDescent="0.25">
      <c r="A185" s="14">
        <f>'Notes &amp; Assumptions'!A51</f>
        <v>38</v>
      </c>
      <c r="E185" t="s">
        <v>122</v>
      </c>
      <c r="F185" t="s">
        <v>4</v>
      </c>
      <c r="G185" s="10"/>
      <c r="H185" s="2">
        <f t="shared" ref="H185:AA185" si="81">G185*(1+$G$14)*(1+H184)</f>
        <v>0</v>
      </c>
      <c r="I185" s="2">
        <f t="shared" si="81"/>
        <v>0</v>
      </c>
      <c r="J185" s="2">
        <f t="shared" si="81"/>
        <v>0</v>
      </c>
      <c r="K185" s="2">
        <f t="shared" si="81"/>
        <v>0</v>
      </c>
      <c r="L185" s="2">
        <f t="shared" si="81"/>
        <v>0</v>
      </c>
      <c r="M185" s="2">
        <f t="shared" si="81"/>
        <v>0</v>
      </c>
      <c r="N185" s="2">
        <f t="shared" si="81"/>
        <v>0</v>
      </c>
      <c r="O185" s="2">
        <f t="shared" si="81"/>
        <v>0</v>
      </c>
      <c r="P185" s="2">
        <f t="shared" si="81"/>
        <v>0</v>
      </c>
      <c r="Q185" s="2">
        <f t="shared" si="81"/>
        <v>0</v>
      </c>
      <c r="R185" s="2">
        <f t="shared" si="81"/>
        <v>0</v>
      </c>
      <c r="S185" s="2">
        <f t="shared" si="81"/>
        <v>0</v>
      </c>
      <c r="T185" s="2">
        <f t="shared" si="81"/>
        <v>0</v>
      </c>
      <c r="U185" s="2">
        <f t="shared" si="81"/>
        <v>0</v>
      </c>
      <c r="V185" s="2">
        <f t="shared" si="81"/>
        <v>0</v>
      </c>
      <c r="W185" s="2">
        <f t="shared" si="81"/>
        <v>0</v>
      </c>
      <c r="X185" s="2">
        <f t="shared" si="81"/>
        <v>0</v>
      </c>
      <c r="Y185" s="2">
        <f t="shared" si="81"/>
        <v>0</v>
      </c>
      <c r="Z185" s="2">
        <f t="shared" si="81"/>
        <v>0</v>
      </c>
      <c r="AA185" s="2">
        <f t="shared" si="81"/>
        <v>0</v>
      </c>
    </row>
    <row r="186" spans="1:27" x14ac:dyDescent="0.25">
      <c r="A186" s="14">
        <f>'Notes &amp; Assumptions'!A52</f>
        <v>39</v>
      </c>
      <c r="E186" t="s">
        <v>123</v>
      </c>
      <c r="F186" t="s">
        <v>7</v>
      </c>
      <c r="G186" s="2"/>
      <c r="H186" s="10"/>
      <c r="I186" s="10"/>
      <c r="J186" s="10"/>
      <c r="K186" s="10"/>
      <c r="L186" s="10"/>
      <c r="M186" s="10"/>
      <c r="N186" s="10"/>
      <c r="O186" s="10"/>
      <c r="P186" s="10"/>
      <c r="Q186" s="10"/>
      <c r="R186" s="10"/>
      <c r="S186" s="10"/>
      <c r="T186" s="10"/>
      <c r="U186" s="10"/>
      <c r="V186" s="10"/>
      <c r="W186" s="10"/>
      <c r="X186" s="10"/>
      <c r="Y186" s="10"/>
      <c r="Z186" s="10"/>
      <c r="AA186" s="10"/>
    </row>
    <row r="187" spans="1:27" x14ac:dyDescent="0.25">
      <c r="E187" t="s">
        <v>57</v>
      </c>
      <c r="F187" t="s">
        <v>7</v>
      </c>
      <c r="H187" s="2">
        <f>H185*H176+H186</f>
        <v>0</v>
      </c>
      <c r="I187" s="2">
        <f t="shared" ref="I187:AA187" si="82">I185*I176+I186</f>
        <v>0</v>
      </c>
      <c r="J187" s="2">
        <f t="shared" si="82"/>
        <v>0</v>
      </c>
      <c r="K187" s="2">
        <f t="shared" si="82"/>
        <v>0</v>
      </c>
      <c r="L187" s="2">
        <f t="shared" si="82"/>
        <v>0</v>
      </c>
      <c r="M187" s="2">
        <f t="shared" si="82"/>
        <v>0</v>
      </c>
      <c r="N187" s="2">
        <f t="shared" si="82"/>
        <v>0</v>
      </c>
      <c r="O187" s="2">
        <f t="shared" si="82"/>
        <v>0</v>
      </c>
      <c r="P187" s="2">
        <f t="shared" si="82"/>
        <v>0</v>
      </c>
      <c r="Q187" s="2">
        <f t="shared" si="82"/>
        <v>0</v>
      </c>
      <c r="R187" s="2">
        <f t="shared" si="82"/>
        <v>0</v>
      </c>
      <c r="S187" s="2">
        <f t="shared" si="82"/>
        <v>0</v>
      </c>
      <c r="T187" s="2">
        <f t="shared" si="82"/>
        <v>0</v>
      </c>
      <c r="U187" s="2">
        <f t="shared" si="82"/>
        <v>0</v>
      </c>
      <c r="V187" s="2">
        <f t="shared" si="82"/>
        <v>0</v>
      </c>
      <c r="W187" s="2">
        <f t="shared" si="82"/>
        <v>0</v>
      </c>
      <c r="X187" s="2">
        <f t="shared" si="82"/>
        <v>0</v>
      </c>
      <c r="Y187" s="2">
        <f t="shared" si="82"/>
        <v>0</v>
      </c>
      <c r="Z187" s="2">
        <f t="shared" si="82"/>
        <v>0</v>
      </c>
      <c r="AA187" s="2">
        <f t="shared" si="82"/>
        <v>0</v>
      </c>
    </row>
    <row r="188" spans="1:27" x14ac:dyDescent="0.25">
      <c r="H188" s="2"/>
      <c r="I188" s="2"/>
      <c r="J188" s="2"/>
      <c r="K188" s="2"/>
      <c r="L188" s="2"/>
      <c r="M188" s="2"/>
      <c r="N188" s="2"/>
      <c r="O188" s="2"/>
      <c r="P188" s="2"/>
      <c r="Q188" s="2"/>
      <c r="R188" s="2"/>
      <c r="S188" s="2"/>
      <c r="T188" s="2"/>
      <c r="U188" s="2"/>
      <c r="V188" s="2"/>
      <c r="W188" s="2"/>
      <c r="X188" s="2"/>
      <c r="Y188" s="2"/>
      <c r="Z188" s="2"/>
      <c r="AA188" s="2"/>
    </row>
    <row r="189" spans="1:27" x14ac:dyDescent="0.25">
      <c r="C189" s="1" t="s">
        <v>10</v>
      </c>
      <c r="G189" s="2"/>
    </row>
    <row r="190" spans="1:27" x14ac:dyDescent="0.25">
      <c r="C190" s="1"/>
      <c r="D190" t="s">
        <v>149</v>
      </c>
      <c r="G190" s="2"/>
    </row>
    <row r="191" spans="1:27" x14ac:dyDescent="0.25">
      <c r="A191" s="14">
        <f>'Notes &amp; Assumptions'!A53</f>
        <v>40</v>
      </c>
      <c r="C191" s="1"/>
      <c r="E191" t="s">
        <v>125</v>
      </c>
      <c r="G191" s="2"/>
      <c r="H191" s="11"/>
      <c r="I191" s="11"/>
      <c r="J191" s="11"/>
      <c r="K191" s="11"/>
      <c r="L191" s="11"/>
      <c r="M191" s="11"/>
      <c r="N191" s="11"/>
      <c r="O191" s="11"/>
      <c r="P191" s="11"/>
      <c r="Q191" s="11"/>
      <c r="R191" s="11"/>
      <c r="S191" s="11"/>
      <c r="T191" s="11"/>
      <c r="U191" s="11"/>
      <c r="V191" s="11"/>
      <c r="W191" s="11"/>
      <c r="X191" s="11"/>
      <c r="Y191" s="11"/>
      <c r="Z191" s="11"/>
      <c r="AA191" s="11"/>
    </row>
    <row r="192" spans="1:27" x14ac:dyDescent="0.25">
      <c r="A192" s="14">
        <f>'Notes &amp; Assumptions'!A54</f>
        <v>41</v>
      </c>
      <c r="E192" t="s">
        <v>26</v>
      </c>
      <c r="F192" t="s">
        <v>22</v>
      </c>
      <c r="G192" s="10">
        <f>'Key assumptions'!B14</f>
        <v>120</v>
      </c>
      <c r="H192" s="2">
        <f t="shared" ref="H192:W193" si="83">G192*(1+$G$14)*(1+H$191)</f>
        <v>122.51999999999998</v>
      </c>
      <c r="I192" s="2">
        <f t="shared" si="83"/>
        <v>125.09291999999996</v>
      </c>
      <c r="J192" s="2">
        <f t="shared" si="83"/>
        <v>127.71987131999995</v>
      </c>
      <c r="K192" s="2">
        <f t="shared" si="83"/>
        <v>130.40198861771995</v>
      </c>
      <c r="L192" s="2">
        <f t="shared" si="83"/>
        <v>133.14043037869206</v>
      </c>
      <c r="M192" s="2">
        <f t="shared" si="83"/>
        <v>135.93637941664457</v>
      </c>
      <c r="N192" s="2">
        <f t="shared" si="83"/>
        <v>138.7910433843941</v>
      </c>
      <c r="O192" s="2">
        <f t="shared" si="83"/>
        <v>141.70565529546636</v>
      </c>
      <c r="P192" s="2">
        <f t="shared" si="83"/>
        <v>144.68147405667114</v>
      </c>
      <c r="Q192" s="2">
        <f t="shared" si="83"/>
        <v>147.71978501186121</v>
      </c>
      <c r="R192" s="2">
        <f t="shared" si="83"/>
        <v>150.82190049711028</v>
      </c>
      <c r="S192" s="2">
        <f t="shared" si="83"/>
        <v>153.98916040754958</v>
      </c>
      <c r="T192" s="2">
        <f t="shared" si="83"/>
        <v>157.22293277610811</v>
      </c>
      <c r="U192" s="2">
        <f t="shared" si="83"/>
        <v>160.52461436440637</v>
      </c>
      <c r="V192" s="2">
        <f t="shared" si="83"/>
        <v>163.8956312660589</v>
      </c>
      <c r="W192" s="2">
        <f t="shared" si="83"/>
        <v>167.33743952264612</v>
      </c>
      <c r="X192" s="2">
        <f t="shared" ref="X192:AA193" si="84">W192*(1+$G$14)*(1+X$191)</f>
        <v>170.85152575262168</v>
      </c>
      <c r="Y192" s="2">
        <f t="shared" si="84"/>
        <v>174.43940779342671</v>
      </c>
      <c r="Z192" s="2">
        <f t="shared" si="84"/>
        <v>178.10263535708864</v>
      </c>
      <c r="AA192" s="2">
        <f t="shared" si="84"/>
        <v>181.84279069958748</v>
      </c>
    </row>
    <row r="193" spans="1:29" x14ac:dyDescent="0.25">
      <c r="A193" s="14">
        <f>'Notes &amp; Assumptions'!A55</f>
        <v>42</v>
      </c>
      <c r="E193" t="s">
        <v>27</v>
      </c>
      <c r="F193" t="s">
        <v>4</v>
      </c>
      <c r="G193" s="10">
        <f>'Key assumptions'!B17</f>
        <v>0</v>
      </c>
      <c r="H193" s="2">
        <f t="shared" si="83"/>
        <v>0</v>
      </c>
      <c r="I193" s="2">
        <f t="shared" si="83"/>
        <v>0</v>
      </c>
      <c r="J193" s="2">
        <f t="shared" si="83"/>
        <v>0</v>
      </c>
      <c r="K193" s="2">
        <f t="shared" si="83"/>
        <v>0</v>
      </c>
      <c r="L193" s="2">
        <f t="shared" si="83"/>
        <v>0</v>
      </c>
      <c r="M193" s="2">
        <f t="shared" si="83"/>
        <v>0</v>
      </c>
      <c r="N193" s="2">
        <f t="shared" si="83"/>
        <v>0</v>
      </c>
      <c r="O193" s="2">
        <f t="shared" si="83"/>
        <v>0</v>
      </c>
      <c r="P193" s="2">
        <f t="shared" si="83"/>
        <v>0</v>
      </c>
      <c r="Q193" s="2">
        <f t="shared" si="83"/>
        <v>0</v>
      </c>
      <c r="R193" s="2">
        <f t="shared" si="83"/>
        <v>0</v>
      </c>
      <c r="S193" s="2">
        <f t="shared" si="83"/>
        <v>0</v>
      </c>
      <c r="T193" s="2">
        <f t="shared" si="83"/>
        <v>0</v>
      </c>
      <c r="U193" s="2">
        <f t="shared" si="83"/>
        <v>0</v>
      </c>
      <c r="V193" s="2">
        <f t="shared" si="83"/>
        <v>0</v>
      </c>
      <c r="W193" s="2">
        <f t="shared" si="83"/>
        <v>0</v>
      </c>
      <c r="X193" s="2">
        <f t="shared" si="84"/>
        <v>0</v>
      </c>
      <c r="Y193" s="2">
        <f t="shared" si="84"/>
        <v>0</v>
      </c>
      <c r="Z193" s="2">
        <f t="shared" si="84"/>
        <v>0</v>
      </c>
      <c r="AA193" s="2">
        <f t="shared" si="84"/>
        <v>0</v>
      </c>
    </row>
    <row r="194" spans="1:29" x14ac:dyDescent="0.25">
      <c r="A194" s="14">
        <f>'Notes &amp; Assumptions'!A56</f>
        <v>43</v>
      </c>
      <c r="E194" t="s">
        <v>39</v>
      </c>
      <c r="F194" t="s">
        <v>7</v>
      </c>
      <c r="G194" s="2"/>
      <c r="H194" s="43"/>
      <c r="I194" s="10"/>
      <c r="J194" s="10"/>
      <c r="K194" s="10"/>
      <c r="L194" s="10"/>
      <c r="M194" s="10"/>
      <c r="N194" s="10"/>
      <c r="O194" s="10"/>
      <c r="P194" s="10"/>
      <c r="Q194" s="10"/>
      <c r="R194" s="10"/>
      <c r="S194" s="10"/>
      <c r="T194" s="10"/>
      <c r="U194" s="10"/>
      <c r="V194" s="10"/>
      <c r="W194" s="10"/>
      <c r="X194" s="10"/>
      <c r="Y194" s="10"/>
      <c r="Z194" s="10"/>
      <c r="AA194" s="10"/>
    </row>
    <row r="195" spans="1:29" x14ac:dyDescent="0.25">
      <c r="B195" s="14"/>
      <c r="C195" s="14"/>
      <c r="D195" s="14"/>
      <c r="E195" s="14"/>
      <c r="F195" s="14"/>
      <c r="G195" s="14"/>
      <c r="H195" s="14"/>
      <c r="I195" s="14"/>
      <c r="J195" s="14"/>
      <c r="K195" s="14"/>
      <c r="L195" s="14"/>
      <c r="M195" s="14"/>
      <c r="N195" s="14"/>
      <c r="O195" s="14"/>
      <c r="P195" s="14"/>
      <c r="Q195" s="14"/>
      <c r="R195" s="14"/>
      <c r="S195" s="14"/>
      <c r="T195" s="14"/>
      <c r="U195" s="14"/>
      <c r="V195" s="14"/>
      <c r="W195" s="14"/>
      <c r="X195" s="14"/>
      <c r="Y195" s="14"/>
      <c r="Z195" s="14"/>
      <c r="AA195" s="14"/>
      <c r="AB195" s="14"/>
      <c r="AC195" s="14"/>
    </row>
    <row r="196" spans="1:29" x14ac:dyDescent="0.25">
      <c r="D196" t="s">
        <v>124</v>
      </c>
      <c r="G196" s="14"/>
      <c r="H196" s="14"/>
      <c r="I196" s="14"/>
      <c r="J196" s="14"/>
      <c r="K196" s="14"/>
      <c r="L196" s="14"/>
      <c r="M196" s="14"/>
      <c r="N196" s="14"/>
      <c r="O196" s="14"/>
      <c r="P196" s="14"/>
      <c r="Q196" s="14"/>
      <c r="R196" s="14"/>
      <c r="S196" s="14"/>
      <c r="T196" s="14"/>
      <c r="U196" s="14"/>
      <c r="V196" s="14"/>
      <c r="W196" s="14"/>
      <c r="X196" s="14"/>
      <c r="Y196" s="14"/>
      <c r="Z196" s="14"/>
      <c r="AA196" s="14"/>
    </row>
    <row r="197" spans="1:29" x14ac:dyDescent="0.25">
      <c r="A197" s="14">
        <f>'Notes &amp; Assumptions'!A57</f>
        <v>44</v>
      </c>
      <c r="E197" t="s">
        <v>27</v>
      </c>
      <c r="F197" t="s">
        <v>4</v>
      </c>
      <c r="G197" s="14"/>
      <c r="H197" s="10"/>
      <c r="I197" s="10"/>
      <c r="J197" s="10"/>
      <c r="K197" s="10"/>
      <c r="L197" s="10"/>
      <c r="M197" s="10"/>
      <c r="N197" s="10"/>
      <c r="O197" s="10"/>
      <c r="P197" s="10"/>
      <c r="Q197" s="10"/>
      <c r="R197" s="10"/>
      <c r="S197" s="10"/>
      <c r="T197" s="10"/>
      <c r="U197" s="10"/>
      <c r="V197" s="10"/>
      <c r="W197" s="10"/>
      <c r="X197" s="10"/>
      <c r="Y197" s="10"/>
      <c r="Z197" s="10"/>
      <c r="AA197" s="10"/>
    </row>
    <row r="198" spans="1:29" x14ac:dyDescent="0.25">
      <c r="A198" s="14">
        <f>'Notes &amp; Assumptions'!A58</f>
        <v>45</v>
      </c>
      <c r="E198" t="s">
        <v>39</v>
      </c>
      <c r="F198" t="s">
        <v>7</v>
      </c>
      <c r="G198" s="2"/>
      <c r="H198" s="10"/>
      <c r="I198" s="10"/>
      <c r="J198" s="10"/>
      <c r="K198" s="10"/>
      <c r="L198" s="10"/>
      <c r="M198" s="10"/>
      <c r="N198" s="10"/>
      <c r="O198" s="10"/>
      <c r="P198" s="10"/>
      <c r="Q198" s="10"/>
      <c r="R198" s="10"/>
      <c r="S198" s="10"/>
      <c r="T198" s="10"/>
      <c r="U198" s="10"/>
      <c r="V198" s="10"/>
      <c r="W198" s="10"/>
      <c r="X198" s="10"/>
      <c r="Y198" s="10"/>
      <c r="Z198" s="10"/>
      <c r="AA198" s="10"/>
    </row>
    <row r="199" spans="1:29" x14ac:dyDescent="0.25">
      <c r="G199" s="2"/>
    </row>
    <row r="200" spans="1:29" x14ac:dyDescent="0.25">
      <c r="E200" t="s">
        <v>10</v>
      </c>
      <c r="F200" t="s">
        <v>7</v>
      </c>
      <c r="G200" s="2"/>
      <c r="H200" s="2">
        <f>H192*H175+(H193+H197)*H176+H194+H198</f>
        <v>229112.39999999997</v>
      </c>
      <c r="I200" s="2">
        <f t="shared" ref="I200:AA200" si="85">I192*I175+(I193+I197)*I176+I194+I198</f>
        <v>529143.05159999989</v>
      </c>
      <c r="J200" s="2">
        <f t="shared" si="85"/>
        <v>910604.36655020376</v>
      </c>
      <c r="K200" s="2">
        <f t="shared" si="85"/>
        <v>1357680.3044933912</v>
      </c>
      <c r="L200" s="2">
        <f t="shared" si="85"/>
        <v>1868386.2875902615</v>
      </c>
      <c r="M200" s="2">
        <f t="shared" si="85"/>
        <v>2441988.3071164866</v>
      </c>
      <c r="N200" s="2">
        <f t="shared" si="85"/>
        <v>3076789.2452669404</v>
      </c>
      <c r="O200" s="2">
        <f t="shared" si="85"/>
        <v>3771410.9922956601</v>
      </c>
      <c r="P200" s="2">
        <f t="shared" si="85"/>
        <v>4594432.5494066207</v>
      </c>
      <c r="Q200" s="2">
        <f t="shared" si="85"/>
        <v>5563156.6475036945</v>
      </c>
      <c r="R200" s="2">
        <f t="shared" si="85"/>
        <v>6622846.0480589569</v>
      </c>
      <c r="S200" s="2">
        <f t="shared" si="85"/>
        <v>7781611.2374549052</v>
      </c>
      <c r="T200" s="2">
        <f t="shared" si="85"/>
        <v>9047865.3353994675</v>
      </c>
      <c r="U200" s="2">
        <f t="shared" si="85"/>
        <v>10356502.335102659</v>
      </c>
      <c r="V200" s="2">
        <f t="shared" si="85"/>
        <v>11707753.302985901</v>
      </c>
      <c r="W200" s="2">
        <f t="shared" si="85"/>
        <v>11953616.122348605</v>
      </c>
      <c r="X200" s="2">
        <f t="shared" si="85"/>
        <v>12204642.060917925</v>
      </c>
      <c r="Y200" s="2">
        <f t="shared" si="85"/>
        <v>12460939.5441972</v>
      </c>
      <c r="Z200" s="2">
        <f t="shared" si="85"/>
        <v>12722619.274625339</v>
      </c>
      <c r="AA200" s="2">
        <f t="shared" si="85"/>
        <v>12989794.27939247</v>
      </c>
    </row>
    <row r="201" spans="1:29" x14ac:dyDescent="0.25">
      <c r="G201" s="2"/>
      <c r="H201" s="2"/>
      <c r="I201" s="2"/>
      <c r="J201" s="2"/>
      <c r="K201" s="2"/>
      <c r="L201" s="2"/>
      <c r="M201" s="2"/>
      <c r="N201" s="2"/>
      <c r="O201" s="2"/>
      <c r="P201" s="2"/>
      <c r="Q201" s="2"/>
      <c r="R201" s="2"/>
      <c r="S201" s="2"/>
      <c r="T201" s="2"/>
      <c r="U201" s="2"/>
      <c r="V201" s="2"/>
      <c r="W201" s="2"/>
      <c r="X201" s="2"/>
      <c r="Y201" s="2"/>
      <c r="Z201" s="2"/>
      <c r="AA201" s="2"/>
    </row>
    <row r="202" spans="1:29" x14ac:dyDescent="0.25">
      <c r="C202" s="1" t="s">
        <v>48</v>
      </c>
      <c r="G202" s="2"/>
      <c r="H202" s="2"/>
      <c r="I202" s="2"/>
      <c r="J202" s="2"/>
      <c r="K202" s="2"/>
      <c r="L202" s="2"/>
      <c r="M202" s="2"/>
      <c r="N202" s="2"/>
      <c r="O202" s="2"/>
      <c r="P202" s="2"/>
      <c r="Q202" s="2"/>
      <c r="R202" s="2"/>
      <c r="S202" s="2"/>
      <c r="T202" s="2"/>
      <c r="U202" s="2"/>
      <c r="V202" s="2"/>
      <c r="W202" s="2"/>
      <c r="X202" s="2"/>
      <c r="Y202" s="2"/>
      <c r="Z202" s="2"/>
      <c r="AA202" s="2"/>
    </row>
    <row r="203" spans="1:29" x14ac:dyDescent="0.25">
      <c r="A203" s="14">
        <f>'Notes &amp; Assumptions'!A59</f>
        <v>46</v>
      </c>
      <c r="E203" s="10" t="s">
        <v>44</v>
      </c>
      <c r="F203" t="s">
        <v>7</v>
      </c>
      <c r="G203" s="2"/>
      <c r="H203" s="10"/>
      <c r="I203" s="10"/>
      <c r="J203" s="10"/>
      <c r="K203" s="10"/>
      <c r="L203" s="10"/>
      <c r="M203" s="10"/>
      <c r="N203" s="10"/>
      <c r="O203" s="10"/>
      <c r="P203" s="10"/>
      <c r="Q203" s="10"/>
      <c r="R203" s="10"/>
      <c r="S203" s="10"/>
      <c r="T203" s="10"/>
      <c r="U203" s="10"/>
      <c r="V203" s="10"/>
      <c r="W203" s="10"/>
      <c r="X203" s="10"/>
      <c r="Y203" s="10"/>
      <c r="Z203" s="10"/>
      <c r="AA203" s="10"/>
    </row>
    <row r="204" spans="1:29" x14ac:dyDescent="0.25">
      <c r="A204" s="14">
        <f>'Notes &amp; Assumptions'!A60</f>
        <v>47</v>
      </c>
      <c r="E204" s="10" t="s">
        <v>45</v>
      </c>
      <c r="F204" t="s">
        <v>7</v>
      </c>
      <c r="G204" s="2"/>
      <c r="H204" s="10"/>
      <c r="I204" s="10"/>
      <c r="J204" s="10"/>
      <c r="K204" s="10"/>
      <c r="L204" s="10"/>
      <c r="M204" s="10"/>
      <c r="N204" s="10"/>
      <c r="O204" s="10"/>
      <c r="P204" s="10"/>
      <c r="Q204" s="10"/>
      <c r="R204" s="10"/>
      <c r="S204" s="10"/>
      <c r="T204" s="10"/>
      <c r="U204" s="10"/>
      <c r="V204" s="10"/>
      <c r="W204" s="10"/>
      <c r="X204" s="10"/>
      <c r="Y204" s="10"/>
      <c r="Z204" s="10"/>
      <c r="AA204" s="10"/>
    </row>
    <row r="205" spans="1:29" x14ac:dyDescent="0.25">
      <c r="A205" s="14">
        <f>'Notes &amp; Assumptions'!A61</f>
        <v>48</v>
      </c>
      <c r="E205" s="10" t="s">
        <v>46</v>
      </c>
      <c r="F205" t="s">
        <v>7</v>
      </c>
      <c r="G205" s="2"/>
      <c r="H205" s="10"/>
      <c r="I205" s="10"/>
      <c r="J205" s="10"/>
      <c r="K205" s="10"/>
      <c r="L205" s="10"/>
      <c r="M205" s="10"/>
      <c r="N205" s="10"/>
      <c r="O205" s="10"/>
      <c r="P205" s="10"/>
      <c r="Q205" s="10"/>
      <c r="R205" s="10"/>
      <c r="S205" s="10"/>
      <c r="T205" s="10"/>
      <c r="U205" s="10"/>
      <c r="V205" s="10"/>
      <c r="W205" s="10"/>
      <c r="X205" s="10"/>
      <c r="Y205" s="10"/>
      <c r="Z205" s="10"/>
      <c r="AA205" s="10"/>
    </row>
    <row r="206" spans="1:29" x14ac:dyDescent="0.25">
      <c r="A206" s="14">
        <f>'Notes &amp; Assumptions'!A62</f>
        <v>49</v>
      </c>
      <c r="E206" s="10" t="s">
        <v>47</v>
      </c>
      <c r="F206" t="s">
        <v>7</v>
      </c>
      <c r="G206" s="2"/>
      <c r="H206" s="10"/>
      <c r="I206" s="10"/>
      <c r="J206" s="10"/>
      <c r="K206" s="10"/>
      <c r="L206" s="10"/>
      <c r="M206" s="10"/>
      <c r="N206" s="10"/>
      <c r="O206" s="10"/>
      <c r="P206" s="10"/>
      <c r="Q206" s="10"/>
      <c r="R206" s="10"/>
      <c r="S206" s="10"/>
      <c r="T206" s="10"/>
      <c r="U206" s="10"/>
      <c r="V206" s="10"/>
      <c r="W206" s="10"/>
      <c r="X206" s="10"/>
      <c r="Y206" s="10"/>
      <c r="Z206" s="10"/>
      <c r="AA206" s="10"/>
    </row>
    <row r="207" spans="1:29" x14ac:dyDescent="0.25">
      <c r="E207" t="s">
        <v>17</v>
      </c>
      <c r="G207" s="2"/>
      <c r="H207" s="2">
        <f>SUM(H203:H206)</f>
        <v>0</v>
      </c>
      <c r="I207" s="2">
        <f t="shared" ref="I207:AA207" si="86">SUM(I203:I206)</f>
        <v>0</v>
      </c>
      <c r="J207" s="2">
        <f t="shared" si="86"/>
        <v>0</v>
      </c>
      <c r="K207" s="2">
        <f t="shared" si="86"/>
        <v>0</v>
      </c>
      <c r="L207" s="2">
        <f t="shared" si="86"/>
        <v>0</v>
      </c>
      <c r="M207" s="2">
        <f t="shared" si="86"/>
        <v>0</v>
      </c>
      <c r="N207" s="2">
        <f t="shared" si="86"/>
        <v>0</v>
      </c>
      <c r="O207" s="2">
        <f t="shared" si="86"/>
        <v>0</v>
      </c>
      <c r="P207" s="2">
        <f t="shared" si="86"/>
        <v>0</v>
      </c>
      <c r="Q207" s="2">
        <f t="shared" si="86"/>
        <v>0</v>
      </c>
      <c r="R207" s="2">
        <f t="shared" si="86"/>
        <v>0</v>
      </c>
      <c r="S207" s="2">
        <f t="shared" si="86"/>
        <v>0</v>
      </c>
      <c r="T207" s="2">
        <f t="shared" si="86"/>
        <v>0</v>
      </c>
      <c r="U207" s="2">
        <f t="shared" si="86"/>
        <v>0</v>
      </c>
      <c r="V207" s="2">
        <f t="shared" si="86"/>
        <v>0</v>
      </c>
      <c r="W207" s="2">
        <f t="shared" si="86"/>
        <v>0</v>
      </c>
      <c r="X207" s="2">
        <f t="shared" si="86"/>
        <v>0</v>
      </c>
      <c r="Y207" s="2">
        <f t="shared" si="86"/>
        <v>0</v>
      </c>
      <c r="Z207" s="2">
        <f t="shared" si="86"/>
        <v>0</v>
      </c>
      <c r="AA207" s="2">
        <f t="shared" si="86"/>
        <v>0</v>
      </c>
    </row>
    <row r="208" spans="1:29" x14ac:dyDescent="0.25">
      <c r="G208" s="2"/>
      <c r="H208" s="2"/>
      <c r="I208" s="2"/>
      <c r="J208" s="2"/>
      <c r="K208" s="2"/>
      <c r="L208" s="2"/>
      <c r="M208" s="2"/>
      <c r="N208" s="2"/>
      <c r="O208" s="2"/>
      <c r="P208" s="2"/>
      <c r="Q208" s="2"/>
      <c r="R208" s="2"/>
      <c r="S208" s="2"/>
      <c r="T208" s="2"/>
      <c r="U208" s="2"/>
      <c r="V208" s="2"/>
      <c r="W208" s="2"/>
      <c r="X208" s="2"/>
      <c r="Y208" s="2"/>
      <c r="Z208" s="2"/>
      <c r="AA208" s="2"/>
    </row>
    <row r="209" spans="1:27" x14ac:dyDescent="0.25">
      <c r="C209" s="1" t="s">
        <v>49</v>
      </c>
      <c r="G209" s="2"/>
      <c r="H209" s="2"/>
      <c r="I209" s="2"/>
      <c r="J209" s="2"/>
      <c r="K209" s="2"/>
      <c r="L209" s="2"/>
      <c r="M209" s="2"/>
      <c r="N209" s="2"/>
      <c r="O209" s="2"/>
      <c r="P209" s="2"/>
      <c r="Q209" s="2"/>
      <c r="R209" s="2"/>
      <c r="S209" s="2"/>
      <c r="T209" s="2"/>
      <c r="U209" s="2"/>
      <c r="V209" s="2"/>
      <c r="W209" s="2"/>
      <c r="X209" s="2"/>
      <c r="Y209" s="2"/>
      <c r="Z209" s="2"/>
      <c r="AA209" s="2"/>
    </row>
    <row r="210" spans="1:27" x14ac:dyDescent="0.25">
      <c r="A210" s="14">
        <f>'Notes &amp; Assumptions'!A63</f>
        <v>50</v>
      </c>
      <c r="E210" s="10" t="s">
        <v>239</v>
      </c>
      <c r="F210" t="s">
        <v>7</v>
      </c>
      <c r="G210" s="2"/>
      <c r="H210" s="10"/>
      <c r="I210" s="10"/>
      <c r="J210" s="10"/>
      <c r="K210" s="10"/>
      <c r="L210" s="10"/>
      <c r="M210" s="10"/>
      <c r="N210" s="10"/>
      <c r="O210" s="10"/>
      <c r="P210" s="10"/>
      <c r="Q210" s="10"/>
      <c r="R210" s="10"/>
      <c r="S210" s="10"/>
      <c r="T210" s="10"/>
      <c r="U210" s="10"/>
      <c r="V210" s="10"/>
      <c r="W210" s="10"/>
      <c r="X210" s="10"/>
      <c r="Y210" s="10"/>
      <c r="Z210" s="10"/>
      <c r="AA210" s="10"/>
    </row>
    <row r="211" spans="1:27" x14ac:dyDescent="0.25">
      <c r="A211" s="14">
        <f>'Notes &amp; Assumptions'!A64</f>
        <v>51</v>
      </c>
      <c r="E211" s="10" t="s">
        <v>50</v>
      </c>
      <c r="F211" t="s">
        <v>7</v>
      </c>
      <c r="G211" s="2"/>
      <c r="H211" s="10"/>
      <c r="I211" s="10"/>
      <c r="J211" s="10"/>
      <c r="K211" s="10"/>
      <c r="L211" s="10"/>
      <c r="M211" s="10"/>
      <c r="N211" s="10"/>
      <c r="O211" s="10"/>
      <c r="P211" s="10"/>
      <c r="Q211" s="10"/>
      <c r="R211" s="10"/>
      <c r="S211" s="10"/>
      <c r="T211" s="10"/>
      <c r="U211" s="10"/>
      <c r="V211" s="10"/>
      <c r="W211" s="10"/>
      <c r="X211" s="10"/>
      <c r="Y211" s="10"/>
      <c r="Z211" s="10"/>
      <c r="AA211" s="10"/>
    </row>
    <row r="212" spans="1:27" x14ac:dyDescent="0.25">
      <c r="A212" s="14">
        <f>'Notes &amp; Assumptions'!A65</f>
        <v>52</v>
      </c>
      <c r="E212" s="10" t="s">
        <v>51</v>
      </c>
      <c r="F212" t="s">
        <v>7</v>
      </c>
      <c r="G212" s="2"/>
      <c r="H212" s="10"/>
      <c r="I212" s="10"/>
      <c r="J212" s="10"/>
      <c r="K212" s="10"/>
      <c r="L212" s="10"/>
      <c r="M212" s="10"/>
      <c r="N212" s="10"/>
      <c r="O212" s="10"/>
      <c r="P212" s="10"/>
      <c r="Q212" s="10"/>
      <c r="R212" s="10"/>
      <c r="S212" s="10"/>
      <c r="T212" s="10"/>
      <c r="U212" s="10"/>
      <c r="V212" s="10"/>
      <c r="W212" s="10"/>
      <c r="X212" s="10"/>
      <c r="Y212" s="10"/>
      <c r="Z212" s="10"/>
      <c r="AA212" s="10"/>
    </row>
    <row r="213" spans="1:27" x14ac:dyDescent="0.25">
      <c r="A213" s="14">
        <f>'Notes &amp; Assumptions'!A66</f>
        <v>53</v>
      </c>
      <c r="E213" s="10" t="s">
        <v>52</v>
      </c>
      <c r="F213" t="s">
        <v>7</v>
      </c>
      <c r="G213" s="2"/>
      <c r="H213" s="10"/>
      <c r="I213" s="10"/>
      <c r="J213" s="10"/>
      <c r="K213" s="10"/>
      <c r="L213" s="10"/>
      <c r="M213" s="10"/>
      <c r="N213" s="10"/>
      <c r="O213" s="10"/>
      <c r="P213" s="10"/>
      <c r="Q213" s="10"/>
      <c r="R213" s="10"/>
      <c r="S213" s="10"/>
      <c r="T213" s="10"/>
      <c r="U213" s="10"/>
      <c r="V213" s="10"/>
      <c r="W213" s="10"/>
      <c r="X213" s="10"/>
      <c r="Y213" s="10"/>
      <c r="Z213" s="10"/>
      <c r="AA213" s="10"/>
    </row>
    <row r="214" spans="1:27" x14ac:dyDescent="0.25">
      <c r="E214" t="s">
        <v>17</v>
      </c>
      <c r="G214" s="2"/>
      <c r="H214" s="2">
        <f>SUM(H210:H213)</f>
        <v>0</v>
      </c>
      <c r="I214" s="2">
        <f t="shared" ref="I214:AA214" si="87">SUM(I210:I213)</f>
        <v>0</v>
      </c>
      <c r="J214" s="2">
        <f t="shared" si="87"/>
        <v>0</v>
      </c>
      <c r="K214" s="2">
        <f t="shared" si="87"/>
        <v>0</v>
      </c>
      <c r="L214" s="2">
        <f t="shared" si="87"/>
        <v>0</v>
      </c>
      <c r="M214" s="2">
        <f t="shared" si="87"/>
        <v>0</v>
      </c>
      <c r="N214" s="2">
        <f t="shared" si="87"/>
        <v>0</v>
      </c>
      <c r="O214" s="2">
        <f t="shared" si="87"/>
        <v>0</v>
      </c>
      <c r="P214" s="2">
        <f t="shared" si="87"/>
        <v>0</v>
      </c>
      <c r="Q214" s="2">
        <f t="shared" si="87"/>
        <v>0</v>
      </c>
      <c r="R214" s="2">
        <f t="shared" si="87"/>
        <v>0</v>
      </c>
      <c r="S214" s="2">
        <f t="shared" si="87"/>
        <v>0</v>
      </c>
      <c r="T214" s="2">
        <f t="shared" si="87"/>
        <v>0</v>
      </c>
      <c r="U214" s="2">
        <f t="shared" si="87"/>
        <v>0</v>
      </c>
      <c r="V214" s="2">
        <f t="shared" si="87"/>
        <v>0</v>
      </c>
      <c r="W214" s="2">
        <f t="shared" si="87"/>
        <v>0</v>
      </c>
      <c r="X214" s="2">
        <f t="shared" si="87"/>
        <v>0</v>
      </c>
      <c r="Y214" s="2">
        <f t="shared" si="87"/>
        <v>0</v>
      </c>
      <c r="Z214" s="2">
        <f t="shared" si="87"/>
        <v>0</v>
      </c>
      <c r="AA214" s="2">
        <f t="shared" si="87"/>
        <v>0</v>
      </c>
    </row>
    <row r="215" spans="1:27" x14ac:dyDescent="0.25">
      <c r="G215" s="2"/>
      <c r="H215" s="2"/>
      <c r="I215" s="2"/>
      <c r="J215" s="2"/>
      <c r="K215" s="2"/>
      <c r="L215" s="2"/>
      <c r="M215" s="2"/>
      <c r="N215" s="2"/>
      <c r="O215" s="2"/>
      <c r="P215" s="2"/>
      <c r="Q215" s="2"/>
      <c r="R215" s="2"/>
      <c r="S215" s="2"/>
      <c r="T215" s="2"/>
      <c r="U215" s="2"/>
      <c r="V215" s="2"/>
      <c r="W215" s="2"/>
      <c r="X215" s="2"/>
      <c r="Y215" s="2"/>
      <c r="Z215" s="2"/>
      <c r="AA215" s="2"/>
    </row>
    <row r="216" spans="1:27" x14ac:dyDescent="0.25">
      <c r="C216" s="1" t="s">
        <v>33</v>
      </c>
      <c r="G216" s="2"/>
      <c r="H216" s="2"/>
      <c r="I216" s="2"/>
      <c r="J216" s="2"/>
      <c r="K216" s="2"/>
      <c r="L216" s="2"/>
      <c r="M216" s="2"/>
      <c r="N216" s="2"/>
      <c r="O216" s="2"/>
      <c r="P216" s="2"/>
      <c r="Q216" s="2"/>
      <c r="R216" s="2"/>
      <c r="S216" s="2"/>
      <c r="T216" s="2"/>
      <c r="U216" s="2"/>
      <c r="V216" s="2"/>
      <c r="W216" s="2"/>
      <c r="X216" s="2"/>
      <c r="Y216" s="2"/>
      <c r="Z216" s="2"/>
      <c r="AA216" s="2"/>
    </row>
    <row r="217" spans="1:27" x14ac:dyDescent="0.25">
      <c r="C217" s="1"/>
      <c r="D217" s="1"/>
      <c r="E217" t="s">
        <v>29</v>
      </c>
      <c r="F217" t="s">
        <v>3</v>
      </c>
      <c r="G217" s="44"/>
      <c r="H217" s="2">
        <f>H174</f>
        <v>1870</v>
      </c>
      <c r="I217" s="2">
        <f t="shared" ref="I217:AA217" si="88">I174</f>
        <v>2360</v>
      </c>
      <c r="J217" s="2">
        <f t="shared" si="88"/>
        <v>2899.7000000000003</v>
      </c>
      <c r="K217" s="2">
        <f t="shared" si="88"/>
        <v>3281.8</v>
      </c>
      <c r="L217" s="2">
        <f t="shared" si="88"/>
        <v>3621.7</v>
      </c>
      <c r="M217" s="2">
        <f t="shared" si="88"/>
        <v>3930.9999999999995</v>
      </c>
      <c r="N217" s="2">
        <f t="shared" si="88"/>
        <v>4204.2999999999993</v>
      </c>
      <c r="O217" s="2">
        <f t="shared" si="88"/>
        <v>4445.8999999999996</v>
      </c>
      <c r="P217" s="2">
        <f t="shared" si="88"/>
        <v>5141.0999999999995</v>
      </c>
      <c r="Q217" s="2">
        <f t="shared" si="88"/>
        <v>5904.6999999999989</v>
      </c>
      <c r="R217" s="2">
        <f t="shared" si="88"/>
        <v>6251.4999999999991</v>
      </c>
      <c r="S217" s="2">
        <f t="shared" si="88"/>
        <v>6621.7999999999984</v>
      </c>
      <c r="T217" s="2">
        <f t="shared" si="88"/>
        <v>7014.4999999999982</v>
      </c>
      <c r="U217" s="2">
        <f t="shared" si="88"/>
        <v>6968.5999999999985</v>
      </c>
      <c r="V217" s="2">
        <f t="shared" si="88"/>
        <v>6917.5999999999985</v>
      </c>
      <c r="W217" s="2">
        <f t="shared" si="88"/>
        <v>0</v>
      </c>
      <c r="X217" s="2">
        <f t="shared" si="88"/>
        <v>0</v>
      </c>
      <c r="Y217" s="2">
        <f t="shared" si="88"/>
        <v>0</v>
      </c>
      <c r="Z217" s="2">
        <f t="shared" si="88"/>
        <v>0</v>
      </c>
      <c r="AA217" s="2">
        <f t="shared" si="88"/>
        <v>0</v>
      </c>
    </row>
    <row r="218" spans="1:27" x14ac:dyDescent="0.25">
      <c r="E218" t="s">
        <v>18</v>
      </c>
      <c r="F218" t="s">
        <v>22</v>
      </c>
      <c r="G218" s="8">
        <f ca="1">MAX(0,-G245/(NPV($G$16,H217:AA217)))</f>
        <v>16534.945140988184</v>
      </c>
      <c r="H218" s="2">
        <f ca="1">G218*(1+$G$14)</f>
        <v>16882.178988948934</v>
      </c>
      <c r="I218" s="2">
        <f t="shared" ref="I218:AA218" ca="1" si="89">H218*(1+$G$14)</f>
        <v>17236.70474771686</v>
      </c>
      <c r="J218" s="2">
        <f t="shared" ca="1" si="89"/>
        <v>17598.675547418912</v>
      </c>
      <c r="K218" s="2">
        <f t="shared" ca="1" si="89"/>
        <v>17968.247733914708</v>
      </c>
      <c r="L218" s="2">
        <f t="shared" ca="1" si="89"/>
        <v>18345.580936326915</v>
      </c>
      <c r="M218" s="2">
        <f t="shared" ca="1" si="89"/>
        <v>18730.838135989779</v>
      </c>
      <c r="N218" s="2">
        <f t="shared" ca="1" si="89"/>
        <v>19124.185736845564</v>
      </c>
      <c r="O218" s="2">
        <f t="shared" ca="1" si="89"/>
        <v>19525.793637319319</v>
      </c>
      <c r="P218" s="2">
        <f t="shared" ca="1" si="89"/>
        <v>19935.835303703021</v>
      </c>
      <c r="Q218" s="2">
        <f t="shared" ca="1" si="89"/>
        <v>20354.487845080781</v>
      </c>
      <c r="R218" s="2">
        <f t="shared" ca="1" si="89"/>
        <v>20781.932089827475</v>
      </c>
      <c r="S218" s="2">
        <f t="shared" ca="1" si="89"/>
        <v>21218.352663713849</v>
      </c>
      <c r="T218" s="2">
        <f t="shared" ca="1" si="89"/>
        <v>21663.938069651838</v>
      </c>
      <c r="U218" s="2">
        <f t="shared" ca="1" si="89"/>
        <v>22118.880769114527</v>
      </c>
      <c r="V218" s="2">
        <f t="shared" ca="1" si="89"/>
        <v>22583.377265265928</v>
      </c>
      <c r="W218" s="2">
        <f t="shared" ca="1" si="89"/>
        <v>23057.628187836512</v>
      </c>
      <c r="X218" s="2">
        <f t="shared" ca="1" si="89"/>
        <v>23541.838379781075</v>
      </c>
      <c r="Y218" s="2">
        <f t="shared" ca="1" si="89"/>
        <v>24036.216985756477</v>
      </c>
      <c r="Z218" s="2">
        <f t="shared" ca="1" si="89"/>
        <v>24540.97754245736</v>
      </c>
      <c r="AA218" s="2">
        <f t="shared" ca="1" si="89"/>
        <v>25056.338070848964</v>
      </c>
    </row>
    <row r="219" spans="1:27" x14ac:dyDescent="0.25">
      <c r="E219" t="s">
        <v>21</v>
      </c>
      <c r="F219" t="s">
        <v>7</v>
      </c>
      <c r="H219" s="2">
        <f ca="1">H218*H217</f>
        <v>31569674.709334508</v>
      </c>
      <c r="I219" s="2">
        <f t="shared" ref="I219:AA219" ca="1" si="90">I218*I217</f>
        <v>40678623.204611786</v>
      </c>
      <c r="J219" s="2">
        <f t="shared" ca="1" si="90"/>
        <v>51030879.484850623</v>
      </c>
      <c r="K219" s="2">
        <f t="shared" ca="1" si="90"/>
        <v>58968195.413161293</v>
      </c>
      <c r="L219" s="2">
        <f t="shared" ca="1" si="90"/>
        <v>66442190.477095187</v>
      </c>
      <c r="M219" s="2">
        <f t="shared" ca="1" si="90"/>
        <v>73630924.712575808</v>
      </c>
      <c r="N219" s="2">
        <f t="shared" ca="1" si="90"/>
        <v>80403814.09341979</v>
      </c>
      <c r="O219" s="2">
        <f t="shared" ca="1" si="90"/>
        <v>86809725.932157949</v>
      </c>
      <c r="P219" s="2">
        <f t="shared" ca="1" si="90"/>
        <v>102492122.87986758</v>
      </c>
      <c r="Q219" s="2">
        <f t="shared" ca="1" si="90"/>
        <v>120187144.37884846</v>
      </c>
      <c r="R219" s="2">
        <f t="shared" ca="1" si="90"/>
        <v>129918248.45955645</v>
      </c>
      <c r="S219" s="2">
        <f t="shared" ca="1" si="90"/>
        <v>140503687.66858032</v>
      </c>
      <c r="T219" s="2">
        <f t="shared" ca="1" si="90"/>
        <v>151961693.58957279</v>
      </c>
      <c r="U219" s="2">
        <f t="shared" ca="1" si="90"/>
        <v>154137632.52765146</v>
      </c>
      <c r="V219" s="2">
        <f t="shared" ca="1" si="90"/>
        <v>156222770.57020354</v>
      </c>
      <c r="W219" s="2">
        <f t="shared" ca="1" si="90"/>
        <v>0</v>
      </c>
      <c r="X219" s="2">
        <f t="shared" ca="1" si="90"/>
        <v>0</v>
      </c>
      <c r="Y219" s="2">
        <f t="shared" ca="1" si="90"/>
        <v>0</v>
      </c>
      <c r="Z219" s="2">
        <f t="shared" ca="1" si="90"/>
        <v>0</v>
      </c>
      <c r="AA219" s="2">
        <f t="shared" ca="1" si="90"/>
        <v>0</v>
      </c>
    </row>
    <row r="220" spans="1:27" x14ac:dyDescent="0.25">
      <c r="G220" s="8">
        <f ca="1">-G245/(NPV($G$16,H217:AA217))</f>
        <v>16534.945140988184</v>
      </c>
    </row>
    <row r="221" spans="1:27" x14ac:dyDescent="0.25">
      <c r="D221" t="s">
        <v>9</v>
      </c>
    </row>
    <row r="222" spans="1:27" x14ac:dyDescent="0.25">
      <c r="E222" t="s">
        <v>107</v>
      </c>
      <c r="F222" t="s">
        <v>7</v>
      </c>
      <c r="G222" s="2">
        <f t="shared" ref="G222:AA222" si="91">G42</f>
        <v>0</v>
      </c>
      <c r="H222" s="2">
        <f t="shared" si="91"/>
        <v>6682444.9999999991</v>
      </c>
      <c r="I222" s="2">
        <f t="shared" si="91"/>
        <v>8610562.6599999964</v>
      </c>
      <c r="J222" s="2">
        <f t="shared" si="91"/>
        <v>10801854.900275948</v>
      </c>
      <c r="K222" s="2">
        <f t="shared" si="91"/>
        <v>12481969.682164304</v>
      </c>
      <c r="L222" s="2">
        <f t="shared" si="91"/>
        <v>14064011.98715651</v>
      </c>
      <c r="M222" s="2">
        <f t="shared" si="91"/>
        <v>15585672.301699199</v>
      </c>
      <c r="N222" s="2">
        <f t="shared" si="91"/>
        <v>17019309.524612732</v>
      </c>
      <c r="O222" s="2">
        <f t="shared" si="91"/>
        <v>18375267.542278316</v>
      </c>
      <c r="P222" s="2">
        <f t="shared" si="91"/>
        <v>21694806.182955258</v>
      </c>
      <c r="Q222" s="2">
        <f t="shared" si="91"/>
        <v>25440362.924653146</v>
      </c>
      <c r="R222" s="2">
        <f t="shared" si="91"/>
        <v>27500174.06959914</v>
      </c>
      <c r="S222" s="2">
        <f t="shared" si="91"/>
        <v>29740824.819612414</v>
      </c>
      <c r="T222" s="2">
        <f t="shared" si="91"/>
        <v>32166174.307108615</v>
      </c>
      <c r="U222" s="2">
        <f t="shared" si="91"/>
        <v>32626761.640077546</v>
      </c>
      <c r="V222" s="2">
        <f t="shared" si="91"/>
        <v>33068128.883010909</v>
      </c>
      <c r="W222" s="2">
        <f t="shared" si="91"/>
        <v>0</v>
      </c>
      <c r="X222" s="2">
        <f t="shared" si="91"/>
        <v>0</v>
      </c>
      <c r="Y222" s="2">
        <f t="shared" si="91"/>
        <v>0</v>
      </c>
      <c r="Z222" s="2">
        <f t="shared" si="91"/>
        <v>0</v>
      </c>
      <c r="AA222" s="2">
        <f t="shared" si="91"/>
        <v>0</v>
      </c>
    </row>
    <row r="223" spans="1:27" x14ac:dyDescent="0.25">
      <c r="E223" t="s">
        <v>11</v>
      </c>
      <c r="F223" t="s">
        <v>7</v>
      </c>
      <c r="G223" s="2">
        <f t="shared" ref="G223:AA223" si="92">G177</f>
        <v>0</v>
      </c>
      <c r="H223" s="2">
        <f t="shared" si="92"/>
        <v>146459.24675273275</v>
      </c>
      <c r="I223" s="2">
        <f t="shared" si="92"/>
        <v>323970.72385238652</v>
      </c>
      <c r="J223" s="2">
        <f t="shared" si="92"/>
        <v>550274.16932860902</v>
      </c>
      <c r="K223" s="2">
        <f t="shared" si="92"/>
        <v>812842.49297002354</v>
      </c>
      <c r="L223" s="2">
        <f t="shared" si="92"/>
        <v>1110630.3576165158</v>
      </c>
      <c r="M223" s="2">
        <f t="shared" si="92"/>
        <v>1443268.3802641318</v>
      </c>
      <c r="N223" s="2">
        <f t="shared" si="92"/>
        <v>1809867.9142420532</v>
      </c>
      <c r="O223" s="2">
        <f t="shared" si="92"/>
        <v>2209713.3256617519</v>
      </c>
      <c r="P223" s="2">
        <f t="shared" si="92"/>
        <v>2679861.894014738</v>
      </c>
      <c r="Q223" s="2">
        <f t="shared" si="92"/>
        <v>3229685.98064721</v>
      </c>
      <c r="R223" s="2">
        <f t="shared" si="92"/>
        <v>3829662.0522984695</v>
      </c>
      <c r="S223" s="2">
        <f t="shared" si="92"/>
        <v>4472423.6491872026</v>
      </c>
      <c r="T223" s="2">
        <f t="shared" si="92"/>
        <v>5173828.5701691834</v>
      </c>
      <c r="U223" s="2">
        <f t="shared" si="92"/>
        <v>5898741.892677133</v>
      </c>
      <c r="V223" s="2">
        <f t="shared" si="92"/>
        <v>6647306.7941989368</v>
      </c>
      <c r="W223" s="2">
        <f t="shared" si="92"/>
        <v>6786900.2368771136</v>
      </c>
      <c r="X223" s="2">
        <f t="shared" si="92"/>
        <v>6929425.1418515313</v>
      </c>
      <c r="Y223" s="2">
        <f t="shared" si="92"/>
        <v>7074943.069830413</v>
      </c>
      <c r="Z223" s="2">
        <f t="shared" si="92"/>
        <v>7223516.8742968515</v>
      </c>
      <c r="AA223" s="2">
        <f t="shared" si="92"/>
        <v>7375210.7286570845</v>
      </c>
    </row>
    <row r="224" spans="1:27" x14ac:dyDescent="0.25">
      <c r="E224" t="s">
        <v>57</v>
      </c>
      <c r="F224" t="s">
        <v>7</v>
      </c>
      <c r="G224" s="2">
        <f t="shared" ref="G224:AA224" si="93">-G187</f>
        <v>0</v>
      </c>
      <c r="H224" s="2">
        <f t="shared" si="93"/>
        <v>0</v>
      </c>
      <c r="I224" s="2">
        <f t="shared" si="93"/>
        <v>0</v>
      </c>
      <c r="J224" s="2">
        <f t="shared" si="93"/>
        <v>0</v>
      </c>
      <c r="K224" s="2">
        <f t="shared" si="93"/>
        <v>0</v>
      </c>
      <c r="L224" s="2">
        <f t="shared" si="93"/>
        <v>0</v>
      </c>
      <c r="M224" s="2">
        <f t="shared" si="93"/>
        <v>0</v>
      </c>
      <c r="N224" s="2">
        <f t="shared" si="93"/>
        <v>0</v>
      </c>
      <c r="O224" s="2">
        <f t="shared" si="93"/>
        <v>0</v>
      </c>
      <c r="P224" s="2">
        <f t="shared" si="93"/>
        <v>0</v>
      </c>
      <c r="Q224" s="2">
        <f t="shared" si="93"/>
        <v>0</v>
      </c>
      <c r="R224" s="2">
        <f t="shared" si="93"/>
        <v>0</v>
      </c>
      <c r="S224" s="2">
        <f t="shared" si="93"/>
        <v>0</v>
      </c>
      <c r="T224" s="2">
        <f t="shared" si="93"/>
        <v>0</v>
      </c>
      <c r="U224" s="2">
        <f t="shared" si="93"/>
        <v>0</v>
      </c>
      <c r="V224" s="2">
        <f t="shared" si="93"/>
        <v>0</v>
      </c>
      <c r="W224" s="2">
        <f t="shared" si="93"/>
        <v>0</v>
      </c>
      <c r="X224" s="2">
        <f t="shared" si="93"/>
        <v>0</v>
      </c>
      <c r="Y224" s="2">
        <f t="shared" si="93"/>
        <v>0</v>
      </c>
      <c r="Z224" s="2">
        <f t="shared" si="93"/>
        <v>0</v>
      </c>
      <c r="AA224" s="2">
        <f t="shared" si="93"/>
        <v>0</v>
      </c>
    </row>
    <row r="225" spans="4:28" customFormat="1" x14ac:dyDescent="0.25">
      <c r="E225" t="s">
        <v>10</v>
      </c>
      <c r="F225" t="s">
        <v>7</v>
      </c>
      <c r="G225" s="2">
        <f t="shared" ref="G225:AA225" si="94">-G200</f>
        <v>0</v>
      </c>
      <c r="H225" s="2">
        <f t="shared" si="94"/>
        <v>-229112.39999999997</v>
      </c>
      <c r="I225" s="2">
        <f t="shared" si="94"/>
        <v>-529143.05159999989</v>
      </c>
      <c r="J225" s="2">
        <f t="shared" si="94"/>
        <v>-910604.36655020376</v>
      </c>
      <c r="K225" s="2">
        <f t="shared" si="94"/>
        <v>-1357680.3044933912</v>
      </c>
      <c r="L225" s="2">
        <f t="shared" si="94"/>
        <v>-1868386.2875902615</v>
      </c>
      <c r="M225" s="2">
        <f t="shared" si="94"/>
        <v>-2441988.3071164866</v>
      </c>
      <c r="N225" s="2">
        <f t="shared" si="94"/>
        <v>-3076789.2452669404</v>
      </c>
      <c r="O225" s="2">
        <f t="shared" si="94"/>
        <v>-3771410.9922956601</v>
      </c>
      <c r="P225" s="2">
        <f t="shared" si="94"/>
        <v>-4594432.5494066207</v>
      </c>
      <c r="Q225" s="2">
        <f t="shared" si="94"/>
        <v>-5563156.6475036945</v>
      </c>
      <c r="R225" s="2">
        <f t="shared" si="94"/>
        <v>-6622846.0480589569</v>
      </c>
      <c r="S225" s="2">
        <f t="shared" si="94"/>
        <v>-7781611.2374549052</v>
      </c>
      <c r="T225" s="2">
        <f t="shared" si="94"/>
        <v>-9047865.3353994675</v>
      </c>
      <c r="U225" s="2">
        <f t="shared" si="94"/>
        <v>-10356502.335102659</v>
      </c>
      <c r="V225" s="2">
        <f t="shared" si="94"/>
        <v>-11707753.302985901</v>
      </c>
      <c r="W225" s="2">
        <f t="shared" si="94"/>
        <v>-11953616.122348605</v>
      </c>
      <c r="X225" s="2">
        <f t="shared" si="94"/>
        <v>-12204642.060917925</v>
      </c>
      <c r="Y225" s="2">
        <f t="shared" si="94"/>
        <v>-12460939.5441972</v>
      </c>
      <c r="Z225" s="2">
        <f t="shared" si="94"/>
        <v>-12722619.274625339</v>
      </c>
      <c r="AA225" s="2">
        <f t="shared" si="94"/>
        <v>-12989794.27939247</v>
      </c>
    </row>
    <row r="226" spans="4:28" customFormat="1" x14ac:dyDescent="0.25">
      <c r="E226" t="s">
        <v>12</v>
      </c>
      <c r="F226" t="s">
        <v>7</v>
      </c>
      <c r="G226" s="2">
        <f t="shared" ref="G226:AA226" si="95">-G34-G50-G85</f>
        <v>-741971.49293463805</v>
      </c>
      <c r="H226" s="2">
        <f t="shared" si="95"/>
        <v>-1149024.6140688488</v>
      </c>
      <c r="I226" s="2">
        <f t="shared" si="95"/>
        <v>-2196242.7354584648</v>
      </c>
      <c r="J226" s="2">
        <f t="shared" si="95"/>
        <v>-3872196.0781409442</v>
      </c>
      <c r="K226" s="2">
        <f t="shared" si="95"/>
        <v>-5223076.829458829</v>
      </c>
      <c r="L226" s="2">
        <f t="shared" si="95"/>
        <v>-6089646.5681245327</v>
      </c>
      <c r="M226" s="2">
        <f t="shared" si="95"/>
        <v>-6774249.8709002268</v>
      </c>
      <c r="N226" s="2">
        <f t="shared" si="95"/>
        <v>-7854824.6581702195</v>
      </c>
      <c r="O226" s="2">
        <f t="shared" si="95"/>
        <v>-9432374.1824611668</v>
      </c>
      <c r="P226" s="2">
        <f t="shared" si="95"/>
        <v>-10574686.612350717</v>
      </c>
      <c r="Q226" s="2">
        <f t="shared" si="95"/>
        <v>-11235383.542461313</v>
      </c>
      <c r="R226" s="2">
        <f t="shared" si="95"/>
        <v>-11911731.948719196</v>
      </c>
      <c r="S226" s="2">
        <f t="shared" si="95"/>
        <v>-12623073.010190394</v>
      </c>
      <c r="T226" s="2">
        <f t="shared" si="95"/>
        <v>-13371862.136031039</v>
      </c>
      <c r="U226" s="2">
        <f t="shared" si="95"/>
        <v>-14133689.554420833</v>
      </c>
      <c r="V226" s="2">
        <f t="shared" si="95"/>
        <v>-14908467.914202958</v>
      </c>
      <c r="W226" s="2">
        <f t="shared" si="95"/>
        <v>-14908467.914202958</v>
      </c>
      <c r="X226" s="2">
        <f t="shared" si="95"/>
        <v>-14908467.914202958</v>
      </c>
      <c r="Y226" s="2">
        <f t="shared" si="95"/>
        <v>-14908467.914202958</v>
      </c>
      <c r="Z226" s="2">
        <f t="shared" si="95"/>
        <v>-14908467.914202958</v>
      </c>
      <c r="AA226" s="2">
        <f t="shared" si="95"/>
        <v>-14908467.914202958</v>
      </c>
    </row>
    <row r="227" spans="4:28" customFormat="1" x14ac:dyDescent="0.25">
      <c r="E227" t="s">
        <v>48</v>
      </c>
      <c r="F227" t="s">
        <v>7</v>
      </c>
      <c r="G227" s="2">
        <f t="shared" ref="G227:AA227" si="96">G207</f>
        <v>0</v>
      </c>
      <c r="H227" s="2">
        <f t="shared" si="96"/>
        <v>0</v>
      </c>
      <c r="I227" s="2">
        <f t="shared" si="96"/>
        <v>0</v>
      </c>
      <c r="J227" s="2">
        <f t="shared" si="96"/>
        <v>0</v>
      </c>
      <c r="K227" s="2">
        <f t="shared" si="96"/>
        <v>0</v>
      </c>
      <c r="L227" s="2">
        <f t="shared" si="96"/>
        <v>0</v>
      </c>
      <c r="M227" s="2">
        <f t="shared" si="96"/>
        <v>0</v>
      </c>
      <c r="N227" s="2">
        <f t="shared" si="96"/>
        <v>0</v>
      </c>
      <c r="O227" s="2">
        <f t="shared" si="96"/>
        <v>0</v>
      </c>
      <c r="P227" s="2">
        <f t="shared" si="96"/>
        <v>0</v>
      </c>
      <c r="Q227" s="2">
        <f t="shared" si="96"/>
        <v>0</v>
      </c>
      <c r="R227" s="2">
        <f t="shared" si="96"/>
        <v>0</v>
      </c>
      <c r="S227" s="2">
        <f t="shared" si="96"/>
        <v>0</v>
      </c>
      <c r="T227" s="2">
        <f t="shared" si="96"/>
        <v>0</v>
      </c>
      <c r="U227" s="2">
        <f t="shared" si="96"/>
        <v>0</v>
      </c>
      <c r="V227" s="2">
        <f t="shared" si="96"/>
        <v>0</v>
      </c>
      <c r="W227" s="2">
        <f t="shared" si="96"/>
        <v>0</v>
      </c>
      <c r="X227" s="2">
        <f t="shared" si="96"/>
        <v>0</v>
      </c>
      <c r="Y227" s="2">
        <f t="shared" si="96"/>
        <v>0</v>
      </c>
      <c r="Z227" s="2">
        <f t="shared" si="96"/>
        <v>0</v>
      </c>
      <c r="AA227" s="2">
        <f t="shared" si="96"/>
        <v>0</v>
      </c>
    </row>
    <row r="228" spans="4:28" customFormat="1" x14ac:dyDescent="0.25">
      <c r="E228" t="s">
        <v>13</v>
      </c>
      <c r="F228" t="s">
        <v>7</v>
      </c>
      <c r="H228" s="2">
        <f t="shared" ref="H228:AA228" ca="1" si="97">H219</f>
        <v>31569674.709334508</v>
      </c>
      <c r="I228" s="2">
        <f t="shared" ca="1" si="97"/>
        <v>40678623.204611786</v>
      </c>
      <c r="J228" s="2">
        <f t="shared" ca="1" si="97"/>
        <v>51030879.484850623</v>
      </c>
      <c r="K228" s="2">
        <f t="shared" ca="1" si="97"/>
        <v>58968195.413161293</v>
      </c>
      <c r="L228" s="2">
        <f t="shared" ca="1" si="97"/>
        <v>66442190.477095187</v>
      </c>
      <c r="M228" s="2">
        <f t="shared" ca="1" si="97"/>
        <v>73630924.712575808</v>
      </c>
      <c r="N228" s="2">
        <f t="shared" ca="1" si="97"/>
        <v>80403814.09341979</v>
      </c>
      <c r="O228" s="2">
        <f t="shared" ca="1" si="97"/>
        <v>86809725.932157949</v>
      </c>
      <c r="P228" s="2">
        <f t="shared" ca="1" si="97"/>
        <v>102492122.87986758</v>
      </c>
      <c r="Q228" s="2">
        <f t="shared" ca="1" si="97"/>
        <v>120187144.37884846</v>
      </c>
      <c r="R228" s="2">
        <f t="shared" ca="1" si="97"/>
        <v>129918248.45955645</v>
      </c>
      <c r="S228" s="2">
        <f t="shared" ca="1" si="97"/>
        <v>140503687.66858032</v>
      </c>
      <c r="T228" s="2">
        <f t="shared" ca="1" si="97"/>
        <v>151961693.58957279</v>
      </c>
      <c r="U228" s="2">
        <f t="shared" ca="1" si="97"/>
        <v>154137632.52765146</v>
      </c>
      <c r="V228" s="2">
        <f t="shared" ca="1" si="97"/>
        <v>156222770.57020354</v>
      </c>
      <c r="W228" s="2">
        <f t="shared" ca="1" si="97"/>
        <v>0</v>
      </c>
      <c r="X228" s="2">
        <f t="shared" ca="1" si="97"/>
        <v>0</v>
      </c>
      <c r="Y228" s="2">
        <f t="shared" ca="1" si="97"/>
        <v>0</v>
      </c>
      <c r="Z228" s="2">
        <f t="shared" ca="1" si="97"/>
        <v>0</v>
      </c>
      <c r="AA228" s="2">
        <f t="shared" ca="1" si="97"/>
        <v>0</v>
      </c>
    </row>
    <row r="229" spans="4:28" customFormat="1" x14ac:dyDescent="0.25"/>
    <row r="230" spans="4:28" customFormat="1" x14ac:dyDescent="0.25">
      <c r="E230" t="s">
        <v>14</v>
      </c>
      <c r="F230" t="s">
        <v>7</v>
      </c>
      <c r="G230" s="2">
        <f t="shared" ref="G230:AA230" si="98">SUM(G222:G228)</f>
        <v>-741971.49293463805</v>
      </c>
      <c r="H230" s="2">
        <f t="shared" ca="1" si="98"/>
        <v>37020441.94201839</v>
      </c>
      <c r="I230" s="2">
        <f t="shared" ca="1" si="98"/>
        <v>46887770.801405706</v>
      </c>
      <c r="J230" s="2">
        <f t="shared" ca="1" si="98"/>
        <v>57600208.109764032</v>
      </c>
      <c r="K230" s="2">
        <f t="shared" ca="1" si="98"/>
        <v>65682250.454343401</v>
      </c>
      <c r="L230" s="2">
        <f t="shared" ca="1" si="98"/>
        <v>73658799.966153413</v>
      </c>
      <c r="M230" s="2">
        <f t="shared" ca="1" si="98"/>
        <v>81443627.216522425</v>
      </c>
      <c r="N230" s="2">
        <f t="shared" ca="1" si="98"/>
        <v>88301377.628837407</v>
      </c>
      <c r="O230" s="2">
        <f t="shared" ca="1" si="98"/>
        <v>94190921.625341192</v>
      </c>
      <c r="P230" s="2">
        <f t="shared" ca="1" si="98"/>
        <v>111697671.79508024</v>
      </c>
      <c r="Q230" s="2">
        <f t="shared" ca="1" si="98"/>
        <v>132058653.0941838</v>
      </c>
      <c r="R230" s="2">
        <f t="shared" ca="1" si="98"/>
        <v>142713506.58467591</v>
      </c>
      <c r="S230" s="2">
        <f t="shared" ca="1" si="98"/>
        <v>154312251.88973463</v>
      </c>
      <c r="T230" s="2">
        <f t="shared" ca="1" si="98"/>
        <v>166881968.99542007</v>
      </c>
      <c r="U230" s="2">
        <f t="shared" ca="1" si="98"/>
        <v>168172944.17088264</v>
      </c>
      <c r="V230" s="2">
        <f t="shared" ca="1" si="98"/>
        <v>169321985.03022453</v>
      </c>
      <c r="W230" s="2">
        <f t="shared" ca="1" si="98"/>
        <v>-20075183.799674451</v>
      </c>
      <c r="X230" s="2">
        <f t="shared" ca="1" si="98"/>
        <v>-20183684.83326935</v>
      </c>
      <c r="Y230" s="2">
        <f t="shared" ca="1" si="98"/>
        <v>-20294464.388569746</v>
      </c>
      <c r="Z230" s="2">
        <f t="shared" ca="1" si="98"/>
        <v>-20407570.314531446</v>
      </c>
      <c r="AA230" s="2">
        <f t="shared" ca="1" si="98"/>
        <v>-20523051.464938343</v>
      </c>
    </row>
    <row r="231" spans="4:28" customFormat="1" x14ac:dyDescent="0.25">
      <c r="E231" t="s">
        <v>15</v>
      </c>
      <c r="F231" t="s">
        <v>7</v>
      </c>
      <c r="G231" s="2">
        <f>-G230*G$18</f>
        <v>222591.44788039141</v>
      </c>
      <c r="H231" s="2">
        <f t="shared" ref="H231:AA231" ca="1" si="99">-H230*H$18</f>
        <v>-11106132.582605517</v>
      </c>
      <c r="I231" s="2">
        <f t="shared" ca="1" si="99"/>
        <v>-14066331.240421711</v>
      </c>
      <c r="J231" s="2">
        <f t="shared" ca="1" si="99"/>
        <v>-17280062.43292921</v>
      </c>
      <c r="K231" s="2">
        <f t="shared" ca="1" si="99"/>
        <v>-19704675.136303019</v>
      </c>
      <c r="L231" s="2">
        <f t="shared" ca="1" si="99"/>
        <v>-22097639.989846025</v>
      </c>
      <c r="M231" s="2">
        <f t="shared" ca="1" si="99"/>
        <v>-24433088.164956726</v>
      </c>
      <c r="N231" s="2">
        <f t="shared" ca="1" si="99"/>
        <v>-26490413.288651221</v>
      </c>
      <c r="O231" s="2">
        <f t="shared" ca="1" si="99"/>
        <v>-28257276.487602357</v>
      </c>
      <c r="P231" s="2">
        <f t="shared" ca="1" si="99"/>
        <v>-33509301.538524073</v>
      </c>
      <c r="Q231" s="2">
        <f t="shared" ca="1" si="99"/>
        <v>-39617595.928255141</v>
      </c>
      <c r="R231" s="2">
        <f t="shared" ca="1" si="99"/>
        <v>-42814051.975402772</v>
      </c>
      <c r="S231" s="2">
        <f t="shared" ca="1" si="99"/>
        <v>-46293675.566920385</v>
      </c>
      <c r="T231" s="2">
        <f t="shared" ca="1" si="99"/>
        <v>-50064590.698626019</v>
      </c>
      <c r="U231" s="2">
        <f t="shared" ca="1" si="99"/>
        <v>-50451883.251264788</v>
      </c>
      <c r="V231" s="2">
        <f t="shared" ca="1" si="99"/>
        <v>-50796595.509067357</v>
      </c>
      <c r="W231" s="2">
        <f t="shared" ca="1" si="99"/>
        <v>6022555.1399023356</v>
      </c>
      <c r="X231" s="2">
        <f t="shared" ca="1" si="99"/>
        <v>6055105.4499808047</v>
      </c>
      <c r="Y231" s="2">
        <f t="shared" ca="1" si="99"/>
        <v>6088339.3165709237</v>
      </c>
      <c r="Z231" s="2">
        <f t="shared" ca="1" si="99"/>
        <v>6122271.0943594333</v>
      </c>
      <c r="AA231" s="2">
        <f t="shared" ca="1" si="99"/>
        <v>6156915.4394815024</v>
      </c>
    </row>
    <row r="232" spans="4:28" customFormat="1" x14ac:dyDescent="0.25"/>
    <row r="233" spans="4:28" customFormat="1" x14ac:dyDescent="0.25">
      <c r="D233" t="s">
        <v>28</v>
      </c>
    </row>
    <row r="234" spans="4:28" customFormat="1" x14ac:dyDescent="0.25">
      <c r="E234" t="s">
        <v>1</v>
      </c>
      <c r="F234" t="s">
        <v>7</v>
      </c>
      <c r="G234" s="2">
        <f t="shared" ref="G234:AA234" si="100">-G26</f>
        <v>-59357719.434771046</v>
      </c>
      <c r="H234" s="2">
        <f t="shared" si="100"/>
        <v>-25881804.690736853</v>
      </c>
      <c r="I234" s="2">
        <f t="shared" si="100"/>
        <v>-75166887.051169291</v>
      </c>
      <c r="J234" s="2">
        <f t="shared" si="100"/>
        <v>-123274412.5143224</v>
      </c>
      <c r="K234" s="2">
        <f t="shared" si="100"/>
        <v>-95588490.423266426</v>
      </c>
      <c r="L234" s="2">
        <f t="shared" si="100"/>
        <v>-55261567.106099769</v>
      </c>
      <c r="M234" s="2">
        <f t="shared" si="100"/>
        <v>-39182591.920356415</v>
      </c>
      <c r="N234" s="2">
        <f t="shared" si="100"/>
        <v>-69426673.456986621</v>
      </c>
      <c r="O234" s="2">
        <f t="shared" si="100"/>
        <v>-107828694.40099752</v>
      </c>
      <c r="P234" s="2">
        <f t="shared" si="100"/>
        <v>-69690188.208208725</v>
      </c>
      <c r="Q234" s="2">
        <f t="shared" si="100"/>
        <v>-27415391.484194569</v>
      </c>
      <c r="R234" s="2">
        <f t="shared" si="100"/>
        <v>-26607698.431031611</v>
      </c>
      <c r="S234" s="2">
        <f t="shared" si="100"/>
        <v>-27166460.098083265</v>
      </c>
      <c r="T234" s="2">
        <f t="shared" si="100"/>
        <v>-27736955.760143012</v>
      </c>
      <c r="U234" s="2">
        <f t="shared" si="100"/>
        <v>-28319431.831106015</v>
      </c>
      <c r="V234" s="2">
        <f t="shared" si="100"/>
        <v>-28914139.899559237</v>
      </c>
      <c r="W234" s="2">
        <f t="shared" si="100"/>
        <v>0</v>
      </c>
      <c r="X234" s="2">
        <f t="shared" si="100"/>
        <v>0</v>
      </c>
      <c r="Y234" s="2">
        <f t="shared" si="100"/>
        <v>0</v>
      </c>
      <c r="Z234" s="2">
        <f t="shared" si="100"/>
        <v>0</v>
      </c>
      <c r="AA234" s="2">
        <f t="shared" si="100"/>
        <v>0</v>
      </c>
    </row>
    <row r="235" spans="4:28" customFormat="1" x14ac:dyDescent="0.25">
      <c r="E235" t="s">
        <v>19</v>
      </c>
      <c r="F235" t="s">
        <v>7</v>
      </c>
      <c r="G235" s="2">
        <f t="shared" ref="G235:AA235" si="101">G84</f>
        <v>0</v>
      </c>
      <c r="H235" s="2">
        <f t="shared" si="101"/>
        <v>0</v>
      </c>
      <c r="I235" s="2">
        <f t="shared" si="101"/>
        <v>0</v>
      </c>
      <c r="J235" s="2">
        <f t="shared" si="101"/>
        <v>0</v>
      </c>
      <c r="K235" s="2">
        <f t="shared" si="101"/>
        <v>0</v>
      </c>
      <c r="L235" s="2">
        <f t="shared" si="101"/>
        <v>0</v>
      </c>
      <c r="M235" s="2">
        <f t="shared" si="101"/>
        <v>0</v>
      </c>
      <c r="N235" s="2">
        <f t="shared" si="101"/>
        <v>0</v>
      </c>
      <c r="O235" s="2">
        <f t="shared" si="101"/>
        <v>0</v>
      </c>
      <c r="P235" s="2">
        <f t="shared" si="101"/>
        <v>0</v>
      </c>
      <c r="Q235" s="2">
        <f t="shared" si="101"/>
        <v>0</v>
      </c>
      <c r="R235" s="2">
        <f t="shared" si="101"/>
        <v>0</v>
      </c>
      <c r="S235" s="2">
        <f t="shared" si="101"/>
        <v>0</v>
      </c>
      <c r="T235" s="2">
        <f t="shared" si="101"/>
        <v>0</v>
      </c>
      <c r="U235" s="2">
        <f t="shared" si="101"/>
        <v>0</v>
      </c>
      <c r="V235" s="2">
        <f t="shared" si="101"/>
        <v>0</v>
      </c>
      <c r="W235" s="2">
        <f t="shared" si="101"/>
        <v>0</v>
      </c>
      <c r="X235" s="2">
        <f t="shared" si="101"/>
        <v>0</v>
      </c>
      <c r="Y235" s="2">
        <f t="shared" si="101"/>
        <v>0</v>
      </c>
      <c r="Z235" s="2">
        <f t="shared" si="101"/>
        <v>0</v>
      </c>
      <c r="AA235" s="2">
        <f t="shared" si="101"/>
        <v>0</v>
      </c>
    </row>
    <row r="236" spans="4:28" customFormat="1" x14ac:dyDescent="0.25">
      <c r="E236" t="s">
        <v>109</v>
      </c>
      <c r="F236" t="s">
        <v>7</v>
      </c>
      <c r="G236" s="2">
        <f t="shared" ref="G236:AA236" si="102">G53</f>
        <v>0</v>
      </c>
      <c r="H236" s="2">
        <f t="shared" si="102"/>
        <v>0</v>
      </c>
      <c r="I236" s="2">
        <f t="shared" si="102"/>
        <v>0</v>
      </c>
      <c r="J236" s="2">
        <f t="shared" si="102"/>
        <v>0</v>
      </c>
      <c r="K236" s="2">
        <f t="shared" si="102"/>
        <v>0</v>
      </c>
      <c r="L236" s="2">
        <f t="shared" si="102"/>
        <v>0</v>
      </c>
      <c r="M236" s="2">
        <f t="shared" si="102"/>
        <v>0</v>
      </c>
      <c r="N236" s="2">
        <f t="shared" si="102"/>
        <v>0</v>
      </c>
      <c r="O236" s="2">
        <f t="shared" si="102"/>
        <v>0</v>
      </c>
      <c r="P236" s="2">
        <f t="shared" si="102"/>
        <v>0</v>
      </c>
      <c r="Q236" s="2">
        <f t="shared" si="102"/>
        <v>0</v>
      </c>
      <c r="R236" s="2">
        <f t="shared" si="102"/>
        <v>0</v>
      </c>
      <c r="S236" s="2">
        <f t="shared" si="102"/>
        <v>0</v>
      </c>
      <c r="T236" s="2">
        <f t="shared" si="102"/>
        <v>0</v>
      </c>
      <c r="U236" s="2">
        <f t="shared" si="102"/>
        <v>0</v>
      </c>
      <c r="V236" s="2">
        <f t="shared" si="102"/>
        <v>0</v>
      </c>
      <c r="W236" s="2">
        <f t="shared" si="102"/>
        <v>0</v>
      </c>
      <c r="X236" s="2">
        <f t="shared" si="102"/>
        <v>0</v>
      </c>
      <c r="Y236" s="2">
        <f t="shared" si="102"/>
        <v>0</v>
      </c>
      <c r="Z236" s="2">
        <f t="shared" si="102"/>
        <v>0</v>
      </c>
      <c r="AA236" s="2">
        <f t="shared" si="102"/>
        <v>0</v>
      </c>
    </row>
    <row r="237" spans="4:28" customFormat="1" x14ac:dyDescent="0.25">
      <c r="E237" t="s">
        <v>11</v>
      </c>
      <c r="F237" t="s">
        <v>7</v>
      </c>
      <c r="G237" s="2">
        <f t="shared" ref="G237:AA237" si="103">G177</f>
        <v>0</v>
      </c>
      <c r="H237" s="2">
        <f t="shared" si="103"/>
        <v>146459.24675273275</v>
      </c>
      <c r="I237" s="2">
        <f t="shared" si="103"/>
        <v>323970.72385238652</v>
      </c>
      <c r="J237" s="2">
        <f t="shared" si="103"/>
        <v>550274.16932860902</v>
      </c>
      <c r="K237" s="2">
        <f t="shared" si="103"/>
        <v>812842.49297002354</v>
      </c>
      <c r="L237" s="2">
        <f t="shared" si="103"/>
        <v>1110630.3576165158</v>
      </c>
      <c r="M237" s="2">
        <f t="shared" si="103"/>
        <v>1443268.3802641318</v>
      </c>
      <c r="N237" s="2">
        <f t="shared" si="103"/>
        <v>1809867.9142420532</v>
      </c>
      <c r="O237" s="2">
        <f t="shared" si="103"/>
        <v>2209713.3256617519</v>
      </c>
      <c r="P237" s="2">
        <f t="shared" si="103"/>
        <v>2679861.894014738</v>
      </c>
      <c r="Q237" s="2">
        <f t="shared" si="103"/>
        <v>3229685.98064721</v>
      </c>
      <c r="R237" s="2">
        <f t="shared" si="103"/>
        <v>3829662.0522984695</v>
      </c>
      <c r="S237" s="2">
        <f t="shared" si="103"/>
        <v>4472423.6491872026</v>
      </c>
      <c r="T237" s="2">
        <f t="shared" si="103"/>
        <v>5173828.5701691834</v>
      </c>
      <c r="U237" s="2">
        <f t="shared" si="103"/>
        <v>5898741.892677133</v>
      </c>
      <c r="V237" s="2">
        <f t="shared" si="103"/>
        <v>6647306.7941989368</v>
      </c>
      <c r="W237" s="2">
        <f t="shared" si="103"/>
        <v>6786900.2368771136</v>
      </c>
      <c r="X237" s="2">
        <f t="shared" si="103"/>
        <v>6929425.1418515313</v>
      </c>
      <c r="Y237" s="2">
        <f t="shared" si="103"/>
        <v>7074943.069830413</v>
      </c>
      <c r="Z237" s="2">
        <f t="shared" si="103"/>
        <v>7223516.8742968515</v>
      </c>
      <c r="AA237" s="2">
        <f t="shared" si="103"/>
        <v>7375210.7286570845</v>
      </c>
      <c r="AB237" s="2">
        <f t="shared" ref="AB237:AB241" si="104">IF(V237=0,0,IF($G$15&gt;(AA237/V237)^(1/5)-1+2%,AA237*(AA237/V237)^(1/5)/($G$15-((AA237/V237)^(1/5)-1)),AA237*(1+$G$14)/$G$16))</f>
        <v>245840357.6219033</v>
      </c>
    </row>
    <row r="238" spans="4:28" customFormat="1" x14ac:dyDescent="0.25">
      <c r="E238" t="s">
        <v>57</v>
      </c>
      <c r="F238" t="s">
        <v>7</v>
      </c>
      <c r="G238" s="2">
        <f t="shared" ref="G238:AA238" si="105">G224</f>
        <v>0</v>
      </c>
      <c r="H238" s="2">
        <f t="shared" si="105"/>
        <v>0</v>
      </c>
      <c r="I238" s="2">
        <f t="shared" si="105"/>
        <v>0</v>
      </c>
      <c r="J238" s="2">
        <f t="shared" si="105"/>
        <v>0</v>
      </c>
      <c r="K238" s="2">
        <f t="shared" si="105"/>
        <v>0</v>
      </c>
      <c r="L238" s="2">
        <f t="shared" si="105"/>
        <v>0</v>
      </c>
      <c r="M238" s="2">
        <f t="shared" si="105"/>
        <v>0</v>
      </c>
      <c r="N238" s="2">
        <f t="shared" si="105"/>
        <v>0</v>
      </c>
      <c r="O238" s="2">
        <f t="shared" si="105"/>
        <v>0</v>
      </c>
      <c r="P238" s="2">
        <f t="shared" si="105"/>
        <v>0</v>
      </c>
      <c r="Q238" s="2">
        <f t="shared" si="105"/>
        <v>0</v>
      </c>
      <c r="R238" s="2">
        <f t="shared" si="105"/>
        <v>0</v>
      </c>
      <c r="S238" s="2">
        <f t="shared" si="105"/>
        <v>0</v>
      </c>
      <c r="T238" s="2">
        <f t="shared" si="105"/>
        <v>0</v>
      </c>
      <c r="U238" s="2">
        <f t="shared" si="105"/>
        <v>0</v>
      </c>
      <c r="V238" s="2">
        <f t="shared" si="105"/>
        <v>0</v>
      </c>
      <c r="W238" s="2">
        <f t="shared" si="105"/>
        <v>0</v>
      </c>
      <c r="X238" s="2">
        <f t="shared" si="105"/>
        <v>0</v>
      </c>
      <c r="Y238" s="2">
        <f t="shared" si="105"/>
        <v>0</v>
      </c>
      <c r="Z238" s="2">
        <f t="shared" si="105"/>
        <v>0</v>
      </c>
      <c r="AA238" s="2">
        <f t="shared" si="105"/>
        <v>0</v>
      </c>
      <c r="AB238" s="2">
        <f t="shared" si="104"/>
        <v>0</v>
      </c>
    </row>
    <row r="239" spans="4:28" customFormat="1" x14ac:dyDescent="0.25">
      <c r="E239" t="s">
        <v>10</v>
      </c>
      <c r="F239" t="s">
        <v>7</v>
      </c>
      <c r="G239" s="2">
        <f t="shared" ref="G239:AA239" si="106">-G200</f>
        <v>0</v>
      </c>
      <c r="H239" s="2">
        <f t="shared" si="106"/>
        <v>-229112.39999999997</v>
      </c>
      <c r="I239" s="2">
        <f t="shared" si="106"/>
        <v>-529143.05159999989</v>
      </c>
      <c r="J239" s="2">
        <f t="shared" si="106"/>
        <v>-910604.36655020376</v>
      </c>
      <c r="K239" s="2">
        <f t="shared" si="106"/>
        <v>-1357680.3044933912</v>
      </c>
      <c r="L239" s="2">
        <f t="shared" si="106"/>
        <v>-1868386.2875902615</v>
      </c>
      <c r="M239" s="2">
        <f t="shared" si="106"/>
        <v>-2441988.3071164866</v>
      </c>
      <c r="N239" s="2">
        <f t="shared" si="106"/>
        <v>-3076789.2452669404</v>
      </c>
      <c r="O239" s="2">
        <f t="shared" si="106"/>
        <v>-3771410.9922956601</v>
      </c>
      <c r="P239" s="2">
        <f t="shared" si="106"/>
        <v>-4594432.5494066207</v>
      </c>
      <c r="Q239" s="2">
        <f t="shared" si="106"/>
        <v>-5563156.6475036945</v>
      </c>
      <c r="R239" s="2">
        <f t="shared" si="106"/>
        <v>-6622846.0480589569</v>
      </c>
      <c r="S239" s="2">
        <f t="shared" si="106"/>
        <v>-7781611.2374549052</v>
      </c>
      <c r="T239" s="2">
        <f t="shared" si="106"/>
        <v>-9047865.3353994675</v>
      </c>
      <c r="U239" s="2">
        <f t="shared" si="106"/>
        <v>-10356502.335102659</v>
      </c>
      <c r="V239" s="2">
        <f t="shared" si="106"/>
        <v>-11707753.302985901</v>
      </c>
      <c r="W239" s="2">
        <f t="shared" si="106"/>
        <v>-11953616.122348605</v>
      </c>
      <c r="X239" s="2">
        <f t="shared" si="106"/>
        <v>-12204642.060917925</v>
      </c>
      <c r="Y239" s="2">
        <f t="shared" si="106"/>
        <v>-12460939.5441972</v>
      </c>
      <c r="Z239" s="2">
        <f t="shared" si="106"/>
        <v>-12722619.274625339</v>
      </c>
      <c r="AA239" s="2">
        <f t="shared" si="106"/>
        <v>-12989794.27939247</v>
      </c>
      <c r="AB239" s="2">
        <f t="shared" si="104"/>
        <v>-432993142.64641654</v>
      </c>
    </row>
    <row r="240" spans="4:28" customFormat="1" x14ac:dyDescent="0.25">
      <c r="E240" t="s">
        <v>48</v>
      </c>
      <c r="F240" t="s">
        <v>7</v>
      </c>
      <c r="G240" s="2">
        <f t="shared" ref="G240:AA240" si="107">G207</f>
        <v>0</v>
      </c>
      <c r="H240" s="2">
        <f t="shared" si="107"/>
        <v>0</v>
      </c>
      <c r="I240" s="2">
        <f t="shared" si="107"/>
        <v>0</v>
      </c>
      <c r="J240" s="2">
        <f t="shared" si="107"/>
        <v>0</v>
      </c>
      <c r="K240" s="2">
        <f t="shared" si="107"/>
        <v>0</v>
      </c>
      <c r="L240" s="2">
        <f t="shared" si="107"/>
        <v>0</v>
      </c>
      <c r="M240" s="2">
        <f t="shared" si="107"/>
        <v>0</v>
      </c>
      <c r="N240" s="2">
        <f t="shared" si="107"/>
        <v>0</v>
      </c>
      <c r="O240" s="2">
        <f t="shared" si="107"/>
        <v>0</v>
      </c>
      <c r="P240" s="2">
        <f t="shared" si="107"/>
        <v>0</v>
      </c>
      <c r="Q240" s="2">
        <f t="shared" si="107"/>
        <v>0</v>
      </c>
      <c r="R240" s="2">
        <f t="shared" si="107"/>
        <v>0</v>
      </c>
      <c r="S240" s="2">
        <f t="shared" si="107"/>
        <v>0</v>
      </c>
      <c r="T240" s="2">
        <f t="shared" si="107"/>
        <v>0</v>
      </c>
      <c r="U240" s="2">
        <f t="shared" si="107"/>
        <v>0</v>
      </c>
      <c r="V240" s="2">
        <f t="shared" si="107"/>
        <v>0</v>
      </c>
      <c r="W240" s="2">
        <f t="shared" si="107"/>
        <v>0</v>
      </c>
      <c r="X240" s="2">
        <f t="shared" si="107"/>
        <v>0</v>
      </c>
      <c r="Y240" s="2">
        <f t="shared" si="107"/>
        <v>0</v>
      </c>
      <c r="Z240" s="2">
        <f t="shared" si="107"/>
        <v>0</v>
      </c>
      <c r="AA240" s="2">
        <f t="shared" si="107"/>
        <v>0</v>
      </c>
      <c r="AB240" s="2">
        <f t="shared" si="104"/>
        <v>0</v>
      </c>
    </row>
    <row r="241" spans="3:28" customFormat="1" x14ac:dyDescent="0.25">
      <c r="E241" t="s">
        <v>49</v>
      </c>
      <c r="F241" t="s">
        <v>7</v>
      </c>
      <c r="G241" s="2">
        <f t="shared" ref="G241:AA241" si="108">G214</f>
        <v>0</v>
      </c>
      <c r="H241" s="2">
        <f t="shared" si="108"/>
        <v>0</v>
      </c>
      <c r="I241" s="2">
        <f t="shared" si="108"/>
        <v>0</v>
      </c>
      <c r="J241" s="2">
        <f t="shared" si="108"/>
        <v>0</v>
      </c>
      <c r="K241" s="2">
        <f t="shared" si="108"/>
        <v>0</v>
      </c>
      <c r="L241" s="2">
        <f t="shared" si="108"/>
        <v>0</v>
      </c>
      <c r="M241" s="2">
        <f t="shared" si="108"/>
        <v>0</v>
      </c>
      <c r="N241" s="2">
        <f t="shared" si="108"/>
        <v>0</v>
      </c>
      <c r="O241" s="2">
        <f t="shared" si="108"/>
        <v>0</v>
      </c>
      <c r="P241" s="2">
        <f t="shared" si="108"/>
        <v>0</v>
      </c>
      <c r="Q241" s="2">
        <f t="shared" si="108"/>
        <v>0</v>
      </c>
      <c r="R241" s="2">
        <f t="shared" si="108"/>
        <v>0</v>
      </c>
      <c r="S241" s="2">
        <f t="shared" si="108"/>
        <v>0</v>
      </c>
      <c r="T241" s="2">
        <f t="shared" si="108"/>
        <v>0</v>
      </c>
      <c r="U241" s="2">
        <f t="shared" si="108"/>
        <v>0</v>
      </c>
      <c r="V241" s="2">
        <f t="shared" si="108"/>
        <v>0</v>
      </c>
      <c r="W241" s="2">
        <f t="shared" si="108"/>
        <v>0</v>
      </c>
      <c r="X241" s="2">
        <f t="shared" si="108"/>
        <v>0</v>
      </c>
      <c r="Y241" s="2">
        <f t="shared" si="108"/>
        <v>0</v>
      </c>
      <c r="Z241" s="2">
        <f t="shared" si="108"/>
        <v>0</v>
      </c>
      <c r="AA241" s="2">
        <f t="shared" si="108"/>
        <v>0</v>
      </c>
      <c r="AB241" s="2">
        <f t="shared" si="104"/>
        <v>0</v>
      </c>
    </row>
    <row r="242" spans="3:28" customFormat="1" x14ac:dyDescent="0.25">
      <c r="E242" t="s">
        <v>20</v>
      </c>
      <c r="F242" t="s">
        <v>7</v>
      </c>
      <c r="G242" s="2">
        <f t="shared" ref="G242:AA242" si="109">G231</f>
        <v>222591.44788039141</v>
      </c>
      <c r="H242" s="2">
        <f t="shared" ca="1" si="109"/>
        <v>-11106132.582605517</v>
      </c>
      <c r="I242" s="2">
        <f t="shared" ca="1" si="109"/>
        <v>-14066331.240421711</v>
      </c>
      <c r="J242" s="2">
        <f t="shared" ca="1" si="109"/>
        <v>-17280062.43292921</v>
      </c>
      <c r="K242" s="2">
        <f t="shared" ca="1" si="109"/>
        <v>-19704675.136303019</v>
      </c>
      <c r="L242" s="2">
        <f t="shared" ca="1" si="109"/>
        <v>-22097639.989846025</v>
      </c>
      <c r="M242" s="2">
        <f t="shared" ca="1" si="109"/>
        <v>-24433088.164956726</v>
      </c>
      <c r="N242" s="2">
        <f t="shared" ca="1" si="109"/>
        <v>-26490413.288651221</v>
      </c>
      <c r="O242" s="2">
        <f t="shared" ca="1" si="109"/>
        <v>-28257276.487602357</v>
      </c>
      <c r="P242" s="2">
        <f t="shared" ca="1" si="109"/>
        <v>-33509301.538524073</v>
      </c>
      <c r="Q242" s="2">
        <f t="shared" ca="1" si="109"/>
        <v>-39617595.928255141</v>
      </c>
      <c r="R242" s="2">
        <f t="shared" ca="1" si="109"/>
        <v>-42814051.975402772</v>
      </c>
      <c r="S242" s="2">
        <f t="shared" ca="1" si="109"/>
        <v>-46293675.566920385</v>
      </c>
      <c r="T242" s="2">
        <f t="shared" ca="1" si="109"/>
        <v>-50064590.698626019</v>
      </c>
      <c r="U242" s="2">
        <f t="shared" ca="1" si="109"/>
        <v>-50451883.251264788</v>
      </c>
      <c r="V242" s="2">
        <f t="shared" ca="1" si="109"/>
        <v>-50796595.509067357</v>
      </c>
      <c r="W242" s="2">
        <f t="shared" ca="1" si="109"/>
        <v>6022555.1399023356</v>
      </c>
      <c r="X242" s="2">
        <f t="shared" ca="1" si="109"/>
        <v>6055105.4499808047</v>
      </c>
      <c r="Y242" s="2">
        <f t="shared" ca="1" si="109"/>
        <v>6088339.3165709237</v>
      </c>
      <c r="Z242" s="2">
        <f t="shared" ca="1" si="109"/>
        <v>6122271.0943594333</v>
      </c>
      <c r="AA242" s="2">
        <f t="shared" ca="1" si="109"/>
        <v>6156915.4394815024</v>
      </c>
      <c r="AB242" s="2">
        <f ca="1">IF(V242=0,0,IF($G$15&gt;(AA242/V242)^(1/5)-1+2%,AA242*(AA242/V242)^(1/5)/($G$15-((AA242/V242)^(1/5)-1)),AA242*(1+$G$14)/$G$16))</f>
        <v>-2364564.8498278926</v>
      </c>
    </row>
    <row r="243" spans="3:28" customFormat="1" x14ac:dyDescent="0.25">
      <c r="E243" t="s">
        <v>173</v>
      </c>
      <c r="F243" t="s">
        <v>7</v>
      </c>
      <c r="G243" s="2">
        <f>-$G$17*G242</f>
        <v>-111295.7239401957</v>
      </c>
      <c r="H243" s="2">
        <f t="shared" ref="H243:AA243" ca="1" si="110">-$G$17*H242</f>
        <v>5553066.2913027583</v>
      </c>
      <c r="I243" s="2">
        <f t="shared" ca="1" si="110"/>
        <v>7033165.6202108553</v>
      </c>
      <c r="J243" s="2">
        <f t="shared" ca="1" si="110"/>
        <v>8640031.2164646052</v>
      </c>
      <c r="K243" s="2">
        <f t="shared" ca="1" si="110"/>
        <v>9852337.5681515094</v>
      </c>
      <c r="L243" s="2">
        <f t="shared" ca="1" si="110"/>
        <v>11048819.994923012</v>
      </c>
      <c r="M243" s="2">
        <f t="shared" ca="1" si="110"/>
        <v>12216544.082478363</v>
      </c>
      <c r="N243" s="2">
        <f t="shared" ca="1" si="110"/>
        <v>13245206.64432561</v>
      </c>
      <c r="O243" s="2">
        <f t="shared" ca="1" si="110"/>
        <v>14128638.243801178</v>
      </c>
      <c r="P243" s="2">
        <f t="shared" ca="1" si="110"/>
        <v>16754650.769262036</v>
      </c>
      <c r="Q243" s="2">
        <f t="shared" ca="1" si="110"/>
        <v>19808797.96412757</v>
      </c>
      <c r="R243" s="2">
        <f t="shared" ca="1" si="110"/>
        <v>21407025.987701386</v>
      </c>
      <c r="S243" s="2">
        <f t="shared" ca="1" si="110"/>
        <v>23146837.783460192</v>
      </c>
      <c r="T243" s="2">
        <f t="shared" ca="1" si="110"/>
        <v>25032295.34931301</v>
      </c>
      <c r="U243" s="2">
        <f t="shared" ca="1" si="110"/>
        <v>25225941.625632394</v>
      </c>
      <c r="V243" s="2">
        <f t="shared" ca="1" si="110"/>
        <v>25398297.754533678</v>
      </c>
      <c r="W243" s="2">
        <f t="shared" ca="1" si="110"/>
        <v>-3011277.5699511678</v>
      </c>
      <c r="X243" s="2">
        <f t="shared" ca="1" si="110"/>
        <v>-3027552.7249904023</v>
      </c>
      <c r="Y243" s="2">
        <f t="shared" ca="1" si="110"/>
        <v>-3044169.6582854618</v>
      </c>
      <c r="Z243" s="2">
        <f t="shared" ca="1" si="110"/>
        <v>-3061135.5471797166</v>
      </c>
      <c r="AA243" s="2">
        <f t="shared" ca="1" si="110"/>
        <v>-3078457.7197407512</v>
      </c>
      <c r="AB243" s="2">
        <f t="shared" ref="AB243" ca="1" si="111">IF(V243=0,0,IF($G$15&gt;(AA243/V243)^(1/5)-1+2%,AA243*(AA243/V243)^(1/5)/($G$15-((AA243/V243)^(1/5)-1)),AA243*(1+$G$14)/$G$16))</f>
        <v>1182282.4249139463</v>
      </c>
    </row>
    <row r="244" spans="3:28" customFormat="1" x14ac:dyDescent="0.25">
      <c r="E244" t="s">
        <v>23</v>
      </c>
      <c r="F244" t="s">
        <v>7</v>
      </c>
      <c r="G244" s="2">
        <f>SUM(G234:G243)</f>
        <v>-59246423.710830845</v>
      </c>
      <c r="H244" s="2">
        <f t="shared" ref="H244:AB244" ca="1" si="112">SUM(H234:H243)</f>
        <v>-31517524.135286879</v>
      </c>
      <c r="I244" s="2">
        <f t="shared" ca="1" si="112"/>
        <v>-82405224.999127761</v>
      </c>
      <c r="J244" s="2">
        <f t="shared" ca="1" si="112"/>
        <v>-132274773.92800859</v>
      </c>
      <c r="K244" s="2">
        <f t="shared" ca="1" si="112"/>
        <v>-105985665.80294132</v>
      </c>
      <c r="L244" s="2">
        <f t="shared" ca="1" si="112"/>
        <v>-67068143.030996531</v>
      </c>
      <c r="M244" s="2">
        <f t="shared" ca="1" si="112"/>
        <v>-52397855.929687127</v>
      </c>
      <c r="N244" s="2">
        <f t="shared" ca="1" si="112"/>
        <v>-83938801.432337105</v>
      </c>
      <c r="O244" s="2">
        <f t="shared" ca="1" si="112"/>
        <v>-123519030.3114326</v>
      </c>
      <c r="P244" s="2">
        <f t="shared" ca="1" si="112"/>
        <v>-88359409.632862657</v>
      </c>
      <c r="Q244" s="2">
        <f t="shared" ca="1" si="112"/>
        <v>-49557660.115178615</v>
      </c>
      <c r="R244" s="2">
        <f t="shared" ca="1" si="112"/>
        <v>-50807908.414493486</v>
      </c>
      <c r="S244" s="2">
        <f t="shared" ca="1" si="112"/>
        <v>-53622485.469811164</v>
      </c>
      <c r="T244" s="2">
        <f t="shared" ca="1" si="112"/>
        <v>-56643287.874686316</v>
      </c>
      <c r="U244" s="2">
        <f t="shared" ca="1" si="112"/>
        <v>-58003133.899163947</v>
      </c>
      <c r="V244" s="2">
        <f t="shared" ca="1" si="112"/>
        <v>-59372884.162879884</v>
      </c>
      <c r="W244" s="2">
        <f t="shared" ca="1" si="112"/>
        <v>-2155438.3155203233</v>
      </c>
      <c r="X244" s="2">
        <f t="shared" ca="1" si="112"/>
        <v>-2247664.1940759914</v>
      </c>
      <c r="Y244" s="2">
        <f t="shared" ca="1" si="112"/>
        <v>-2341826.8160813251</v>
      </c>
      <c r="Z244" s="2">
        <f t="shared" ca="1" si="112"/>
        <v>-2437966.8531487705</v>
      </c>
      <c r="AA244" s="2">
        <f t="shared" ca="1" si="112"/>
        <v>-2536125.830994634</v>
      </c>
      <c r="AB244" s="2">
        <f t="shared" ca="1" si="112"/>
        <v>-188335067.44942719</v>
      </c>
    </row>
    <row r="245" spans="3:28" customFormat="1" x14ac:dyDescent="0.25">
      <c r="E245" t="s">
        <v>31</v>
      </c>
      <c r="F245" t="s">
        <v>7</v>
      </c>
      <c r="G245" s="2">
        <f ca="1">NPV($G$15,H244:AB244)+G244</f>
        <v>-897386900.89900267</v>
      </c>
    </row>
    <row r="247" spans="3:28" customFormat="1" x14ac:dyDescent="0.25">
      <c r="E247" t="s">
        <v>13</v>
      </c>
      <c r="F247" t="s">
        <v>7</v>
      </c>
      <c r="H247" s="2">
        <f t="shared" ref="H247:AA247" ca="1" si="113">H219</f>
        <v>31569674.709334508</v>
      </c>
      <c r="I247" s="2">
        <f t="shared" ca="1" si="113"/>
        <v>40678623.204611786</v>
      </c>
      <c r="J247" s="2">
        <f t="shared" ca="1" si="113"/>
        <v>51030879.484850623</v>
      </c>
      <c r="K247" s="2">
        <f t="shared" ca="1" si="113"/>
        <v>58968195.413161293</v>
      </c>
      <c r="L247" s="2">
        <f t="shared" ca="1" si="113"/>
        <v>66442190.477095187</v>
      </c>
      <c r="M247" s="2">
        <f t="shared" ca="1" si="113"/>
        <v>73630924.712575808</v>
      </c>
      <c r="N247" s="2">
        <f t="shared" ca="1" si="113"/>
        <v>80403814.09341979</v>
      </c>
      <c r="O247" s="2">
        <f t="shared" ca="1" si="113"/>
        <v>86809725.932157949</v>
      </c>
      <c r="P247" s="2">
        <f t="shared" ca="1" si="113"/>
        <v>102492122.87986758</v>
      </c>
      <c r="Q247" s="2">
        <f t="shared" ca="1" si="113"/>
        <v>120187144.37884846</v>
      </c>
      <c r="R247" s="2">
        <f t="shared" ca="1" si="113"/>
        <v>129918248.45955645</v>
      </c>
      <c r="S247" s="2">
        <f t="shared" ca="1" si="113"/>
        <v>140503687.66858032</v>
      </c>
      <c r="T247" s="2">
        <f t="shared" ca="1" si="113"/>
        <v>151961693.58957279</v>
      </c>
      <c r="U247" s="2">
        <f t="shared" ca="1" si="113"/>
        <v>154137632.52765146</v>
      </c>
      <c r="V247" s="2">
        <f t="shared" ca="1" si="113"/>
        <v>156222770.57020354</v>
      </c>
      <c r="W247" s="2">
        <f t="shared" ca="1" si="113"/>
        <v>0</v>
      </c>
      <c r="X247" s="2">
        <f t="shared" ca="1" si="113"/>
        <v>0</v>
      </c>
      <c r="Y247" s="2">
        <f t="shared" ca="1" si="113"/>
        <v>0</v>
      </c>
      <c r="Z247" s="2">
        <f t="shared" ca="1" si="113"/>
        <v>0</v>
      </c>
      <c r="AA247" s="2">
        <f t="shared" ca="1" si="113"/>
        <v>0</v>
      </c>
    </row>
    <row r="248" spans="3:28" customFormat="1" x14ac:dyDescent="0.25">
      <c r="E248" t="s">
        <v>24</v>
      </c>
      <c r="F248" t="s">
        <v>7</v>
      </c>
      <c r="G248" s="2">
        <f ca="1">NPV($G$15,H247:AA247)+G247</f>
        <v>897386900.89900303</v>
      </c>
    </row>
    <row r="249" spans="3:28" customFormat="1" x14ac:dyDescent="0.25">
      <c r="E249" s="3" t="s">
        <v>34</v>
      </c>
      <c r="F249" s="3"/>
      <c r="G249" s="4" t="str">
        <f ca="1">IF(G245&gt;0,"N/A",IF(ABS(G245+G248)&gt;1,"Error","OK"))</f>
        <v>OK</v>
      </c>
    </row>
    <row r="251" spans="3:28" customFormat="1" x14ac:dyDescent="0.25">
      <c r="C251" s="1" t="s">
        <v>35</v>
      </c>
      <c r="D251" s="1"/>
    </row>
    <row r="252" spans="3:28" customFormat="1" x14ac:dyDescent="0.25">
      <c r="C252" s="1"/>
      <c r="D252" s="1"/>
      <c r="G252" s="8"/>
    </row>
    <row r="253" spans="3:28" customFormat="1" x14ac:dyDescent="0.25">
      <c r="C253" s="1"/>
      <c r="D253" t="s">
        <v>35</v>
      </c>
      <c r="F253" t="s">
        <v>7</v>
      </c>
      <c r="G253" s="8" t="e">
        <f ca="1">MAX(0,-G279)</f>
        <v>#REF!</v>
      </c>
    </row>
    <row r="255" spans="3:28" customFormat="1" x14ac:dyDescent="0.25">
      <c r="D255" t="s">
        <v>9</v>
      </c>
    </row>
    <row r="256" spans="3:28" customFormat="1" x14ac:dyDescent="0.25">
      <c r="E256" t="s">
        <v>107</v>
      </c>
      <c r="F256" t="s">
        <v>7</v>
      </c>
      <c r="G256" s="2">
        <f t="shared" ref="G256:AA261" si="114">G222</f>
        <v>0</v>
      </c>
      <c r="H256" s="2">
        <f t="shared" si="114"/>
        <v>6682444.9999999991</v>
      </c>
      <c r="I256" s="2">
        <f t="shared" si="114"/>
        <v>8610562.6599999964</v>
      </c>
      <c r="J256" s="2">
        <f t="shared" si="114"/>
        <v>10801854.900275948</v>
      </c>
      <c r="K256" s="2">
        <f t="shared" si="114"/>
        <v>12481969.682164304</v>
      </c>
      <c r="L256" s="2">
        <f t="shared" si="114"/>
        <v>14064011.98715651</v>
      </c>
      <c r="M256" s="2">
        <f t="shared" si="114"/>
        <v>15585672.301699199</v>
      </c>
      <c r="N256" s="2">
        <f t="shared" si="114"/>
        <v>17019309.524612732</v>
      </c>
      <c r="O256" s="2">
        <f t="shared" si="114"/>
        <v>18375267.542278316</v>
      </c>
      <c r="P256" s="2">
        <f t="shared" si="114"/>
        <v>21694806.182955258</v>
      </c>
      <c r="Q256" s="2">
        <f t="shared" si="114"/>
        <v>25440362.924653146</v>
      </c>
      <c r="R256" s="2">
        <f t="shared" si="114"/>
        <v>27500174.06959914</v>
      </c>
      <c r="S256" s="2">
        <f t="shared" si="114"/>
        <v>29740824.819612414</v>
      </c>
      <c r="T256" s="2">
        <f t="shared" si="114"/>
        <v>32166174.307108615</v>
      </c>
      <c r="U256" s="2">
        <f t="shared" si="114"/>
        <v>32626761.640077546</v>
      </c>
      <c r="V256" s="2">
        <f t="shared" si="114"/>
        <v>33068128.883010909</v>
      </c>
      <c r="W256" s="2">
        <f t="shared" si="114"/>
        <v>0</v>
      </c>
      <c r="X256" s="2">
        <f t="shared" si="114"/>
        <v>0</v>
      </c>
      <c r="Y256" s="2">
        <f t="shared" si="114"/>
        <v>0</v>
      </c>
      <c r="Z256" s="2">
        <f t="shared" si="114"/>
        <v>0</v>
      </c>
      <c r="AA256" s="2">
        <f t="shared" si="114"/>
        <v>0</v>
      </c>
    </row>
    <row r="257" spans="4:28" customFormat="1" x14ac:dyDescent="0.25">
      <c r="E257" t="s">
        <v>11</v>
      </c>
      <c r="F257" t="s">
        <v>7</v>
      </c>
      <c r="G257" s="2">
        <f t="shared" si="114"/>
        <v>0</v>
      </c>
      <c r="H257" s="2">
        <f t="shared" si="114"/>
        <v>146459.24675273275</v>
      </c>
      <c r="I257" s="2">
        <f t="shared" si="114"/>
        <v>323970.72385238652</v>
      </c>
      <c r="J257" s="2">
        <f t="shared" si="114"/>
        <v>550274.16932860902</v>
      </c>
      <c r="K257" s="2">
        <f t="shared" si="114"/>
        <v>812842.49297002354</v>
      </c>
      <c r="L257" s="2">
        <f t="shared" si="114"/>
        <v>1110630.3576165158</v>
      </c>
      <c r="M257" s="2">
        <f t="shared" si="114"/>
        <v>1443268.3802641318</v>
      </c>
      <c r="N257" s="2">
        <f t="shared" si="114"/>
        <v>1809867.9142420532</v>
      </c>
      <c r="O257" s="2">
        <f t="shared" si="114"/>
        <v>2209713.3256617519</v>
      </c>
      <c r="P257" s="2">
        <f t="shared" si="114"/>
        <v>2679861.894014738</v>
      </c>
      <c r="Q257" s="2">
        <f t="shared" si="114"/>
        <v>3229685.98064721</v>
      </c>
      <c r="R257" s="2">
        <f t="shared" si="114"/>
        <v>3829662.0522984695</v>
      </c>
      <c r="S257" s="2">
        <f t="shared" si="114"/>
        <v>4472423.6491872026</v>
      </c>
      <c r="T257" s="2">
        <f t="shared" si="114"/>
        <v>5173828.5701691834</v>
      </c>
      <c r="U257" s="2">
        <f t="shared" si="114"/>
        <v>5898741.892677133</v>
      </c>
      <c r="V257" s="2">
        <f t="shared" si="114"/>
        <v>6647306.7941989368</v>
      </c>
      <c r="W257" s="2">
        <f t="shared" si="114"/>
        <v>6786900.2368771136</v>
      </c>
      <c r="X257" s="2">
        <f t="shared" si="114"/>
        <v>6929425.1418515313</v>
      </c>
      <c r="Y257" s="2">
        <f t="shared" si="114"/>
        <v>7074943.069830413</v>
      </c>
      <c r="Z257" s="2">
        <f t="shared" si="114"/>
        <v>7223516.8742968515</v>
      </c>
      <c r="AA257" s="2">
        <f t="shared" si="114"/>
        <v>7375210.7286570845</v>
      </c>
    </row>
    <row r="258" spans="4:28" customFormat="1" x14ac:dyDescent="0.25">
      <c r="E258" t="s">
        <v>57</v>
      </c>
      <c r="F258" t="s">
        <v>7</v>
      </c>
      <c r="G258" s="2">
        <f t="shared" si="114"/>
        <v>0</v>
      </c>
      <c r="H258" s="2">
        <f t="shared" si="114"/>
        <v>0</v>
      </c>
      <c r="I258" s="2">
        <f t="shared" si="114"/>
        <v>0</v>
      </c>
      <c r="J258" s="2">
        <f t="shared" si="114"/>
        <v>0</v>
      </c>
      <c r="K258" s="2">
        <f t="shared" si="114"/>
        <v>0</v>
      </c>
      <c r="L258" s="2">
        <f t="shared" si="114"/>
        <v>0</v>
      </c>
      <c r="M258" s="2">
        <f t="shared" si="114"/>
        <v>0</v>
      </c>
      <c r="N258" s="2">
        <f t="shared" si="114"/>
        <v>0</v>
      </c>
      <c r="O258" s="2">
        <f t="shared" si="114"/>
        <v>0</v>
      </c>
      <c r="P258" s="2">
        <f t="shared" si="114"/>
        <v>0</v>
      </c>
      <c r="Q258" s="2">
        <f t="shared" si="114"/>
        <v>0</v>
      </c>
      <c r="R258" s="2">
        <f t="shared" si="114"/>
        <v>0</v>
      </c>
      <c r="S258" s="2">
        <f t="shared" si="114"/>
        <v>0</v>
      </c>
      <c r="T258" s="2">
        <f t="shared" si="114"/>
        <v>0</v>
      </c>
      <c r="U258" s="2">
        <f t="shared" si="114"/>
        <v>0</v>
      </c>
      <c r="V258" s="2">
        <f t="shared" si="114"/>
        <v>0</v>
      </c>
      <c r="W258" s="2">
        <f t="shared" si="114"/>
        <v>0</v>
      </c>
      <c r="X258" s="2">
        <f t="shared" si="114"/>
        <v>0</v>
      </c>
      <c r="Y258" s="2">
        <f t="shared" si="114"/>
        <v>0</v>
      </c>
      <c r="Z258" s="2">
        <f t="shared" si="114"/>
        <v>0</v>
      </c>
      <c r="AA258" s="2">
        <f t="shared" si="114"/>
        <v>0</v>
      </c>
    </row>
    <row r="259" spans="4:28" customFormat="1" x14ac:dyDescent="0.25">
      <c r="E259" t="s">
        <v>10</v>
      </c>
      <c r="F259" t="s">
        <v>7</v>
      </c>
      <c r="G259" s="2">
        <f t="shared" si="114"/>
        <v>0</v>
      </c>
      <c r="H259" s="2">
        <f t="shared" si="114"/>
        <v>-229112.39999999997</v>
      </c>
      <c r="I259" s="2">
        <f t="shared" si="114"/>
        <v>-529143.05159999989</v>
      </c>
      <c r="J259" s="2">
        <f t="shared" si="114"/>
        <v>-910604.36655020376</v>
      </c>
      <c r="K259" s="2">
        <f t="shared" si="114"/>
        <v>-1357680.3044933912</v>
      </c>
      <c r="L259" s="2">
        <f t="shared" si="114"/>
        <v>-1868386.2875902615</v>
      </c>
      <c r="M259" s="2">
        <f t="shared" si="114"/>
        <v>-2441988.3071164866</v>
      </c>
      <c r="N259" s="2">
        <f t="shared" si="114"/>
        <v>-3076789.2452669404</v>
      </c>
      <c r="O259" s="2">
        <f t="shared" si="114"/>
        <v>-3771410.9922956601</v>
      </c>
      <c r="P259" s="2">
        <f t="shared" si="114"/>
        <v>-4594432.5494066207</v>
      </c>
      <c r="Q259" s="2">
        <f t="shared" si="114"/>
        <v>-5563156.6475036945</v>
      </c>
      <c r="R259" s="2">
        <f t="shared" si="114"/>
        <v>-6622846.0480589569</v>
      </c>
      <c r="S259" s="2">
        <f t="shared" si="114"/>
        <v>-7781611.2374549052</v>
      </c>
      <c r="T259" s="2">
        <f t="shared" si="114"/>
        <v>-9047865.3353994675</v>
      </c>
      <c r="U259" s="2">
        <f t="shared" si="114"/>
        <v>-10356502.335102659</v>
      </c>
      <c r="V259" s="2">
        <f t="shared" si="114"/>
        <v>-11707753.302985901</v>
      </c>
      <c r="W259" s="2">
        <f t="shared" si="114"/>
        <v>-11953616.122348605</v>
      </c>
      <c r="X259" s="2">
        <f t="shared" si="114"/>
        <v>-12204642.060917925</v>
      </c>
      <c r="Y259" s="2">
        <f t="shared" si="114"/>
        <v>-12460939.5441972</v>
      </c>
      <c r="Z259" s="2">
        <f t="shared" si="114"/>
        <v>-12722619.274625339</v>
      </c>
      <c r="AA259" s="2">
        <f t="shared" si="114"/>
        <v>-12989794.27939247</v>
      </c>
    </row>
    <row r="260" spans="4:28" customFormat="1" x14ac:dyDescent="0.25">
      <c r="E260" t="s">
        <v>12</v>
      </c>
      <c r="F260" t="s">
        <v>7</v>
      </c>
      <c r="G260" s="2">
        <f t="shared" si="114"/>
        <v>-741971.49293463805</v>
      </c>
      <c r="H260" s="2">
        <f t="shared" si="114"/>
        <v>-1149024.6140688488</v>
      </c>
      <c r="I260" s="2">
        <f t="shared" si="114"/>
        <v>-2196242.7354584648</v>
      </c>
      <c r="J260" s="2">
        <f t="shared" si="114"/>
        <v>-3872196.0781409442</v>
      </c>
      <c r="K260" s="2">
        <f t="shared" si="114"/>
        <v>-5223076.829458829</v>
      </c>
      <c r="L260" s="2">
        <f t="shared" si="114"/>
        <v>-6089646.5681245327</v>
      </c>
      <c r="M260" s="2">
        <f t="shared" si="114"/>
        <v>-6774249.8709002268</v>
      </c>
      <c r="N260" s="2">
        <f t="shared" si="114"/>
        <v>-7854824.6581702195</v>
      </c>
      <c r="O260" s="2">
        <f t="shared" si="114"/>
        <v>-9432374.1824611668</v>
      </c>
      <c r="P260" s="2">
        <f t="shared" si="114"/>
        <v>-10574686.612350717</v>
      </c>
      <c r="Q260" s="2">
        <f t="shared" si="114"/>
        <v>-11235383.542461313</v>
      </c>
      <c r="R260" s="2">
        <f t="shared" si="114"/>
        <v>-11911731.948719196</v>
      </c>
      <c r="S260" s="2">
        <f t="shared" si="114"/>
        <v>-12623073.010190394</v>
      </c>
      <c r="T260" s="2">
        <f t="shared" si="114"/>
        <v>-13371862.136031039</v>
      </c>
      <c r="U260" s="2">
        <f t="shared" si="114"/>
        <v>-14133689.554420833</v>
      </c>
      <c r="V260" s="2">
        <f t="shared" si="114"/>
        <v>-14908467.914202958</v>
      </c>
      <c r="W260" s="2">
        <f t="shared" si="114"/>
        <v>-14908467.914202958</v>
      </c>
      <c r="X260" s="2">
        <f t="shared" si="114"/>
        <v>-14908467.914202958</v>
      </c>
      <c r="Y260" s="2">
        <f t="shared" si="114"/>
        <v>-14908467.914202958</v>
      </c>
      <c r="Z260" s="2">
        <f t="shared" si="114"/>
        <v>-14908467.914202958</v>
      </c>
      <c r="AA260" s="2">
        <f t="shared" si="114"/>
        <v>-14908467.914202958</v>
      </c>
    </row>
    <row r="261" spans="4:28" customFormat="1" x14ac:dyDescent="0.25">
      <c r="E261" t="s">
        <v>48</v>
      </c>
      <c r="F261" t="s">
        <v>7</v>
      </c>
      <c r="G261" s="2">
        <f t="shared" si="114"/>
        <v>0</v>
      </c>
      <c r="H261" s="2">
        <f t="shared" si="114"/>
        <v>0</v>
      </c>
      <c r="I261" s="2">
        <f t="shared" si="114"/>
        <v>0</v>
      </c>
      <c r="J261" s="2">
        <f t="shared" si="114"/>
        <v>0</v>
      </c>
      <c r="K261" s="2">
        <f t="shared" si="114"/>
        <v>0</v>
      </c>
      <c r="L261" s="2">
        <f t="shared" si="114"/>
        <v>0</v>
      </c>
      <c r="M261" s="2">
        <f t="shared" si="114"/>
        <v>0</v>
      </c>
      <c r="N261" s="2">
        <f t="shared" si="114"/>
        <v>0</v>
      </c>
      <c r="O261" s="2">
        <f t="shared" si="114"/>
        <v>0</v>
      </c>
      <c r="P261" s="2">
        <f t="shared" si="114"/>
        <v>0</v>
      </c>
      <c r="Q261" s="2">
        <f t="shared" si="114"/>
        <v>0</v>
      </c>
      <c r="R261" s="2">
        <f t="shared" si="114"/>
        <v>0</v>
      </c>
      <c r="S261" s="2">
        <f t="shared" si="114"/>
        <v>0</v>
      </c>
      <c r="T261" s="2">
        <f t="shared" si="114"/>
        <v>0</v>
      </c>
      <c r="U261" s="2">
        <f t="shared" si="114"/>
        <v>0</v>
      </c>
      <c r="V261" s="2">
        <f t="shared" si="114"/>
        <v>0</v>
      </c>
      <c r="W261" s="2">
        <f t="shared" si="114"/>
        <v>0</v>
      </c>
      <c r="X261" s="2">
        <f t="shared" si="114"/>
        <v>0</v>
      </c>
      <c r="Y261" s="2">
        <f t="shared" si="114"/>
        <v>0</v>
      </c>
      <c r="Z261" s="2">
        <f t="shared" si="114"/>
        <v>0</v>
      </c>
      <c r="AA261" s="2">
        <f t="shared" si="114"/>
        <v>0</v>
      </c>
    </row>
    <row r="262" spans="4:28" customFormat="1" x14ac:dyDescent="0.25">
      <c r="E262" t="s">
        <v>13</v>
      </c>
      <c r="F262" t="s">
        <v>7</v>
      </c>
      <c r="G262" s="2" t="e">
        <f ca="1">G253</f>
        <v>#REF!</v>
      </c>
      <c r="H262" s="2"/>
      <c r="I262" s="2"/>
      <c r="J262" s="2"/>
      <c r="K262" s="2"/>
      <c r="L262" s="2"/>
      <c r="M262" s="2"/>
      <c r="N262" s="2"/>
      <c r="O262" s="2"/>
      <c r="P262" s="2"/>
      <c r="Q262" s="2"/>
      <c r="R262" s="2"/>
      <c r="S262" s="2"/>
      <c r="T262" s="2"/>
      <c r="U262" s="2"/>
      <c r="V262" s="2"/>
      <c r="W262" s="2"/>
      <c r="X262" s="2"/>
      <c r="Y262" s="2"/>
      <c r="Z262" s="2"/>
      <c r="AA262" s="2"/>
    </row>
    <row r="263" spans="4:28" customFormat="1" x14ac:dyDescent="0.25"/>
    <row r="264" spans="4:28" customFormat="1" x14ac:dyDescent="0.25">
      <c r="E264" t="s">
        <v>14</v>
      </c>
      <c r="F264" t="s">
        <v>7</v>
      </c>
      <c r="G264" s="2" t="e">
        <f t="shared" ref="G264:AA264" ca="1" si="115">SUM(G256:G262)</f>
        <v>#REF!</v>
      </c>
      <c r="H264" s="2">
        <f t="shared" si="115"/>
        <v>5450767.2326838821</v>
      </c>
      <c r="I264" s="2">
        <f t="shared" si="115"/>
        <v>6209147.5967939179</v>
      </c>
      <c r="J264" s="2">
        <f t="shared" si="115"/>
        <v>6569328.6249134094</v>
      </c>
      <c r="K264" s="2">
        <f t="shared" si="115"/>
        <v>6714055.0411821064</v>
      </c>
      <c r="L264" s="2">
        <f t="shared" si="115"/>
        <v>7216609.4890582319</v>
      </c>
      <c r="M264" s="2">
        <f t="shared" si="115"/>
        <v>7812702.5039466191</v>
      </c>
      <c r="N264" s="2">
        <f t="shared" si="115"/>
        <v>7897563.5354176238</v>
      </c>
      <c r="O264" s="2">
        <f t="shared" si="115"/>
        <v>7381195.6931832414</v>
      </c>
      <c r="P264" s="2">
        <f t="shared" si="115"/>
        <v>9205548.9152126573</v>
      </c>
      <c r="Q264" s="2">
        <f t="shared" si="115"/>
        <v>11871508.715335347</v>
      </c>
      <c r="R264" s="2">
        <f t="shared" si="115"/>
        <v>12795258.125119455</v>
      </c>
      <c r="S264" s="2">
        <f t="shared" si="115"/>
        <v>13808564.221154314</v>
      </c>
      <c r="T264" s="2">
        <f t="shared" si="115"/>
        <v>14920275.405847292</v>
      </c>
      <c r="U264" s="2">
        <f t="shared" si="115"/>
        <v>14035311.643231191</v>
      </c>
      <c r="V264" s="2">
        <f t="shared" si="115"/>
        <v>13099214.460020989</v>
      </c>
      <c r="W264" s="2">
        <f t="shared" si="115"/>
        <v>-20075183.799674451</v>
      </c>
      <c r="X264" s="2">
        <f t="shared" si="115"/>
        <v>-20183684.83326935</v>
      </c>
      <c r="Y264" s="2">
        <f t="shared" si="115"/>
        <v>-20294464.388569746</v>
      </c>
      <c r="Z264" s="2">
        <f t="shared" si="115"/>
        <v>-20407570.314531446</v>
      </c>
      <c r="AA264" s="2">
        <f t="shared" si="115"/>
        <v>-20523051.464938343</v>
      </c>
    </row>
    <row r="265" spans="4:28" customFormat="1" x14ac:dyDescent="0.25">
      <c r="E265" t="s">
        <v>15</v>
      </c>
      <c r="F265" t="s">
        <v>7</v>
      </c>
      <c r="G265" s="2" t="e">
        <f ca="1">-G264*G$18</f>
        <v>#REF!</v>
      </c>
      <c r="H265" s="2">
        <f t="shared" ref="H265:AA265" si="116">-H264*H$18</f>
        <v>-1635230.1698051647</v>
      </c>
      <c r="I265" s="2">
        <f t="shared" si="116"/>
        <v>-1862744.2790381752</v>
      </c>
      <c r="J265" s="2">
        <f t="shared" si="116"/>
        <v>-1970798.5874740228</v>
      </c>
      <c r="K265" s="2">
        <f t="shared" si="116"/>
        <v>-2014216.5123546319</v>
      </c>
      <c r="L265" s="2">
        <f t="shared" si="116"/>
        <v>-2164982.8467174694</v>
      </c>
      <c r="M265" s="2">
        <f t="shared" si="116"/>
        <v>-2343810.7511839857</v>
      </c>
      <c r="N265" s="2">
        <f t="shared" si="116"/>
        <v>-2369269.0606252872</v>
      </c>
      <c r="O265" s="2">
        <f t="shared" si="116"/>
        <v>-2214358.7079549725</v>
      </c>
      <c r="P265" s="2">
        <f t="shared" si="116"/>
        <v>-2761664.6745637972</v>
      </c>
      <c r="Q265" s="2">
        <f t="shared" si="116"/>
        <v>-3561452.6146006039</v>
      </c>
      <c r="R265" s="2">
        <f t="shared" si="116"/>
        <v>-3838577.4375358364</v>
      </c>
      <c r="S265" s="2">
        <f t="shared" si="116"/>
        <v>-4142569.266346294</v>
      </c>
      <c r="T265" s="2">
        <f t="shared" si="116"/>
        <v>-4476082.6217541872</v>
      </c>
      <c r="U265" s="2">
        <f t="shared" si="116"/>
        <v>-4210593.4929693574</v>
      </c>
      <c r="V265" s="2">
        <f t="shared" si="116"/>
        <v>-3929764.3380062967</v>
      </c>
      <c r="W265" s="2">
        <f t="shared" si="116"/>
        <v>6022555.1399023356</v>
      </c>
      <c r="X265" s="2">
        <f t="shared" si="116"/>
        <v>6055105.4499808047</v>
      </c>
      <c r="Y265" s="2">
        <f t="shared" si="116"/>
        <v>6088339.3165709237</v>
      </c>
      <c r="Z265" s="2">
        <f t="shared" si="116"/>
        <v>6122271.0943594333</v>
      </c>
      <c r="AA265" s="2">
        <f t="shared" si="116"/>
        <v>6156915.4394815024</v>
      </c>
    </row>
    <row r="266" spans="4:28" customFormat="1" x14ac:dyDescent="0.25"/>
    <row r="267" spans="4:28" customFormat="1" x14ac:dyDescent="0.25">
      <c r="D267" t="s">
        <v>28</v>
      </c>
    </row>
    <row r="268" spans="4:28" customFormat="1" x14ac:dyDescent="0.25">
      <c r="E268" t="s">
        <v>1</v>
      </c>
      <c r="F268" t="s">
        <v>7</v>
      </c>
      <c r="G268" s="2">
        <f t="shared" ref="G268:AA275" si="117">G234</f>
        <v>-59357719.434771046</v>
      </c>
      <c r="H268" s="2">
        <f t="shared" si="117"/>
        <v>-25881804.690736853</v>
      </c>
      <c r="I268" s="2">
        <f t="shared" si="117"/>
        <v>-75166887.051169291</v>
      </c>
      <c r="J268" s="2">
        <f t="shared" si="117"/>
        <v>-123274412.5143224</v>
      </c>
      <c r="K268" s="2">
        <f t="shared" si="117"/>
        <v>-95588490.423266426</v>
      </c>
      <c r="L268" s="2">
        <f t="shared" si="117"/>
        <v>-55261567.106099769</v>
      </c>
      <c r="M268" s="2">
        <f t="shared" si="117"/>
        <v>-39182591.920356415</v>
      </c>
      <c r="N268" s="2">
        <f t="shared" si="117"/>
        <v>-69426673.456986621</v>
      </c>
      <c r="O268" s="2">
        <f t="shared" si="117"/>
        <v>-107828694.40099752</v>
      </c>
      <c r="P268" s="2">
        <f t="shared" si="117"/>
        <v>-69690188.208208725</v>
      </c>
      <c r="Q268" s="2">
        <f t="shared" si="117"/>
        <v>-27415391.484194569</v>
      </c>
      <c r="R268" s="2">
        <f t="shared" si="117"/>
        <v>-26607698.431031611</v>
      </c>
      <c r="S268" s="2">
        <f t="shared" si="117"/>
        <v>-27166460.098083265</v>
      </c>
      <c r="T268" s="2">
        <f t="shared" si="117"/>
        <v>-27736955.760143012</v>
      </c>
      <c r="U268" s="2">
        <f t="shared" si="117"/>
        <v>-28319431.831106015</v>
      </c>
      <c r="V268" s="2">
        <f t="shared" si="117"/>
        <v>-28914139.899559237</v>
      </c>
      <c r="W268" s="2">
        <f t="shared" si="117"/>
        <v>0</v>
      </c>
      <c r="X268" s="2">
        <f t="shared" si="117"/>
        <v>0</v>
      </c>
      <c r="Y268" s="2">
        <f t="shared" si="117"/>
        <v>0</v>
      </c>
      <c r="Z268" s="2">
        <f t="shared" si="117"/>
        <v>0</v>
      </c>
      <c r="AA268" s="2">
        <f t="shared" si="117"/>
        <v>0</v>
      </c>
    </row>
    <row r="269" spans="4:28" customFormat="1" x14ac:dyDescent="0.25">
      <c r="E269" t="s">
        <v>19</v>
      </c>
      <c r="F269" t="s">
        <v>7</v>
      </c>
      <c r="G269" s="2">
        <f t="shared" si="117"/>
        <v>0</v>
      </c>
      <c r="H269" s="2">
        <f t="shared" si="117"/>
        <v>0</v>
      </c>
      <c r="I269" s="2">
        <f t="shared" si="117"/>
        <v>0</v>
      </c>
      <c r="J269" s="2">
        <f t="shared" si="117"/>
        <v>0</v>
      </c>
      <c r="K269" s="2">
        <f t="shared" si="117"/>
        <v>0</v>
      </c>
      <c r="L269" s="2">
        <f t="shared" si="117"/>
        <v>0</v>
      </c>
      <c r="M269" s="2">
        <f t="shared" si="117"/>
        <v>0</v>
      </c>
      <c r="N269" s="2">
        <f t="shared" si="117"/>
        <v>0</v>
      </c>
      <c r="O269" s="2">
        <f t="shared" si="117"/>
        <v>0</v>
      </c>
      <c r="P269" s="2">
        <f t="shared" si="117"/>
        <v>0</v>
      </c>
      <c r="Q269" s="2">
        <f t="shared" si="117"/>
        <v>0</v>
      </c>
      <c r="R269" s="2">
        <f t="shared" si="117"/>
        <v>0</v>
      </c>
      <c r="S269" s="2">
        <f t="shared" si="117"/>
        <v>0</v>
      </c>
      <c r="T269" s="2">
        <f t="shared" si="117"/>
        <v>0</v>
      </c>
      <c r="U269" s="2">
        <f t="shared" si="117"/>
        <v>0</v>
      </c>
      <c r="V269" s="2">
        <f t="shared" si="117"/>
        <v>0</v>
      </c>
      <c r="W269" s="2">
        <f t="shared" si="117"/>
        <v>0</v>
      </c>
      <c r="X269" s="2">
        <f t="shared" si="117"/>
        <v>0</v>
      </c>
      <c r="Y269" s="2">
        <f t="shared" si="117"/>
        <v>0</v>
      </c>
      <c r="Z269" s="2">
        <f t="shared" si="117"/>
        <v>0</v>
      </c>
      <c r="AA269" s="2">
        <f t="shared" si="117"/>
        <v>0</v>
      </c>
    </row>
    <row r="270" spans="4:28" customFormat="1" x14ac:dyDescent="0.25">
      <c r="E270" t="s">
        <v>109</v>
      </c>
      <c r="F270" t="s">
        <v>7</v>
      </c>
      <c r="G270" s="2">
        <f t="shared" si="117"/>
        <v>0</v>
      </c>
      <c r="H270" s="2">
        <f t="shared" si="117"/>
        <v>0</v>
      </c>
      <c r="I270" s="2">
        <f t="shared" si="117"/>
        <v>0</v>
      </c>
      <c r="J270" s="2">
        <f t="shared" si="117"/>
        <v>0</v>
      </c>
      <c r="K270" s="2">
        <f t="shared" si="117"/>
        <v>0</v>
      </c>
      <c r="L270" s="2">
        <f t="shared" si="117"/>
        <v>0</v>
      </c>
      <c r="M270" s="2">
        <f t="shared" si="117"/>
        <v>0</v>
      </c>
      <c r="N270" s="2">
        <f t="shared" si="117"/>
        <v>0</v>
      </c>
      <c r="O270" s="2">
        <f t="shared" si="117"/>
        <v>0</v>
      </c>
      <c r="P270" s="2">
        <f t="shared" si="117"/>
        <v>0</v>
      </c>
      <c r="Q270" s="2">
        <f t="shared" si="117"/>
        <v>0</v>
      </c>
      <c r="R270" s="2">
        <f t="shared" si="117"/>
        <v>0</v>
      </c>
      <c r="S270" s="2">
        <f t="shared" si="117"/>
        <v>0</v>
      </c>
      <c r="T270" s="2">
        <f t="shared" si="117"/>
        <v>0</v>
      </c>
      <c r="U270" s="2">
        <f t="shared" si="117"/>
        <v>0</v>
      </c>
      <c r="V270" s="2">
        <f t="shared" si="117"/>
        <v>0</v>
      </c>
      <c r="W270" s="2">
        <f t="shared" si="117"/>
        <v>0</v>
      </c>
      <c r="X270" s="2">
        <f t="shared" si="117"/>
        <v>0</v>
      </c>
      <c r="Y270" s="2">
        <f t="shared" si="117"/>
        <v>0</v>
      </c>
      <c r="Z270" s="2">
        <f t="shared" si="117"/>
        <v>0</v>
      </c>
      <c r="AA270" s="2">
        <f t="shared" si="117"/>
        <v>0</v>
      </c>
    </row>
    <row r="271" spans="4:28" customFormat="1" x14ac:dyDescent="0.25">
      <c r="E271" t="s">
        <v>11</v>
      </c>
      <c r="F271" t="s">
        <v>7</v>
      </c>
      <c r="G271" s="2">
        <f t="shared" si="117"/>
        <v>0</v>
      </c>
      <c r="H271" s="2">
        <f t="shared" si="117"/>
        <v>146459.24675273275</v>
      </c>
      <c r="I271" s="2">
        <f t="shared" si="117"/>
        <v>323970.72385238652</v>
      </c>
      <c r="J271" s="2">
        <f t="shared" si="117"/>
        <v>550274.16932860902</v>
      </c>
      <c r="K271" s="2">
        <f t="shared" si="117"/>
        <v>812842.49297002354</v>
      </c>
      <c r="L271" s="2">
        <f t="shared" si="117"/>
        <v>1110630.3576165158</v>
      </c>
      <c r="M271" s="2">
        <f t="shared" si="117"/>
        <v>1443268.3802641318</v>
      </c>
      <c r="N271" s="2">
        <f t="shared" si="117"/>
        <v>1809867.9142420532</v>
      </c>
      <c r="O271" s="2">
        <f t="shared" si="117"/>
        <v>2209713.3256617519</v>
      </c>
      <c r="P271" s="2">
        <f t="shared" si="117"/>
        <v>2679861.894014738</v>
      </c>
      <c r="Q271" s="2">
        <f t="shared" si="117"/>
        <v>3229685.98064721</v>
      </c>
      <c r="R271" s="2">
        <f t="shared" si="117"/>
        <v>3829662.0522984695</v>
      </c>
      <c r="S271" s="2">
        <f t="shared" si="117"/>
        <v>4472423.6491872026</v>
      </c>
      <c r="T271" s="2">
        <f t="shared" si="117"/>
        <v>5173828.5701691834</v>
      </c>
      <c r="U271" s="2">
        <f t="shared" si="117"/>
        <v>5898741.892677133</v>
      </c>
      <c r="V271" s="2">
        <f t="shared" si="117"/>
        <v>6647306.7941989368</v>
      </c>
      <c r="W271" s="2">
        <f t="shared" si="117"/>
        <v>6786900.2368771136</v>
      </c>
      <c r="X271" s="2">
        <f t="shared" si="117"/>
        <v>6929425.1418515313</v>
      </c>
      <c r="Y271" s="2">
        <f t="shared" si="117"/>
        <v>7074943.069830413</v>
      </c>
      <c r="Z271" s="2">
        <f t="shared" si="117"/>
        <v>7223516.8742968515</v>
      </c>
      <c r="AA271" s="2">
        <f t="shared" si="117"/>
        <v>7375210.7286570845</v>
      </c>
      <c r="AB271" s="2">
        <f t="shared" ref="AB271:AB275" si="118">IF(V271=0,0,IF($G$15&gt;(AA271/V271)^(1/5)-1+2%,AA271*(AA271/V271)^(1/5)/($G$15-((AA271/V271)^(1/5)-1)),AA271*(1+$G$14)/$G$16))</f>
        <v>245840357.6219033</v>
      </c>
    </row>
    <row r="272" spans="4:28" customFormat="1" x14ac:dyDescent="0.25">
      <c r="E272" t="s">
        <v>57</v>
      </c>
      <c r="F272" t="s">
        <v>7</v>
      </c>
      <c r="G272" s="2">
        <f t="shared" si="117"/>
        <v>0</v>
      </c>
      <c r="H272" s="2">
        <f t="shared" si="117"/>
        <v>0</v>
      </c>
      <c r="I272" s="2">
        <f t="shared" si="117"/>
        <v>0</v>
      </c>
      <c r="J272" s="2">
        <f t="shared" si="117"/>
        <v>0</v>
      </c>
      <c r="K272" s="2">
        <f t="shared" si="117"/>
        <v>0</v>
      </c>
      <c r="L272" s="2">
        <f t="shared" si="117"/>
        <v>0</v>
      </c>
      <c r="M272" s="2">
        <f t="shared" si="117"/>
        <v>0</v>
      </c>
      <c r="N272" s="2">
        <f t="shared" si="117"/>
        <v>0</v>
      </c>
      <c r="O272" s="2">
        <f t="shared" si="117"/>
        <v>0</v>
      </c>
      <c r="P272" s="2">
        <f t="shared" si="117"/>
        <v>0</v>
      </c>
      <c r="Q272" s="2">
        <f t="shared" si="117"/>
        <v>0</v>
      </c>
      <c r="R272" s="2">
        <f t="shared" si="117"/>
        <v>0</v>
      </c>
      <c r="S272" s="2">
        <f t="shared" si="117"/>
        <v>0</v>
      </c>
      <c r="T272" s="2">
        <f t="shared" si="117"/>
        <v>0</v>
      </c>
      <c r="U272" s="2">
        <f t="shared" si="117"/>
        <v>0</v>
      </c>
      <c r="V272" s="2">
        <f t="shared" si="117"/>
        <v>0</v>
      </c>
      <c r="W272" s="2">
        <f t="shared" si="117"/>
        <v>0</v>
      </c>
      <c r="X272" s="2">
        <f t="shared" si="117"/>
        <v>0</v>
      </c>
      <c r="Y272" s="2">
        <f t="shared" si="117"/>
        <v>0</v>
      </c>
      <c r="Z272" s="2">
        <f t="shared" si="117"/>
        <v>0</v>
      </c>
      <c r="AA272" s="2">
        <f t="shared" si="117"/>
        <v>0</v>
      </c>
      <c r="AB272" s="2">
        <f t="shared" si="118"/>
        <v>0</v>
      </c>
    </row>
    <row r="273" spans="1:28" x14ac:dyDescent="0.25">
      <c r="E273" t="s">
        <v>10</v>
      </c>
      <c r="F273" t="s">
        <v>7</v>
      </c>
      <c r="G273" s="2">
        <f t="shared" si="117"/>
        <v>0</v>
      </c>
      <c r="H273" s="2">
        <f t="shared" si="117"/>
        <v>-229112.39999999997</v>
      </c>
      <c r="I273" s="2">
        <f t="shared" si="117"/>
        <v>-529143.05159999989</v>
      </c>
      <c r="J273" s="2">
        <f t="shared" si="117"/>
        <v>-910604.36655020376</v>
      </c>
      <c r="K273" s="2">
        <f t="shared" si="117"/>
        <v>-1357680.3044933912</v>
      </c>
      <c r="L273" s="2">
        <f t="shared" si="117"/>
        <v>-1868386.2875902615</v>
      </c>
      <c r="M273" s="2">
        <f t="shared" si="117"/>
        <v>-2441988.3071164866</v>
      </c>
      <c r="N273" s="2">
        <f t="shared" si="117"/>
        <v>-3076789.2452669404</v>
      </c>
      <c r="O273" s="2">
        <f t="shared" si="117"/>
        <v>-3771410.9922956601</v>
      </c>
      <c r="P273" s="2">
        <f t="shared" si="117"/>
        <v>-4594432.5494066207</v>
      </c>
      <c r="Q273" s="2">
        <f t="shared" si="117"/>
        <v>-5563156.6475036945</v>
      </c>
      <c r="R273" s="2">
        <f t="shared" si="117"/>
        <v>-6622846.0480589569</v>
      </c>
      <c r="S273" s="2">
        <f t="shared" si="117"/>
        <v>-7781611.2374549052</v>
      </c>
      <c r="T273" s="2">
        <f t="shared" si="117"/>
        <v>-9047865.3353994675</v>
      </c>
      <c r="U273" s="2">
        <f t="shared" si="117"/>
        <v>-10356502.335102659</v>
      </c>
      <c r="V273" s="2">
        <f t="shared" si="117"/>
        <v>-11707753.302985901</v>
      </c>
      <c r="W273" s="2">
        <f t="shared" si="117"/>
        <v>-11953616.122348605</v>
      </c>
      <c r="X273" s="2">
        <f t="shared" si="117"/>
        <v>-12204642.060917925</v>
      </c>
      <c r="Y273" s="2">
        <f t="shared" si="117"/>
        <v>-12460939.5441972</v>
      </c>
      <c r="Z273" s="2">
        <f t="shared" si="117"/>
        <v>-12722619.274625339</v>
      </c>
      <c r="AA273" s="2">
        <f t="shared" si="117"/>
        <v>-12989794.27939247</v>
      </c>
      <c r="AB273" s="2">
        <f t="shared" si="118"/>
        <v>-432993142.64641654</v>
      </c>
    </row>
    <row r="274" spans="1:28" x14ac:dyDescent="0.25">
      <c r="E274" t="s">
        <v>48</v>
      </c>
      <c r="F274" t="s">
        <v>7</v>
      </c>
      <c r="G274" s="2">
        <f t="shared" si="117"/>
        <v>0</v>
      </c>
      <c r="H274" s="2">
        <f t="shared" si="117"/>
        <v>0</v>
      </c>
      <c r="I274" s="2">
        <f t="shared" si="117"/>
        <v>0</v>
      </c>
      <c r="J274" s="2">
        <f t="shared" si="117"/>
        <v>0</v>
      </c>
      <c r="K274" s="2">
        <f t="shared" si="117"/>
        <v>0</v>
      </c>
      <c r="L274" s="2">
        <f t="shared" si="117"/>
        <v>0</v>
      </c>
      <c r="M274" s="2">
        <f t="shared" si="117"/>
        <v>0</v>
      </c>
      <c r="N274" s="2">
        <f t="shared" si="117"/>
        <v>0</v>
      </c>
      <c r="O274" s="2">
        <f t="shared" si="117"/>
        <v>0</v>
      </c>
      <c r="P274" s="2">
        <f t="shared" si="117"/>
        <v>0</v>
      </c>
      <c r="Q274" s="2">
        <f t="shared" si="117"/>
        <v>0</v>
      </c>
      <c r="R274" s="2">
        <f t="shared" si="117"/>
        <v>0</v>
      </c>
      <c r="S274" s="2">
        <f t="shared" si="117"/>
        <v>0</v>
      </c>
      <c r="T274" s="2">
        <f t="shared" si="117"/>
        <v>0</v>
      </c>
      <c r="U274" s="2">
        <f t="shared" si="117"/>
        <v>0</v>
      </c>
      <c r="V274" s="2">
        <f t="shared" si="117"/>
        <v>0</v>
      </c>
      <c r="W274" s="2">
        <f t="shared" si="117"/>
        <v>0</v>
      </c>
      <c r="X274" s="2">
        <f t="shared" si="117"/>
        <v>0</v>
      </c>
      <c r="Y274" s="2">
        <f t="shared" si="117"/>
        <v>0</v>
      </c>
      <c r="Z274" s="2">
        <f t="shared" si="117"/>
        <v>0</v>
      </c>
      <c r="AA274" s="2">
        <f t="shared" si="117"/>
        <v>0</v>
      </c>
      <c r="AB274" s="2">
        <f t="shared" si="118"/>
        <v>0</v>
      </c>
    </row>
    <row r="275" spans="1:28" x14ac:dyDescent="0.25">
      <c r="E275" t="s">
        <v>49</v>
      </c>
      <c r="F275" t="s">
        <v>7</v>
      </c>
      <c r="G275" s="2">
        <f t="shared" si="117"/>
        <v>0</v>
      </c>
      <c r="H275" s="2">
        <f t="shared" si="117"/>
        <v>0</v>
      </c>
      <c r="I275" s="2">
        <f t="shared" si="117"/>
        <v>0</v>
      </c>
      <c r="J275" s="2">
        <f t="shared" si="117"/>
        <v>0</v>
      </c>
      <c r="K275" s="2">
        <f t="shared" si="117"/>
        <v>0</v>
      </c>
      <c r="L275" s="2">
        <f t="shared" si="117"/>
        <v>0</v>
      </c>
      <c r="M275" s="2">
        <f t="shared" si="117"/>
        <v>0</v>
      </c>
      <c r="N275" s="2">
        <f t="shared" si="117"/>
        <v>0</v>
      </c>
      <c r="O275" s="2">
        <f t="shared" si="117"/>
        <v>0</v>
      </c>
      <c r="P275" s="2">
        <f t="shared" si="117"/>
        <v>0</v>
      </c>
      <c r="Q275" s="2">
        <f t="shared" si="117"/>
        <v>0</v>
      </c>
      <c r="R275" s="2">
        <f t="shared" si="117"/>
        <v>0</v>
      </c>
      <c r="S275" s="2">
        <f t="shared" si="117"/>
        <v>0</v>
      </c>
      <c r="T275" s="2">
        <f t="shared" si="117"/>
        <v>0</v>
      </c>
      <c r="U275" s="2">
        <f t="shared" si="117"/>
        <v>0</v>
      </c>
      <c r="V275" s="2">
        <f t="shared" si="117"/>
        <v>0</v>
      </c>
      <c r="W275" s="2">
        <f t="shared" si="117"/>
        <v>0</v>
      </c>
      <c r="X275" s="2">
        <f t="shared" si="117"/>
        <v>0</v>
      </c>
      <c r="Y275" s="2">
        <f t="shared" si="117"/>
        <v>0</v>
      </c>
      <c r="Z275" s="2">
        <f t="shared" si="117"/>
        <v>0</v>
      </c>
      <c r="AA275" s="2">
        <f t="shared" si="117"/>
        <v>0</v>
      </c>
      <c r="AB275" s="2">
        <f t="shared" si="118"/>
        <v>0</v>
      </c>
    </row>
    <row r="276" spans="1:28" x14ac:dyDescent="0.25">
      <c r="E276" t="s">
        <v>20</v>
      </c>
      <c r="F276" t="s">
        <v>7</v>
      </c>
      <c r="G276" s="2" t="e">
        <f t="shared" ref="G276:AA276" ca="1" si="119">G265</f>
        <v>#REF!</v>
      </c>
      <c r="H276" s="2">
        <f t="shared" si="119"/>
        <v>-1635230.1698051647</v>
      </c>
      <c r="I276" s="2">
        <f t="shared" si="119"/>
        <v>-1862744.2790381752</v>
      </c>
      <c r="J276" s="2">
        <f t="shared" si="119"/>
        <v>-1970798.5874740228</v>
      </c>
      <c r="K276" s="2">
        <f t="shared" si="119"/>
        <v>-2014216.5123546319</v>
      </c>
      <c r="L276" s="2">
        <f t="shared" si="119"/>
        <v>-2164982.8467174694</v>
      </c>
      <c r="M276" s="2">
        <f t="shared" si="119"/>
        <v>-2343810.7511839857</v>
      </c>
      <c r="N276" s="2">
        <f t="shared" si="119"/>
        <v>-2369269.0606252872</v>
      </c>
      <c r="O276" s="2">
        <f t="shared" si="119"/>
        <v>-2214358.7079549725</v>
      </c>
      <c r="P276" s="2">
        <f t="shared" si="119"/>
        <v>-2761664.6745637972</v>
      </c>
      <c r="Q276" s="2">
        <f t="shared" si="119"/>
        <v>-3561452.6146006039</v>
      </c>
      <c r="R276" s="2">
        <f t="shared" si="119"/>
        <v>-3838577.4375358364</v>
      </c>
      <c r="S276" s="2">
        <f t="shared" si="119"/>
        <v>-4142569.266346294</v>
      </c>
      <c r="T276" s="2">
        <f t="shared" si="119"/>
        <v>-4476082.6217541872</v>
      </c>
      <c r="U276" s="2">
        <f t="shared" si="119"/>
        <v>-4210593.4929693574</v>
      </c>
      <c r="V276" s="2">
        <f t="shared" si="119"/>
        <v>-3929764.3380062967</v>
      </c>
      <c r="W276" s="2">
        <f t="shared" si="119"/>
        <v>6022555.1399023356</v>
      </c>
      <c r="X276" s="2">
        <f t="shared" si="119"/>
        <v>6055105.4499808047</v>
      </c>
      <c r="Y276" s="2">
        <f t="shared" si="119"/>
        <v>6088339.3165709237</v>
      </c>
      <c r="Z276" s="2">
        <f t="shared" si="119"/>
        <v>6122271.0943594333</v>
      </c>
      <c r="AA276" s="2">
        <f t="shared" si="119"/>
        <v>6156915.4394815024</v>
      </c>
      <c r="AB276" s="2">
        <f>IF(V276=0,0,IF($G$15&gt;(AA276/V276)^(1/5)-1+2%,AA276*(AA276/V276)^(1/5)/($G$15-((AA276/V276)^(1/5)-1)),AA276*(1+$G$14)/$G$16))</f>
        <v>-3139184.6549775046</v>
      </c>
    </row>
    <row r="277" spans="1:28" x14ac:dyDescent="0.25">
      <c r="E277" t="s">
        <v>173</v>
      </c>
      <c r="F277" t="s">
        <v>7</v>
      </c>
      <c r="G277" s="2" t="e">
        <f ca="1">-$G$17*G276</f>
        <v>#REF!</v>
      </c>
      <c r="H277" s="2">
        <f t="shared" ref="H277:AA277" si="120">-$G$17*H276</f>
        <v>817615.08490258234</v>
      </c>
      <c r="I277" s="2">
        <f t="shared" si="120"/>
        <v>931372.13951908762</v>
      </c>
      <c r="J277" s="2">
        <f t="shared" si="120"/>
        <v>985399.29373701138</v>
      </c>
      <c r="K277" s="2">
        <f t="shared" si="120"/>
        <v>1007108.256177316</v>
      </c>
      <c r="L277" s="2">
        <f t="shared" si="120"/>
        <v>1082491.4233587347</v>
      </c>
      <c r="M277" s="2">
        <f t="shared" si="120"/>
        <v>1171905.3755919929</v>
      </c>
      <c r="N277" s="2">
        <f t="shared" si="120"/>
        <v>1184634.5303126436</v>
      </c>
      <c r="O277" s="2">
        <f t="shared" si="120"/>
        <v>1107179.3539774863</v>
      </c>
      <c r="P277" s="2">
        <f t="shared" si="120"/>
        <v>1380832.3372818986</v>
      </c>
      <c r="Q277" s="2">
        <f t="shared" si="120"/>
        <v>1780726.307300302</v>
      </c>
      <c r="R277" s="2">
        <f t="shared" si="120"/>
        <v>1919288.7187679182</v>
      </c>
      <c r="S277" s="2">
        <f t="shared" si="120"/>
        <v>2071284.633173147</v>
      </c>
      <c r="T277" s="2">
        <f t="shared" si="120"/>
        <v>2238041.3108770936</v>
      </c>
      <c r="U277" s="2">
        <f t="shared" si="120"/>
        <v>2105296.7464846787</v>
      </c>
      <c r="V277" s="2">
        <f t="shared" si="120"/>
        <v>1964882.1690031483</v>
      </c>
      <c r="W277" s="2">
        <f t="shared" si="120"/>
        <v>-3011277.5699511678</v>
      </c>
      <c r="X277" s="2">
        <f t="shared" si="120"/>
        <v>-3027552.7249904023</v>
      </c>
      <c r="Y277" s="2">
        <f t="shared" si="120"/>
        <v>-3044169.6582854618</v>
      </c>
      <c r="Z277" s="2">
        <f t="shared" si="120"/>
        <v>-3061135.5471797166</v>
      </c>
      <c r="AA277" s="2">
        <f t="shared" si="120"/>
        <v>-3078457.7197407512</v>
      </c>
      <c r="AB277" s="2">
        <f t="shared" ref="AB277" si="121">IF(V277=0,0,IF($G$15&gt;(AA277/V277)^(1/5)-1+2%,AA277*(AA277/V277)^(1/5)/($G$15-((AA277/V277)^(1/5)-1)),AA277*(1+$G$14)/$G$16))</f>
        <v>1569592.3274887523</v>
      </c>
    </row>
    <row r="278" spans="1:28" x14ac:dyDescent="0.25">
      <c r="E278" t="s">
        <v>23</v>
      </c>
      <c r="F278" t="s">
        <v>7</v>
      </c>
      <c r="G278" s="2" t="e">
        <f t="shared" ref="G278:AB278" ca="1" si="122">SUM(G268:G277)</f>
        <v>#REF!</v>
      </c>
      <c r="H278" s="2">
        <f t="shared" si="122"/>
        <v>-26782072.928886704</v>
      </c>
      <c r="I278" s="2">
        <f t="shared" si="122"/>
        <v>-76303431.518436</v>
      </c>
      <c r="J278" s="2">
        <f t="shared" si="122"/>
        <v>-124620142.005281</v>
      </c>
      <c r="K278" s="2">
        <f t="shared" si="122"/>
        <v>-97140436.49096711</v>
      </c>
      <c r="L278" s="2">
        <f t="shared" si="122"/>
        <v>-57101814.459432259</v>
      </c>
      <c r="M278" s="2">
        <f t="shared" si="122"/>
        <v>-41353217.222800761</v>
      </c>
      <c r="N278" s="2">
        <f t="shared" si="122"/>
        <v>-71878229.318324149</v>
      </c>
      <c r="O278" s="2">
        <f t="shared" si="122"/>
        <v>-110497571.42160891</v>
      </c>
      <c r="P278" s="2">
        <f t="shared" si="122"/>
        <v>-72985591.200882509</v>
      </c>
      <c r="Q278" s="2">
        <f t="shared" si="122"/>
        <v>-31529588.458351351</v>
      </c>
      <c r="R278" s="2">
        <f t="shared" si="122"/>
        <v>-31320171.145560019</v>
      </c>
      <c r="S278" s="2">
        <f t="shared" si="122"/>
        <v>-32546932.319524117</v>
      </c>
      <c r="T278" s="2">
        <f t="shared" si="122"/>
        <v>-33849033.836250387</v>
      </c>
      <c r="U278" s="2">
        <f t="shared" si="122"/>
        <v>-34882489.020016216</v>
      </c>
      <c r="V278" s="2">
        <f t="shared" si="122"/>
        <v>-35939468.577349342</v>
      </c>
      <c r="W278" s="2">
        <f t="shared" si="122"/>
        <v>-2155438.3155203233</v>
      </c>
      <c r="X278" s="2">
        <f t="shared" si="122"/>
        <v>-2247664.1940759914</v>
      </c>
      <c r="Y278" s="2">
        <f t="shared" si="122"/>
        <v>-2341826.8160813251</v>
      </c>
      <c r="Z278" s="2">
        <f t="shared" si="122"/>
        <v>-2437966.8531487705</v>
      </c>
      <c r="AA278" s="2">
        <f t="shared" si="122"/>
        <v>-2536125.830994634</v>
      </c>
      <c r="AB278" s="2">
        <f t="shared" si="122"/>
        <v>-188722377.35200199</v>
      </c>
    </row>
    <row r="279" spans="1:28" x14ac:dyDescent="0.25">
      <c r="E279" t="s">
        <v>31</v>
      </c>
      <c r="F279" t="s">
        <v>7</v>
      </c>
      <c r="G279" s="2" t="e">
        <f ca="1">NPV($G$15,H278:AB278)+G278</f>
        <v>#REF!</v>
      </c>
    </row>
    <row r="280" spans="1:28" x14ac:dyDescent="0.25">
      <c r="E280" s="3" t="s">
        <v>34</v>
      </c>
      <c r="F280" s="3"/>
      <c r="G280" s="4" t="e">
        <f ca="1">IF(G279&gt;0,"N/A",IF(ABS(G279+G253)&gt;1,"Error","OK"))</f>
        <v>#REF!</v>
      </c>
    </row>
    <row r="282" spans="1:28" x14ac:dyDescent="0.25">
      <c r="C282" s="1" t="s">
        <v>36</v>
      </c>
      <c r="D282" s="1"/>
      <c r="G282" s="44"/>
    </row>
    <row r="283" spans="1:28" x14ac:dyDescent="0.25">
      <c r="A283" s="14">
        <f>'Notes &amp; Assumptions'!A67</f>
        <v>54</v>
      </c>
      <c r="C283" s="1"/>
      <c r="D283" s="1"/>
      <c r="E283" t="s">
        <v>42</v>
      </c>
      <c r="F283" t="s">
        <v>3</v>
      </c>
      <c r="G283" s="10"/>
      <c r="H283" s="10">
        <v>1</v>
      </c>
      <c r="I283" s="10">
        <v>1</v>
      </c>
      <c r="J283" s="10">
        <v>1</v>
      </c>
      <c r="K283" s="10">
        <v>1</v>
      </c>
      <c r="L283" s="10">
        <v>1</v>
      </c>
      <c r="M283" s="10">
        <v>1</v>
      </c>
      <c r="N283" s="10">
        <v>1</v>
      </c>
      <c r="O283" s="10">
        <v>1</v>
      </c>
      <c r="P283" s="10">
        <v>1</v>
      </c>
      <c r="Q283" s="10">
        <v>1</v>
      </c>
      <c r="R283" s="10">
        <v>1</v>
      </c>
      <c r="S283" s="10">
        <v>1</v>
      </c>
      <c r="T283" s="10">
        <v>1</v>
      </c>
      <c r="U283" s="10">
        <v>1</v>
      </c>
      <c r="V283" s="10">
        <v>1</v>
      </c>
      <c r="W283" s="10">
        <v>0</v>
      </c>
      <c r="X283" s="10">
        <v>0</v>
      </c>
      <c r="Y283" s="10">
        <v>0</v>
      </c>
      <c r="Z283" s="10">
        <v>0</v>
      </c>
      <c r="AA283" s="10">
        <v>0</v>
      </c>
    </row>
    <row r="284" spans="1:28" x14ac:dyDescent="0.25">
      <c r="E284" t="s">
        <v>37</v>
      </c>
      <c r="F284" t="s">
        <v>38</v>
      </c>
      <c r="G284" s="8">
        <f ca="1">MAX(0,-G311/(NPV($G$16,H283:AA283)+G283))</f>
        <v>75172943.950185627</v>
      </c>
      <c r="H284" s="2">
        <f t="shared" ref="H284:AA284" ca="1" si="123">G284*(1+$G$14)</f>
        <v>76751575.773139521</v>
      </c>
      <c r="I284" s="2">
        <f t="shared" ca="1" si="123"/>
        <v>78363358.864375442</v>
      </c>
      <c r="J284" s="2">
        <f t="shared" ca="1" si="123"/>
        <v>80008989.400527313</v>
      </c>
      <c r="K284" s="2">
        <f t="shared" ca="1" si="123"/>
        <v>81689178.177938387</v>
      </c>
      <c r="L284" s="2">
        <f t="shared" ca="1" si="123"/>
        <v>83404650.919675082</v>
      </c>
      <c r="M284" s="2">
        <f t="shared" ca="1" si="123"/>
        <v>85156148.588988245</v>
      </c>
      <c r="N284" s="2">
        <f t="shared" ca="1" si="123"/>
        <v>86944427.709356993</v>
      </c>
      <c r="O284" s="2">
        <f t="shared" ca="1" si="123"/>
        <v>88770260.691253483</v>
      </c>
      <c r="P284" s="2">
        <f t="shared" ca="1" si="123"/>
        <v>90634436.165769801</v>
      </c>
      <c r="Q284" s="2">
        <f t="shared" ca="1" si="123"/>
        <v>92537759.325250953</v>
      </c>
      <c r="R284" s="2">
        <f t="shared" ca="1" si="123"/>
        <v>94481052.271081209</v>
      </c>
      <c r="S284" s="2">
        <f t="shared" ca="1" si="123"/>
        <v>96465154.368773907</v>
      </c>
      <c r="T284" s="2">
        <f t="shared" ca="1" si="123"/>
        <v>98490922.610518157</v>
      </c>
      <c r="U284" s="2">
        <f t="shared" ca="1" si="123"/>
        <v>100559231.98533903</v>
      </c>
      <c r="V284" s="2">
        <f t="shared" ca="1" si="123"/>
        <v>102670975.85703114</v>
      </c>
      <c r="W284" s="2">
        <f t="shared" ca="1" si="123"/>
        <v>104827066.35002878</v>
      </c>
      <c r="X284" s="2">
        <f t="shared" ca="1" si="123"/>
        <v>107028434.74337938</v>
      </c>
      <c r="Y284" s="2">
        <f t="shared" ca="1" si="123"/>
        <v>109276031.87299034</v>
      </c>
      <c r="Z284" s="2">
        <f t="shared" ca="1" si="123"/>
        <v>111570828.54232313</v>
      </c>
      <c r="AA284" s="2">
        <f t="shared" ca="1" si="123"/>
        <v>113913815.9417119</v>
      </c>
    </row>
    <row r="285" spans="1:28" x14ac:dyDescent="0.25">
      <c r="E285" t="s">
        <v>21</v>
      </c>
      <c r="F285" t="s">
        <v>7</v>
      </c>
      <c r="G285" s="2">
        <f ca="1">G283*G284</f>
        <v>0</v>
      </c>
      <c r="H285" s="2">
        <f t="shared" ref="H285:AA285" ca="1" si="124">H283*H284</f>
        <v>76751575.773139521</v>
      </c>
      <c r="I285" s="2">
        <f t="shared" ca="1" si="124"/>
        <v>78363358.864375442</v>
      </c>
      <c r="J285" s="2">
        <f t="shared" ca="1" si="124"/>
        <v>80008989.400527313</v>
      </c>
      <c r="K285" s="2">
        <f t="shared" ca="1" si="124"/>
        <v>81689178.177938387</v>
      </c>
      <c r="L285" s="2">
        <f t="shared" ca="1" si="124"/>
        <v>83404650.919675082</v>
      </c>
      <c r="M285" s="2">
        <f t="shared" ca="1" si="124"/>
        <v>85156148.588988245</v>
      </c>
      <c r="N285" s="2">
        <f t="shared" ca="1" si="124"/>
        <v>86944427.709356993</v>
      </c>
      <c r="O285" s="2">
        <f t="shared" ca="1" si="124"/>
        <v>88770260.691253483</v>
      </c>
      <c r="P285" s="2">
        <f t="shared" ca="1" si="124"/>
        <v>90634436.165769801</v>
      </c>
      <c r="Q285" s="2">
        <f t="shared" ca="1" si="124"/>
        <v>92537759.325250953</v>
      </c>
      <c r="R285" s="2">
        <f t="shared" ca="1" si="124"/>
        <v>94481052.271081209</v>
      </c>
      <c r="S285" s="2">
        <f t="shared" ca="1" si="124"/>
        <v>96465154.368773907</v>
      </c>
      <c r="T285" s="2">
        <f t="shared" ca="1" si="124"/>
        <v>98490922.610518157</v>
      </c>
      <c r="U285" s="2">
        <f t="shared" ca="1" si="124"/>
        <v>100559231.98533903</v>
      </c>
      <c r="V285" s="2">
        <f t="shared" ca="1" si="124"/>
        <v>102670975.85703114</v>
      </c>
      <c r="W285" s="2">
        <f t="shared" ca="1" si="124"/>
        <v>0</v>
      </c>
      <c r="X285" s="2">
        <f t="shared" ca="1" si="124"/>
        <v>0</v>
      </c>
      <c r="Y285" s="2">
        <f t="shared" ca="1" si="124"/>
        <v>0</v>
      </c>
      <c r="Z285" s="2">
        <f t="shared" ca="1" si="124"/>
        <v>0</v>
      </c>
      <c r="AA285" s="2">
        <f t="shared" ca="1" si="124"/>
        <v>0</v>
      </c>
    </row>
    <row r="286" spans="1:28" x14ac:dyDescent="0.25">
      <c r="G286" s="8">
        <f ca="1">-G311/(NPV($G$16,H283:AA283)+G283)</f>
        <v>75172943.950185627</v>
      </c>
    </row>
    <row r="287" spans="1:28" x14ac:dyDescent="0.25">
      <c r="D287" t="s">
        <v>9</v>
      </c>
    </row>
    <row r="288" spans="1:28" x14ac:dyDescent="0.25">
      <c r="E288" t="s">
        <v>107</v>
      </c>
      <c r="F288" t="s">
        <v>7</v>
      </c>
      <c r="G288" s="2">
        <f t="shared" ref="G288:AA293" si="125">G222</f>
        <v>0</v>
      </c>
      <c r="H288" s="2">
        <f t="shared" si="125"/>
        <v>6682444.9999999991</v>
      </c>
      <c r="I288" s="2">
        <f t="shared" si="125"/>
        <v>8610562.6599999964</v>
      </c>
      <c r="J288" s="2">
        <f t="shared" si="125"/>
        <v>10801854.900275948</v>
      </c>
      <c r="K288" s="2">
        <f t="shared" si="125"/>
        <v>12481969.682164304</v>
      </c>
      <c r="L288" s="2">
        <f t="shared" si="125"/>
        <v>14064011.98715651</v>
      </c>
      <c r="M288" s="2">
        <f t="shared" si="125"/>
        <v>15585672.301699199</v>
      </c>
      <c r="N288" s="2">
        <f t="shared" si="125"/>
        <v>17019309.524612732</v>
      </c>
      <c r="O288" s="2">
        <f t="shared" si="125"/>
        <v>18375267.542278316</v>
      </c>
      <c r="P288" s="2">
        <f t="shared" si="125"/>
        <v>21694806.182955258</v>
      </c>
      <c r="Q288" s="2">
        <f t="shared" si="125"/>
        <v>25440362.924653146</v>
      </c>
      <c r="R288" s="2">
        <f t="shared" si="125"/>
        <v>27500174.06959914</v>
      </c>
      <c r="S288" s="2">
        <f t="shared" si="125"/>
        <v>29740824.819612414</v>
      </c>
      <c r="T288" s="2">
        <f t="shared" si="125"/>
        <v>32166174.307108615</v>
      </c>
      <c r="U288" s="2">
        <f t="shared" si="125"/>
        <v>32626761.640077546</v>
      </c>
      <c r="V288" s="2">
        <f t="shared" si="125"/>
        <v>33068128.883010909</v>
      </c>
      <c r="W288" s="2">
        <f t="shared" si="125"/>
        <v>0</v>
      </c>
      <c r="X288" s="2">
        <f t="shared" si="125"/>
        <v>0</v>
      </c>
      <c r="Y288" s="2">
        <f t="shared" si="125"/>
        <v>0</v>
      </c>
      <c r="Z288" s="2">
        <f t="shared" si="125"/>
        <v>0</v>
      </c>
      <c r="AA288" s="2">
        <f t="shared" si="125"/>
        <v>0</v>
      </c>
    </row>
    <row r="289" spans="4:28" customFormat="1" x14ac:dyDescent="0.25">
      <c r="E289" t="s">
        <v>11</v>
      </c>
      <c r="F289" t="s">
        <v>7</v>
      </c>
      <c r="G289" s="2">
        <f t="shared" si="125"/>
        <v>0</v>
      </c>
      <c r="H289" s="2">
        <f t="shared" si="125"/>
        <v>146459.24675273275</v>
      </c>
      <c r="I289" s="2">
        <f t="shared" si="125"/>
        <v>323970.72385238652</v>
      </c>
      <c r="J289" s="2">
        <f t="shared" si="125"/>
        <v>550274.16932860902</v>
      </c>
      <c r="K289" s="2">
        <f t="shared" si="125"/>
        <v>812842.49297002354</v>
      </c>
      <c r="L289" s="2">
        <f t="shared" si="125"/>
        <v>1110630.3576165158</v>
      </c>
      <c r="M289" s="2">
        <f t="shared" si="125"/>
        <v>1443268.3802641318</v>
      </c>
      <c r="N289" s="2">
        <f t="shared" si="125"/>
        <v>1809867.9142420532</v>
      </c>
      <c r="O289" s="2">
        <f t="shared" si="125"/>
        <v>2209713.3256617519</v>
      </c>
      <c r="P289" s="2">
        <f t="shared" si="125"/>
        <v>2679861.894014738</v>
      </c>
      <c r="Q289" s="2">
        <f t="shared" si="125"/>
        <v>3229685.98064721</v>
      </c>
      <c r="R289" s="2">
        <f t="shared" si="125"/>
        <v>3829662.0522984695</v>
      </c>
      <c r="S289" s="2">
        <f t="shared" si="125"/>
        <v>4472423.6491872026</v>
      </c>
      <c r="T289" s="2">
        <f t="shared" si="125"/>
        <v>5173828.5701691834</v>
      </c>
      <c r="U289" s="2">
        <f t="shared" si="125"/>
        <v>5898741.892677133</v>
      </c>
      <c r="V289" s="2">
        <f t="shared" si="125"/>
        <v>6647306.7941989368</v>
      </c>
      <c r="W289" s="2">
        <f t="shared" si="125"/>
        <v>6786900.2368771136</v>
      </c>
      <c r="X289" s="2">
        <f t="shared" si="125"/>
        <v>6929425.1418515313</v>
      </c>
      <c r="Y289" s="2">
        <f t="shared" si="125"/>
        <v>7074943.069830413</v>
      </c>
      <c r="Z289" s="2">
        <f t="shared" si="125"/>
        <v>7223516.8742968515</v>
      </c>
      <c r="AA289" s="2">
        <f t="shared" si="125"/>
        <v>7375210.7286570845</v>
      </c>
    </row>
    <row r="290" spans="4:28" customFormat="1" x14ac:dyDescent="0.25">
      <c r="E290" t="s">
        <v>57</v>
      </c>
      <c r="F290" t="s">
        <v>7</v>
      </c>
      <c r="G290" s="2">
        <f t="shared" si="125"/>
        <v>0</v>
      </c>
      <c r="H290" s="2">
        <f t="shared" si="125"/>
        <v>0</v>
      </c>
      <c r="I290" s="2">
        <f t="shared" si="125"/>
        <v>0</v>
      </c>
      <c r="J290" s="2">
        <f t="shared" si="125"/>
        <v>0</v>
      </c>
      <c r="K290" s="2">
        <f t="shared" si="125"/>
        <v>0</v>
      </c>
      <c r="L290" s="2">
        <f t="shared" si="125"/>
        <v>0</v>
      </c>
      <c r="M290" s="2">
        <f t="shared" si="125"/>
        <v>0</v>
      </c>
      <c r="N290" s="2">
        <f t="shared" si="125"/>
        <v>0</v>
      </c>
      <c r="O290" s="2">
        <f t="shared" si="125"/>
        <v>0</v>
      </c>
      <c r="P290" s="2">
        <f t="shared" si="125"/>
        <v>0</v>
      </c>
      <c r="Q290" s="2">
        <f t="shared" si="125"/>
        <v>0</v>
      </c>
      <c r="R290" s="2">
        <f t="shared" si="125"/>
        <v>0</v>
      </c>
      <c r="S290" s="2">
        <f t="shared" si="125"/>
        <v>0</v>
      </c>
      <c r="T290" s="2">
        <f t="shared" si="125"/>
        <v>0</v>
      </c>
      <c r="U290" s="2">
        <f t="shared" si="125"/>
        <v>0</v>
      </c>
      <c r="V290" s="2">
        <f t="shared" si="125"/>
        <v>0</v>
      </c>
      <c r="W290" s="2">
        <f t="shared" si="125"/>
        <v>0</v>
      </c>
      <c r="X290" s="2">
        <f t="shared" si="125"/>
        <v>0</v>
      </c>
      <c r="Y290" s="2">
        <f t="shared" si="125"/>
        <v>0</v>
      </c>
      <c r="Z290" s="2">
        <f t="shared" si="125"/>
        <v>0</v>
      </c>
      <c r="AA290" s="2">
        <f t="shared" si="125"/>
        <v>0</v>
      </c>
    </row>
    <row r="291" spans="4:28" customFormat="1" x14ac:dyDescent="0.25">
      <c r="E291" t="s">
        <v>10</v>
      </c>
      <c r="F291" t="s">
        <v>7</v>
      </c>
      <c r="G291" s="2">
        <f t="shared" si="125"/>
        <v>0</v>
      </c>
      <c r="H291" s="2">
        <f t="shared" si="125"/>
        <v>-229112.39999999997</v>
      </c>
      <c r="I291" s="2">
        <f t="shared" si="125"/>
        <v>-529143.05159999989</v>
      </c>
      <c r="J291" s="2">
        <f t="shared" si="125"/>
        <v>-910604.36655020376</v>
      </c>
      <c r="K291" s="2">
        <f t="shared" si="125"/>
        <v>-1357680.3044933912</v>
      </c>
      <c r="L291" s="2">
        <f t="shared" si="125"/>
        <v>-1868386.2875902615</v>
      </c>
      <c r="M291" s="2">
        <f t="shared" si="125"/>
        <v>-2441988.3071164866</v>
      </c>
      <c r="N291" s="2">
        <f t="shared" si="125"/>
        <v>-3076789.2452669404</v>
      </c>
      <c r="O291" s="2">
        <f t="shared" si="125"/>
        <v>-3771410.9922956601</v>
      </c>
      <c r="P291" s="2">
        <f t="shared" si="125"/>
        <v>-4594432.5494066207</v>
      </c>
      <c r="Q291" s="2">
        <f t="shared" si="125"/>
        <v>-5563156.6475036945</v>
      </c>
      <c r="R291" s="2">
        <f t="shared" si="125"/>
        <v>-6622846.0480589569</v>
      </c>
      <c r="S291" s="2">
        <f t="shared" si="125"/>
        <v>-7781611.2374549052</v>
      </c>
      <c r="T291" s="2">
        <f t="shared" si="125"/>
        <v>-9047865.3353994675</v>
      </c>
      <c r="U291" s="2">
        <f t="shared" si="125"/>
        <v>-10356502.335102659</v>
      </c>
      <c r="V291" s="2">
        <f t="shared" si="125"/>
        <v>-11707753.302985901</v>
      </c>
      <c r="W291" s="2">
        <f t="shared" si="125"/>
        <v>-11953616.122348605</v>
      </c>
      <c r="X291" s="2">
        <f t="shared" si="125"/>
        <v>-12204642.060917925</v>
      </c>
      <c r="Y291" s="2">
        <f t="shared" si="125"/>
        <v>-12460939.5441972</v>
      </c>
      <c r="Z291" s="2">
        <f t="shared" si="125"/>
        <v>-12722619.274625339</v>
      </c>
      <c r="AA291" s="2">
        <f t="shared" si="125"/>
        <v>-12989794.27939247</v>
      </c>
    </row>
    <row r="292" spans="4:28" customFormat="1" x14ac:dyDescent="0.25">
      <c r="E292" t="s">
        <v>12</v>
      </c>
      <c r="F292" t="s">
        <v>7</v>
      </c>
      <c r="G292" s="2">
        <f t="shared" si="125"/>
        <v>-741971.49293463805</v>
      </c>
      <c r="H292" s="2">
        <f t="shared" si="125"/>
        <v>-1149024.6140688488</v>
      </c>
      <c r="I292" s="2">
        <f t="shared" si="125"/>
        <v>-2196242.7354584648</v>
      </c>
      <c r="J292" s="2">
        <f t="shared" si="125"/>
        <v>-3872196.0781409442</v>
      </c>
      <c r="K292" s="2">
        <f t="shared" si="125"/>
        <v>-5223076.829458829</v>
      </c>
      <c r="L292" s="2">
        <f t="shared" si="125"/>
        <v>-6089646.5681245327</v>
      </c>
      <c r="M292" s="2">
        <f t="shared" si="125"/>
        <v>-6774249.8709002268</v>
      </c>
      <c r="N292" s="2">
        <f t="shared" si="125"/>
        <v>-7854824.6581702195</v>
      </c>
      <c r="O292" s="2">
        <f t="shared" si="125"/>
        <v>-9432374.1824611668</v>
      </c>
      <c r="P292" s="2">
        <f t="shared" si="125"/>
        <v>-10574686.612350717</v>
      </c>
      <c r="Q292" s="2">
        <f t="shared" si="125"/>
        <v>-11235383.542461313</v>
      </c>
      <c r="R292" s="2">
        <f t="shared" si="125"/>
        <v>-11911731.948719196</v>
      </c>
      <c r="S292" s="2">
        <f t="shared" si="125"/>
        <v>-12623073.010190394</v>
      </c>
      <c r="T292" s="2">
        <f t="shared" si="125"/>
        <v>-13371862.136031039</v>
      </c>
      <c r="U292" s="2">
        <f t="shared" si="125"/>
        <v>-14133689.554420833</v>
      </c>
      <c r="V292" s="2">
        <f t="shared" si="125"/>
        <v>-14908467.914202958</v>
      </c>
      <c r="W292" s="2">
        <f t="shared" si="125"/>
        <v>-14908467.914202958</v>
      </c>
      <c r="X292" s="2">
        <f t="shared" si="125"/>
        <v>-14908467.914202958</v>
      </c>
      <c r="Y292" s="2">
        <f t="shared" si="125"/>
        <v>-14908467.914202958</v>
      </c>
      <c r="Z292" s="2">
        <f t="shared" si="125"/>
        <v>-14908467.914202958</v>
      </c>
      <c r="AA292" s="2">
        <f t="shared" si="125"/>
        <v>-14908467.914202958</v>
      </c>
    </row>
    <row r="293" spans="4:28" customFormat="1" x14ac:dyDescent="0.25">
      <c r="E293" t="s">
        <v>48</v>
      </c>
      <c r="F293" t="s">
        <v>7</v>
      </c>
      <c r="G293" s="2">
        <f t="shared" si="125"/>
        <v>0</v>
      </c>
      <c r="H293" s="2">
        <f t="shared" si="125"/>
        <v>0</v>
      </c>
      <c r="I293" s="2">
        <f t="shared" si="125"/>
        <v>0</v>
      </c>
      <c r="J293" s="2">
        <f t="shared" si="125"/>
        <v>0</v>
      </c>
      <c r="K293" s="2">
        <f t="shared" si="125"/>
        <v>0</v>
      </c>
      <c r="L293" s="2">
        <f t="shared" si="125"/>
        <v>0</v>
      </c>
      <c r="M293" s="2">
        <f t="shared" si="125"/>
        <v>0</v>
      </c>
      <c r="N293" s="2">
        <f t="shared" si="125"/>
        <v>0</v>
      </c>
      <c r="O293" s="2">
        <f t="shared" si="125"/>
        <v>0</v>
      </c>
      <c r="P293" s="2">
        <f t="shared" si="125"/>
        <v>0</v>
      </c>
      <c r="Q293" s="2">
        <f t="shared" si="125"/>
        <v>0</v>
      </c>
      <c r="R293" s="2">
        <f t="shared" si="125"/>
        <v>0</v>
      </c>
      <c r="S293" s="2">
        <f t="shared" si="125"/>
        <v>0</v>
      </c>
      <c r="T293" s="2">
        <f t="shared" si="125"/>
        <v>0</v>
      </c>
      <c r="U293" s="2">
        <f t="shared" si="125"/>
        <v>0</v>
      </c>
      <c r="V293" s="2">
        <f t="shared" si="125"/>
        <v>0</v>
      </c>
      <c r="W293" s="2">
        <f t="shared" si="125"/>
        <v>0</v>
      </c>
      <c r="X293" s="2">
        <f t="shared" si="125"/>
        <v>0</v>
      </c>
      <c r="Y293" s="2">
        <f t="shared" si="125"/>
        <v>0</v>
      </c>
      <c r="Z293" s="2">
        <f t="shared" si="125"/>
        <v>0</v>
      </c>
      <c r="AA293" s="2">
        <f t="shared" si="125"/>
        <v>0</v>
      </c>
    </row>
    <row r="294" spans="4:28" customFormat="1" x14ac:dyDescent="0.25">
      <c r="E294" t="s">
        <v>13</v>
      </c>
      <c r="F294" t="s">
        <v>7</v>
      </c>
      <c r="G294" s="2">
        <f t="shared" ref="G294:AA294" ca="1" si="126">G285</f>
        <v>0</v>
      </c>
      <c r="H294" s="2">
        <f t="shared" ca="1" si="126"/>
        <v>76751575.773139521</v>
      </c>
      <c r="I294" s="2">
        <f t="shared" ca="1" si="126"/>
        <v>78363358.864375442</v>
      </c>
      <c r="J294" s="2">
        <f t="shared" ca="1" si="126"/>
        <v>80008989.400527313</v>
      </c>
      <c r="K294" s="2">
        <f t="shared" ca="1" si="126"/>
        <v>81689178.177938387</v>
      </c>
      <c r="L294" s="2">
        <f t="shared" ca="1" si="126"/>
        <v>83404650.919675082</v>
      </c>
      <c r="M294" s="2">
        <f t="shared" ca="1" si="126"/>
        <v>85156148.588988245</v>
      </c>
      <c r="N294" s="2">
        <f t="shared" ca="1" si="126"/>
        <v>86944427.709356993</v>
      </c>
      <c r="O294" s="2">
        <f t="shared" ca="1" si="126"/>
        <v>88770260.691253483</v>
      </c>
      <c r="P294" s="2">
        <f t="shared" ca="1" si="126"/>
        <v>90634436.165769801</v>
      </c>
      <c r="Q294" s="2">
        <f t="shared" ca="1" si="126"/>
        <v>92537759.325250953</v>
      </c>
      <c r="R294" s="2">
        <f t="shared" ca="1" si="126"/>
        <v>94481052.271081209</v>
      </c>
      <c r="S294" s="2">
        <f t="shared" ca="1" si="126"/>
        <v>96465154.368773907</v>
      </c>
      <c r="T294" s="2">
        <f t="shared" ca="1" si="126"/>
        <v>98490922.610518157</v>
      </c>
      <c r="U294" s="2">
        <f t="shared" ca="1" si="126"/>
        <v>100559231.98533903</v>
      </c>
      <c r="V294" s="2">
        <f t="shared" ca="1" si="126"/>
        <v>102670975.85703114</v>
      </c>
      <c r="W294" s="2">
        <f t="shared" ca="1" si="126"/>
        <v>0</v>
      </c>
      <c r="X294" s="2">
        <f t="shared" ca="1" si="126"/>
        <v>0</v>
      </c>
      <c r="Y294" s="2">
        <f t="shared" ca="1" si="126"/>
        <v>0</v>
      </c>
      <c r="Z294" s="2">
        <f t="shared" ca="1" si="126"/>
        <v>0</v>
      </c>
      <c r="AA294" s="2">
        <f t="shared" ca="1" si="126"/>
        <v>0</v>
      </c>
    </row>
    <row r="295" spans="4:28" customFormat="1" x14ac:dyDescent="0.25"/>
    <row r="296" spans="4:28" customFormat="1" x14ac:dyDescent="0.25">
      <c r="E296" t="s">
        <v>14</v>
      </c>
      <c r="F296" t="s">
        <v>7</v>
      </c>
      <c r="G296" s="2">
        <f t="shared" ref="G296:AA296" ca="1" si="127">SUM(G288:G294)</f>
        <v>-741971.49293463805</v>
      </c>
      <c r="H296" s="2">
        <f t="shared" ca="1" si="127"/>
        <v>82202343.005823404</v>
      </c>
      <c r="I296" s="2">
        <f t="shared" ca="1" si="127"/>
        <v>84572506.461169362</v>
      </c>
      <c r="J296" s="2">
        <f t="shared" ca="1" si="127"/>
        <v>86578318.025440723</v>
      </c>
      <c r="K296" s="2">
        <f t="shared" ca="1" si="127"/>
        <v>88403233.219120488</v>
      </c>
      <c r="L296" s="2">
        <f t="shared" ca="1" si="127"/>
        <v>90621260.408733308</v>
      </c>
      <c r="M296" s="2">
        <f t="shared" ca="1" si="127"/>
        <v>92968851.092934862</v>
      </c>
      <c r="N296" s="2">
        <f t="shared" ca="1" si="127"/>
        <v>94841991.24477461</v>
      </c>
      <c r="O296" s="2">
        <f t="shared" ca="1" si="127"/>
        <v>96151456.384436727</v>
      </c>
      <c r="P296" s="2">
        <f t="shared" ca="1" si="127"/>
        <v>99839985.080982462</v>
      </c>
      <c r="Q296" s="2">
        <f t="shared" ca="1" si="127"/>
        <v>104409268.04058629</v>
      </c>
      <c r="R296" s="2">
        <f t="shared" ca="1" si="127"/>
        <v>107276310.39620066</v>
      </c>
      <c r="S296" s="2">
        <f t="shared" ca="1" si="127"/>
        <v>110273718.58992822</v>
      </c>
      <c r="T296" s="2">
        <f t="shared" ca="1" si="127"/>
        <v>113411198.01636545</v>
      </c>
      <c r="U296" s="2">
        <f t="shared" ca="1" si="127"/>
        <v>114594543.62857023</v>
      </c>
      <c r="V296" s="2">
        <f t="shared" ca="1" si="127"/>
        <v>115770190.31705213</v>
      </c>
      <c r="W296" s="2">
        <f t="shared" ca="1" si="127"/>
        <v>-20075183.799674451</v>
      </c>
      <c r="X296" s="2">
        <f t="shared" ca="1" si="127"/>
        <v>-20183684.83326935</v>
      </c>
      <c r="Y296" s="2">
        <f t="shared" ca="1" si="127"/>
        <v>-20294464.388569746</v>
      </c>
      <c r="Z296" s="2">
        <f t="shared" ca="1" si="127"/>
        <v>-20407570.314531446</v>
      </c>
      <c r="AA296" s="2">
        <f t="shared" ca="1" si="127"/>
        <v>-20523051.464938343</v>
      </c>
    </row>
    <row r="297" spans="4:28" customFormat="1" x14ac:dyDescent="0.25">
      <c r="E297" t="s">
        <v>15</v>
      </c>
      <c r="F297" t="s">
        <v>7</v>
      </c>
      <c r="G297" s="2">
        <f t="shared" ref="G297:AA297" ca="1" si="128">-G296*G$18</f>
        <v>222591.44788039141</v>
      </c>
      <c r="H297" s="2">
        <f t="shared" ca="1" si="128"/>
        <v>-24660702.901747022</v>
      </c>
      <c r="I297" s="2">
        <f t="shared" ca="1" si="128"/>
        <v>-25371751.938350808</v>
      </c>
      <c r="J297" s="2">
        <f t="shared" ca="1" si="128"/>
        <v>-25973495.407632217</v>
      </c>
      <c r="K297" s="2">
        <f t="shared" ca="1" si="128"/>
        <v>-26520969.965736147</v>
      </c>
      <c r="L297" s="2">
        <f t="shared" ca="1" si="128"/>
        <v>-27186378.12261999</v>
      </c>
      <c r="M297" s="2">
        <f t="shared" ca="1" si="128"/>
        <v>-27890655.327880457</v>
      </c>
      <c r="N297" s="2">
        <f t="shared" ca="1" si="128"/>
        <v>-28452597.373432383</v>
      </c>
      <c r="O297" s="2">
        <f t="shared" ca="1" si="128"/>
        <v>-28845436.915331017</v>
      </c>
      <c r="P297" s="2">
        <f t="shared" ca="1" si="128"/>
        <v>-29951995.524294738</v>
      </c>
      <c r="Q297" s="2">
        <f t="shared" ca="1" si="128"/>
        <v>-31322780.412175886</v>
      </c>
      <c r="R297" s="2">
        <f t="shared" ca="1" si="128"/>
        <v>-32182893.118860196</v>
      </c>
      <c r="S297" s="2">
        <f t="shared" ca="1" si="128"/>
        <v>-33082115.576978467</v>
      </c>
      <c r="T297" s="2">
        <f t="shared" ca="1" si="128"/>
        <v>-34023359.404909633</v>
      </c>
      <c r="U297" s="2">
        <f t="shared" ca="1" si="128"/>
        <v>-34378363.088571064</v>
      </c>
      <c r="V297" s="2">
        <f t="shared" ca="1" si="128"/>
        <v>-34731057.095115639</v>
      </c>
      <c r="W297" s="2">
        <f t="shared" ca="1" si="128"/>
        <v>6022555.1399023356</v>
      </c>
      <c r="X297" s="2">
        <f t="shared" ca="1" si="128"/>
        <v>6055105.4499808047</v>
      </c>
      <c r="Y297" s="2">
        <f t="shared" ca="1" si="128"/>
        <v>6088339.3165709237</v>
      </c>
      <c r="Z297" s="2">
        <f t="shared" ca="1" si="128"/>
        <v>6122271.0943594333</v>
      </c>
      <c r="AA297" s="2">
        <f t="shared" ca="1" si="128"/>
        <v>6156915.4394815024</v>
      </c>
    </row>
    <row r="298" spans="4:28" customFormat="1" x14ac:dyDescent="0.25"/>
    <row r="299" spans="4:28" customFormat="1" x14ac:dyDescent="0.25">
      <c r="D299" t="s">
        <v>28</v>
      </c>
    </row>
    <row r="300" spans="4:28" customFormat="1" x14ac:dyDescent="0.25">
      <c r="E300" t="s">
        <v>1</v>
      </c>
      <c r="F300" t="s">
        <v>7</v>
      </c>
      <c r="G300" s="2">
        <f t="shared" ref="G300:AA307" si="129">G234</f>
        <v>-59357719.434771046</v>
      </c>
      <c r="H300" s="2">
        <f t="shared" si="129"/>
        <v>-25881804.690736853</v>
      </c>
      <c r="I300" s="2">
        <f t="shared" si="129"/>
        <v>-75166887.051169291</v>
      </c>
      <c r="J300" s="2">
        <f t="shared" si="129"/>
        <v>-123274412.5143224</v>
      </c>
      <c r="K300" s="2">
        <f t="shared" si="129"/>
        <v>-95588490.423266426</v>
      </c>
      <c r="L300" s="2">
        <f t="shared" si="129"/>
        <v>-55261567.106099769</v>
      </c>
      <c r="M300" s="2">
        <f t="shared" si="129"/>
        <v>-39182591.920356415</v>
      </c>
      <c r="N300" s="2">
        <f t="shared" si="129"/>
        <v>-69426673.456986621</v>
      </c>
      <c r="O300" s="2">
        <f t="shared" si="129"/>
        <v>-107828694.40099752</v>
      </c>
      <c r="P300" s="2">
        <f t="shared" si="129"/>
        <v>-69690188.208208725</v>
      </c>
      <c r="Q300" s="2">
        <f t="shared" si="129"/>
        <v>-27415391.484194569</v>
      </c>
      <c r="R300" s="2">
        <f t="shared" si="129"/>
        <v>-26607698.431031611</v>
      </c>
      <c r="S300" s="2">
        <f t="shared" si="129"/>
        <v>-27166460.098083265</v>
      </c>
      <c r="T300" s="2">
        <f t="shared" si="129"/>
        <v>-27736955.760143012</v>
      </c>
      <c r="U300" s="2">
        <f t="shared" si="129"/>
        <v>-28319431.831106015</v>
      </c>
      <c r="V300" s="2">
        <f t="shared" si="129"/>
        <v>-28914139.899559237</v>
      </c>
      <c r="W300" s="2">
        <f t="shared" si="129"/>
        <v>0</v>
      </c>
      <c r="X300" s="2">
        <f t="shared" si="129"/>
        <v>0</v>
      </c>
      <c r="Y300" s="2">
        <f t="shared" si="129"/>
        <v>0</v>
      </c>
      <c r="Z300" s="2">
        <f t="shared" si="129"/>
        <v>0</v>
      </c>
      <c r="AA300" s="2">
        <f t="shared" si="129"/>
        <v>0</v>
      </c>
    </row>
    <row r="301" spans="4:28" customFormat="1" x14ac:dyDescent="0.25">
      <c r="E301" t="s">
        <v>19</v>
      </c>
      <c r="F301" t="s">
        <v>7</v>
      </c>
      <c r="G301" s="2">
        <f t="shared" si="129"/>
        <v>0</v>
      </c>
      <c r="H301" s="2">
        <f t="shared" si="129"/>
        <v>0</v>
      </c>
      <c r="I301" s="2">
        <f t="shared" si="129"/>
        <v>0</v>
      </c>
      <c r="J301" s="2">
        <f t="shared" si="129"/>
        <v>0</v>
      </c>
      <c r="K301" s="2">
        <f t="shared" si="129"/>
        <v>0</v>
      </c>
      <c r="L301" s="2">
        <f t="shared" si="129"/>
        <v>0</v>
      </c>
      <c r="M301" s="2">
        <f t="shared" si="129"/>
        <v>0</v>
      </c>
      <c r="N301" s="2">
        <f t="shared" si="129"/>
        <v>0</v>
      </c>
      <c r="O301" s="2">
        <f t="shared" si="129"/>
        <v>0</v>
      </c>
      <c r="P301" s="2">
        <f t="shared" si="129"/>
        <v>0</v>
      </c>
      <c r="Q301" s="2">
        <f t="shared" si="129"/>
        <v>0</v>
      </c>
      <c r="R301" s="2">
        <f t="shared" si="129"/>
        <v>0</v>
      </c>
      <c r="S301" s="2">
        <f t="shared" si="129"/>
        <v>0</v>
      </c>
      <c r="T301" s="2">
        <f t="shared" si="129"/>
        <v>0</v>
      </c>
      <c r="U301" s="2">
        <f t="shared" si="129"/>
        <v>0</v>
      </c>
      <c r="V301" s="2">
        <f t="shared" si="129"/>
        <v>0</v>
      </c>
      <c r="W301" s="2">
        <f t="shared" si="129"/>
        <v>0</v>
      </c>
      <c r="X301" s="2">
        <f t="shared" si="129"/>
        <v>0</v>
      </c>
      <c r="Y301" s="2">
        <f t="shared" si="129"/>
        <v>0</v>
      </c>
      <c r="Z301" s="2">
        <f t="shared" si="129"/>
        <v>0</v>
      </c>
      <c r="AA301" s="2">
        <f t="shared" si="129"/>
        <v>0</v>
      </c>
    </row>
    <row r="302" spans="4:28" customFormat="1" x14ac:dyDescent="0.25">
      <c r="E302" t="s">
        <v>109</v>
      </c>
      <c r="F302" t="s">
        <v>7</v>
      </c>
      <c r="G302" s="2">
        <f t="shared" si="129"/>
        <v>0</v>
      </c>
      <c r="H302" s="2">
        <f t="shared" si="129"/>
        <v>0</v>
      </c>
      <c r="I302" s="2">
        <f t="shared" si="129"/>
        <v>0</v>
      </c>
      <c r="J302" s="2">
        <f t="shared" si="129"/>
        <v>0</v>
      </c>
      <c r="K302" s="2">
        <f t="shared" si="129"/>
        <v>0</v>
      </c>
      <c r="L302" s="2">
        <f t="shared" si="129"/>
        <v>0</v>
      </c>
      <c r="M302" s="2">
        <f t="shared" si="129"/>
        <v>0</v>
      </c>
      <c r="N302" s="2">
        <f t="shared" si="129"/>
        <v>0</v>
      </c>
      <c r="O302" s="2">
        <f t="shared" si="129"/>
        <v>0</v>
      </c>
      <c r="P302" s="2">
        <f t="shared" si="129"/>
        <v>0</v>
      </c>
      <c r="Q302" s="2">
        <f t="shared" si="129"/>
        <v>0</v>
      </c>
      <c r="R302" s="2">
        <f t="shared" si="129"/>
        <v>0</v>
      </c>
      <c r="S302" s="2">
        <f t="shared" si="129"/>
        <v>0</v>
      </c>
      <c r="T302" s="2">
        <f t="shared" si="129"/>
        <v>0</v>
      </c>
      <c r="U302" s="2">
        <f t="shared" si="129"/>
        <v>0</v>
      </c>
      <c r="V302" s="2">
        <f t="shared" si="129"/>
        <v>0</v>
      </c>
      <c r="W302" s="2">
        <f t="shared" si="129"/>
        <v>0</v>
      </c>
      <c r="X302" s="2">
        <f t="shared" si="129"/>
        <v>0</v>
      </c>
      <c r="Y302" s="2">
        <f t="shared" si="129"/>
        <v>0</v>
      </c>
      <c r="Z302" s="2">
        <f t="shared" si="129"/>
        <v>0</v>
      </c>
      <c r="AA302" s="2">
        <f t="shared" si="129"/>
        <v>0</v>
      </c>
    </row>
    <row r="303" spans="4:28" customFormat="1" x14ac:dyDescent="0.25">
      <c r="E303" t="s">
        <v>11</v>
      </c>
      <c r="F303" t="s">
        <v>7</v>
      </c>
      <c r="G303" s="2">
        <f t="shared" si="129"/>
        <v>0</v>
      </c>
      <c r="H303" s="2">
        <f t="shared" si="129"/>
        <v>146459.24675273275</v>
      </c>
      <c r="I303" s="2">
        <f t="shared" si="129"/>
        <v>323970.72385238652</v>
      </c>
      <c r="J303" s="2">
        <f t="shared" si="129"/>
        <v>550274.16932860902</v>
      </c>
      <c r="K303" s="2">
        <f t="shared" si="129"/>
        <v>812842.49297002354</v>
      </c>
      <c r="L303" s="2">
        <f t="shared" si="129"/>
        <v>1110630.3576165158</v>
      </c>
      <c r="M303" s="2">
        <f t="shared" si="129"/>
        <v>1443268.3802641318</v>
      </c>
      <c r="N303" s="2">
        <f t="shared" si="129"/>
        <v>1809867.9142420532</v>
      </c>
      <c r="O303" s="2">
        <f t="shared" si="129"/>
        <v>2209713.3256617519</v>
      </c>
      <c r="P303" s="2">
        <f t="shared" si="129"/>
        <v>2679861.894014738</v>
      </c>
      <c r="Q303" s="2">
        <f t="shared" si="129"/>
        <v>3229685.98064721</v>
      </c>
      <c r="R303" s="2">
        <f t="shared" si="129"/>
        <v>3829662.0522984695</v>
      </c>
      <c r="S303" s="2">
        <f t="shared" si="129"/>
        <v>4472423.6491872026</v>
      </c>
      <c r="T303" s="2">
        <f t="shared" si="129"/>
        <v>5173828.5701691834</v>
      </c>
      <c r="U303" s="2">
        <f t="shared" si="129"/>
        <v>5898741.892677133</v>
      </c>
      <c r="V303" s="2">
        <f t="shared" si="129"/>
        <v>6647306.7941989368</v>
      </c>
      <c r="W303" s="2">
        <f t="shared" si="129"/>
        <v>6786900.2368771136</v>
      </c>
      <c r="X303" s="2">
        <f t="shared" si="129"/>
        <v>6929425.1418515313</v>
      </c>
      <c r="Y303" s="2">
        <f t="shared" si="129"/>
        <v>7074943.069830413</v>
      </c>
      <c r="Z303" s="2">
        <f t="shared" si="129"/>
        <v>7223516.8742968515</v>
      </c>
      <c r="AA303" s="2">
        <f t="shared" si="129"/>
        <v>7375210.7286570845</v>
      </c>
      <c r="AB303" s="2">
        <f t="shared" ref="AB303:AB307" si="130">IF(V303=0,0,IF($G$15&gt;(AA303/V303)^(1/5)-1+2%,AA303*(AA303/V303)^(1/5)/($G$15-((AA303/V303)^(1/5)-1)),AA303*(1+$G$14)/$G$16))</f>
        <v>245840357.6219033</v>
      </c>
    </row>
    <row r="304" spans="4:28" customFormat="1" x14ac:dyDescent="0.25">
      <c r="E304" t="s">
        <v>57</v>
      </c>
      <c r="F304" t="s">
        <v>7</v>
      </c>
      <c r="G304" s="2">
        <f t="shared" si="129"/>
        <v>0</v>
      </c>
      <c r="H304" s="2">
        <f t="shared" si="129"/>
        <v>0</v>
      </c>
      <c r="I304" s="2">
        <f t="shared" si="129"/>
        <v>0</v>
      </c>
      <c r="J304" s="2">
        <f t="shared" si="129"/>
        <v>0</v>
      </c>
      <c r="K304" s="2">
        <f t="shared" si="129"/>
        <v>0</v>
      </c>
      <c r="L304" s="2">
        <f t="shared" si="129"/>
        <v>0</v>
      </c>
      <c r="M304" s="2">
        <f t="shared" si="129"/>
        <v>0</v>
      </c>
      <c r="N304" s="2">
        <f t="shared" si="129"/>
        <v>0</v>
      </c>
      <c r="O304" s="2">
        <f t="shared" si="129"/>
        <v>0</v>
      </c>
      <c r="P304" s="2">
        <f t="shared" si="129"/>
        <v>0</v>
      </c>
      <c r="Q304" s="2">
        <f t="shared" si="129"/>
        <v>0</v>
      </c>
      <c r="R304" s="2">
        <f t="shared" si="129"/>
        <v>0</v>
      </c>
      <c r="S304" s="2">
        <f t="shared" si="129"/>
        <v>0</v>
      </c>
      <c r="T304" s="2">
        <f t="shared" si="129"/>
        <v>0</v>
      </c>
      <c r="U304" s="2">
        <f t="shared" si="129"/>
        <v>0</v>
      </c>
      <c r="V304" s="2">
        <f t="shared" si="129"/>
        <v>0</v>
      </c>
      <c r="W304" s="2">
        <f t="shared" si="129"/>
        <v>0</v>
      </c>
      <c r="X304" s="2">
        <f t="shared" si="129"/>
        <v>0</v>
      </c>
      <c r="Y304" s="2">
        <f t="shared" si="129"/>
        <v>0</v>
      </c>
      <c r="Z304" s="2">
        <f t="shared" si="129"/>
        <v>0</v>
      </c>
      <c r="AA304" s="2">
        <f t="shared" si="129"/>
        <v>0</v>
      </c>
      <c r="AB304" s="2">
        <f t="shared" si="130"/>
        <v>0</v>
      </c>
    </row>
    <row r="305" spans="1:28" x14ac:dyDescent="0.25">
      <c r="E305" t="s">
        <v>10</v>
      </c>
      <c r="F305" t="s">
        <v>7</v>
      </c>
      <c r="G305" s="2">
        <f t="shared" si="129"/>
        <v>0</v>
      </c>
      <c r="H305" s="2">
        <f t="shared" si="129"/>
        <v>-229112.39999999997</v>
      </c>
      <c r="I305" s="2">
        <f t="shared" si="129"/>
        <v>-529143.05159999989</v>
      </c>
      <c r="J305" s="2">
        <f t="shared" si="129"/>
        <v>-910604.36655020376</v>
      </c>
      <c r="K305" s="2">
        <f t="shared" si="129"/>
        <v>-1357680.3044933912</v>
      </c>
      <c r="L305" s="2">
        <f t="shared" si="129"/>
        <v>-1868386.2875902615</v>
      </c>
      <c r="M305" s="2">
        <f t="shared" si="129"/>
        <v>-2441988.3071164866</v>
      </c>
      <c r="N305" s="2">
        <f t="shared" si="129"/>
        <v>-3076789.2452669404</v>
      </c>
      <c r="O305" s="2">
        <f t="shared" si="129"/>
        <v>-3771410.9922956601</v>
      </c>
      <c r="P305" s="2">
        <f t="shared" si="129"/>
        <v>-4594432.5494066207</v>
      </c>
      <c r="Q305" s="2">
        <f t="shared" si="129"/>
        <v>-5563156.6475036945</v>
      </c>
      <c r="R305" s="2">
        <f t="shared" si="129"/>
        <v>-6622846.0480589569</v>
      </c>
      <c r="S305" s="2">
        <f t="shared" si="129"/>
        <v>-7781611.2374549052</v>
      </c>
      <c r="T305" s="2">
        <f t="shared" si="129"/>
        <v>-9047865.3353994675</v>
      </c>
      <c r="U305" s="2">
        <f t="shared" si="129"/>
        <v>-10356502.335102659</v>
      </c>
      <c r="V305" s="2">
        <f t="shared" si="129"/>
        <v>-11707753.302985901</v>
      </c>
      <c r="W305" s="2">
        <f t="shared" si="129"/>
        <v>-11953616.122348605</v>
      </c>
      <c r="X305" s="2">
        <f t="shared" si="129"/>
        <v>-12204642.060917925</v>
      </c>
      <c r="Y305" s="2">
        <f t="shared" si="129"/>
        <v>-12460939.5441972</v>
      </c>
      <c r="Z305" s="2">
        <f t="shared" si="129"/>
        <v>-12722619.274625339</v>
      </c>
      <c r="AA305" s="2">
        <f t="shared" si="129"/>
        <v>-12989794.27939247</v>
      </c>
      <c r="AB305" s="2">
        <f t="shared" si="130"/>
        <v>-432993142.64641654</v>
      </c>
    </row>
    <row r="306" spans="1:28" x14ac:dyDescent="0.25">
      <c r="E306" t="s">
        <v>48</v>
      </c>
      <c r="F306" t="s">
        <v>7</v>
      </c>
      <c r="G306" s="2">
        <f t="shared" si="129"/>
        <v>0</v>
      </c>
      <c r="H306" s="2">
        <f t="shared" si="129"/>
        <v>0</v>
      </c>
      <c r="I306" s="2">
        <f t="shared" si="129"/>
        <v>0</v>
      </c>
      <c r="J306" s="2">
        <f t="shared" si="129"/>
        <v>0</v>
      </c>
      <c r="K306" s="2">
        <f t="shared" si="129"/>
        <v>0</v>
      </c>
      <c r="L306" s="2">
        <f t="shared" si="129"/>
        <v>0</v>
      </c>
      <c r="M306" s="2">
        <f t="shared" si="129"/>
        <v>0</v>
      </c>
      <c r="N306" s="2">
        <f t="shared" si="129"/>
        <v>0</v>
      </c>
      <c r="O306" s="2">
        <f t="shared" si="129"/>
        <v>0</v>
      </c>
      <c r="P306" s="2">
        <f t="shared" si="129"/>
        <v>0</v>
      </c>
      <c r="Q306" s="2">
        <f t="shared" si="129"/>
        <v>0</v>
      </c>
      <c r="R306" s="2">
        <f t="shared" si="129"/>
        <v>0</v>
      </c>
      <c r="S306" s="2">
        <f t="shared" si="129"/>
        <v>0</v>
      </c>
      <c r="T306" s="2">
        <f t="shared" si="129"/>
        <v>0</v>
      </c>
      <c r="U306" s="2">
        <f t="shared" si="129"/>
        <v>0</v>
      </c>
      <c r="V306" s="2">
        <f t="shared" si="129"/>
        <v>0</v>
      </c>
      <c r="W306" s="2">
        <f t="shared" si="129"/>
        <v>0</v>
      </c>
      <c r="X306" s="2">
        <f t="shared" si="129"/>
        <v>0</v>
      </c>
      <c r="Y306" s="2">
        <f t="shared" si="129"/>
        <v>0</v>
      </c>
      <c r="Z306" s="2">
        <f t="shared" si="129"/>
        <v>0</v>
      </c>
      <c r="AA306" s="2">
        <f t="shared" si="129"/>
        <v>0</v>
      </c>
      <c r="AB306" s="2">
        <f t="shared" si="130"/>
        <v>0</v>
      </c>
    </row>
    <row r="307" spans="1:28" x14ac:dyDescent="0.25">
      <c r="E307" t="s">
        <v>49</v>
      </c>
      <c r="F307" t="s">
        <v>7</v>
      </c>
      <c r="G307" s="2">
        <f t="shared" si="129"/>
        <v>0</v>
      </c>
      <c r="H307" s="2">
        <f t="shared" si="129"/>
        <v>0</v>
      </c>
      <c r="I307" s="2">
        <f t="shared" si="129"/>
        <v>0</v>
      </c>
      <c r="J307" s="2">
        <f t="shared" si="129"/>
        <v>0</v>
      </c>
      <c r="K307" s="2">
        <f t="shared" si="129"/>
        <v>0</v>
      </c>
      <c r="L307" s="2">
        <f t="shared" si="129"/>
        <v>0</v>
      </c>
      <c r="M307" s="2">
        <f t="shared" si="129"/>
        <v>0</v>
      </c>
      <c r="N307" s="2">
        <f t="shared" si="129"/>
        <v>0</v>
      </c>
      <c r="O307" s="2">
        <f t="shared" si="129"/>
        <v>0</v>
      </c>
      <c r="P307" s="2">
        <f t="shared" si="129"/>
        <v>0</v>
      </c>
      <c r="Q307" s="2">
        <f t="shared" si="129"/>
        <v>0</v>
      </c>
      <c r="R307" s="2">
        <f t="shared" si="129"/>
        <v>0</v>
      </c>
      <c r="S307" s="2">
        <f t="shared" si="129"/>
        <v>0</v>
      </c>
      <c r="T307" s="2">
        <f t="shared" si="129"/>
        <v>0</v>
      </c>
      <c r="U307" s="2">
        <f t="shared" si="129"/>
        <v>0</v>
      </c>
      <c r="V307" s="2">
        <f t="shared" si="129"/>
        <v>0</v>
      </c>
      <c r="W307" s="2">
        <f t="shared" si="129"/>
        <v>0</v>
      </c>
      <c r="X307" s="2">
        <f t="shared" si="129"/>
        <v>0</v>
      </c>
      <c r="Y307" s="2">
        <f t="shared" si="129"/>
        <v>0</v>
      </c>
      <c r="Z307" s="2">
        <f t="shared" si="129"/>
        <v>0</v>
      </c>
      <c r="AA307" s="2">
        <f t="shared" si="129"/>
        <v>0</v>
      </c>
      <c r="AB307" s="2">
        <f t="shared" si="130"/>
        <v>0</v>
      </c>
    </row>
    <row r="308" spans="1:28" x14ac:dyDescent="0.25">
      <c r="E308" t="s">
        <v>20</v>
      </c>
      <c r="F308" t="s">
        <v>7</v>
      </c>
      <c r="G308" s="2">
        <f t="shared" ref="G308:AA308" ca="1" si="131">G297</f>
        <v>222591.44788039141</v>
      </c>
      <c r="H308" s="2">
        <f t="shared" ca="1" si="131"/>
        <v>-24660702.901747022</v>
      </c>
      <c r="I308" s="2">
        <f t="shared" ca="1" si="131"/>
        <v>-25371751.938350808</v>
      </c>
      <c r="J308" s="2">
        <f t="shared" ca="1" si="131"/>
        <v>-25973495.407632217</v>
      </c>
      <c r="K308" s="2">
        <f t="shared" ca="1" si="131"/>
        <v>-26520969.965736147</v>
      </c>
      <c r="L308" s="2">
        <f t="shared" ca="1" si="131"/>
        <v>-27186378.12261999</v>
      </c>
      <c r="M308" s="2">
        <f t="shared" ca="1" si="131"/>
        <v>-27890655.327880457</v>
      </c>
      <c r="N308" s="2">
        <f t="shared" ca="1" si="131"/>
        <v>-28452597.373432383</v>
      </c>
      <c r="O308" s="2">
        <f t="shared" ca="1" si="131"/>
        <v>-28845436.915331017</v>
      </c>
      <c r="P308" s="2">
        <f t="shared" ca="1" si="131"/>
        <v>-29951995.524294738</v>
      </c>
      <c r="Q308" s="2">
        <f t="shared" ca="1" si="131"/>
        <v>-31322780.412175886</v>
      </c>
      <c r="R308" s="2">
        <f t="shared" ca="1" si="131"/>
        <v>-32182893.118860196</v>
      </c>
      <c r="S308" s="2">
        <f t="shared" ca="1" si="131"/>
        <v>-33082115.576978467</v>
      </c>
      <c r="T308" s="2">
        <f t="shared" ca="1" si="131"/>
        <v>-34023359.404909633</v>
      </c>
      <c r="U308" s="2">
        <f t="shared" ca="1" si="131"/>
        <v>-34378363.088571064</v>
      </c>
      <c r="V308" s="2">
        <f t="shared" ca="1" si="131"/>
        <v>-34731057.095115639</v>
      </c>
      <c r="W308" s="2">
        <f t="shared" ca="1" si="131"/>
        <v>6022555.1399023356</v>
      </c>
      <c r="X308" s="2">
        <f t="shared" ca="1" si="131"/>
        <v>6055105.4499808047</v>
      </c>
      <c r="Y308" s="2">
        <f t="shared" ca="1" si="131"/>
        <v>6088339.3165709237</v>
      </c>
      <c r="Z308" s="2">
        <f t="shared" ca="1" si="131"/>
        <v>6122271.0943594333</v>
      </c>
      <c r="AA308" s="2">
        <f t="shared" ca="1" si="131"/>
        <v>6156915.4394815024</v>
      </c>
      <c r="AB308" s="2">
        <f ca="1">IF(V308=0,0,IF($G$15&gt;(AA308/V308)^(1/5)-1+2%,AA308*(AA308/V308)^(1/5)/($G$15-((AA308/V308)^(1/5)-1)),AA308*(1+$G$14)/$G$16))</f>
        <v>-2476242.9283633563</v>
      </c>
    </row>
    <row r="309" spans="1:28" x14ac:dyDescent="0.25">
      <c r="E309" t="s">
        <v>173</v>
      </c>
      <c r="F309" t="s">
        <v>7</v>
      </c>
      <c r="G309" s="2">
        <f ca="1">-$G$17*G308</f>
        <v>-111295.7239401957</v>
      </c>
      <c r="H309" s="2">
        <f t="shared" ref="H309:AA309" ca="1" si="132">-$G$17*H308</f>
        <v>12330351.450873511</v>
      </c>
      <c r="I309" s="2">
        <f t="shared" ca="1" si="132"/>
        <v>12685875.969175404</v>
      </c>
      <c r="J309" s="2">
        <f t="shared" ca="1" si="132"/>
        <v>12986747.703816108</v>
      </c>
      <c r="K309" s="2">
        <f t="shared" ca="1" si="132"/>
        <v>13260484.982868074</v>
      </c>
      <c r="L309" s="2">
        <f t="shared" ca="1" si="132"/>
        <v>13593189.061309995</v>
      </c>
      <c r="M309" s="2">
        <f t="shared" ca="1" si="132"/>
        <v>13945327.663940229</v>
      </c>
      <c r="N309" s="2">
        <f t="shared" ca="1" si="132"/>
        <v>14226298.686716191</v>
      </c>
      <c r="O309" s="2">
        <f t="shared" ca="1" si="132"/>
        <v>14422718.457665509</v>
      </c>
      <c r="P309" s="2">
        <f t="shared" ca="1" si="132"/>
        <v>14975997.762147369</v>
      </c>
      <c r="Q309" s="2">
        <f t="shared" ca="1" si="132"/>
        <v>15661390.206087943</v>
      </c>
      <c r="R309" s="2">
        <f t="shared" ca="1" si="132"/>
        <v>16091446.559430098</v>
      </c>
      <c r="S309" s="2">
        <f t="shared" ca="1" si="132"/>
        <v>16541057.788489234</v>
      </c>
      <c r="T309" s="2">
        <f t="shared" ca="1" si="132"/>
        <v>17011679.702454817</v>
      </c>
      <c r="U309" s="2">
        <f t="shared" ca="1" si="132"/>
        <v>17189181.544285532</v>
      </c>
      <c r="V309" s="2">
        <f t="shared" ca="1" si="132"/>
        <v>17365528.54755782</v>
      </c>
      <c r="W309" s="2">
        <f t="shared" ca="1" si="132"/>
        <v>-3011277.5699511678</v>
      </c>
      <c r="X309" s="2">
        <f t="shared" ca="1" si="132"/>
        <v>-3027552.7249904023</v>
      </c>
      <c r="Y309" s="2">
        <f t="shared" ca="1" si="132"/>
        <v>-3044169.6582854618</v>
      </c>
      <c r="Z309" s="2">
        <f t="shared" ca="1" si="132"/>
        <v>-3061135.5471797166</v>
      </c>
      <c r="AA309" s="2">
        <f t="shared" ca="1" si="132"/>
        <v>-3078457.7197407512</v>
      </c>
      <c r="AB309" s="2">
        <f t="shared" ref="AB309" ca="1" si="133">IF(V309=0,0,IF($G$15&gt;(AA309/V309)^(1/5)-1+2%,AA309*(AA309/V309)^(1/5)/($G$15-((AA309/V309)^(1/5)-1)),AA309*(1+$G$14)/$G$16))</f>
        <v>1238121.4641816781</v>
      </c>
    </row>
    <row r="310" spans="1:28" x14ac:dyDescent="0.25">
      <c r="E310" t="s">
        <v>23</v>
      </c>
      <c r="F310" t="s">
        <v>7</v>
      </c>
      <c r="G310" s="2">
        <f t="shared" ref="G310:AB310" ca="1" si="134">SUM(G300:G309)</f>
        <v>-59246423.710830845</v>
      </c>
      <c r="H310" s="2">
        <f t="shared" ca="1" si="134"/>
        <v>-38294809.294857636</v>
      </c>
      <c r="I310" s="2">
        <f t="shared" ca="1" si="134"/>
        <v>-88057935.348092318</v>
      </c>
      <c r="J310" s="2">
        <f t="shared" ca="1" si="134"/>
        <v>-136621490.41536009</v>
      </c>
      <c r="K310" s="2">
        <f t="shared" ca="1" si="134"/>
        <v>-109393813.21765788</v>
      </c>
      <c r="L310" s="2">
        <f t="shared" ca="1" si="134"/>
        <v>-69612512.097383514</v>
      </c>
      <c r="M310" s="2">
        <f t="shared" ca="1" si="134"/>
        <v>-54126639.511148997</v>
      </c>
      <c r="N310" s="2">
        <f t="shared" ca="1" si="134"/>
        <v>-84919893.47472769</v>
      </c>
      <c r="O310" s="2">
        <f t="shared" ca="1" si="134"/>
        <v>-123813110.52529693</v>
      </c>
      <c r="P310" s="2">
        <f t="shared" ca="1" si="134"/>
        <v>-86580756.625747979</v>
      </c>
      <c r="Q310" s="2">
        <f t="shared" ca="1" si="134"/>
        <v>-45410252.357138991</v>
      </c>
      <c r="R310" s="2">
        <f t="shared" ca="1" si="134"/>
        <v>-45492328.9862222</v>
      </c>
      <c r="S310" s="2">
        <f t="shared" ca="1" si="134"/>
        <v>-47016705.474840194</v>
      </c>
      <c r="T310" s="2">
        <f t="shared" ca="1" si="134"/>
        <v>-48622672.227828115</v>
      </c>
      <c r="U310" s="2">
        <f t="shared" ca="1" si="134"/>
        <v>-49966373.817817062</v>
      </c>
      <c r="V310" s="2">
        <f t="shared" ca="1" si="134"/>
        <v>-51340114.955904022</v>
      </c>
      <c r="W310" s="2">
        <f t="shared" ca="1" si="134"/>
        <v>-2155438.3155203233</v>
      </c>
      <c r="X310" s="2">
        <f t="shared" ca="1" si="134"/>
        <v>-2247664.1940759914</v>
      </c>
      <c r="Y310" s="2">
        <f t="shared" ca="1" si="134"/>
        <v>-2341826.8160813251</v>
      </c>
      <c r="Z310" s="2">
        <f t="shared" ca="1" si="134"/>
        <v>-2437966.8531487705</v>
      </c>
      <c r="AA310" s="2">
        <f t="shared" ca="1" si="134"/>
        <v>-2536125.830994634</v>
      </c>
      <c r="AB310" s="2">
        <f t="shared" ca="1" si="134"/>
        <v>-188390906.48869491</v>
      </c>
    </row>
    <row r="311" spans="1:28" x14ac:dyDescent="0.25">
      <c r="E311" t="s">
        <v>31</v>
      </c>
      <c r="F311" t="s">
        <v>7</v>
      </c>
      <c r="G311" s="2">
        <f ca="1">NPV($G$15,H310:AB310)+G310</f>
        <v>-897409725.15917242</v>
      </c>
    </row>
    <row r="313" spans="1:28" x14ac:dyDescent="0.25">
      <c r="E313" t="s">
        <v>13</v>
      </c>
      <c r="F313" t="s">
        <v>7</v>
      </c>
      <c r="G313" s="2">
        <f t="shared" ref="G313:AA313" ca="1" si="135">G285</f>
        <v>0</v>
      </c>
      <c r="H313" s="2">
        <f t="shared" ca="1" si="135"/>
        <v>76751575.773139521</v>
      </c>
      <c r="I313" s="2">
        <f t="shared" ca="1" si="135"/>
        <v>78363358.864375442</v>
      </c>
      <c r="J313" s="2">
        <f t="shared" ca="1" si="135"/>
        <v>80008989.400527313</v>
      </c>
      <c r="K313" s="2">
        <f t="shared" ca="1" si="135"/>
        <v>81689178.177938387</v>
      </c>
      <c r="L313" s="2">
        <f t="shared" ca="1" si="135"/>
        <v>83404650.919675082</v>
      </c>
      <c r="M313" s="2">
        <f t="shared" ca="1" si="135"/>
        <v>85156148.588988245</v>
      </c>
      <c r="N313" s="2">
        <f t="shared" ca="1" si="135"/>
        <v>86944427.709356993</v>
      </c>
      <c r="O313" s="2">
        <f t="shared" ca="1" si="135"/>
        <v>88770260.691253483</v>
      </c>
      <c r="P313" s="2">
        <f t="shared" ca="1" si="135"/>
        <v>90634436.165769801</v>
      </c>
      <c r="Q313" s="2">
        <f t="shared" ca="1" si="135"/>
        <v>92537759.325250953</v>
      </c>
      <c r="R313" s="2">
        <f t="shared" ca="1" si="135"/>
        <v>94481052.271081209</v>
      </c>
      <c r="S313" s="2">
        <f t="shared" ca="1" si="135"/>
        <v>96465154.368773907</v>
      </c>
      <c r="T313" s="2">
        <f t="shared" ca="1" si="135"/>
        <v>98490922.610518157</v>
      </c>
      <c r="U313" s="2">
        <f t="shared" ca="1" si="135"/>
        <v>100559231.98533903</v>
      </c>
      <c r="V313" s="2">
        <f t="shared" ca="1" si="135"/>
        <v>102670975.85703114</v>
      </c>
      <c r="W313" s="2">
        <f t="shared" ca="1" si="135"/>
        <v>0</v>
      </c>
      <c r="X313" s="2">
        <f t="shared" ca="1" si="135"/>
        <v>0</v>
      </c>
      <c r="Y313" s="2">
        <f t="shared" ca="1" si="135"/>
        <v>0</v>
      </c>
      <c r="Z313" s="2">
        <f t="shared" ca="1" si="135"/>
        <v>0</v>
      </c>
      <c r="AA313" s="2">
        <f t="shared" ca="1" si="135"/>
        <v>0</v>
      </c>
    </row>
    <row r="314" spans="1:28" x14ac:dyDescent="0.25">
      <c r="E314" t="s">
        <v>24</v>
      </c>
      <c r="F314" t="s">
        <v>7</v>
      </c>
      <c r="G314" s="2">
        <f ca="1">NPV($G$15,H313:AA313)+G313</f>
        <v>897409725.15917289</v>
      </c>
    </row>
    <row r="315" spans="1:28" x14ac:dyDescent="0.25">
      <c r="E315" s="3" t="s">
        <v>34</v>
      </c>
      <c r="F315" s="3"/>
      <c r="G315" s="4" t="str">
        <f ca="1">IF(G311&gt;0,"N/A",IF(ABS(G311+G314)&gt;1,"Error","OK"))</f>
        <v>OK</v>
      </c>
    </row>
    <row r="318" spans="1:28" x14ac:dyDescent="0.25">
      <c r="C318" s="1" t="s">
        <v>110</v>
      </c>
    </row>
    <row r="319" spans="1:28" x14ac:dyDescent="0.25">
      <c r="E319" t="s">
        <v>116</v>
      </c>
      <c r="F319" t="s">
        <v>117</v>
      </c>
    </row>
    <row r="320" spans="1:28" x14ac:dyDescent="0.25">
      <c r="A320" s="14">
        <f>'Notes &amp; Assumptions'!A68</f>
        <v>55</v>
      </c>
      <c r="E320" s="19" t="s">
        <v>111</v>
      </c>
      <c r="F320" s="19" t="s">
        <v>119</v>
      </c>
    </row>
    <row r="321" spans="5:6" customFormat="1" x14ac:dyDescent="0.25">
      <c r="E321" s="19" t="s">
        <v>112</v>
      </c>
      <c r="F321" s="19" t="s">
        <v>120</v>
      </c>
    </row>
    <row r="322" spans="5:6" customFormat="1" x14ac:dyDescent="0.25">
      <c r="E322" s="19" t="s">
        <v>113</v>
      </c>
      <c r="F322" s="19" t="s">
        <v>121</v>
      </c>
    </row>
  </sheetData>
  <mergeCells count="1">
    <mergeCell ref="G4:H4"/>
  </mergeCells>
  <dataValidations count="1">
    <dataValidation type="list" showInputMessage="1" showErrorMessage="1" sqref="G4" xr:uid="{00000000-0002-0000-0600-000000000000}">
      <formula1>$E$320:$E$322</formula1>
    </dataValidation>
  </dataValidations>
  <pageMargins left="0.75" right="0.75" top="1" bottom="1" header="0.5" footer="0.5"/>
  <pageSetup paperSize="9" orientation="portrait" horizontalDpi="4294967292" verticalDpi="4294967292"/>
  <extLst>
    <ext xmlns:mx="http://schemas.microsoft.com/office/mac/excel/2008/main" uri="{64002731-A6B0-56B0-2670-7721B7C09600}">
      <mx:PLV Mode="0" OnePage="0" WScale="0"/>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2:AC322"/>
  <sheetViews>
    <sheetView zoomScale="80" zoomScaleNormal="80" workbookViewId="0">
      <selection activeCell="G21" sqref="G21"/>
    </sheetView>
  </sheetViews>
  <sheetFormatPr defaultColWidth="11" defaultRowHeight="15.75" x14ac:dyDescent="0.25"/>
  <cols>
    <col min="1" max="1" width="7.625" style="14" customWidth="1"/>
    <col min="2" max="2" width="3.125" customWidth="1"/>
    <col min="3" max="3" width="3.375" customWidth="1"/>
    <col min="4" max="4" width="2.875" customWidth="1"/>
    <col min="5" max="5" width="36.5" bestFit="1" customWidth="1"/>
    <col min="6" max="6" width="17.5" customWidth="1"/>
    <col min="7" max="27" width="15.625" customWidth="1"/>
    <col min="28" max="28" width="11.125" customWidth="1"/>
  </cols>
  <sheetData>
    <row r="2" spans="1:27" x14ac:dyDescent="0.25">
      <c r="C2" s="1" t="s">
        <v>0</v>
      </c>
      <c r="D2" s="1"/>
      <c r="G2">
        <v>0</v>
      </c>
      <c r="H2">
        <v>1</v>
      </c>
      <c r="I2">
        <v>2</v>
      </c>
      <c r="J2">
        <v>3</v>
      </c>
      <c r="K2">
        <v>4</v>
      </c>
      <c r="L2">
        <v>5</v>
      </c>
      <c r="M2">
        <v>6</v>
      </c>
      <c r="N2">
        <v>7</v>
      </c>
      <c r="O2">
        <v>8</v>
      </c>
      <c r="P2">
        <v>9</v>
      </c>
      <c r="Q2">
        <v>10</v>
      </c>
      <c r="R2">
        <v>11</v>
      </c>
      <c r="S2">
        <v>12</v>
      </c>
      <c r="T2">
        <v>13</v>
      </c>
      <c r="U2">
        <v>14</v>
      </c>
      <c r="V2">
        <v>15</v>
      </c>
      <c r="W2">
        <v>16</v>
      </c>
      <c r="X2">
        <v>17</v>
      </c>
      <c r="Y2">
        <v>18</v>
      </c>
      <c r="Z2">
        <v>19</v>
      </c>
      <c r="AA2">
        <v>20</v>
      </c>
    </row>
    <row r="4" spans="1:27" x14ac:dyDescent="0.25">
      <c r="A4" s="14">
        <f>'Notes &amp; Assumptions'!A14</f>
        <v>1</v>
      </c>
      <c r="C4" s="1" t="s">
        <v>114</v>
      </c>
      <c r="F4" t="s">
        <v>115</v>
      </c>
      <c r="G4" s="368" t="s">
        <v>113</v>
      </c>
      <c r="H4" s="368"/>
    </row>
    <row r="6" spans="1:27" x14ac:dyDescent="0.25">
      <c r="C6" s="1" t="s">
        <v>126</v>
      </c>
    </row>
    <row r="7" spans="1:27" x14ac:dyDescent="0.25">
      <c r="A7" s="14">
        <f>'Notes &amp; Assumptions'!A15</f>
        <v>2</v>
      </c>
      <c r="E7" s="10" t="s">
        <v>128</v>
      </c>
      <c r="F7" t="s">
        <v>145</v>
      </c>
      <c r="G7" s="10">
        <v>80</v>
      </c>
    </row>
    <row r="8" spans="1:27" x14ac:dyDescent="0.25">
      <c r="A8" s="14">
        <f>'Notes &amp; Assumptions'!A16</f>
        <v>3</v>
      </c>
      <c r="E8" s="10" t="s">
        <v>129</v>
      </c>
      <c r="F8" t="s">
        <v>145</v>
      </c>
      <c r="G8" s="10">
        <v>25</v>
      </c>
    </row>
    <row r="9" spans="1:27" x14ac:dyDescent="0.25">
      <c r="A9" s="14">
        <f>'Notes &amp; Assumptions'!A17</f>
        <v>4</v>
      </c>
      <c r="E9" s="10" t="s">
        <v>130</v>
      </c>
      <c r="F9" t="s">
        <v>145</v>
      </c>
      <c r="G9" s="10">
        <v>30</v>
      </c>
    </row>
    <row r="10" spans="1:27" x14ac:dyDescent="0.25">
      <c r="A10" s="14">
        <f>'Notes &amp; Assumptions'!A18</f>
        <v>5</v>
      </c>
      <c r="E10" t="s">
        <v>127</v>
      </c>
      <c r="F10" t="s">
        <v>145</v>
      </c>
      <c r="G10" s="10">
        <v>5</v>
      </c>
    </row>
    <row r="13" spans="1:27" x14ac:dyDescent="0.25">
      <c r="C13" s="1" t="s">
        <v>92</v>
      </c>
    </row>
    <row r="14" spans="1:27" x14ac:dyDescent="0.25">
      <c r="A14" s="14">
        <f>'Notes &amp; Assumptions'!A19</f>
        <v>6</v>
      </c>
      <c r="E14" t="s">
        <v>5</v>
      </c>
      <c r="F14" t="s">
        <v>8</v>
      </c>
      <c r="G14" s="17">
        <f>'Key assumptions'!B9</f>
        <v>2.1000000000000001E-2</v>
      </c>
    </row>
    <row r="15" spans="1:27" x14ac:dyDescent="0.25">
      <c r="A15" s="14">
        <f>'Notes &amp; Assumptions'!A20</f>
        <v>7</v>
      </c>
      <c r="E15" t="s">
        <v>32</v>
      </c>
      <c r="F15" t="s">
        <v>8</v>
      </c>
      <c r="G15" s="17">
        <f>'Key assumptions'!B8</f>
        <v>5.1629999999999843E-2</v>
      </c>
    </row>
    <row r="16" spans="1:27" x14ac:dyDescent="0.25">
      <c r="E16" t="s">
        <v>30</v>
      </c>
      <c r="F16" t="s">
        <v>8</v>
      </c>
      <c r="G16" s="18">
        <f>(1+G15)/(1+G14)-1</f>
        <v>3.0000000000000027E-2</v>
      </c>
    </row>
    <row r="17" spans="1:27" x14ac:dyDescent="0.25">
      <c r="E17" t="s">
        <v>171</v>
      </c>
      <c r="F17" t="s">
        <v>8</v>
      </c>
      <c r="G17" s="11">
        <v>0.5</v>
      </c>
    </row>
    <row r="18" spans="1:27" x14ac:dyDescent="0.25">
      <c r="A18" s="14">
        <f>'Notes &amp; Assumptions'!A22</f>
        <v>9</v>
      </c>
      <c r="E18" t="s">
        <v>16</v>
      </c>
      <c r="F18" t="s">
        <v>8</v>
      </c>
      <c r="G18" s="11">
        <v>0.3</v>
      </c>
      <c r="H18" s="11">
        <v>0.3</v>
      </c>
      <c r="I18" s="11">
        <v>0.3</v>
      </c>
      <c r="J18" s="11">
        <v>0.3</v>
      </c>
      <c r="K18" s="11">
        <v>0.3</v>
      </c>
      <c r="L18" s="11">
        <v>0.3</v>
      </c>
      <c r="M18" s="11">
        <v>0.3</v>
      </c>
      <c r="N18" s="11">
        <v>0.3</v>
      </c>
      <c r="O18" s="11">
        <v>0.3</v>
      </c>
      <c r="P18" s="11">
        <v>0.3</v>
      </c>
      <c r="Q18" s="11">
        <v>0.3</v>
      </c>
      <c r="R18" s="11">
        <v>0.3</v>
      </c>
      <c r="S18" s="11">
        <v>0.3</v>
      </c>
      <c r="T18" s="11">
        <v>0.3</v>
      </c>
      <c r="U18" s="11">
        <v>0.3</v>
      </c>
      <c r="V18" s="11">
        <v>0.3</v>
      </c>
      <c r="W18" s="11">
        <v>0.3</v>
      </c>
      <c r="X18" s="11">
        <v>0.3</v>
      </c>
      <c r="Y18" s="11">
        <v>0.3</v>
      </c>
      <c r="Z18" s="11">
        <v>0.3</v>
      </c>
      <c r="AA18" s="11">
        <v>0.3</v>
      </c>
    </row>
    <row r="20" spans="1:27" x14ac:dyDescent="0.25">
      <c r="A20" s="14">
        <f>'Notes &amp; Assumptions'!A23</f>
        <v>10</v>
      </c>
      <c r="C20" s="1" t="s">
        <v>1</v>
      </c>
      <c r="D20" s="1"/>
    </row>
    <row r="21" spans="1:27" x14ac:dyDescent="0.25">
      <c r="E21" s="2" t="str">
        <f>E7</f>
        <v>Pipes</v>
      </c>
      <c r="F21" t="s">
        <v>7</v>
      </c>
      <c r="G21" s="43">
        <f>IF('Key assumptions'!B3="yes",SUM('Historical growth capex'!M95:V95),0)</f>
        <v>1268839.6057458397</v>
      </c>
      <c r="H21" s="10">
        <f>'Forecast capex'!J101*1000*(1+$G$14)^H2</f>
        <v>150581.56265247698</v>
      </c>
      <c r="I21" s="10">
        <f>'Forecast capex'!K101*1000*(1+$G$14)^I2</f>
        <v>328594.05354847881</v>
      </c>
      <c r="J21" s="10">
        <f>'Forecast capex'!L101*1000*(1+$G$14)^J2</f>
        <v>0</v>
      </c>
      <c r="K21" s="10">
        <f>'Forecast capex'!M101*1000*(1+$G$14)^K2</f>
        <v>0</v>
      </c>
      <c r="L21" s="10">
        <f>'Forecast capex'!N101*1000*(1+$G$14)^L2</f>
        <v>0</v>
      </c>
      <c r="M21" s="10">
        <f>'Forecast capex'!O101*1000*(1+$G$14)^M2</f>
        <v>0</v>
      </c>
      <c r="N21" s="10">
        <f>'Forecast capex'!P101*1000*(1+$G$14)^N2</f>
        <v>0</v>
      </c>
      <c r="O21" s="10">
        <f>'Forecast capex'!Q101*1000*(1+$G$14)^O2</f>
        <v>0</v>
      </c>
      <c r="P21" s="10">
        <f>'Forecast capex'!R101*1000*(1+$G$14)^P2</f>
        <v>0</v>
      </c>
      <c r="Q21" s="10">
        <f>'Forecast capex'!S101*1000*(1+$G$14)^Q2</f>
        <v>0</v>
      </c>
      <c r="R21" s="10">
        <f>'[10]recycled water'!$X$160/5*(1+$G$14)^R2</f>
        <v>0</v>
      </c>
      <c r="S21" s="10">
        <f>'[10]recycled water'!$X$160/5*(1+$G$14)^S2</f>
        <v>0</v>
      </c>
      <c r="T21" s="10">
        <f>'[10]recycled water'!$X$160/5*(1+$G$14)^T2</f>
        <v>0</v>
      </c>
      <c r="U21" s="10">
        <f>'[10]recycled water'!$X$160/5*(1+$G$14)^U2</f>
        <v>0</v>
      </c>
      <c r="V21" s="10">
        <f>'[10]recycled water'!$X$160/5*(1+$G$14)^V2</f>
        <v>0</v>
      </c>
      <c r="W21" s="10"/>
      <c r="X21" s="10"/>
      <c r="Y21" s="10"/>
      <c r="Z21" s="10"/>
      <c r="AA21" s="10"/>
    </row>
    <row r="22" spans="1:27" x14ac:dyDescent="0.25">
      <c r="E22" s="2" t="str">
        <f>E8</f>
        <v>Pumps</v>
      </c>
      <c r="F22" t="s">
        <v>7</v>
      </c>
      <c r="G22" s="10"/>
      <c r="H22" s="10"/>
      <c r="I22" s="10"/>
      <c r="J22" s="10"/>
      <c r="K22" s="10"/>
      <c r="L22" s="10"/>
      <c r="M22" s="10"/>
      <c r="N22" s="10"/>
      <c r="O22" s="10"/>
      <c r="P22" s="10"/>
      <c r="Q22" s="10"/>
      <c r="R22" s="10"/>
      <c r="S22" s="10"/>
      <c r="T22" s="10"/>
      <c r="U22" s="10"/>
      <c r="V22" s="10"/>
      <c r="W22" s="10"/>
      <c r="X22" s="10"/>
      <c r="Y22" s="10"/>
      <c r="Z22" s="10"/>
      <c r="AA22" s="10"/>
    </row>
    <row r="23" spans="1:27" x14ac:dyDescent="0.25">
      <c r="E23" s="2" t="str">
        <f>E9</f>
        <v>Valves and Meters</v>
      </c>
      <c r="F23" t="s">
        <v>7</v>
      </c>
      <c r="G23" s="10"/>
      <c r="H23" s="10"/>
      <c r="I23" s="10"/>
      <c r="J23" s="10"/>
      <c r="K23" s="10"/>
      <c r="L23" s="10"/>
      <c r="M23" s="10"/>
      <c r="N23" s="10"/>
      <c r="O23" s="10"/>
      <c r="P23" s="10"/>
      <c r="Q23" s="10"/>
      <c r="R23" s="10"/>
      <c r="S23" s="10"/>
      <c r="T23" s="10"/>
      <c r="U23" s="10"/>
      <c r="V23" s="10"/>
      <c r="W23" s="10"/>
      <c r="X23" s="10"/>
      <c r="Y23" s="10"/>
      <c r="Z23" s="10"/>
      <c r="AA23" s="10"/>
    </row>
    <row r="24" spans="1:27" x14ac:dyDescent="0.25">
      <c r="E24" t="s">
        <v>127</v>
      </c>
      <c r="F24" t="s">
        <v>7</v>
      </c>
      <c r="G24" s="10"/>
      <c r="H24" s="10"/>
      <c r="I24" s="10"/>
      <c r="J24" s="10"/>
      <c r="K24" s="10"/>
      <c r="L24" s="10"/>
      <c r="M24" s="10"/>
      <c r="N24" s="10"/>
      <c r="O24" s="10"/>
      <c r="P24" s="10"/>
      <c r="Q24" s="10"/>
      <c r="R24" s="10"/>
      <c r="S24" s="10"/>
      <c r="T24" s="10"/>
      <c r="U24" s="10"/>
      <c r="V24" s="10"/>
      <c r="W24" s="10"/>
      <c r="X24" s="10"/>
      <c r="Y24" s="10"/>
      <c r="Z24" s="10"/>
      <c r="AA24" s="10"/>
    </row>
    <row r="25" spans="1:27" x14ac:dyDescent="0.25">
      <c r="E25" t="s">
        <v>131</v>
      </c>
      <c r="F25" t="s">
        <v>7</v>
      </c>
      <c r="G25" s="10"/>
      <c r="H25" s="10"/>
      <c r="I25" s="10"/>
      <c r="J25" s="10"/>
      <c r="K25" s="10"/>
      <c r="L25" s="10"/>
      <c r="M25" s="10"/>
      <c r="N25" s="10"/>
      <c r="O25" s="10"/>
      <c r="P25" s="10"/>
      <c r="Q25" s="10"/>
      <c r="R25" s="10"/>
      <c r="S25" s="10"/>
      <c r="T25" s="10"/>
      <c r="U25" s="10"/>
      <c r="V25" s="10"/>
      <c r="W25" s="10"/>
      <c r="X25" s="10"/>
      <c r="Y25" s="10"/>
      <c r="Z25" s="10"/>
      <c r="AA25" s="10"/>
    </row>
    <row r="26" spans="1:27" x14ac:dyDescent="0.25">
      <c r="G26" s="2">
        <f>SUM(G21:G25)</f>
        <v>1268839.6057458397</v>
      </c>
      <c r="H26" s="2">
        <f t="shared" ref="H26:AA26" si="0">SUM(H21:H25)</f>
        <v>150581.56265247698</v>
      </c>
      <c r="I26" s="2">
        <f t="shared" si="0"/>
        <v>328594.05354847881</v>
      </c>
      <c r="J26" s="2">
        <f t="shared" si="0"/>
        <v>0</v>
      </c>
      <c r="K26" s="2">
        <f t="shared" si="0"/>
        <v>0</v>
      </c>
      <c r="L26" s="2">
        <f t="shared" si="0"/>
        <v>0</v>
      </c>
      <c r="M26" s="2">
        <f t="shared" si="0"/>
        <v>0</v>
      </c>
      <c r="N26" s="2">
        <f t="shared" si="0"/>
        <v>0</v>
      </c>
      <c r="O26" s="2">
        <f t="shared" si="0"/>
        <v>0</v>
      </c>
      <c r="P26" s="2">
        <f t="shared" si="0"/>
        <v>0</v>
      </c>
      <c r="Q26" s="2">
        <f t="shared" si="0"/>
        <v>0</v>
      </c>
      <c r="R26" s="2">
        <f t="shared" si="0"/>
        <v>0</v>
      </c>
      <c r="S26" s="2">
        <f t="shared" si="0"/>
        <v>0</v>
      </c>
      <c r="T26" s="2">
        <f t="shared" si="0"/>
        <v>0</v>
      </c>
      <c r="U26" s="2">
        <f t="shared" si="0"/>
        <v>0</v>
      </c>
      <c r="V26" s="2">
        <f t="shared" si="0"/>
        <v>0</v>
      </c>
      <c r="W26" s="2">
        <f t="shared" si="0"/>
        <v>0</v>
      </c>
      <c r="X26" s="2">
        <f t="shared" si="0"/>
        <v>0</v>
      </c>
      <c r="Y26" s="2">
        <f t="shared" si="0"/>
        <v>0</v>
      </c>
      <c r="Z26" s="2">
        <f t="shared" si="0"/>
        <v>0</v>
      </c>
      <c r="AA26" s="2">
        <f t="shared" si="0"/>
        <v>0</v>
      </c>
    </row>
    <row r="27" spans="1:27" x14ac:dyDescent="0.25">
      <c r="G27" s="2"/>
      <c r="H27" s="2"/>
      <c r="I27" s="2"/>
      <c r="J27" s="2"/>
      <c r="K27" s="2"/>
      <c r="L27" s="2"/>
      <c r="M27" s="2"/>
      <c r="N27" s="2"/>
      <c r="O27" s="2"/>
      <c r="P27" s="2"/>
      <c r="Q27" s="2"/>
    </row>
    <row r="28" spans="1:27" x14ac:dyDescent="0.25">
      <c r="D28" t="s">
        <v>132</v>
      </c>
      <c r="G28" s="2"/>
      <c r="H28" s="2"/>
      <c r="I28" s="2"/>
      <c r="J28" s="2"/>
      <c r="K28" s="2"/>
      <c r="L28" s="2"/>
      <c r="M28" s="2"/>
      <c r="N28" s="2"/>
      <c r="O28" s="2"/>
      <c r="P28" s="2"/>
      <c r="Q28" s="2"/>
    </row>
    <row r="29" spans="1:27" x14ac:dyDescent="0.25">
      <c r="E29" s="2" t="str">
        <f>E21</f>
        <v>Pipes</v>
      </c>
      <c r="F29" t="s">
        <v>7</v>
      </c>
      <c r="G29" s="2">
        <f t="shared" ref="G29:AA32" si="1">G21/$G7+IF((G$2-$G7+1)&gt;0,-INDEX($G21:$AA21,1,(G$2-$G7+1))/$G7,0)</f>
        <v>15860.495071822996</v>
      </c>
      <c r="H29" s="2">
        <f t="shared" si="1"/>
        <v>1882.2695331559621</v>
      </c>
      <c r="I29" s="2">
        <f t="shared" si="1"/>
        <v>4107.4256693559855</v>
      </c>
      <c r="J29" s="2">
        <f t="shared" si="1"/>
        <v>0</v>
      </c>
      <c r="K29" s="2">
        <f t="shared" si="1"/>
        <v>0</v>
      </c>
      <c r="L29" s="2">
        <f t="shared" si="1"/>
        <v>0</v>
      </c>
      <c r="M29" s="2">
        <f t="shared" si="1"/>
        <v>0</v>
      </c>
      <c r="N29" s="2">
        <f t="shared" si="1"/>
        <v>0</v>
      </c>
      <c r="O29" s="2">
        <f t="shared" si="1"/>
        <v>0</v>
      </c>
      <c r="P29" s="2">
        <f t="shared" si="1"/>
        <v>0</v>
      </c>
      <c r="Q29" s="2">
        <f t="shared" si="1"/>
        <v>0</v>
      </c>
      <c r="R29" s="2">
        <f t="shared" si="1"/>
        <v>0</v>
      </c>
      <c r="S29" s="2">
        <f t="shared" si="1"/>
        <v>0</v>
      </c>
      <c r="T29" s="2">
        <f t="shared" si="1"/>
        <v>0</v>
      </c>
      <c r="U29" s="2">
        <f t="shared" si="1"/>
        <v>0</v>
      </c>
      <c r="V29" s="2">
        <f t="shared" si="1"/>
        <v>0</v>
      </c>
      <c r="W29" s="2">
        <f t="shared" si="1"/>
        <v>0</v>
      </c>
      <c r="X29" s="2">
        <f t="shared" si="1"/>
        <v>0</v>
      </c>
      <c r="Y29" s="2">
        <f t="shared" si="1"/>
        <v>0</v>
      </c>
      <c r="Z29" s="2">
        <f t="shared" si="1"/>
        <v>0</v>
      </c>
      <c r="AA29" s="2">
        <f t="shared" si="1"/>
        <v>0</v>
      </c>
    </row>
    <row r="30" spans="1:27" x14ac:dyDescent="0.25">
      <c r="E30" s="2" t="str">
        <f t="shared" ref="E30:E32" si="2">E22</f>
        <v>Pumps</v>
      </c>
      <c r="F30" t="s">
        <v>7</v>
      </c>
      <c r="G30" s="2">
        <f t="shared" si="1"/>
        <v>0</v>
      </c>
      <c r="H30" s="2">
        <f t="shared" si="1"/>
        <v>0</v>
      </c>
      <c r="I30" s="2">
        <f t="shared" si="1"/>
        <v>0</v>
      </c>
      <c r="J30" s="2">
        <f t="shared" si="1"/>
        <v>0</v>
      </c>
      <c r="K30" s="2">
        <f t="shared" si="1"/>
        <v>0</v>
      </c>
      <c r="L30" s="2">
        <f t="shared" si="1"/>
        <v>0</v>
      </c>
      <c r="M30" s="2">
        <f t="shared" si="1"/>
        <v>0</v>
      </c>
      <c r="N30" s="2">
        <f t="shared" si="1"/>
        <v>0</v>
      </c>
      <c r="O30" s="2">
        <f t="shared" si="1"/>
        <v>0</v>
      </c>
      <c r="P30" s="2">
        <f t="shared" si="1"/>
        <v>0</v>
      </c>
      <c r="Q30" s="2">
        <f t="shared" si="1"/>
        <v>0</v>
      </c>
      <c r="R30" s="2">
        <f t="shared" si="1"/>
        <v>0</v>
      </c>
      <c r="S30" s="2">
        <f t="shared" si="1"/>
        <v>0</v>
      </c>
      <c r="T30" s="2">
        <f t="shared" si="1"/>
        <v>0</v>
      </c>
      <c r="U30" s="2">
        <f t="shared" si="1"/>
        <v>0</v>
      </c>
      <c r="V30" s="2">
        <f t="shared" si="1"/>
        <v>0</v>
      </c>
      <c r="W30" s="2">
        <f t="shared" si="1"/>
        <v>0</v>
      </c>
      <c r="X30" s="2">
        <f t="shared" si="1"/>
        <v>0</v>
      </c>
      <c r="Y30" s="2">
        <f t="shared" si="1"/>
        <v>0</v>
      </c>
      <c r="Z30" s="2">
        <f t="shared" si="1"/>
        <v>0</v>
      </c>
      <c r="AA30" s="2">
        <f t="shared" si="1"/>
        <v>0</v>
      </c>
    </row>
    <row r="31" spans="1:27" x14ac:dyDescent="0.25">
      <c r="E31" s="2" t="str">
        <f t="shared" si="2"/>
        <v>Valves and Meters</v>
      </c>
      <c r="F31" t="s">
        <v>7</v>
      </c>
      <c r="G31" s="2">
        <f t="shared" si="1"/>
        <v>0</v>
      </c>
      <c r="H31" s="2">
        <f t="shared" si="1"/>
        <v>0</v>
      </c>
      <c r="I31" s="2">
        <f t="shared" si="1"/>
        <v>0</v>
      </c>
      <c r="J31" s="2">
        <f t="shared" si="1"/>
        <v>0</v>
      </c>
      <c r="K31" s="2">
        <f t="shared" si="1"/>
        <v>0</v>
      </c>
      <c r="L31" s="2">
        <f t="shared" si="1"/>
        <v>0</v>
      </c>
      <c r="M31" s="2">
        <f t="shared" si="1"/>
        <v>0</v>
      </c>
      <c r="N31" s="2">
        <f t="shared" si="1"/>
        <v>0</v>
      </c>
      <c r="O31" s="2">
        <f t="shared" si="1"/>
        <v>0</v>
      </c>
      <c r="P31" s="2">
        <f t="shared" si="1"/>
        <v>0</v>
      </c>
      <c r="Q31" s="2">
        <f t="shared" si="1"/>
        <v>0</v>
      </c>
      <c r="R31" s="2">
        <f t="shared" si="1"/>
        <v>0</v>
      </c>
      <c r="S31" s="2">
        <f t="shared" si="1"/>
        <v>0</v>
      </c>
      <c r="T31" s="2">
        <f t="shared" si="1"/>
        <v>0</v>
      </c>
      <c r="U31" s="2">
        <f t="shared" si="1"/>
        <v>0</v>
      </c>
      <c r="V31" s="2">
        <f t="shared" si="1"/>
        <v>0</v>
      </c>
      <c r="W31" s="2">
        <f t="shared" si="1"/>
        <v>0</v>
      </c>
      <c r="X31" s="2">
        <f t="shared" si="1"/>
        <v>0</v>
      </c>
      <c r="Y31" s="2">
        <f t="shared" si="1"/>
        <v>0</v>
      </c>
      <c r="Z31" s="2">
        <f t="shared" si="1"/>
        <v>0</v>
      </c>
      <c r="AA31" s="2">
        <f t="shared" si="1"/>
        <v>0</v>
      </c>
    </row>
    <row r="32" spans="1:27" x14ac:dyDescent="0.25">
      <c r="E32" s="2" t="str">
        <f t="shared" si="2"/>
        <v>Temporary Assets</v>
      </c>
      <c r="F32" t="s">
        <v>7</v>
      </c>
      <c r="G32" s="2">
        <f t="shared" si="1"/>
        <v>0</v>
      </c>
      <c r="H32" s="2">
        <f t="shared" si="1"/>
        <v>0</v>
      </c>
      <c r="I32" s="2">
        <f t="shared" si="1"/>
        <v>0</v>
      </c>
      <c r="J32" s="2">
        <f t="shared" si="1"/>
        <v>0</v>
      </c>
      <c r="K32" s="2">
        <f t="shared" si="1"/>
        <v>0</v>
      </c>
      <c r="L32" s="2">
        <f t="shared" si="1"/>
        <v>0</v>
      </c>
      <c r="M32" s="2">
        <f t="shared" si="1"/>
        <v>0</v>
      </c>
      <c r="N32" s="2">
        <f t="shared" si="1"/>
        <v>0</v>
      </c>
      <c r="O32" s="2">
        <f t="shared" si="1"/>
        <v>0</v>
      </c>
      <c r="P32" s="2">
        <f t="shared" si="1"/>
        <v>0</v>
      </c>
      <c r="Q32" s="2">
        <f t="shared" si="1"/>
        <v>0</v>
      </c>
      <c r="R32" s="2">
        <f t="shared" si="1"/>
        <v>0</v>
      </c>
      <c r="S32" s="2">
        <f t="shared" si="1"/>
        <v>0</v>
      </c>
      <c r="T32" s="2">
        <f t="shared" si="1"/>
        <v>0</v>
      </c>
      <c r="U32" s="2">
        <f t="shared" si="1"/>
        <v>0</v>
      </c>
      <c r="V32" s="2">
        <f t="shared" si="1"/>
        <v>0</v>
      </c>
      <c r="W32" s="2">
        <f t="shared" si="1"/>
        <v>0</v>
      </c>
      <c r="X32" s="2">
        <f t="shared" si="1"/>
        <v>0</v>
      </c>
      <c r="Y32" s="2">
        <f t="shared" si="1"/>
        <v>0</v>
      </c>
      <c r="Z32" s="2">
        <f t="shared" si="1"/>
        <v>0</v>
      </c>
      <c r="AA32" s="2">
        <f t="shared" si="1"/>
        <v>0</v>
      </c>
    </row>
    <row r="33" spans="1:27" x14ac:dyDescent="0.25">
      <c r="G33" s="2"/>
      <c r="H33" s="2"/>
      <c r="I33" s="2"/>
      <c r="J33" s="2"/>
      <c r="K33" s="2"/>
      <c r="L33" s="2"/>
      <c r="M33" s="2"/>
      <c r="N33" s="2"/>
      <c r="O33" s="2"/>
      <c r="P33" s="2"/>
      <c r="Q33" s="2"/>
    </row>
    <row r="34" spans="1:27" x14ac:dyDescent="0.25">
      <c r="D34" t="s">
        <v>133</v>
      </c>
      <c r="F34" t="s">
        <v>7</v>
      </c>
      <c r="G34" s="2">
        <f>SUM($G$29:G32)</f>
        <v>15860.495071822996</v>
      </c>
      <c r="H34" s="2">
        <f>SUM($G$29:H32)</f>
        <v>17742.764604978958</v>
      </c>
      <c r="I34" s="2">
        <f>SUM($G$29:I32)</f>
        <v>21850.190274334942</v>
      </c>
      <c r="J34" s="2">
        <f>SUM($G$29:J32)</f>
        <v>21850.190274334942</v>
      </c>
      <c r="K34" s="2">
        <f>SUM($G$29:K32)</f>
        <v>21850.190274334942</v>
      </c>
      <c r="L34" s="2">
        <f>SUM($G$29:L32)</f>
        <v>21850.190274334942</v>
      </c>
      <c r="M34" s="2">
        <f>SUM($G$29:M32)</f>
        <v>21850.190274334942</v>
      </c>
      <c r="N34" s="2">
        <f>SUM($G$29:N32)</f>
        <v>21850.190274334942</v>
      </c>
      <c r="O34" s="2">
        <f>SUM($G$29:O32)</f>
        <v>21850.190274334942</v>
      </c>
      <c r="P34" s="2">
        <f>SUM($G$29:P32)</f>
        <v>21850.190274334942</v>
      </c>
      <c r="Q34" s="2">
        <f>SUM($G$29:Q32)</f>
        <v>21850.190274334942</v>
      </c>
      <c r="R34" s="2">
        <f>SUM($G$29:R32)</f>
        <v>21850.190274334942</v>
      </c>
      <c r="S34" s="2">
        <f>SUM($G$29:S32)</f>
        <v>21850.190274334942</v>
      </c>
      <c r="T34" s="2">
        <f>SUM($G$29:T32)</f>
        <v>21850.190274334942</v>
      </c>
      <c r="U34" s="2">
        <f>SUM($G$29:U32)</f>
        <v>21850.190274334942</v>
      </c>
      <c r="V34" s="2">
        <f>SUM($G$29:V32)</f>
        <v>21850.190274334942</v>
      </c>
      <c r="W34" s="2">
        <f>SUM($G$29:W32)</f>
        <v>21850.190274334942</v>
      </c>
      <c r="X34" s="2">
        <f>SUM($G$29:X32)</f>
        <v>21850.190274334942</v>
      </c>
      <c r="Y34" s="2">
        <f>SUM($G$29:Y32)</f>
        <v>21850.190274334942</v>
      </c>
      <c r="Z34" s="2">
        <f>SUM($G$29:Z32)</f>
        <v>21850.190274334942</v>
      </c>
      <c r="AA34" s="2">
        <f>SUM($G$29:AA32)</f>
        <v>21850.190274334942</v>
      </c>
    </row>
    <row r="35" spans="1:27" x14ac:dyDescent="0.25">
      <c r="G35" s="2"/>
      <c r="H35" s="2"/>
      <c r="I35" s="2"/>
      <c r="J35" s="2"/>
      <c r="K35" s="2"/>
      <c r="L35" s="2"/>
      <c r="M35" s="2"/>
      <c r="N35" s="2"/>
      <c r="O35" s="2"/>
      <c r="P35" s="2"/>
      <c r="Q35" s="2"/>
      <c r="R35" s="2"/>
      <c r="S35" s="2"/>
      <c r="T35" s="2"/>
      <c r="U35" s="2"/>
      <c r="V35" s="2"/>
      <c r="W35" s="2"/>
      <c r="X35" s="2"/>
      <c r="Y35" s="2"/>
      <c r="Z35" s="2"/>
      <c r="AA35" s="2"/>
    </row>
    <row r="36" spans="1:27" x14ac:dyDescent="0.25">
      <c r="A36" s="14">
        <f>'Notes &amp; Assumptions'!A24</f>
        <v>11</v>
      </c>
      <c r="C36" s="1" t="s">
        <v>107</v>
      </c>
      <c r="D36" s="1"/>
    </row>
    <row r="37" spans="1:27" x14ac:dyDescent="0.25">
      <c r="E37" s="2" t="str">
        <f>E7</f>
        <v>Pipes</v>
      </c>
      <c r="F37" t="s">
        <v>7</v>
      </c>
      <c r="G37" s="10"/>
      <c r="H37" s="10">
        <f>'Key assumptions'!$B33*(1+$G$14)^H2*(H90+H111+H132+H153)</f>
        <v>1111358.4999999998</v>
      </c>
      <c r="I37" s="10">
        <f>'Key assumptions'!$B33*(1+$G$14)^I2*(I90+I111+I132+I153)</f>
        <v>1131048.4849999996</v>
      </c>
      <c r="J37" s="10">
        <f>'Key assumptions'!$B33*(1+$G$14)^J2*(J90+J111+J132+J153)</f>
        <v>1172495.0270241247</v>
      </c>
      <c r="K37" s="10">
        <f>'Key assumptions'!$B33*(1+$G$14)^K2*(K90+K111+K132+K153)</f>
        <v>1154329.2700764416</v>
      </c>
      <c r="L37" s="10">
        <f>'Key assumptions'!$B33*(1+$G$14)^L2*(L90+L111+L132+L153)</f>
        <v>1132941.8497536825</v>
      </c>
      <c r="M37" s="10">
        <f>'Key assumptions'!$B33*(1+$G$14)^M2*(M90+M111+M132+M153)</f>
        <v>1112129.5041024233</v>
      </c>
      <c r="N37" s="10">
        <f>'Key assumptions'!$B33*(1+$G$14)^N2*(N90+N111+N132+N153)</f>
        <v>1089943.4125780698</v>
      </c>
      <c r="O37" s="10">
        <f>'Key assumptions'!$B33*(1+$G$14)^O2*(O90+O111+O132+O153)</f>
        <v>1067368.3265015802</v>
      </c>
      <c r="P37" s="10">
        <f>'Key assumptions'!$B33*(1+$G$14)^P2*(P90+P111+P132+P153)</f>
        <v>1153081.2062579067</v>
      </c>
      <c r="Q37" s="10">
        <f>'Key assumptions'!$B33*(1+$G$14)^Q2*(Q90+Q111+Q132+Q153)</f>
        <v>1246231.8112615247</v>
      </c>
      <c r="R37" s="10">
        <f>'Key assumptions'!$B33*(1+$G$14)^R2*(R90+R111+R132+R153)</f>
        <v>1347185.2049611674</v>
      </c>
      <c r="S37" s="10">
        <f>'Key assumptions'!$B33*(1+$G$14)^S2*(S90+S111+S132+S153)</f>
        <v>1457443.2411072867</v>
      </c>
      <c r="T37" s="10">
        <f>'Key assumptions'!$B33*(1+$G$14)^T2*(T90+T111+T132+T153)</f>
        <v>1576323.6749687917</v>
      </c>
      <c r="U37" s="10">
        <f>'Key assumptions'!$B33*(1+$G$14)^U2*(U90+U111+U132+U153)</f>
        <v>1598892.0443254721</v>
      </c>
      <c r="V37" s="10">
        <f>'Key assumptions'!$B33*(1+$G$14)^V2*(V90+V111+V132+V153)</f>
        <v>1620518.0541431566</v>
      </c>
      <c r="W37" s="10"/>
      <c r="X37" s="10"/>
      <c r="Y37" s="10"/>
      <c r="Z37" s="10"/>
      <c r="AA37" s="10"/>
    </row>
    <row r="38" spans="1:27" x14ac:dyDescent="0.25">
      <c r="E38" s="2" t="str">
        <f>E8</f>
        <v>Pumps</v>
      </c>
      <c r="F38" t="s">
        <v>7</v>
      </c>
      <c r="G38" s="10"/>
      <c r="H38" s="10"/>
      <c r="I38" s="10"/>
      <c r="J38" s="10"/>
      <c r="K38" s="10"/>
      <c r="L38" s="10"/>
      <c r="M38" s="10"/>
      <c r="N38" s="10"/>
      <c r="O38" s="10"/>
      <c r="P38" s="10"/>
      <c r="Q38" s="10"/>
      <c r="R38" s="10"/>
      <c r="S38" s="10"/>
      <c r="T38" s="10"/>
      <c r="U38" s="10"/>
      <c r="V38" s="10"/>
      <c r="W38" s="10"/>
      <c r="X38" s="10"/>
      <c r="Y38" s="10"/>
      <c r="Z38" s="10"/>
      <c r="AA38" s="10"/>
    </row>
    <row r="39" spans="1:27" x14ac:dyDescent="0.25">
      <c r="E39" s="2" t="str">
        <f>E9</f>
        <v>Valves and Meters</v>
      </c>
      <c r="F39" t="s">
        <v>7</v>
      </c>
      <c r="G39" s="10"/>
      <c r="H39" s="10"/>
      <c r="I39" s="10"/>
      <c r="J39" s="10"/>
      <c r="K39" s="10"/>
      <c r="L39" s="10"/>
      <c r="M39" s="10"/>
      <c r="N39" s="10"/>
      <c r="O39" s="10"/>
      <c r="P39" s="10"/>
      <c r="Q39" s="10"/>
      <c r="R39" s="10"/>
      <c r="S39" s="10"/>
      <c r="T39" s="10"/>
      <c r="U39" s="10"/>
      <c r="V39" s="10"/>
      <c r="W39" s="10"/>
      <c r="X39" s="10"/>
      <c r="Y39" s="10"/>
      <c r="Z39" s="10"/>
      <c r="AA39" s="10"/>
    </row>
    <row r="40" spans="1:27" x14ac:dyDescent="0.25">
      <c r="E40" s="2" t="str">
        <f>E10</f>
        <v>Temporary Assets</v>
      </c>
      <c r="F40" t="s">
        <v>7</v>
      </c>
      <c r="G40" s="10"/>
      <c r="H40" s="10"/>
      <c r="I40" s="10"/>
      <c r="J40" s="10"/>
      <c r="K40" s="10"/>
      <c r="L40" s="10"/>
      <c r="M40" s="10"/>
      <c r="N40" s="10"/>
      <c r="O40" s="10"/>
      <c r="P40" s="10"/>
      <c r="Q40" s="10"/>
      <c r="R40" s="10"/>
      <c r="S40" s="10"/>
      <c r="T40" s="10"/>
      <c r="U40" s="10"/>
      <c r="V40" s="10"/>
      <c r="W40" s="10"/>
      <c r="X40" s="10"/>
      <c r="Y40" s="10"/>
      <c r="Z40" s="10"/>
      <c r="AA40" s="10"/>
    </row>
    <row r="41" spans="1:27" x14ac:dyDescent="0.25">
      <c r="E41" t="s">
        <v>131</v>
      </c>
      <c r="F41" t="s">
        <v>7</v>
      </c>
      <c r="G41" s="10"/>
      <c r="H41" s="10"/>
      <c r="I41" s="10"/>
      <c r="J41" s="10"/>
      <c r="K41" s="10"/>
      <c r="L41" s="10"/>
      <c r="M41" s="10"/>
      <c r="N41" s="10"/>
      <c r="O41" s="10"/>
      <c r="P41" s="10"/>
      <c r="Q41" s="10"/>
      <c r="R41" s="10"/>
      <c r="S41" s="10"/>
      <c r="T41" s="10"/>
      <c r="U41" s="10"/>
      <c r="V41" s="10"/>
      <c r="W41" s="10"/>
      <c r="X41" s="10"/>
      <c r="Y41" s="10"/>
      <c r="Z41" s="10"/>
      <c r="AA41" s="10"/>
    </row>
    <row r="42" spans="1:27" x14ac:dyDescent="0.25">
      <c r="G42" s="2">
        <f>SUM(G37:G41)</f>
        <v>0</v>
      </c>
      <c r="H42" s="2">
        <f t="shared" ref="H42:AA42" si="3">SUM(H37:H41)</f>
        <v>1111358.4999999998</v>
      </c>
      <c r="I42" s="2">
        <f t="shared" si="3"/>
        <v>1131048.4849999996</v>
      </c>
      <c r="J42" s="2">
        <f t="shared" si="3"/>
        <v>1172495.0270241247</v>
      </c>
      <c r="K42" s="2">
        <f t="shared" si="3"/>
        <v>1154329.2700764416</v>
      </c>
      <c r="L42" s="2">
        <f t="shared" si="3"/>
        <v>1132941.8497536825</v>
      </c>
      <c r="M42" s="2">
        <f t="shared" si="3"/>
        <v>1112129.5041024233</v>
      </c>
      <c r="N42" s="2">
        <f t="shared" si="3"/>
        <v>1089943.4125780698</v>
      </c>
      <c r="O42" s="2">
        <f t="shared" si="3"/>
        <v>1067368.3265015802</v>
      </c>
      <c r="P42" s="2">
        <f t="shared" si="3"/>
        <v>1153081.2062579067</v>
      </c>
      <c r="Q42" s="2">
        <f t="shared" si="3"/>
        <v>1246231.8112615247</v>
      </c>
      <c r="R42" s="2">
        <f t="shared" si="3"/>
        <v>1347185.2049611674</v>
      </c>
      <c r="S42" s="2">
        <f t="shared" si="3"/>
        <v>1457443.2411072867</v>
      </c>
      <c r="T42" s="2">
        <f t="shared" si="3"/>
        <v>1576323.6749687917</v>
      </c>
      <c r="U42" s="2">
        <f t="shared" si="3"/>
        <v>1598892.0443254721</v>
      </c>
      <c r="V42" s="2">
        <f t="shared" si="3"/>
        <v>1620518.0541431566</v>
      </c>
      <c r="W42" s="2">
        <f t="shared" si="3"/>
        <v>0</v>
      </c>
      <c r="X42" s="2">
        <f t="shared" si="3"/>
        <v>0</v>
      </c>
      <c r="Y42" s="2">
        <f t="shared" si="3"/>
        <v>0</v>
      </c>
      <c r="Z42" s="2">
        <f t="shared" si="3"/>
        <v>0</v>
      </c>
      <c r="AA42" s="2">
        <f t="shared" si="3"/>
        <v>0</v>
      </c>
    </row>
    <row r="43" spans="1:27" x14ac:dyDescent="0.25">
      <c r="G43" s="2"/>
      <c r="H43" s="2"/>
      <c r="I43" s="2"/>
      <c r="J43" s="2"/>
      <c r="K43" s="2"/>
      <c r="L43" s="2"/>
      <c r="M43" s="2"/>
      <c r="N43" s="2"/>
      <c r="O43" s="2"/>
      <c r="P43" s="2"/>
      <c r="Q43" s="2"/>
    </row>
    <row r="44" spans="1:27" x14ac:dyDescent="0.25">
      <c r="D44" t="s">
        <v>134</v>
      </c>
      <c r="G44" s="2"/>
      <c r="H44" s="2"/>
      <c r="I44" s="2"/>
      <c r="J44" s="2"/>
      <c r="K44" s="2"/>
      <c r="L44" s="2"/>
      <c r="M44" s="2"/>
      <c r="N44" s="2"/>
      <c r="O44" s="2"/>
      <c r="P44" s="2"/>
      <c r="Q44" s="2"/>
    </row>
    <row r="45" spans="1:27" x14ac:dyDescent="0.25">
      <c r="E45" s="2" t="str">
        <f>E37</f>
        <v>Pipes</v>
      </c>
      <c r="F45" t="s">
        <v>7</v>
      </c>
      <c r="G45" s="2">
        <f t="shared" ref="G45:AA48" si="4">G37/$G7+IF((G$2-$G7+1)&gt;0,-INDEX($G37:$AA37,1,(G$2-$G7+1))/$G7,0)</f>
        <v>0</v>
      </c>
      <c r="H45" s="2">
        <f t="shared" si="4"/>
        <v>13891.981249999997</v>
      </c>
      <c r="I45" s="2">
        <f t="shared" si="4"/>
        <v>14138.106062499995</v>
      </c>
      <c r="J45" s="2">
        <f t="shared" si="4"/>
        <v>14656.187837801559</v>
      </c>
      <c r="K45" s="2">
        <f t="shared" si="4"/>
        <v>14429.11587595552</v>
      </c>
      <c r="L45" s="2">
        <f t="shared" si="4"/>
        <v>14161.773121921031</v>
      </c>
      <c r="M45" s="2">
        <f t="shared" si="4"/>
        <v>13901.618801280292</v>
      </c>
      <c r="N45" s="2">
        <f t="shared" si="4"/>
        <v>13624.292657225873</v>
      </c>
      <c r="O45" s="2">
        <f t="shared" si="4"/>
        <v>13342.104081269752</v>
      </c>
      <c r="P45" s="2">
        <f t="shared" si="4"/>
        <v>14413.515078223834</v>
      </c>
      <c r="Q45" s="2">
        <f t="shared" si="4"/>
        <v>15577.897640769059</v>
      </c>
      <c r="R45" s="2">
        <f t="shared" si="4"/>
        <v>16839.815062014593</v>
      </c>
      <c r="S45" s="2">
        <f t="shared" si="4"/>
        <v>18218.040513841082</v>
      </c>
      <c r="T45" s="2">
        <f t="shared" si="4"/>
        <v>19704.045937109895</v>
      </c>
      <c r="U45" s="2">
        <f t="shared" si="4"/>
        <v>19986.150554068401</v>
      </c>
      <c r="V45" s="2">
        <f t="shared" si="4"/>
        <v>20256.475676789458</v>
      </c>
      <c r="W45" s="2">
        <f t="shared" si="4"/>
        <v>0</v>
      </c>
      <c r="X45" s="2">
        <f t="shared" si="4"/>
        <v>0</v>
      </c>
      <c r="Y45" s="2">
        <f t="shared" si="4"/>
        <v>0</v>
      </c>
      <c r="Z45" s="2">
        <f t="shared" si="4"/>
        <v>0</v>
      </c>
      <c r="AA45" s="2">
        <f t="shared" si="4"/>
        <v>0</v>
      </c>
    </row>
    <row r="46" spans="1:27" x14ac:dyDescent="0.25">
      <c r="E46" s="2" t="str">
        <f t="shared" ref="E46:E48" si="5">E38</f>
        <v>Pumps</v>
      </c>
      <c r="F46" t="s">
        <v>7</v>
      </c>
      <c r="G46" s="2">
        <f t="shared" si="4"/>
        <v>0</v>
      </c>
      <c r="H46" s="2">
        <f t="shared" si="4"/>
        <v>0</v>
      </c>
      <c r="I46" s="2">
        <f t="shared" si="4"/>
        <v>0</v>
      </c>
      <c r="J46" s="2">
        <f t="shared" si="4"/>
        <v>0</v>
      </c>
      <c r="K46" s="2">
        <f t="shared" si="4"/>
        <v>0</v>
      </c>
      <c r="L46" s="2">
        <f t="shared" si="4"/>
        <v>0</v>
      </c>
      <c r="M46" s="2">
        <f t="shared" si="4"/>
        <v>0</v>
      </c>
      <c r="N46" s="2">
        <f t="shared" si="4"/>
        <v>0</v>
      </c>
      <c r="O46" s="2">
        <f t="shared" si="4"/>
        <v>0</v>
      </c>
      <c r="P46" s="2">
        <f t="shared" si="4"/>
        <v>0</v>
      </c>
      <c r="Q46" s="2">
        <f t="shared" si="4"/>
        <v>0</v>
      </c>
      <c r="R46" s="2">
        <f t="shared" si="4"/>
        <v>0</v>
      </c>
      <c r="S46" s="2">
        <f t="shared" si="4"/>
        <v>0</v>
      </c>
      <c r="T46" s="2">
        <f t="shared" si="4"/>
        <v>0</v>
      </c>
      <c r="U46" s="2">
        <f t="shared" si="4"/>
        <v>0</v>
      </c>
      <c r="V46" s="2">
        <f t="shared" si="4"/>
        <v>0</v>
      </c>
      <c r="W46" s="2">
        <f t="shared" si="4"/>
        <v>0</v>
      </c>
      <c r="X46" s="2">
        <f t="shared" si="4"/>
        <v>0</v>
      </c>
      <c r="Y46" s="2">
        <f t="shared" si="4"/>
        <v>0</v>
      </c>
      <c r="Z46" s="2">
        <f t="shared" si="4"/>
        <v>0</v>
      </c>
      <c r="AA46" s="2">
        <f t="shared" si="4"/>
        <v>0</v>
      </c>
    </row>
    <row r="47" spans="1:27" x14ac:dyDescent="0.25">
      <c r="E47" s="2" t="str">
        <f t="shared" si="5"/>
        <v>Valves and Meters</v>
      </c>
      <c r="F47" t="s">
        <v>7</v>
      </c>
      <c r="G47" s="2">
        <f t="shared" si="4"/>
        <v>0</v>
      </c>
      <c r="H47" s="2">
        <f t="shared" si="4"/>
        <v>0</v>
      </c>
      <c r="I47" s="2">
        <f t="shared" si="4"/>
        <v>0</v>
      </c>
      <c r="J47" s="2">
        <f t="shared" si="4"/>
        <v>0</v>
      </c>
      <c r="K47" s="2">
        <f t="shared" si="4"/>
        <v>0</v>
      </c>
      <c r="L47" s="2">
        <f t="shared" si="4"/>
        <v>0</v>
      </c>
      <c r="M47" s="2">
        <f t="shared" si="4"/>
        <v>0</v>
      </c>
      <c r="N47" s="2">
        <f t="shared" si="4"/>
        <v>0</v>
      </c>
      <c r="O47" s="2">
        <f t="shared" si="4"/>
        <v>0</v>
      </c>
      <c r="P47" s="2">
        <f t="shared" si="4"/>
        <v>0</v>
      </c>
      <c r="Q47" s="2">
        <f t="shared" si="4"/>
        <v>0</v>
      </c>
      <c r="R47" s="2">
        <f t="shared" si="4"/>
        <v>0</v>
      </c>
      <c r="S47" s="2">
        <f t="shared" si="4"/>
        <v>0</v>
      </c>
      <c r="T47" s="2">
        <f t="shared" si="4"/>
        <v>0</v>
      </c>
      <c r="U47" s="2">
        <f t="shared" si="4"/>
        <v>0</v>
      </c>
      <c r="V47" s="2">
        <f t="shared" si="4"/>
        <v>0</v>
      </c>
      <c r="W47" s="2">
        <f t="shared" si="4"/>
        <v>0</v>
      </c>
      <c r="X47" s="2">
        <f t="shared" si="4"/>
        <v>0</v>
      </c>
      <c r="Y47" s="2">
        <f t="shared" si="4"/>
        <v>0</v>
      </c>
      <c r="Z47" s="2">
        <f t="shared" si="4"/>
        <v>0</v>
      </c>
      <c r="AA47" s="2">
        <f t="shared" si="4"/>
        <v>0</v>
      </c>
    </row>
    <row r="48" spans="1:27" x14ac:dyDescent="0.25">
      <c r="E48" s="2" t="str">
        <f t="shared" si="5"/>
        <v>Temporary Assets</v>
      </c>
      <c r="F48" t="s">
        <v>7</v>
      </c>
      <c r="G48" s="2">
        <f t="shared" si="4"/>
        <v>0</v>
      </c>
      <c r="H48" s="2">
        <f t="shared" si="4"/>
        <v>0</v>
      </c>
      <c r="I48" s="2">
        <f t="shared" si="4"/>
        <v>0</v>
      </c>
      <c r="J48" s="2">
        <f t="shared" si="4"/>
        <v>0</v>
      </c>
      <c r="K48" s="2">
        <f t="shared" si="4"/>
        <v>0</v>
      </c>
      <c r="L48" s="2">
        <f t="shared" si="4"/>
        <v>0</v>
      </c>
      <c r="M48" s="2">
        <f t="shared" si="4"/>
        <v>0</v>
      </c>
      <c r="N48" s="2">
        <f t="shared" si="4"/>
        <v>0</v>
      </c>
      <c r="O48" s="2">
        <f t="shared" si="4"/>
        <v>0</v>
      </c>
      <c r="P48" s="2">
        <f t="shared" si="4"/>
        <v>0</v>
      </c>
      <c r="Q48" s="2">
        <f t="shared" si="4"/>
        <v>0</v>
      </c>
      <c r="R48" s="2">
        <f t="shared" si="4"/>
        <v>0</v>
      </c>
      <c r="S48" s="2">
        <f t="shared" si="4"/>
        <v>0</v>
      </c>
      <c r="T48" s="2">
        <f t="shared" si="4"/>
        <v>0</v>
      </c>
      <c r="U48" s="2">
        <f t="shared" si="4"/>
        <v>0</v>
      </c>
      <c r="V48" s="2">
        <f t="shared" si="4"/>
        <v>0</v>
      </c>
      <c r="W48" s="2">
        <f t="shared" si="4"/>
        <v>0</v>
      </c>
      <c r="X48" s="2">
        <f t="shared" si="4"/>
        <v>0</v>
      </c>
      <c r="Y48" s="2">
        <f t="shared" si="4"/>
        <v>0</v>
      </c>
      <c r="Z48" s="2">
        <f t="shared" si="4"/>
        <v>0</v>
      </c>
      <c r="AA48" s="2">
        <f t="shared" si="4"/>
        <v>0</v>
      </c>
    </row>
    <row r="49" spans="1:27" x14ac:dyDescent="0.25">
      <c r="G49" s="2"/>
      <c r="H49" s="2"/>
      <c r="I49" s="2"/>
      <c r="J49" s="2"/>
      <c r="K49" s="2"/>
      <c r="L49" s="2"/>
      <c r="M49" s="2"/>
      <c r="N49" s="2"/>
      <c r="O49" s="2"/>
      <c r="P49" s="2"/>
      <c r="Q49" s="2"/>
    </row>
    <row r="50" spans="1:27" x14ac:dyDescent="0.25">
      <c r="D50" t="s">
        <v>135</v>
      </c>
      <c r="F50" t="s">
        <v>7</v>
      </c>
      <c r="G50" s="2">
        <f>SUM($G$45:G48)</f>
        <v>0</v>
      </c>
      <c r="H50" s="2">
        <f>SUM($G$45:H48)</f>
        <v>13891.981249999997</v>
      </c>
      <c r="I50" s="2">
        <f>SUM($G$45:I48)</f>
        <v>28030.087312499993</v>
      </c>
      <c r="J50" s="2">
        <f>SUM($G$45:J48)</f>
        <v>42686.275150301553</v>
      </c>
      <c r="K50" s="2">
        <f>SUM($G$45:K48)</f>
        <v>57115.391026257072</v>
      </c>
      <c r="L50" s="2">
        <f>SUM($G$45:L48)</f>
        <v>71277.164148178097</v>
      </c>
      <c r="M50" s="2">
        <f>SUM($G$45:M48)</f>
        <v>85178.782949458386</v>
      </c>
      <c r="N50" s="2">
        <f>SUM($G$45:N48)</f>
        <v>98803.075606684259</v>
      </c>
      <c r="O50" s="2">
        <f>SUM($G$45:O48)</f>
        <v>112145.17968795401</v>
      </c>
      <c r="P50" s="2">
        <f>SUM($G$45:P48)</f>
        <v>126558.69476617784</v>
      </c>
      <c r="Q50" s="2">
        <f>SUM($G$45:Q48)</f>
        <v>142136.5924069469</v>
      </c>
      <c r="R50" s="2">
        <f>SUM($G$45:R48)</f>
        <v>158976.40746896149</v>
      </c>
      <c r="S50" s="2">
        <f>SUM($G$45:S48)</f>
        <v>177194.44798280258</v>
      </c>
      <c r="T50" s="2">
        <f>SUM($G$45:T48)</f>
        <v>196898.49391991246</v>
      </c>
      <c r="U50" s="2">
        <f>SUM($G$45:U48)</f>
        <v>216884.64447398088</v>
      </c>
      <c r="V50" s="2">
        <f>SUM($G$45:V48)</f>
        <v>237141.12015077035</v>
      </c>
      <c r="W50" s="2">
        <f>SUM($G$45:W48)</f>
        <v>237141.12015077035</v>
      </c>
      <c r="X50" s="2">
        <f>SUM($G$45:X48)</f>
        <v>237141.12015077035</v>
      </c>
      <c r="Y50" s="2">
        <f>SUM($G$45:Y48)</f>
        <v>237141.12015077035</v>
      </c>
      <c r="Z50" s="2">
        <f>SUM($G$45:Z48)</f>
        <v>237141.12015077035</v>
      </c>
      <c r="AA50" s="2">
        <f>SUM($G$45:AA48)</f>
        <v>237141.12015077035</v>
      </c>
    </row>
    <row r="51" spans="1:27" x14ac:dyDescent="0.25">
      <c r="G51" s="2"/>
      <c r="H51" s="2"/>
      <c r="I51" s="2"/>
      <c r="J51" s="2"/>
      <c r="K51" s="2"/>
      <c r="L51" s="2"/>
      <c r="M51" s="2"/>
      <c r="N51" s="2"/>
      <c r="O51" s="2"/>
      <c r="P51" s="2"/>
      <c r="Q51" s="2"/>
      <c r="R51" s="2"/>
      <c r="S51" s="2"/>
      <c r="T51" s="2"/>
      <c r="U51" s="2"/>
      <c r="V51" s="2"/>
      <c r="W51" s="2"/>
      <c r="X51" s="2"/>
      <c r="Y51" s="2"/>
      <c r="Z51" s="2"/>
      <c r="AA51" s="2"/>
    </row>
    <row r="52" spans="1:27" x14ac:dyDescent="0.25">
      <c r="A52" s="14">
        <f>'Notes &amp; Assumptions'!A25</f>
        <v>12</v>
      </c>
      <c r="C52" s="1" t="s">
        <v>109</v>
      </c>
      <c r="G52" s="2"/>
      <c r="H52" s="2"/>
      <c r="I52" s="2"/>
      <c r="J52" s="2"/>
      <c r="K52" s="2"/>
      <c r="L52" s="2"/>
      <c r="M52" s="2"/>
      <c r="N52" s="2"/>
      <c r="O52" s="2"/>
      <c r="P52" s="2"/>
      <c r="Q52" s="2"/>
      <c r="R52" s="2"/>
      <c r="S52" s="2"/>
      <c r="T52" s="2"/>
      <c r="U52" s="2"/>
      <c r="V52" s="2"/>
      <c r="W52" s="2"/>
      <c r="X52" s="2"/>
      <c r="Y52" s="2"/>
      <c r="Z52" s="2"/>
      <c r="AA52" s="2"/>
    </row>
    <row r="53" spans="1:27" x14ac:dyDescent="0.25">
      <c r="E53" t="s">
        <v>109</v>
      </c>
      <c r="F53" t="s">
        <v>7</v>
      </c>
      <c r="G53" s="10"/>
      <c r="H53" s="10"/>
      <c r="I53" s="10"/>
      <c r="J53" s="10"/>
      <c r="K53" s="10"/>
      <c r="L53" s="10"/>
      <c r="M53" s="10"/>
      <c r="N53" s="10"/>
      <c r="O53" s="10"/>
      <c r="P53" s="10"/>
      <c r="Q53" s="10"/>
      <c r="R53" s="10"/>
      <c r="S53" s="10"/>
      <c r="T53" s="10"/>
      <c r="U53" s="10"/>
      <c r="V53" s="10"/>
      <c r="W53" s="10"/>
      <c r="X53" s="10"/>
      <c r="Y53" s="10"/>
      <c r="Z53" s="10"/>
      <c r="AA53" s="10"/>
    </row>
    <row r="55" spans="1:27" x14ac:dyDescent="0.25">
      <c r="C55" s="1" t="s">
        <v>25</v>
      </c>
      <c r="D55" s="1"/>
    </row>
    <row r="56" spans="1:27" x14ac:dyDescent="0.25">
      <c r="A56" s="14">
        <f>'Notes &amp; Assumptions'!A26</f>
        <v>13</v>
      </c>
      <c r="D56" t="s">
        <v>2</v>
      </c>
    </row>
    <row r="57" spans="1:27" x14ac:dyDescent="0.25">
      <c r="E57" s="2" t="str">
        <f>E7</f>
        <v>Pipes</v>
      </c>
      <c r="F57" t="s">
        <v>7</v>
      </c>
      <c r="G57" s="10"/>
      <c r="H57" s="10"/>
      <c r="I57" s="10"/>
      <c r="J57" s="10"/>
      <c r="K57" s="10"/>
      <c r="L57" s="10"/>
      <c r="M57" s="10"/>
      <c r="N57" s="10"/>
      <c r="O57" s="10"/>
      <c r="P57" s="10"/>
      <c r="Q57" s="10"/>
      <c r="R57" s="10"/>
      <c r="S57" s="10"/>
      <c r="T57" s="10"/>
      <c r="U57" s="10"/>
      <c r="V57" s="10"/>
      <c r="W57" s="10"/>
      <c r="X57" s="10"/>
      <c r="Y57" s="10"/>
      <c r="Z57" s="10"/>
      <c r="AA57" s="10"/>
    </row>
    <row r="58" spans="1:27" x14ac:dyDescent="0.25">
      <c r="E58" s="2" t="str">
        <f>E8</f>
        <v>Pumps</v>
      </c>
      <c r="F58" t="s">
        <v>7</v>
      </c>
      <c r="G58" s="10"/>
      <c r="H58" s="10"/>
      <c r="I58" s="10"/>
      <c r="J58" s="10"/>
      <c r="K58" s="10"/>
      <c r="L58" s="10"/>
      <c r="M58" s="10"/>
      <c r="N58" s="10"/>
      <c r="O58" s="10"/>
      <c r="P58" s="10"/>
      <c r="Q58" s="10"/>
      <c r="R58" s="10"/>
      <c r="S58" s="10"/>
      <c r="T58" s="10"/>
      <c r="U58" s="10"/>
      <c r="V58" s="10"/>
      <c r="W58" s="10"/>
      <c r="X58" s="10"/>
      <c r="Y58" s="10"/>
      <c r="Z58" s="10"/>
      <c r="AA58" s="10"/>
    </row>
    <row r="59" spans="1:27" x14ac:dyDescent="0.25">
      <c r="E59" s="2" t="str">
        <f>E9</f>
        <v>Valves and Meters</v>
      </c>
      <c r="F59" t="s">
        <v>7</v>
      </c>
      <c r="G59" s="10"/>
      <c r="H59" s="10"/>
      <c r="I59" s="10"/>
      <c r="J59" s="10"/>
      <c r="K59" s="10"/>
      <c r="L59" s="10"/>
      <c r="M59" s="10"/>
      <c r="N59" s="10"/>
      <c r="O59" s="10"/>
      <c r="P59" s="10"/>
      <c r="Q59" s="10"/>
      <c r="R59" s="10"/>
      <c r="S59" s="10"/>
      <c r="T59" s="10"/>
      <c r="U59" s="10"/>
      <c r="V59" s="10"/>
      <c r="W59" s="10"/>
      <c r="X59" s="10"/>
      <c r="Y59" s="10"/>
      <c r="Z59" s="10"/>
      <c r="AA59" s="10"/>
    </row>
    <row r="60" spans="1:27" x14ac:dyDescent="0.25">
      <c r="E60" t="s">
        <v>131</v>
      </c>
      <c r="F60" t="s">
        <v>7</v>
      </c>
      <c r="G60" s="10"/>
      <c r="H60" s="10"/>
      <c r="I60" s="10"/>
      <c r="J60" s="10"/>
      <c r="K60" s="10"/>
      <c r="L60" s="10"/>
      <c r="M60" s="10"/>
      <c r="N60" s="10"/>
      <c r="O60" s="10"/>
      <c r="P60" s="10"/>
      <c r="Q60" s="10"/>
      <c r="R60" s="10"/>
      <c r="S60" s="10"/>
      <c r="T60" s="10"/>
      <c r="U60" s="10"/>
      <c r="V60" s="10"/>
      <c r="W60" s="10"/>
      <c r="X60" s="10"/>
      <c r="Y60" s="10"/>
      <c r="Z60" s="10"/>
      <c r="AA60" s="10"/>
    </row>
    <row r="61" spans="1:27" x14ac:dyDescent="0.25">
      <c r="G61" s="2">
        <f>SUM(G57:G60)</f>
        <v>0</v>
      </c>
      <c r="H61" s="2">
        <f t="shared" ref="H61:AA61" si="6">SUM(H57:H60)</f>
        <v>0</v>
      </c>
      <c r="I61" s="2">
        <f t="shared" si="6"/>
        <v>0</v>
      </c>
      <c r="J61" s="2">
        <f t="shared" si="6"/>
        <v>0</v>
      </c>
      <c r="K61" s="2">
        <f t="shared" si="6"/>
        <v>0</v>
      </c>
      <c r="L61" s="2">
        <f t="shared" si="6"/>
        <v>0</v>
      </c>
      <c r="M61" s="2">
        <f t="shared" si="6"/>
        <v>0</v>
      </c>
      <c r="N61" s="2">
        <f t="shared" si="6"/>
        <v>0</v>
      </c>
      <c r="O61" s="2">
        <f t="shared" si="6"/>
        <v>0</v>
      </c>
      <c r="P61" s="2">
        <f t="shared" si="6"/>
        <v>0</v>
      </c>
      <c r="Q61" s="2">
        <f t="shared" si="6"/>
        <v>0</v>
      </c>
      <c r="R61" s="2">
        <f t="shared" si="6"/>
        <v>0</v>
      </c>
      <c r="S61" s="2">
        <f t="shared" si="6"/>
        <v>0</v>
      </c>
      <c r="T61" s="2">
        <f t="shared" si="6"/>
        <v>0</v>
      </c>
      <c r="U61" s="2">
        <f t="shared" si="6"/>
        <v>0</v>
      </c>
      <c r="V61" s="2">
        <f t="shared" si="6"/>
        <v>0</v>
      </c>
      <c r="W61" s="2">
        <f t="shared" si="6"/>
        <v>0</v>
      </c>
      <c r="X61" s="2">
        <f t="shared" si="6"/>
        <v>0</v>
      </c>
      <c r="Y61" s="2">
        <f t="shared" si="6"/>
        <v>0</v>
      </c>
      <c r="Z61" s="2">
        <f t="shared" si="6"/>
        <v>0</v>
      </c>
      <c r="AA61" s="2">
        <f t="shared" si="6"/>
        <v>0</v>
      </c>
    </row>
    <row r="63" spans="1:27" x14ac:dyDescent="0.25">
      <c r="D63" t="s">
        <v>136</v>
      </c>
      <c r="G63" s="2"/>
      <c r="H63" s="2"/>
      <c r="I63" s="2"/>
      <c r="J63" s="2"/>
      <c r="K63" s="2"/>
      <c r="L63" s="2"/>
      <c r="M63" s="2"/>
      <c r="N63" s="2"/>
      <c r="O63" s="2"/>
      <c r="P63" s="2"/>
      <c r="Q63" s="2"/>
    </row>
    <row r="64" spans="1:27" x14ac:dyDescent="0.25">
      <c r="E64" s="2" t="str">
        <f>E57</f>
        <v>Pipes</v>
      </c>
      <c r="F64" t="s">
        <v>7</v>
      </c>
      <c r="G64" s="2">
        <f t="shared" ref="G64:AA66" si="7">G57/$G7+IF((G$2-$G7+1)&gt;0,-INDEX($G57:$AA57,1,(G$2-$G7+1))/$G7,0)</f>
        <v>0</v>
      </c>
      <c r="H64" s="2">
        <f t="shared" si="7"/>
        <v>0</v>
      </c>
      <c r="I64" s="2">
        <f t="shared" si="7"/>
        <v>0</v>
      </c>
      <c r="J64" s="2">
        <f t="shared" si="7"/>
        <v>0</v>
      </c>
      <c r="K64" s="2">
        <f t="shared" si="7"/>
        <v>0</v>
      </c>
      <c r="L64" s="2">
        <f t="shared" si="7"/>
        <v>0</v>
      </c>
      <c r="M64" s="2">
        <f t="shared" si="7"/>
        <v>0</v>
      </c>
      <c r="N64" s="2">
        <f t="shared" si="7"/>
        <v>0</v>
      </c>
      <c r="O64" s="2">
        <f t="shared" si="7"/>
        <v>0</v>
      </c>
      <c r="P64" s="2">
        <f t="shared" si="7"/>
        <v>0</v>
      </c>
      <c r="Q64" s="2">
        <f t="shared" si="7"/>
        <v>0</v>
      </c>
      <c r="R64" s="2">
        <f t="shared" si="7"/>
        <v>0</v>
      </c>
      <c r="S64" s="2">
        <f t="shared" si="7"/>
        <v>0</v>
      </c>
      <c r="T64" s="2">
        <f t="shared" si="7"/>
        <v>0</v>
      </c>
      <c r="U64" s="2">
        <f t="shared" si="7"/>
        <v>0</v>
      </c>
      <c r="V64" s="2">
        <f t="shared" si="7"/>
        <v>0</v>
      </c>
      <c r="W64" s="2">
        <f t="shared" si="7"/>
        <v>0</v>
      </c>
      <c r="X64" s="2">
        <f t="shared" si="7"/>
        <v>0</v>
      </c>
      <c r="Y64" s="2">
        <f t="shared" si="7"/>
        <v>0</v>
      </c>
      <c r="Z64" s="2">
        <f t="shared" si="7"/>
        <v>0</v>
      </c>
      <c r="AA64" s="2">
        <f t="shared" si="7"/>
        <v>0</v>
      </c>
    </row>
    <row r="65" spans="1:27" x14ac:dyDescent="0.25">
      <c r="E65" s="2" t="str">
        <f t="shared" ref="E65:E66" si="8">E58</f>
        <v>Pumps</v>
      </c>
      <c r="F65" t="s">
        <v>7</v>
      </c>
      <c r="G65" s="2">
        <f t="shared" si="7"/>
        <v>0</v>
      </c>
      <c r="H65" s="2">
        <f t="shared" si="7"/>
        <v>0</v>
      </c>
      <c r="I65" s="2">
        <f t="shared" si="7"/>
        <v>0</v>
      </c>
      <c r="J65" s="2">
        <f t="shared" si="7"/>
        <v>0</v>
      </c>
      <c r="K65" s="2">
        <f t="shared" si="7"/>
        <v>0</v>
      </c>
      <c r="L65" s="2">
        <f t="shared" si="7"/>
        <v>0</v>
      </c>
      <c r="M65" s="2">
        <f t="shared" si="7"/>
        <v>0</v>
      </c>
      <c r="N65" s="2">
        <f t="shared" si="7"/>
        <v>0</v>
      </c>
      <c r="O65" s="2">
        <f t="shared" si="7"/>
        <v>0</v>
      </c>
      <c r="P65" s="2">
        <f t="shared" si="7"/>
        <v>0</v>
      </c>
      <c r="Q65" s="2">
        <f t="shared" si="7"/>
        <v>0</v>
      </c>
      <c r="R65" s="2">
        <f t="shared" si="7"/>
        <v>0</v>
      </c>
      <c r="S65" s="2">
        <f t="shared" si="7"/>
        <v>0</v>
      </c>
      <c r="T65" s="2">
        <f t="shared" si="7"/>
        <v>0</v>
      </c>
      <c r="U65" s="2">
        <f t="shared" si="7"/>
        <v>0</v>
      </c>
      <c r="V65" s="2">
        <f t="shared" si="7"/>
        <v>0</v>
      </c>
      <c r="W65" s="2">
        <f t="shared" si="7"/>
        <v>0</v>
      </c>
      <c r="X65" s="2">
        <f t="shared" si="7"/>
        <v>0</v>
      </c>
      <c r="Y65" s="2">
        <f t="shared" si="7"/>
        <v>0</v>
      </c>
      <c r="Z65" s="2">
        <f t="shared" si="7"/>
        <v>0</v>
      </c>
      <c r="AA65" s="2">
        <f t="shared" si="7"/>
        <v>0</v>
      </c>
    </row>
    <row r="66" spans="1:27" x14ac:dyDescent="0.25">
      <c r="E66" s="2" t="str">
        <f t="shared" si="8"/>
        <v>Valves and Meters</v>
      </c>
      <c r="F66" t="s">
        <v>7</v>
      </c>
      <c r="G66" s="2">
        <f t="shared" si="7"/>
        <v>0</v>
      </c>
      <c r="H66" s="2">
        <f t="shared" si="7"/>
        <v>0</v>
      </c>
      <c r="I66" s="2">
        <f t="shared" si="7"/>
        <v>0</v>
      </c>
      <c r="J66" s="2">
        <f t="shared" si="7"/>
        <v>0</v>
      </c>
      <c r="K66" s="2">
        <f t="shared" si="7"/>
        <v>0</v>
      </c>
      <c r="L66" s="2">
        <f t="shared" si="7"/>
        <v>0</v>
      </c>
      <c r="M66" s="2">
        <f t="shared" si="7"/>
        <v>0</v>
      </c>
      <c r="N66" s="2">
        <f t="shared" si="7"/>
        <v>0</v>
      </c>
      <c r="O66" s="2">
        <f t="shared" si="7"/>
        <v>0</v>
      </c>
      <c r="P66" s="2">
        <f t="shared" si="7"/>
        <v>0</v>
      </c>
      <c r="Q66" s="2">
        <f t="shared" si="7"/>
        <v>0</v>
      </c>
      <c r="R66" s="2">
        <f t="shared" si="7"/>
        <v>0</v>
      </c>
      <c r="S66" s="2">
        <f t="shared" si="7"/>
        <v>0</v>
      </c>
      <c r="T66" s="2">
        <f t="shared" si="7"/>
        <v>0</v>
      </c>
      <c r="U66" s="2">
        <f t="shared" si="7"/>
        <v>0</v>
      </c>
      <c r="V66" s="2">
        <f t="shared" si="7"/>
        <v>0</v>
      </c>
      <c r="W66" s="2">
        <f t="shared" si="7"/>
        <v>0</v>
      </c>
      <c r="X66" s="2">
        <f t="shared" si="7"/>
        <v>0</v>
      </c>
      <c r="Y66" s="2">
        <f t="shared" si="7"/>
        <v>0</v>
      </c>
      <c r="Z66" s="2">
        <f t="shared" si="7"/>
        <v>0</v>
      </c>
      <c r="AA66" s="2">
        <f t="shared" si="7"/>
        <v>0</v>
      </c>
    </row>
    <row r="68" spans="1:27" x14ac:dyDescent="0.25">
      <c r="D68" t="s">
        <v>137</v>
      </c>
      <c r="F68" t="s">
        <v>7</v>
      </c>
      <c r="G68" s="2">
        <f>SUM($G$64:G66)</f>
        <v>0</v>
      </c>
      <c r="H68" s="2">
        <f>SUM($G$64:H66)</f>
        <v>0</v>
      </c>
      <c r="I68" s="2">
        <f>SUM($G$64:I66)</f>
        <v>0</v>
      </c>
      <c r="J68" s="2">
        <f>SUM($G$64:J66)</f>
        <v>0</v>
      </c>
      <c r="K68" s="2">
        <f>SUM($G$64:K66)</f>
        <v>0</v>
      </c>
      <c r="L68" s="2">
        <f>SUM($G$64:L66)</f>
        <v>0</v>
      </c>
      <c r="M68" s="2">
        <f>SUM($G$64:M66)</f>
        <v>0</v>
      </c>
      <c r="N68" s="2">
        <f>SUM($G$64:N66)</f>
        <v>0</v>
      </c>
      <c r="O68" s="2">
        <f>SUM($G$64:O66)</f>
        <v>0</v>
      </c>
      <c r="P68" s="2">
        <f>SUM($G$64:P66)</f>
        <v>0</v>
      </c>
      <c r="Q68" s="2">
        <f>SUM($G$64:Q66)</f>
        <v>0</v>
      </c>
      <c r="R68" s="2">
        <f>SUM($G$64:R66)</f>
        <v>0</v>
      </c>
      <c r="S68" s="2">
        <f>SUM($G$64:S66)</f>
        <v>0</v>
      </c>
      <c r="T68" s="2">
        <f>SUM($G$64:T66)</f>
        <v>0</v>
      </c>
      <c r="U68" s="2">
        <f>SUM($G$64:U66)</f>
        <v>0</v>
      </c>
      <c r="V68" s="2">
        <f>SUM($G$64:V66)</f>
        <v>0</v>
      </c>
      <c r="W68" s="2">
        <f>SUM($G$64:W66)</f>
        <v>0</v>
      </c>
      <c r="X68" s="2">
        <f>SUM($G$64:X66)</f>
        <v>0</v>
      </c>
      <c r="Y68" s="2">
        <f>SUM($G$64:Y66)</f>
        <v>0</v>
      </c>
      <c r="Z68" s="2">
        <f>SUM($G$64:Z66)</f>
        <v>0</v>
      </c>
      <c r="AA68" s="2">
        <f>SUM($G$64:AA66)</f>
        <v>0</v>
      </c>
    </row>
    <row r="70" spans="1:27" x14ac:dyDescent="0.25">
      <c r="A70" s="14">
        <f>'Notes &amp; Assumptions'!A27</f>
        <v>14</v>
      </c>
      <c r="D70" t="s">
        <v>6</v>
      </c>
    </row>
    <row r="71" spans="1:27" x14ac:dyDescent="0.25">
      <c r="E71" s="2" t="str">
        <f>E7</f>
        <v>Pipes</v>
      </c>
      <c r="F71" t="s">
        <v>7</v>
      </c>
      <c r="G71" s="10"/>
      <c r="H71" s="10"/>
      <c r="I71" s="10"/>
      <c r="J71" s="10"/>
      <c r="K71" s="10"/>
      <c r="L71" s="10"/>
      <c r="M71" s="10"/>
      <c r="N71" s="10"/>
      <c r="O71" s="10"/>
      <c r="P71" s="10"/>
      <c r="Q71" s="10"/>
      <c r="R71" s="10"/>
      <c r="S71" s="10"/>
      <c r="T71" s="10"/>
      <c r="U71" s="10"/>
      <c r="V71" s="10"/>
      <c r="W71" s="10"/>
      <c r="X71" s="10"/>
      <c r="Y71" s="10"/>
      <c r="Z71" s="10"/>
      <c r="AA71" s="10"/>
    </row>
    <row r="72" spans="1:27" x14ac:dyDescent="0.25">
      <c r="E72" s="2" t="str">
        <f>E8</f>
        <v>Pumps</v>
      </c>
      <c r="F72" t="s">
        <v>7</v>
      </c>
      <c r="G72" s="10"/>
      <c r="H72" s="10"/>
      <c r="I72" s="10"/>
      <c r="J72" s="10"/>
      <c r="K72" s="10"/>
      <c r="L72" s="10"/>
      <c r="M72" s="10"/>
      <c r="N72" s="10"/>
      <c r="O72" s="10"/>
      <c r="P72" s="10"/>
      <c r="Q72" s="10"/>
      <c r="R72" s="10"/>
      <c r="S72" s="10"/>
      <c r="T72" s="10"/>
      <c r="U72" s="10"/>
      <c r="V72" s="10"/>
      <c r="W72" s="10"/>
      <c r="X72" s="10"/>
      <c r="Y72" s="10"/>
      <c r="Z72" s="10"/>
      <c r="AA72" s="10"/>
    </row>
    <row r="73" spans="1:27" x14ac:dyDescent="0.25">
      <c r="E73" s="2" t="str">
        <f>E9</f>
        <v>Valves and Meters</v>
      </c>
      <c r="F73" t="s">
        <v>7</v>
      </c>
      <c r="G73" s="10"/>
      <c r="H73" s="10"/>
      <c r="I73" s="10"/>
      <c r="J73" s="10"/>
      <c r="K73" s="10"/>
      <c r="L73" s="10"/>
      <c r="M73" s="10"/>
      <c r="N73" s="10"/>
      <c r="O73" s="10"/>
      <c r="P73" s="10"/>
      <c r="Q73" s="10"/>
      <c r="R73" s="10"/>
      <c r="S73" s="10"/>
      <c r="T73" s="10"/>
      <c r="U73" s="10"/>
      <c r="V73" s="10"/>
      <c r="W73" s="10"/>
      <c r="X73" s="10"/>
      <c r="Y73" s="10"/>
      <c r="Z73" s="10"/>
      <c r="AA73" s="10"/>
    </row>
    <row r="74" spans="1:27" x14ac:dyDescent="0.25">
      <c r="E74" t="s">
        <v>131</v>
      </c>
      <c r="F74" t="s">
        <v>7</v>
      </c>
      <c r="G74" s="10"/>
      <c r="H74" s="10"/>
      <c r="I74" s="10"/>
      <c r="J74" s="10"/>
      <c r="K74" s="10"/>
      <c r="L74" s="10"/>
      <c r="M74" s="10"/>
      <c r="N74" s="10"/>
      <c r="O74" s="10"/>
      <c r="P74" s="10"/>
      <c r="Q74" s="10"/>
      <c r="R74" s="10"/>
      <c r="S74" s="10"/>
      <c r="T74" s="10"/>
      <c r="U74" s="10"/>
      <c r="V74" s="10"/>
      <c r="W74" s="10"/>
      <c r="X74" s="10"/>
      <c r="Y74" s="10"/>
      <c r="Z74" s="10"/>
      <c r="AA74" s="10"/>
    </row>
    <row r="75" spans="1:27" x14ac:dyDescent="0.25">
      <c r="G75" s="2">
        <f>SUM(G71:G74)</f>
        <v>0</v>
      </c>
      <c r="H75" s="2">
        <f t="shared" ref="H75:AA75" si="9">SUM(H71:H74)</f>
        <v>0</v>
      </c>
      <c r="I75" s="2">
        <f t="shared" si="9"/>
        <v>0</v>
      </c>
      <c r="J75" s="2">
        <f t="shared" si="9"/>
        <v>0</v>
      </c>
      <c r="K75" s="2">
        <f t="shared" si="9"/>
        <v>0</v>
      </c>
      <c r="L75" s="2">
        <f t="shared" si="9"/>
        <v>0</v>
      </c>
      <c r="M75" s="2">
        <f t="shared" si="9"/>
        <v>0</v>
      </c>
      <c r="N75" s="2">
        <f t="shared" si="9"/>
        <v>0</v>
      </c>
      <c r="O75" s="2">
        <f t="shared" si="9"/>
        <v>0</v>
      </c>
      <c r="P75" s="2">
        <f t="shared" si="9"/>
        <v>0</v>
      </c>
      <c r="Q75" s="2">
        <f t="shared" si="9"/>
        <v>0</v>
      </c>
      <c r="R75" s="2">
        <f t="shared" si="9"/>
        <v>0</v>
      </c>
      <c r="S75" s="2">
        <f t="shared" si="9"/>
        <v>0</v>
      </c>
      <c r="T75" s="2">
        <f t="shared" si="9"/>
        <v>0</v>
      </c>
      <c r="U75" s="2">
        <f t="shared" si="9"/>
        <v>0</v>
      </c>
      <c r="V75" s="2">
        <f t="shared" si="9"/>
        <v>0</v>
      </c>
      <c r="W75" s="2">
        <f t="shared" si="9"/>
        <v>0</v>
      </c>
      <c r="X75" s="2">
        <f t="shared" si="9"/>
        <v>0</v>
      </c>
      <c r="Y75" s="2">
        <f t="shared" si="9"/>
        <v>0</v>
      </c>
      <c r="Z75" s="2">
        <f t="shared" si="9"/>
        <v>0</v>
      </c>
      <c r="AA75" s="2">
        <f t="shared" si="9"/>
        <v>0</v>
      </c>
    </row>
    <row r="76" spans="1:27" x14ac:dyDescent="0.25">
      <c r="G76" s="2"/>
      <c r="H76" s="2"/>
      <c r="I76" s="2"/>
      <c r="J76" s="2"/>
      <c r="K76" s="2"/>
      <c r="L76" s="2"/>
      <c r="M76" s="2"/>
      <c r="N76" s="2"/>
      <c r="O76" s="2"/>
      <c r="P76" s="2"/>
      <c r="Q76" s="2"/>
      <c r="R76" s="2"/>
      <c r="S76" s="2"/>
      <c r="T76" s="2"/>
      <c r="U76" s="2"/>
      <c r="V76" s="2"/>
      <c r="W76" s="2"/>
      <c r="X76" s="2"/>
      <c r="Y76" s="2"/>
      <c r="Z76" s="2"/>
      <c r="AA76" s="2"/>
    </row>
    <row r="77" spans="1:27" x14ac:dyDescent="0.25">
      <c r="D77" t="s">
        <v>136</v>
      </c>
      <c r="G77" s="2"/>
      <c r="H77" s="2"/>
      <c r="I77" s="2"/>
      <c r="J77" s="2"/>
      <c r="K77" s="2"/>
      <c r="L77" s="2"/>
      <c r="M77" s="2"/>
      <c r="N77" s="2"/>
      <c r="O77" s="2"/>
      <c r="P77" s="2"/>
      <c r="Q77" s="2"/>
    </row>
    <row r="78" spans="1:27" x14ac:dyDescent="0.25">
      <c r="E78" s="2" t="str">
        <f>E71</f>
        <v>Pipes</v>
      </c>
      <c r="F78" t="s">
        <v>7</v>
      </c>
      <c r="G78" s="2">
        <f t="shared" ref="G78:AA80" si="10">G71/$G7+IF((G$2-$G7+1)&gt;0,-INDEX($G71:$AA71,1,(G$2-$G7+1))/$G7,0)</f>
        <v>0</v>
      </c>
      <c r="H78" s="2">
        <f t="shared" si="10"/>
        <v>0</v>
      </c>
      <c r="I78" s="2">
        <f t="shared" si="10"/>
        <v>0</v>
      </c>
      <c r="J78" s="2">
        <f t="shared" si="10"/>
        <v>0</v>
      </c>
      <c r="K78" s="2">
        <f t="shared" si="10"/>
        <v>0</v>
      </c>
      <c r="L78" s="2">
        <f t="shared" si="10"/>
        <v>0</v>
      </c>
      <c r="M78" s="2">
        <f t="shared" si="10"/>
        <v>0</v>
      </c>
      <c r="N78" s="2">
        <f t="shared" si="10"/>
        <v>0</v>
      </c>
      <c r="O78" s="2">
        <f t="shared" si="10"/>
        <v>0</v>
      </c>
      <c r="P78" s="2">
        <f t="shared" si="10"/>
        <v>0</v>
      </c>
      <c r="Q78" s="2">
        <f t="shared" si="10"/>
        <v>0</v>
      </c>
      <c r="R78" s="2">
        <f t="shared" si="10"/>
        <v>0</v>
      </c>
      <c r="S78" s="2">
        <f t="shared" si="10"/>
        <v>0</v>
      </c>
      <c r="T78" s="2">
        <f t="shared" si="10"/>
        <v>0</v>
      </c>
      <c r="U78" s="2">
        <f t="shared" si="10"/>
        <v>0</v>
      </c>
      <c r="V78" s="2">
        <f t="shared" si="10"/>
        <v>0</v>
      </c>
      <c r="W78" s="2">
        <f t="shared" si="10"/>
        <v>0</v>
      </c>
      <c r="X78" s="2">
        <f t="shared" si="10"/>
        <v>0</v>
      </c>
      <c r="Y78" s="2">
        <f t="shared" si="10"/>
        <v>0</v>
      </c>
      <c r="Z78" s="2">
        <f t="shared" si="10"/>
        <v>0</v>
      </c>
      <c r="AA78" s="2">
        <f t="shared" si="10"/>
        <v>0</v>
      </c>
    </row>
    <row r="79" spans="1:27" x14ac:dyDescent="0.25">
      <c r="E79" s="2" t="str">
        <f t="shared" ref="E79:E80" si="11">E72</f>
        <v>Pumps</v>
      </c>
      <c r="F79" t="s">
        <v>7</v>
      </c>
      <c r="G79" s="2">
        <f t="shared" si="10"/>
        <v>0</v>
      </c>
      <c r="H79" s="2">
        <f t="shared" si="10"/>
        <v>0</v>
      </c>
      <c r="I79" s="2">
        <f t="shared" si="10"/>
        <v>0</v>
      </c>
      <c r="J79" s="2">
        <f t="shared" si="10"/>
        <v>0</v>
      </c>
      <c r="K79" s="2">
        <f t="shared" si="10"/>
        <v>0</v>
      </c>
      <c r="L79" s="2">
        <f t="shared" si="10"/>
        <v>0</v>
      </c>
      <c r="M79" s="2">
        <f t="shared" si="10"/>
        <v>0</v>
      </c>
      <c r="N79" s="2">
        <f t="shared" si="10"/>
        <v>0</v>
      </c>
      <c r="O79" s="2">
        <f t="shared" si="10"/>
        <v>0</v>
      </c>
      <c r="P79" s="2">
        <f t="shared" si="10"/>
        <v>0</v>
      </c>
      <c r="Q79" s="2">
        <f t="shared" si="10"/>
        <v>0</v>
      </c>
      <c r="R79" s="2">
        <f t="shared" si="10"/>
        <v>0</v>
      </c>
      <c r="S79" s="2">
        <f t="shared" si="10"/>
        <v>0</v>
      </c>
      <c r="T79" s="2">
        <f t="shared" si="10"/>
        <v>0</v>
      </c>
      <c r="U79" s="2">
        <f t="shared" si="10"/>
        <v>0</v>
      </c>
      <c r="V79" s="2">
        <f t="shared" si="10"/>
        <v>0</v>
      </c>
      <c r="W79" s="2">
        <f t="shared" si="10"/>
        <v>0</v>
      </c>
      <c r="X79" s="2">
        <f t="shared" si="10"/>
        <v>0</v>
      </c>
      <c r="Y79" s="2">
        <f t="shared" si="10"/>
        <v>0</v>
      </c>
      <c r="Z79" s="2">
        <f t="shared" si="10"/>
        <v>0</v>
      </c>
      <c r="AA79" s="2">
        <f t="shared" si="10"/>
        <v>0</v>
      </c>
    </row>
    <row r="80" spans="1:27" x14ac:dyDescent="0.25">
      <c r="E80" s="2" t="str">
        <f t="shared" si="11"/>
        <v>Valves and Meters</v>
      </c>
      <c r="F80" t="s">
        <v>7</v>
      </c>
      <c r="G80" s="2">
        <f t="shared" si="10"/>
        <v>0</v>
      </c>
      <c r="H80" s="2">
        <f t="shared" si="10"/>
        <v>0</v>
      </c>
      <c r="I80" s="2">
        <f t="shared" si="10"/>
        <v>0</v>
      </c>
      <c r="J80" s="2">
        <f t="shared" si="10"/>
        <v>0</v>
      </c>
      <c r="K80" s="2">
        <f t="shared" si="10"/>
        <v>0</v>
      </c>
      <c r="L80" s="2">
        <f t="shared" si="10"/>
        <v>0</v>
      </c>
      <c r="M80" s="2">
        <f t="shared" si="10"/>
        <v>0</v>
      </c>
      <c r="N80" s="2">
        <f t="shared" si="10"/>
        <v>0</v>
      </c>
      <c r="O80" s="2">
        <f t="shared" si="10"/>
        <v>0</v>
      </c>
      <c r="P80" s="2">
        <f t="shared" si="10"/>
        <v>0</v>
      </c>
      <c r="Q80" s="2">
        <f t="shared" si="10"/>
        <v>0</v>
      </c>
      <c r="R80" s="2">
        <f t="shared" si="10"/>
        <v>0</v>
      </c>
      <c r="S80" s="2">
        <f t="shared" si="10"/>
        <v>0</v>
      </c>
      <c r="T80" s="2">
        <f t="shared" si="10"/>
        <v>0</v>
      </c>
      <c r="U80" s="2">
        <f t="shared" si="10"/>
        <v>0</v>
      </c>
      <c r="V80" s="2">
        <f t="shared" si="10"/>
        <v>0</v>
      </c>
      <c r="W80" s="2">
        <f t="shared" si="10"/>
        <v>0</v>
      </c>
      <c r="X80" s="2">
        <f t="shared" si="10"/>
        <v>0</v>
      </c>
      <c r="Y80" s="2">
        <f t="shared" si="10"/>
        <v>0</v>
      </c>
      <c r="Z80" s="2">
        <f t="shared" si="10"/>
        <v>0</v>
      </c>
      <c r="AA80" s="2">
        <f t="shared" si="10"/>
        <v>0</v>
      </c>
    </row>
    <row r="82" spans="1:27" x14ac:dyDescent="0.25">
      <c r="D82" t="s">
        <v>137</v>
      </c>
      <c r="F82" t="s">
        <v>7</v>
      </c>
      <c r="G82" s="2">
        <f>SUM($G$77:G80)</f>
        <v>0</v>
      </c>
      <c r="H82" s="2">
        <f>SUM($G$77:H80)</f>
        <v>0</v>
      </c>
      <c r="I82" s="2">
        <f>SUM($G$77:I80)</f>
        <v>0</v>
      </c>
      <c r="J82" s="2">
        <f>SUM($G$77:J80)</f>
        <v>0</v>
      </c>
      <c r="K82" s="2">
        <f>SUM($G$77:K80)</f>
        <v>0</v>
      </c>
      <c r="L82" s="2">
        <f>SUM($G$77:L80)</f>
        <v>0</v>
      </c>
      <c r="M82" s="2">
        <f>SUM($G$77:M80)</f>
        <v>0</v>
      </c>
      <c r="N82" s="2">
        <f>SUM($G$77:N80)</f>
        <v>0</v>
      </c>
      <c r="O82" s="2">
        <f>SUM($G$77:O80)</f>
        <v>0</v>
      </c>
      <c r="P82" s="2">
        <f>SUM($G$77:P80)</f>
        <v>0</v>
      </c>
      <c r="Q82" s="2">
        <f>SUM($G$77:Q80)</f>
        <v>0</v>
      </c>
      <c r="R82" s="2">
        <f>SUM($G$77:R80)</f>
        <v>0</v>
      </c>
      <c r="S82" s="2">
        <f>SUM($G$77:S80)</f>
        <v>0</v>
      </c>
      <c r="T82" s="2">
        <f>SUM($G$77:T80)</f>
        <v>0</v>
      </c>
      <c r="U82" s="2">
        <f>SUM($G$77:U80)</f>
        <v>0</v>
      </c>
      <c r="V82" s="2">
        <f>SUM($G$77:V80)</f>
        <v>0</v>
      </c>
      <c r="W82" s="2">
        <f>SUM($G$77:W80)</f>
        <v>0</v>
      </c>
      <c r="X82" s="2">
        <f>SUM($G$77:X80)</f>
        <v>0</v>
      </c>
      <c r="Y82" s="2">
        <f>SUM($G$77:Y80)</f>
        <v>0</v>
      </c>
      <c r="Z82" s="2">
        <f>SUM($G$77:Z80)</f>
        <v>0</v>
      </c>
      <c r="AA82" s="2">
        <f>SUM($G$77:AA80)</f>
        <v>0</v>
      </c>
    </row>
    <row r="83" spans="1:27" x14ac:dyDescent="0.25">
      <c r="G83" s="2"/>
      <c r="H83" s="2"/>
      <c r="I83" s="2"/>
      <c r="J83" s="2"/>
      <c r="K83" s="2"/>
      <c r="L83" s="2"/>
      <c r="M83" s="2"/>
      <c r="N83" s="2"/>
      <c r="O83" s="2"/>
      <c r="P83" s="2"/>
      <c r="Q83" s="2"/>
      <c r="R83" s="2"/>
      <c r="S83" s="2"/>
      <c r="T83" s="2"/>
      <c r="U83" s="2"/>
      <c r="V83" s="2"/>
      <c r="W83" s="2"/>
      <c r="X83" s="2"/>
      <c r="Y83" s="2"/>
      <c r="Z83" s="2"/>
      <c r="AA83" s="2"/>
    </row>
    <row r="84" spans="1:27" x14ac:dyDescent="0.25">
      <c r="D84" t="s">
        <v>138</v>
      </c>
      <c r="F84" t="s">
        <v>7</v>
      </c>
      <c r="G84" s="2">
        <f t="shared" ref="G84:AA84" si="12">G61-G75</f>
        <v>0</v>
      </c>
      <c r="H84" s="2">
        <f t="shared" si="12"/>
        <v>0</v>
      </c>
      <c r="I84" s="2">
        <f t="shared" si="12"/>
        <v>0</v>
      </c>
      <c r="J84" s="2">
        <f t="shared" si="12"/>
        <v>0</v>
      </c>
      <c r="K84" s="2">
        <f t="shared" si="12"/>
        <v>0</v>
      </c>
      <c r="L84" s="2">
        <f t="shared" si="12"/>
        <v>0</v>
      </c>
      <c r="M84" s="2">
        <f t="shared" si="12"/>
        <v>0</v>
      </c>
      <c r="N84" s="2">
        <f t="shared" si="12"/>
        <v>0</v>
      </c>
      <c r="O84" s="2">
        <f t="shared" si="12"/>
        <v>0</v>
      </c>
      <c r="P84" s="2">
        <f t="shared" si="12"/>
        <v>0</v>
      </c>
      <c r="Q84" s="2">
        <f t="shared" si="12"/>
        <v>0</v>
      </c>
      <c r="R84" s="2">
        <f t="shared" si="12"/>
        <v>0</v>
      </c>
      <c r="S84" s="2">
        <f t="shared" si="12"/>
        <v>0</v>
      </c>
      <c r="T84" s="2">
        <f t="shared" si="12"/>
        <v>0</v>
      </c>
      <c r="U84" s="2">
        <f t="shared" si="12"/>
        <v>0</v>
      </c>
      <c r="V84" s="2">
        <f t="shared" si="12"/>
        <v>0</v>
      </c>
      <c r="W84" s="2">
        <f t="shared" si="12"/>
        <v>0</v>
      </c>
      <c r="X84" s="2">
        <f t="shared" si="12"/>
        <v>0</v>
      </c>
      <c r="Y84" s="2">
        <f t="shared" si="12"/>
        <v>0</v>
      </c>
      <c r="Z84" s="2">
        <f t="shared" si="12"/>
        <v>0</v>
      </c>
      <c r="AA84" s="2">
        <f t="shared" si="12"/>
        <v>0</v>
      </c>
    </row>
    <row r="85" spans="1:27" x14ac:dyDescent="0.25">
      <c r="D85" t="s">
        <v>139</v>
      </c>
      <c r="F85" t="s">
        <v>7</v>
      </c>
      <c r="G85" s="2">
        <f t="shared" ref="G85:AA85" si="13">-G68+G82</f>
        <v>0</v>
      </c>
      <c r="H85" s="2">
        <f t="shared" si="13"/>
        <v>0</v>
      </c>
      <c r="I85" s="2">
        <f t="shared" si="13"/>
        <v>0</v>
      </c>
      <c r="J85" s="2">
        <f t="shared" si="13"/>
        <v>0</v>
      </c>
      <c r="K85" s="2">
        <f t="shared" si="13"/>
        <v>0</v>
      </c>
      <c r="L85" s="2">
        <f t="shared" si="13"/>
        <v>0</v>
      </c>
      <c r="M85" s="2">
        <f t="shared" si="13"/>
        <v>0</v>
      </c>
      <c r="N85" s="2">
        <f t="shared" si="13"/>
        <v>0</v>
      </c>
      <c r="O85" s="2">
        <f t="shared" si="13"/>
        <v>0</v>
      </c>
      <c r="P85" s="2">
        <f t="shared" si="13"/>
        <v>0</v>
      </c>
      <c r="Q85" s="2">
        <f t="shared" si="13"/>
        <v>0</v>
      </c>
      <c r="R85" s="2">
        <f t="shared" si="13"/>
        <v>0</v>
      </c>
      <c r="S85" s="2">
        <f t="shared" si="13"/>
        <v>0</v>
      </c>
      <c r="T85" s="2">
        <f t="shared" si="13"/>
        <v>0</v>
      </c>
      <c r="U85" s="2">
        <f t="shared" si="13"/>
        <v>0</v>
      </c>
      <c r="V85" s="2">
        <f t="shared" si="13"/>
        <v>0</v>
      </c>
      <c r="W85" s="2">
        <f t="shared" si="13"/>
        <v>0</v>
      </c>
      <c r="X85" s="2">
        <f t="shared" si="13"/>
        <v>0</v>
      </c>
      <c r="Y85" s="2">
        <f t="shared" si="13"/>
        <v>0</v>
      </c>
      <c r="Z85" s="2">
        <f t="shared" si="13"/>
        <v>0</v>
      </c>
      <c r="AA85" s="2">
        <f t="shared" si="13"/>
        <v>0</v>
      </c>
    </row>
    <row r="87" spans="1:27" x14ac:dyDescent="0.25">
      <c r="C87" s="1" t="str">
        <f>"Incremental "&amp;G4&amp;" Service Revenue"</f>
        <v>Incremental Recycled Water Service Revenue</v>
      </c>
      <c r="D87" s="1"/>
    </row>
    <row r="88" spans="1:27" x14ac:dyDescent="0.25">
      <c r="C88" s="1"/>
      <c r="D88" s="1"/>
    </row>
    <row r="89" spans="1:27" x14ac:dyDescent="0.25">
      <c r="C89" s="1"/>
      <c r="D89" t="s">
        <v>59</v>
      </c>
    </row>
    <row r="90" spans="1:27" x14ac:dyDescent="0.25">
      <c r="A90" s="14">
        <f>'Notes &amp; Assumptions'!A28</f>
        <v>15</v>
      </c>
      <c r="C90" s="1"/>
      <c r="D90" s="1"/>
      <c r="E90" t="s">
        <v>87</v>
      </c>
      <c r="F90" t="s">
        <v>3</v>
      </c>
      <c r="H90" s="10">
        <f>'Customer numbers'!P64</f>
        <v>311</v>
      </c>
      <c r="I90" s="10">
        <f>'Customer numbers'!Q64</f>
        <v>310</v>
      </c>
      <c r="J90" s="10">
        <f>'Customer numbers'!R64</f>
        <v>314.75</v>
      </c>
      <c r="K90" s="10">
        <f>'Customer numbers'!S64</f>
        <v>303.5</v>
      </c>
      <c r="L90" s="10">
        <f>'Customer numbers'!T64</f>
        <v>291.75</v>
      </c>
      <c r="M90" s="10">
        <f>'Customer numbers'!U64</f>
        <v>280.5</v>
      </c>
      <c r="N90" s="10">
        <f>'Customer numbers'!V64</f>
        <v>269.25</v>
      </c>
      <c r="O90" s="10">
        <f>'Customer numbers'!W64</f>
        <v>258.25</v>
      </c>
      <c r="P90" s="10">
        <f>'Customer numbers'!X64</f>
        <v>273.25</v>
      </c>
      <c r="Q90" s="10">
        <f>'Customer numbers'!Y64</f>
        <v>289.25</v>
      </c>
      <c r="R90" s="10">
        <f>'Customer numbers'!Z64</f>
        <v>306.25</v>
      </c>
      <c r="S90" s="10">
        <f>'Customer numbers'!AA64</f>
        <v>324.5</v>
      </c>
      <c r="T90" s="10">
        <f>'Customer numbers'!AB64</f>
        <v>343.75</v>
      </c>
      <c r="U90" s="10">
        <f>'Customer numbers'!AC64</f>
        <v>341.5</v>
      </c>
      <c r="V90" s="10">
        <f>'Customer numbers'!AD64</f>
        <v>339</v>
      </c>
    </row>
    <row r="91" spans="1:27" x14ac:dyDescent="0.25">
      <c r="C91" s="1"/>
      <c r="D91" s="1"/>
      <c r="E91" t="s">
        <v>60</v>
      </c>
      <c r="F91" t="s">
        <v>3</v>
      </c>
      <c r="H91" s="2">
        <f>G91+H90</f>
        <v>311</v>
      </c>
      <c r="I91" s="2">
        <f t="shared" ref="I91:AA91" si="14">H91+I90</f>
        <v>621</v>
      </c>
      <c r="J91" s="2">
        <f t="shared" si="14"/>
        <v>935.75</v>
      </c>
      <c r="K91" s="2">
        <f t="shared" si="14"/>
        <v>1239.25</v>
      </c>
      <c r="L91" s="2">
        <f t="shared" si="14"/>
        <v>1531</v>
      </c>
      <c r="M91" s="2">
        <f t="shared" si="14"/>
        <v>1811.5</v>
      </c>
      <c r="N91" s="2">
        <f t="shared" si="14"/>
        <v>2080.75</v>
      </c>
      <c r="O91" s="2">
        <f t="shared" si="14"/>
        <v>2339</v>
      </c>
      <c r="P91" s="2">
        <f t="shared" si="14"/>
        <v>2612.25</v>
      </c>
      <c r="Q91" s="2">
        <f t="shared" si="14"/>
        <v>2901.5</v>
      </c>
      <c r="R91" s="2">
        <f t="shared" si="14"/>
        <v>3207.75</v>
      </c>
      <c r="S91" s="2">
        <f t="shared" si="14"/>
        <v>3532.25</v>
      </c>
      <c r="T91" s="2">
        <f t="shared" si="14"/>
        <v>3876</v>
      </c>
      <c r="U91" s="2">
        <f t="shared" si="14"/>
        <v>4217.5</v>
      </c>
      <c r="V91" s="2">
        <f t="shared" si="14"/>
        <v>4556.5</v>
      </c>
      <c r="W91" s="2">
        <f t="shared" si="14"/>
        <v>4556.5</v>
      </c>
      <c r="X91" s="2">
        <f t="shared" si="14"/>
        <v>4556.5</v>
      </c>
      <c r="Y91" s="2">
        <f t="shared" si="14"/>
        <v>4556.5</v>
      </c>
      <c r="Z91" s="2">
        <f t="shared" si="14"/>
        <v>4556.5</v>
      </c>
      <c r="AA91" s="2">
        <f t="shared" si="14"/>
        <v>4556.5</v>
      </c>
    </row>
    <row r="92" spans="1:27" x14ac:dyDescent="0.25">
      <c r="A92" s="14">
        <f>'Notes &amp; Assumptions'!A29</f>
        <v>16</v>
      </c>
      <c r="C92" s="1"/>
      <c r="D92" s="1"/>
      <c r="E92" t="s">
        <v>61</v>
      </c>
      <c r="F92" t="s">
        <v>3</v>
      </c>
      <c r="G92" s="10">
        <v>1</v>
      </c>
    </row>
    <row r="93" spans="1:27" x14ac:dyDescent="0.25">
      <c r="C93" s="1"/>
      <c r="D93" s="1"/>
      <c r="E93" t="s">
        <v>88</v>
      </c>
      <c r="F93" t="s">
        <v>3</v>
      </c>
      <c r="H93">
        <f>H90*$G92</f>
        <v>311</v>
      </c>
      <c r="I93">
        <f t="shared" ref="I93:AA93" si="15">I90*$G92</f>
        <v>310</v>
      </c>
      <c r="J93">
        <f t="shared" si="15"/>
        <v>314.75</v>
      </c>
      <c r="K93">
        <f t="shared" si="15"/>
        <v>303.5</v>
      </c>
      <c r="L93">
        <f t="shared" si="15"/>
        <v>291.75</v>
      </c>
      <c r="M93">
        <f t="shared" si="15"/>
        <v>280.5</v>
      </c>
      <c r="N93">
        <f t="shared" si="15"/>
        <v>269.25</v>
      </c>
      <c r="O93">
        <f t="shared" si="15"/>
        <v>258.25</v>
      </c>
      <c r="P93">
        <f t="shared" si="15"/>
        <v>273.25</v>
      </c>
      <c r="Q93">
        <f t="shared" si="15"/>
        <v>289.25</v>
      </c>
      <c r="R93">
        <f t="shared" si="15"/>
        <v>306.25</v>
      </c>
      <c r="S93">
        <f t="shared" si="15"/>
        <v>324.5</v>
      </c>
      <c r="T93">
        <f t="shared" si="15"/>
        <v>343.75</v>
      </c>
      <c r="U93">
        <f t="shared" si="15"/>
        <v>341.5</v>
      </c>
      <c r="V93">
        <f t="shared" si="15"/>
        <v>339</v>
      </c>
      <c r="W93">
        <f t="shared" si="15"/>
        <v>0</v>
      </c>
      <c r="X93">
        <f t="shared" si="15"/>
        <v>0</v>
      </c>
      <c r="Y93">
        <f t="shared" si="15"/>
        <v>0</v>
      </c>
      <c r="Z93">
        <f t="shared" si="15"/>
        <v>0</v>
      </c>
      <c r="AA93">
        <f t="shared" si="15"/>
        <v>0</v>
      </c>
    </row>
    <row r="94" spans="1:27" x14ac:dyDescent="0.25">
      <c r="C94" s="1"/>
      <c r="D94" s="1"/>
      <c r="E94" t="s">
        <v>89</v>
      </c>
      <c r="F94" t="s">
        <v>3</v>
      </c>
      <c r="H94">
        <f>H91*$G92</f>
        <v>311</v>
      </c>
      <c r="I94">
        <f t="shared" ref="I94:AA94" si="16">I91*$G92</f>
        <v>621</v>
      </c>
      <c r="J94">
        <f t="shared" si="16"/>
        <v>935.75</v>
      </c>
      <c r="K94">
        <f t="shared" si="16"/>
        <v>1239.25</v>
      </c>
      <c r="L94">
        <f t="shared" si="16"/>
        <v>1531</v>
      </c>
      <c r="M94">
        <f t="shared" si="16"/>
        <v>1811.5</v>
      </c>
      <c r="N94">
        <f t="shared" si="16"/>
        <v>2080.75</v>
      </c>
      <c r="O94">
        <f t="shared" si="16"/>
        <v>2339</v>
      </c>
      <c r="P94">
        <f t="shared" si="16"/>
        <v>2612.25</v>
      </c>
      <c r="Q94">
        <f t="shared" si="16"/>
        <v>2901.5</v>
      </c>
      <c r="R94">
        <f t="shared" si="16"/>
        <v>3207.75</v>
      </c>
      <c r="S94">
        <f t="shared" si="16"/>
        <v>3532.25</v>
      </c>
      <c r="T94">
        <f t="shared" si="16"/>
        <v>3876</v>
      </c>
      <c r="U94">
        <f t="shared" si="16"/>
        <v>4217.5</v>
      </c>
      <c r="V94">
        <f t="shared" si="16"/>
        <v>4556.5</v>
      </c>
      <c r="W94">
        <f t="shared" si="16"/>
        <v>4556.5</v>
      </c>
      <c r="X94">
        <f t="shared" si="16"/>
        <v>4556.5</v>
      </c>
      <c r="Y94">
        <f t="shared" si="16"/>
        <v>4556.5</v>
      </c>
      <c r="Z94">
        <f t="shared" si="16"/>
        <v>4556.5</v>
      </c>
      <c r="AA94">
        <f t="shared" si="16"/>
        <v>4556.5</v>
      </c>
    </row>
    <row r="95" spans="1:27" x14ac:dyDescent="0.25">
      <c r="A95" s="14">
        <f>'Notes &amp; Assumptions'!A30</f>
        <v>17</v>
      </c>
      <c r="C95" s="1"/>
      <c r="D95" s="1"/>
      <c r="E95" t="s">
        <v>62</v>
      </c>
      <c r="F95" t="s">
        <v>43</v>
      </c>
      <c r="H95" s="10">
        <f>'Key assumptions'!B24</f>
        <v>40</v>
      </c>
      <c r="I95" s="10">
        <f>H95</f>
        <v>40</v>
      </c>
      <c r="J95" s="10">
        <f t="shared" ref="J95:AA95" si="17">I95</f>
        <v>40</v>
      </c>
      <c r="K95" s="10">
        <f t="shared" si="17"/>
        <v>40</v>
      </c>
      <c r="L95" s="10">
        <f t="shared" si="17"/>
        <v>40</v>
      </c>
      <c r="M95" s="10">
        <f t="shared" si="17"/>
        <v>40</v>
      </c>
      <c r="N95" s="10">
        <f t="shared" si="17"/>
        <v>40</v>
      </c>
      <c r="O95" s="10">
        <f t="shared" si="17"/>
        <v>40</v>
      </c>
      <c r="P95" s="10">
        <f t="shared" si="17"/>
        <v>40</v>
      </c>
      <c r="Q95" s="10">
        <f t="shared" si="17"/>
        <v>40</v>
      </c>
      <c r="R95" s="10">
        <f t="shared" si="17"/>
        <v>40</v>
      </c>
      <c r="S95" s="10">
        <f t="shared" si="17"/>
        <v>40</v>
      </c>
      <c r="T95" s="10">
        <f t="shared" si="17"/>
        <v>40</v>
      </c>
      <c r="U95" s="10">
        <f t="shared" si="17"/>
        <v>40</v>
      </c>
      <c r="V95" s="10">
        <f t="shared" si="17"/>
        <v>40</v>
      </c>
      <c r="W95" s="10">
        <f t="shared" si="17"/>
        <v>40</v>
      </c>
      <c r="X95" s="10">
        <f t="shared" si="17"/>
        <v>40</v>
      </c>
      <c r="Y95" s="10">
        <f t="shared" si="17"/>
        <v>40</v>
      </c>
      <c r="Z95" s="10">
        <f t="shared" si="17"/>
        <v>40</v>
      </c>
      <c r="AA95" s="10">
        <f t="shared" si="17"/>
        <v>40</v>
      </c>
    </row>
    <row r="96" spans="1:27" x14ac:dyDescent="0.25">
      <c r="C96" s="1"/>
      <c r="D96" s="1"/>
      <c r="E96" t="s">
        <v>63</v>
      </c>
      <c r="F96" t="s">
        <v>43</v>
      </c>
      <c r="H96" s="10"/>
      <c r="I96" s="10"/>
      <c r="J96" s="10"/>
      <c r="K96" s="10"/>
      <c r="L96" s="10"/>
      <c r="M96" s="10"/>
      <c r="N96" s="10"/>
      <c r="O96" s="10"/>
      <c r="P96" s="10"/>
      <c r="Q96" s="10"/>
      <c r="R96" s="10"/>
      <c r="S96" s="10"/>
      <c r="T96" s="10"/>
      <c r="U96" s="10"/>
      <c r="V96" s="10"/>
      <c r="W96" s="10"/>
      <c r="X96" s="10"/>
      <c r="Y96" s="10"/>
      <c r="Z96" s="10"/>
      <c r="AA96" s="10"/>
    </row>
    <row r="97" spans="1:27" x14ac:dyDescent="0.25">
      <c r="C97" s="1"/>
      <c r="D97" s="1"/>
      <c r="E97" t="s">
        <v>140</v>
      </c>
      <c r="F97" t="s">
        <v>43</v>
      </c>
      <c r="H97" s="10"/>
      <c r="I97" s="10"/>
      <c r="J97" s="10"/>
      <c r="K97" s="10"/>
      <c r="L97" s="10"/>
      <c r="M97" s="10"/>
      <c r="N97" s="10"/>
      <c r="O97" s="10"/>
      <c r="P97" s="10"/>
      <c r="Q97" s="10"/>
      <c r="R97" s="10"/>
      <c r="S97" s="10"/>
      <c r="T97" s="10"/>
      <c r="U97" s="10"/>
      <c r="V97" s="10"/>
      <c r="W97" s="10"/>
      <c r="X97" s="10"/>
      <c r="Y97" s="10"/>
      <c r="Z97" s="10"/>
      <c r="AA97" s="10"/>
    </row>
    <row r="98" spans="1:27" x14ac:dyDescent="0.25">
      <c r="C98" s="1"/>
      <c r="D98" s="1"/>
      <c r="E98" t="s">
        <v>64</v>
      </c>
      <c r="F98" t="s">
        <v>144</v>
      </c>
      <c r="H98" s="2">
        <f>H91*H95</f>
        <v>12440</v>
      </c>
      <c r="I98" s="2">
        <f t="shared" ref="I98:AA98" si="18">I91*I95</f>
        <v>24840</v>
      </c>
      <c r="J98" s="2">
        <f t="shared" si="18"/>
        <v>37430</v>
      </c>
      <c r="K98" s="2">
        <f t="shared" si="18"/>
        <v>49570</v>
      </c>
      <c r="L98" s="2">
        <f t="shared" si="18"/>
        <v>61240</v>
      </c>
      <c r="M98" s="2">
        <f t="shared" si="18"/>
        <v>72460</v>
      </c>
      <c r="N98" s="2">
        <f t="shared" si="18"/>
        <v>83230</v>
      </c>
      <c r="O98" s="2">
        <f t="shared" si="18"/>
        <v>93560</v>
      </c>
      <c r="P98" s="2">
        <f t="shared" si="18"/>
        <v>104490</v>
      </c>
      <c r="Q98" s="2">
        <f t="shared" si="18"/>
        <v>116060</v>
      </c>
      <c r="R98" s="2">
        <f t="shared" si="18"/>
        <v>128310</v>
      </c>
      <c r="S98" s="2">
        <f t="shared" si="18"/>
        <v>141290</v>
      </c>
      <c r="T98" s="2">
        <f t="shared" si="18"/>
        <v>155040</v>
      </c>
      <c r="U98" s="2">
        <f t="shared" si="18"/>
        <v>168700</v>
      </c>
      <c r="V98" s="2">
        <f t="shared" si="18"/>
        <v>182260</v>
      </c>
      <c r="W98" s="2">
        <f t="shared" si="18"/>
        <v>182260</v>
      </c>
      <c r="X98" s="2">
        <f t="shared" si="18"/>
        <v>182260</v>
      </c>
      <c r="Y98" s="2">
        <f t="shared" si="18"/>
        <v>182260</v>
      </c>
      <c r="Z98" s="2">
        <f t="shared" si="18"/>
        <v>182260</v>
      </c>
      <c r="AA98" s="2">
        <f t="shared" si="18"/>
        <v>182260</v>
      </c>
    </row>
    <row r="99" spans="1:27" x14ac:dyDescent="0.25">
      <c r="C99" s="1"/>
      <c r="D99" s="1"/>
      <c r="E99" t="s">
        <v>65</v>
      </c>
      <c r="F99" t="s">
        <v>144</v>
      </c>
      <c r="H99" s="2">
        <f>H91*H96</f>
        <v>0</v>
      </c>
      <c r="I99" s="2">
        <f t="shared" ref="I99:AA99" si="19">I91*I96</f>
        <v>0</v>
      </c>
      <c r="J99" s="2">
        <f t="shared" si="19"/>
        <v>0</v>
      </c>
      <c r="K99" s="2">
        <f t="shared" si="19"/>
        <v>0</v>
      </c>
      <c r="L99" s="2">
        <f t="shared" si="19"/>
        <v>0</v>
      </c>
      <c r="M99" s="2">
        <f t="shared" si="19"/>
        <v>0</v>
      </c>
      <c r="N99" s="2">
        <f t="shared" si="19"/>
        <v>0</v>
      </c>
      <c r="O99" s="2">
        <f t="shared" si="19"/>
        <v>0</v>
      </c>
      <c r="P99" s="2">
        <f t="shared" si="19"/>
        <v>0</v>
      </c>
      <c r="Q99" s="2">
        <f t="shared" si="19"/>
        <v>0</v>
      </c>
      <c r="R99" s="2">
        <f t="shared" si="19"/>
        <v>0</v>
      </c>
      <c r="S99" s="2">
        <f t="shared" si="19"/>
        <v>0</v>
      </c>
      <c r="T99" s="2">
        <f t="shared" si="19"/>
        <v>0</v>
      </c>
      <c r="U99" s="2">
        <f t="shared" si="19"/>
        <v>0</v>
      </c>
      <c r="V99" s="2">
        <f t="shared" si="19"/>
        <v>0</v>
      </c>
      <c r="W99" s="2">
        <f t="shared" si="19"/>
        <v>0</v>
      </c>
      <c r="X99" s="2">
        <f t="shared" si="19"/>
        <v>0</v>
      </c>
      <c r="Y99" s="2">
        <f t="shared" si="19"/>
        <v>0</v>
      </c>
      <c r="Z99" s="2">
        <f t="shared" si="19"/>
        <v>0</v>
      </c>
      <c r="AA99" s="2">
        <f t="shared" si="19"/>
        <v>0</v>
      </c>
    </row>
    <row r="100" spans="1:27" x14ac:dyDescent="0.25">
      <c r="C100" s="1"/>
      <c r="D100" s="1"/>
      <c r="E100" t="s">
        <v>141</v>
      </c>
      <c r="F100" t="s">
        <v>144</v>
      </c>
      <c r="H100" s="2">
        <f>H91*H97</f>
        <v>0</v>
      </c>
      <c r="I100" s="2">
        <f t="shared" ref="I100:AA100" si="20">I91*I97</f>
        <v>0</v>
      </c>
      <c r="J100" s="2">
        <f t="shared" si="20"/>
        <v>0</v>
      </c>
      <c r="K100" s="2">
        <f t="shared" si="20"/>
        <v>0</v>
      </c>
      <c r="L100" s="2">
        <f t="shared" si="20"/>
        <v>0</v>
      </c>
      <c r="M100" s="2">
        <f t="shared" si="20"/>
        <v>0</v>
      </c>
      <c r="N100" s="2">
        <f t="shared" si="20"/>
        <v>0</v>
      </c>
      <c r="O100" s="2">
        <f t="shared" si="20"/>
        <v>0</v>
      </c>
      <c r="P100" s="2">
        <f t="shared" si="20"/>
        <v>0</v>
      </c>
      <c r="Q100" s="2">
        <f t="shared" si="20"/>
        <v>0</v>
      </c>
      <c r="R100" s="2">
        <f t="shared" si="20"/>
        <v>0</v>
      </c>
      <c r="S100" s="2">
        <f t="shared" si="20"/>
        <v>0</v>
      </c>
      <c r="T100" s="2">
        <f t="shared" si="20"/>
        <v>0</v>
      </c>
      <c r="U100" s="2">
        <f t="shared" si="20"/>
        <v>0</v>
      </c>
      <c r="V100" s="2">
        <f t="shared" si="20"/>
        <v>0</v>
      </c>
      <c r="W100" s="2">
        <f t="shared" si="20"/>
        <v>0</v>
      </c>
      <c r="X100" s="2">
        <f t="shared" si="20"/>
        <v>0</v>
      </c>
      <c r="Y100" s="2">
        <f t="shared" si="20"/>
        <v>0</v>
      </c>
      <c r="Z100" s="2">
        <f t="shared" si="20"/>
        <v>0</v>
      </c>
      <c r="AA100" s="2">
        <f t="shared" si="20"/>
        <v>0</v>
      </c>
    </row>
    <row r="101" spans="1:27" x14ac:dyDescent="0.25">
      <c r="A101" s="14">
        <f>'Notes &amp; Assumptions'!A31</f>
        <v>18</v>
      </c>
      <c r="C101" s="1"/>
      <c r="D101" s="1"/>
      <c r="E101" t="s">
        <v>66</v>
      </c>
      <c r="F101" t="s">
        <v>8</v>
      </c>
      <c r="H101" s="11">
        <f>'YVW tariffs'!D32</f>
        <v>-4.24E-2</v>
      </c>
      <c r="I101" s="11">
        <f>'YVW tariffs'!E32</f>
        <v>-2.7400000000000001E-2</v>
      </c>
      <c r="J101" s="11">
        <f>'YVW tariffs'!F32</f>
        <v>0</v>
      </c>
      <c r="K101" s="11">
        <f>'YVW tariffs'!G32</f>
        <v>0</v>
      </c>
      <c r="L101" s="11">
        <f>'YVW tariffs'!H32</f>
        <v>0</v>
      </c>
      <c r="M101" s="11">
        <v>0</v>
      </c>
      <c r="N101" s="11">
        <v>0</v>
      </c>
      <c r="O101" s="11">
        <v>0</v>
      </c>
      <c r="P101" s="11">
        <v>0</v>
      </c>
      <c r="Q101" s="11">
        <v>0</v>
      </c>
      <c r="R101" s="11">
        <v>0</v>
      </c>
      <c r="S101" s="11">
        <v>0</v>
      </c>
      <c r="T101" s="11">
        <v>0</v>
      </c>
      <c r="U101" s="11">
        <v>0</v>
      </c>
      <c r="V101" s="11">
        <v>0</v>
      </c>
      <c r="W101" s="11">
        <v>0</v>
      </c>
      <c r="X101" s="11">
        <v>0</v>
      </c>
      <c r="Y101" s="11">
        <v>0</v>
      </c>
      <c r="Z101" s="11">
        <v>0</v>
      </c>
      <c r="AA101" s="11">
        <v>0</v>
      </c>
    </row>
    <row r="102" spans="1:27" x14ac:dyDescent="0.25">
      <c r="A102" s="14">
        <f>'Notes &amp; Assumptions'!A32</f>
        <v>19</v>
      </c>
      <c r="C102" s="1"/>
      <c r="D102" s="1"/>
      <c r="E102" t="s">
        <v>40</v>
      </c>
      <c r="F102" t="s">
        <v>41</v>
      </c>
      <c r="G102" s="43"/>
      <c r="H102" s="2">
        <f>G102*(1+$G$14)*(1+H101)</f>
        <v>0</v>
      </c>
      <c r="I102" s="2">
        <f t="shared" ref="I102:AA102" si="21">H102*(1+$G$14)*(1+I101)</f>
        <v>0</v>
      </c>
      <c r="J102" s="2">
        <f t="shared" si="21"/>
        <v>0</v>
      </c>
      <c r="K102" s="2">
        <f t="shared" si="21"/>
        <v>0</v>
      </c>
      <c r="L102" s="2">
        <f t="shared" si="21"/>
        <v>0</v>
      </c>
      <c r="M102" s="2">
        <f t="shared" si="21"/>
        <v>0</v>
      </c>
      <c r="N102" s="2">
        <f t="shared" si="21"/>
        <v>0</v>
      </c>
      <c r="O102" s="2">
        <f t="shared" si="21"/>
        <v>0</v>
      </c>
      <c r="P102" s="2">
        <f t="shared" si="21"/>
        <v>0</v>
      </c>
      <c r="Q102" s="2">
        <f t="shared" si="21"/>
        <v>0</v>
      </c>
      <c r="R102" s="2">
        <f t="shared" si="21"/>
        <v>0</v>
      </c>
      <c r="S102" s="2">
        <f t="shared" si="21"/>
        <v>0</v>
      </c>
      <c r="T102" s="2">
        <f t="shared" si="21"/>
        <v>0</v>
      </c>
      <c r="U102" s="2">
        <f t="shared" si="21"/>
        <v>0</v>
      </c>
      <c r="V102" s="2">
        <f t="shared" si="21"/>
        <v>0</v>
      </c>
      <c r="W102" s="2">
        <f t="shared" si="21"/>
        <v>0</v>
      </c>
      <c r="X102" s="2">
        <f t="shared" si="21"/>
        <v>0</v>
      </c>
      <c r="Y102" s="2">
        <f t="shared" si="21"/>
        <v>0</v>
      </c>
      <c r="Z102" s="2">
        <f t="shared" si="21"/>
        <v>0</v>
      </c>
      <c r="AA102" s="2">
        <f t="shared" si="21"/>
        <v>0</v>
      </c>
    </row>
    <row r="103" spans="1:27" x14ac:dyDescent="0.25">
      <c r="C103" s="1"/>
      <c r="D103" s="1"/>
      <c r="E103" t="s">
        <v>67</v>
      </c>
      <c r="F103" t="s">
        <v>143</v>
      </c>
      <c r="G103" s="20">
        <f>'YVW tariffs'!E22</f>
        <v>1.7391713999999998</v>
      </c>
      <c r="H103" s="21">
        <f>G103*(1+$G$14)*(1+H101)</f>
        <v>1.7004045738254396</v>
      </c>
      <c r="I103" s="21">
        <f t="shared" ref="I103:AA103" si="22">H103*(1+$G$14)*(1+I101)</f>
        <v>1.6885435717611774</v>
      </c>
      <c r="J103" s="21">
        <f t="shared" si="22"/>
        <v>1.7240029867681619</v>
      </c>
      <c r="K103" s="21">
        <f t="shared" si="22"/>
        <v>1.7602070494902931</v>
      </c>
      <c r="L103" s="21">
        <f t="shared" si="22"/>
        <v>1.7971713975295891</v>
      </c>
      <c r="M103" s="21">
        <f t="shared" si="22"/>
        <v>1.8349119968777103</v>
      </c>
      <c r="N103" s="21">
        <f t="shared" si="22"/>
        <v>1.8734451488121422</v>
      </c>
      <c r="O103" s="21">
        <f t="shared" si="22"/>
        <v>1.912787496937197</v>
      </c>
      <c r="P103" s="21">
        <f t="shared" si="22"/>
        <v>1.952956034372878</v>
      </c>
      <c r="Q103" s="21">
        <f t="shared" si="22"/>
        <v>1.9939681110947083</v>
      </c>
      <c r="R103" s="21">
        <f t="shared" si="22"/>
        <v>2.0358414414276971</v>
      </c>
      <c r="S103" s="21">
        <f t="shared" si="22"/>
        <v>2.0785941116976785</v>
      </c>
      <c r="T103" s="21">
        <f t="shared" si="22"/>
        <v>2.1222445880433294</v>
      </c>
      <c r="U103" s="21">
        <f t="shared" si="22"/>
        <v>2.1668117243922391</v>
      </c>
      <c r="V103" s="21">
        <f t="shared" si="22"/>
        <v>2.2123147706044759</v>
      </c>
      <c r="W103" s="21">
        <f t="shared" si="22"/>
        <v>2.2587733807871695</v>
      </c>
      <c r="X103" s="21">
        <f t="shared" si="22"/>
        <v>2.3062076217836998</v>
      </c>
      <c r="Y103" s="21">
        <f t="shared" si="22"/>
        <v>2.3546379818411571</v>
      </c>
      <c r="Z103" s="21">
        <f t="shared" si="22"/>
        <v>2.4040853794598211</v>
      </c>
      <c r="AA103" s="21">
        <f t="shared" si="22"/>
        <v>2.4545711724284773</v>
      </c>
    </row>
    <row r="104" spans="1:27" x14ac:dyDescent="0.25">
      <c r="C104" s="1"/>
      <c r="D104" s="1"/>
      <c r="E104" t="s">
        <v>68</v>
      </c>
      <c r="F104" t="s">
        <v>143</v>
      </c>
      <c r="G104" s="20"/>
      <c r="H104" s="21">
        <f>G104*(1+$G$14)*(1+H101)</f>
        <v>0</v>
      </c>
      <c r="I104" s="21">
        <f t="shared" ref="I104:AA104" si="23">H104*(1+$G$14)*(1+I101)</f>
        <v>0</v>
      </c>
      <c r="J104" s="21">
        <f t="shared" si="23"/>
        <v>0</v>
      </c>
      <c r="K104" s="21">
        <f t="shared" si="23"/>
        <v>0</v>
      </c>
      <c r="L104" s="21">
        <f t="shared" si="23"/>
        <v>0</v>
      </c>
      <c r="M104" s="21">
        <f t="shared" si="23"/>
        <v>0</v>
      </c>
      <c r="N104" s="21">
        <f t="shared" si="23"/>
        <v>0</v>
      </c>
      <c r="O104" s="21">
        <f t="shared" si="23"/>
        <v>0</v>
      </c>
      <c r="P104" s="21">
        <f t="shared" si="23"/>
        <v>0</v>
      </c>
      <c r="Q104" s="21">
        <f t="shared" si="23"/>
        <v>0</v>
      </c>
      <c r="R104" s="21">
        <f t="shared" si="23"/>
        <v>0</v>
      </c>
      <c r="S104" s="21">
        <f t="shared" si="23"/>
        <v>0</v>
      </c>
      <c r="T104" s="21">
        <f t="shared" si="23"/>
        <v>0</v>
      </c>
      <c r="U104" s="21">
        <f t="shared" si="23"/>
        <v>0</v>
      </c>
      <c r="V104" s="21">
        <f t="shared" si="23"/>
        <v>0</v>
      </c>
      <c r="W104" s="21">
        <f t="shared" si="23"/>
        <v>0</v>
      </c>
      <c r="X104" s="21">
        <f t="shared" si="23"/>
        <v>0</v>
      </c>
      <c r="Y104" s="21">
        <f t="shared" si="23"/>
        <v>0</v>
      </c>
      <c r="Z104" s="21">
        <f t="shared" si="23"/>
        <v>0</v>
      </c>
      <c r="AA104" s="21">
        <f t="shared" si="23"/>
        <v>0</v>
      </c>
    </row>
    <row r="105" spans="1:27" x14ac:dyDescent="0.25">
      <c r="C105" s="1"/>
      <c r="D105" s="1"/>
      <c r="E105" t="s">
        <v>142</v>
      </c>
      <c r="F105" t="s">
        <v>143</v>
      </c>
      <c r="G105" s="20"/>
      <c r="H105" s="21">
        <f>G105*(1+$G$14)*(1+H101)</f>
        <v>0</v>
      </c>
      <c r="I105" s="21">
        <f t="shared" ref="I105:AA105" si="24">H105*(1+$G$14)*(1+I101)</f>
        <v>0</v>
      </c>
      <c r="J105" s="21">
        <f t="shared" si="24"/>
        <v>0</v>
      </c>
      <c r="K105" s="21">
        <f t="shared" si="24"/>
        <v>0</v>
      </c>
      <c r="L105" s="21">
        <f t="shared" si="24"/>
        <v>0</v>
      </c>
      <c r="M105" s="21">
        <f t="shared" si="24"/>
        <v>0</v>
      </c>
      <c r="N105" s="21">
        <f t="shared" si="24"/>
        <v>0</v>
      </c>
      <c r="O105" s="21">
        <f t="shared" si="24"/>
        <v>0</v>
      </c>
      <c r="P105" s="21">
        <f t="shared" si="24"/>
        <v>0</v>
      </c>
      <c r="Q105" s="21">
        <f t="shared" si="24"/>
        <v>0</v>
      </c>
      <c r="R105" s="21">
        <f t="shared" si="24"/>
        <v>0</v>
      </c>
      <c r="S105" s="21">
        <f t="shared" si="24"/>
        <v>0</v>
      </c>
      <c r="T105" s="21">
        <f t="shared" si="24"/>
        <v>0</v>
      </c>
      <c r="U105" s="21">
        <f t="shared" si="24"/>
        <v>0</v>
      </c>
      <c r="V105" s="21">
        <f t="shared" si="24"/>
        <v>0</v>
      </c>
      <c r="W105" s="21">
        <f t="shared" si="24"/>
        <v>0</v>
      </c>
      <c r="X105" s="21">
        <f t="shared" si="24"/>
        <v>0</v>
      </c>
      <c r="Y105" s="21">
        <f t="shared" si="24"/>
        <v>0</v>
      </c>
      <c r="Z105" s="21">
        <f t="shared" si="24"/>
        <v>0</v>
      </c>
      <c r="AA105" s="21">
        <f t="shared" si="24"/>
        <v>0</v>
      </c>
    </row>
    <row r="106" spans="1:27" x14ac:dyDescent="0.25">
      <c r="C106" s="1"/>
      <c r="D106" s="1"/>
    </row>
    <row r="107" spans="1:27" x14ac:dyDescent="0.25">
      <c r="C107" s="1"/>
      <c r="D107" s="1"/>
      <c r="E107" t="s">
        <v>69</v>
      </c>
      <c r="F107" t="s">
        <v>58</v>
      </c>
      <c r="H107" s="2">
        <f>SUM(H98:H100)/1000</f>
        <v>12.44</v>
      </c>
      <c r="I107" s="2">
        <f t="shared" ref="I107:AA107" si="25">SUM(I98:I100)/1000</f>
        <v>24.84</v>
      </c>
      <c r="J107" s="2">
        <f t="shared" si="25"/>
        <v>37.43</v>
      </c>
      <c r="K107" s="2">
        <f t="shared" si="25"/>
        <v>49.57</v>
      </c>
      <c r="L107" s="2">
        <f t="shared" si="25"/>
        <v>61.24</v>
      </c>
      <c r="M107" s="2">
        <f t="shared" si="25"/>
        <v>72.459999999999994</v>
      </c>
      <c r="N107" s="2">
        <f t="shared" si="25"/>
        <v>83.23</v>
      </c>
      <c r="O107" s="2">
        <f t="shared" si="25"/>
        <v>93.56</v>
      </c>
      <c r="P107" s="2">
        <f t="shared" si="25"/>
        <v>104.49</v>
      </c>
      <c r="Q107" s="2">
        <f t="shared" si="25"/>
        <v>116.06</v>
      </c>
      <c r="R107" s="2">
        <f t="shared" si="25"/>
        <v>128.31</v>
      </c>
      <c r="S107" s="2">
        <f t="shared" si="25"/>
        <v>141.29</v>
      </c>
      <c r="T107" s="2">
        <f t="shared" si="25"/>
        <v>155.04</v>
      </c>
      <c r="U107" s="2">
        <f t="shared" si="25"/>
        <v>168.7</v>
      </c>
      <c r="V107" s="2">
        <f t="shared" si="25"/>
        <v>182.26</v>
      </c>
      <c r="W107" s="2">
        <f t="shared" si="25"/>
        <v>182.26</v>
      </c>
      <c r="X107" s="2">
        <f t="shared" si="25"/>
        <v>182.26</v>
      </c>
      <c r="Y107" s="2">
        <f t="shared" si="25"/>
        <v>182.26</v>
      </c>
      <c r="Z107" s="2">
        <f t="shared" si="25"/>
        <v>182.26</v>
      </c>
      <c r="AA107" s="2">
        <f t="shared" si="25"/>
        <v>182.26</v>
      </c>
    </row>
    <row r="108" spans="1:27" x14ac:dyDescent="0.25">
      <c r="C108" s="1"/>
      <c r="D108" s="1"/>
      <c r="E108" t="s">
        <v>70</v>
      </c>
      <c r="F108" t="s">
        <v>7</v>
      </c>
      <c r="H108" s="2">
        <f>H91*H102+H98*H103+H99*H104+H100*H105</f>
        <v>21153.032898388468</v>
      </c>
      <c r="I108" s="2">
        <f t="shared" ref="I108:AA108" si="26">I91*I102+I98*I103+I99*I104+I100*I105</f>
        <v>41943.422322547645</v>
      </c>
      <c r="J108" s="2">
        <f t="shared" si="26"/>
        <v>64529.4317947323</v>
      </c>
      <c r="K108" s="2">
        <f t="shared" si="26"/>
        <v>87253.463443233821</v>
      </c>
      <c r="L108" s="2">
        <f t="shared" si="26"/>
        <v>110058.77638471204</v>
      </c>
      <c r="M108" s="2">
        <f t="shared" si="26"/>
        <v>132957.7232937589</v>
      </c>
      <c r="N108" s="2">
        <f t="shared" si="26"/>
        <v>155926.8397356346</v>
      </c>
      <c r="O108" s="2">
        <f t="shared" si="26"/>
        <v>178960.39821344416</v>
      </c>
      <c r="P108" s="2">
        <f t="shared" si="26"/>
        <v>204064.37603162203</v>
      </c>
      <c r="Q108" s="2">
        <f t="shared" si="26"/>
        <v>231419.93897365185</v>
      </c>
      <c r="R108" s="2">
        <f t="shared" si="26"/>
        <v>261218.81534958782</v>
      </c>
      <c r="S108" s="2">
        <f t="shared" si="26"/>
        <v>293684.56204176502</v>
      </c>
      <c r="T108" s="2">
        <f t="shared" si="26"/>
        <v>329032.80093023781</v>
      </c>
      <c r="U108" s="2">
        <f t="shared" si="26"/>
        <v>365541.13790497073</v>
      </c>
      <c r="V108" s="2">
        <f t="shared" si="26"/>
        <v>403216.49009037175</v>
      </c>
      <c r="W108" s="2">
        <f t="shared" si="26"/>
        <v>411684.03638226952</v>
      </c>
      <c r="X108" s="2">
        <f t="shared" si="26"/>
        <v>420329.40114629711</v>
      </c>
      <c r="Y108" s="2">
        <f t="shared" si="26"/>
        <v>429156.31857036927</v>
      </c>
      <c r="Z108" s="2">
        <f t="shared" si="26"/>
        <v>438168.601260347</v>
      </c>
      <c r="AA108" s="2">
        <f t="shared" si="26"/>
        <v>447370.14188681426</v>
      </c>
    </row>
    <row r="109" spans="1:27" x14ac:dyDescent="0.25">
      <c r="C109" s="1"/>
      <c r="D109" s="1"/>
    </row>
    <row r="110" spans="1:27" x14ac:dyDescent="0.25">
      <c r="C110" s="1"/>
      <c r="D110" t="s">
        <v>71</v>
      </c>
    </row>
    <row r="111" spans="1:27" x14ac:dyDescent="0.25">
      <c r="A111" s="14">
        <f>'Notes &amp; Assumptions'!A33</f>
        <v>20</v>
      </c>
      <c r="C111" s="1"/>
      <c r="D111" s="1"/>
      <c r="E111" t="s">
        <v>87</v>
      </c>
      <c r="F111" t="s">
        <v>3</v>
      </c>
      <c r="H111" s="10">
        <v>0</v>
      </c>
      <c r="I111" s="10">
        <v>0</v>
      </c>
      <c r="J111" s="10">
        <v>0</v>
      </c>
      <c r="K111" s="10">
        <v>0</v>
      </c>
      <c r="L111" s="10">
        <v>0</v>
      </c>
      <c r="M111" s="10">
        <v>0</v>
      </c>
      <c r="N111" s="10">
        <v>0</v>
      </c>
      <c r="O111" s="10">
        <v>0</v>
      </c>
      <c r="P111" s="10">
        <v>0</v>
      </c>
      <c r="Q111" s="10">
        <v>0</v>
      </c>
      <c r="R111" s="10">
        <v>0</v>
      </c>
      <c r="S111" s="10">
        <v>0</v>
      </c>
      <c r="T111" s="10">
        <v>0</v>
      </c>
      <c r="U111" s="10">
        <v>0</v>
      </c>
      <c r="V111" s="10">
        <v>0</v>
      </c>
    </row>
    <row r="112" spans="1:27" x14ac:dyDescent="0.25">
      <c r="C112" s="1"/>
      <c r="D112" s="1"/>
      <c r="E112" t="s">
        <v>60</v>
      </c>
      <c r="F112" t="s">
        <v>3</v>
      </c>
      <c r="H112" s="2">
        <f>G112+H111</f>
        <v>0</v>
      </c>
      <c r="I112" s="2">
        <f t="shared" ref="I112:AA112" si="27">H112+I111</f>
        <v>0</v>
      </c>
      <c r="J112" s="2">
        <f t="shared" si="27"/>
        <v>0</v>
      </c>
      <c r="K112" s="2">
        <f t="shared" si="27"/>
        <v>0</v>
      </c>
      <c r="L112" s="2">
        <f t="shared" si="27"/>
        <v>0</v>
      </c>
      <c r="M112" s="2">
        <f t="shared" si="27"/>
        <v>0</v>
      </c>
      <c r="N112" s="2">
        <f t="shared" si="27"/>
        <v>0</v>
      </c>
      <c r="O112" s="2">
        <f t="shared" si="27"/>
        <v>0</v>
      </c>
      <c r="P112" s="2">
        <f t="shared" si="27"/>
        <v>0</v>
      </c>
      <c r="Q112" s="2">
        <f t="shared" si="27"/>
        <v>0</v>
      </c>
      <c r="R112" s="2">
        <f t="shared" si="27"/>
        <v>0</v>
      </c>
      <c r="S112" s="2">
        <f t="shared" si="27"/>
        <v>0</v>
      </c>
      <c r="T112" s="2">
        <f t="shared" si="27"/>
        <v>0</v>
      </c>
      <c r="U112" s="2">
        <f t="shared" si="27"/>
        <v>0</v>
      </c>
      <c r="V112" s="2">
        <f t="shared" si="27"/>
        <v>0</v>
      </c>
      <c r="W112" s="2">
        <f t="shared" si="27"/>
        <v>0</v>
      </c>
      <c r="X112" s="2">
        <f t="shared" si="27"/>
        <v>0</v>
      </c>
      <c r="Y112" s="2">
        <f t="shared" si="27"/>
        <v>0</v>
      </c>
      <c r="Z112" s="2">
        <f t="shared" si="27"/>
        <v>0</v>
      </c>
      <c r="AA112" s="2">
        <f t="shared" si="27"/>
        <v>0</v>
      </c>
    </row>
    <row r="113" spans="1:27" x14ac:dyDescent="0.25">
      <c r="A113" s="14">
        <f>'Notes &amp; Assumptions'!A34</f>
        <v>21</v>
      </c>
      <c r="C113" s="1"/>
      <c r="D113" s="1"/>
      <c r="E113" t="s">
        <v>61</v>
      </c>
      <c r="F113" t="s">
        <v>3</v>
      </c>
      <c r="G113" s="10">
        <v>1</v>
      </c>
    </row>
    <row r="114" spans="1:27" x14ac:dyDescent="0.25">
      <c r="C114" s="1"/>
      <c r="D114" s="1"/>
      <c r="E114" t="s">
        <v>88</v>
      </c>
      <c r="F114" t="s">
        <v>3</v>
      </c>
      <c r="H114">
        <f>H111*$G113</f>
        <v>0</v>
      </c>
      <c r="I114">
        <f t="shared" ref="I114:AA114" si="28">I111*$G113</f>
        <v>0</v>
      </c>
      <c r="J114">
        <f t="shared" si="28"/>
        <v>0</v>
      </c>
      <c r="K114">
        <f t="shared" si="28"/>
        <v>0</v>
      </c>
      <c r="L114">
        <f t="shared" si="28"/>
        <v>0</v>
      </c>
      <c r="M114">
        <f t="shared" si="28"/>
        <v>0</v>
      </c>
      <c r="N114">
        <f t="shared" si="28"/>
        <v>0</v>
      </c>
      <c r="O114">
        <f t="shared" si="28"/>
        <v>0</v>
      </c>
      <c r="P114">
        <f t="shared" si="28"/>
        <v>0</v>
      </c>
      <c r="Q114">
        <f t="shared" si="28"/>
        <v>0</v>
      </c>
      <c r="R114">
        <f t="shared" si="28"/>
        <v>0</v>
      </c>
      <c r="S114">
        <f t="shared" si="28"/>
        <v>0</v>
      </c>
      <c r="T114">
        <f t="shared" si="28"/>
        <v>0</v>
      </c>
      <c r="U114">
        <f t="shared" si="28"/>
        <v>0</v>
      </c>
      <c r="V114">
        <f t="shared" si="28"/>
        <v>0</v>
      </c>
      <c r="W114">
        <f t="shared" si="28"/>
        <v>0</v>
      </c>
      <c r="X114">
        <f t="shared" si="28"/>
        <v>0</v>
      </c>
      <c r="Y114">
        <f t="shared" si="28"/>
        <v>0</v>
      </c>
      <c r="Z114">
        <f t="shared" si="28"/>
        <v>0</v>
      </c>
      <c r="AA114">
        <f t="shared" si="28"/>
        <v>0</v>
      </c>
    </row>
    <row r="115" spans="1:27" x14ac:dyDescent="0.25">
      <c r="C115" s="1"/>
      <c r="D115" s="1"/>
      <c r="E115" t="s">
        <v>89</v>
      </c>
      <c r="F115" t="s">
        <v>3</v>
      </c>
      <c r="H115">
        <f>H112*$G113</f>
        <v>0</v>
      </c>
      <c r="I115">
        <f t="shared" ref="I115:AA115" si="29">I112*$G113</f>
        <v>0</v>
      </c>
      <c r="J115">
        <f t="shared" si="29"/>
        <v>0</v>
      </c>
      <c r="K115">
        <f t="shared" si="29"/>
        <v>0</v>
      </c>
      <c r="L115">
        <f t="shared" si="29"/>
        <v>0</v>
      </c>
      <c r="M115">
        <f t="shared" si="29"/>
        <v>0</v>
      </c>
      <c r="N115">
        <f t="shared" si="29"/>
        <v>0</v>
      </c>
      <c r="O115">
        <f t="shared" si="29"/>
        <v>0</v>
      </c>
      <c r="P115">
        <f t="shared" si="29"/>
        <v>0</v>
      </c>
      <c r="Q115">
        <f t="shared" si="29"/>
        <v>0</v>
      </c>
      <c r="R115">
        <f t="shared" si="29"/>
        <v>0</v>
      </c>
      <c r="S115">
        <f t="shared" si="29"/>
        <v>0</v>
      </c>
      <c r="T115">
        <f t="shared" si="29"/>
        <v>0</v>
      </c>
      <c r="U115">
        <f t="shared" si="29"/>
        <v>0</v>
      </c>
      <c r="V115">
        <f t="shared" si="29"/>
        <v>0</v>
      </c>
      <c r="W115">
        <f t="shared" si="29"/>
        <v>0</v>
      </c>
      <c r="X115">
        <f t="shared" si="29"/>
        <v>0</v>
      </c>
      <c r="Y115">
        <f t="shared" si="29"/>
        <v>0</v>
      </c>
      <c r="Z115">
        <f t="shared" si="29"/>
        <v>0</v>
      </c>
      <c r="AA115">
        <f t="shared" si="29"/>
        <v>0</v>
      </c>
    </row>
    <row r="116" spans="1:27" x14ac:dyDescent="0.25">
      <c r="A116" s="14">
        <f>'Notes &amp; Assumptions'!A35</f>
        <v>22</v>
      </c>
      <c r="C116" s="1"/>
      <c r="D116" s="1"/>
      <c r="E116" t="s">
        <v>62</v>
      </c>
      <c r="F116" t="s">
        <v>43</v>
      </c>
      <c r="H116" s="10">
        <f>'Key assumptions'!B28</f>
        <v>2873</v>
      </c>
      <c r="I116" s="10">
        <f>H116</f>
        <v>2873</v>
      </c>
      <c r="J116" s="10">
        <f t="shared" ref="J116:AA116" si="30">I116</f>
        <v>2873</v>
      </c>
      <c r="K116" s="10">
        <f t="shared" si="30"/>
        <v>2873</v>
      </c>
      <c r="L116" s="10">
        <f t="shared" si="30"/>
        <v>2873</v>
      </c>
      <c r="M116" s="10">
        <f t="shared" si="30"/>
        <v>2873</v>
      </c>
      <c r="N116" s="10">
        <f t="shared" si="30"/>
        <v>2873</v>
      </c>
      <c r="O116" s="10">
        <f t="shared" si="30"/>
        <v>2873</v>
      </c>
      <c r="P116" s="10">
        <f t="shared" si="30"/>
        <v>2873</v>
      </c>
      <c r="Q116" s="10">
        <f t="shared" si="30"/>
        <v>2873</v>
      </c>
      <c r="R116" s="10">
        <f t="shared" si="30"/>
        <v>2873</v>
      </c>
      <c r="S116" s="10">
        <f t="shared" si="30"/>
        <v>2873</v>
      </c>
      <c r="T116" s="10">
        <f t="shared" si="30"/>
        <v>2873</v>
      </c>
      <c r="U116" s="10">
        <f t="shared" si="30"/>
        <v>2873</v>
      </c>
      <c r="V116" s="10">
        <f t="shared" si="30"/>
        <v>2873</v>
      </c>
      <c r="W116" s="10">
        <f t="shared" si="30"/>
        <v>2873</v>
      </c>
      <c r="X116" s="10">
        <f t="shared" si="30"/>
        <v>2873</v>
      </c>
      <c r="Y116" s="10">
        <f t="shared" si="30"/>
        <v>2873</v>
      </c>
      <c r="Z116" s="10">
        <f t="shared" si="30"/>
        <v>2873</v>
      </c>
      <c r="AA116" s="10">
        <f t="shared" si="30"/>
        <v>2873</v>
      </c>
    </row>
    <row r="117" spans="1:27" x14ac:dyDescent="0.25">
      <c r="C117" s="1"/>
      <c r="D117" s="1"/>
      <c r="E117" t="s">
        <v>63</v>
      </c>
      <c r="F117" t="s">
        <v>43</v>
      </c>
      <c r="H117" s="10"/>
      <c r="I117" s="10"/>
      <c r="J117" s="10"/>
      <c r="K117" s="10"/>
      <c r="L117" s="10"/>
      <c r="M117" s="10"/>
      <c r="N117" s="10"/>
      <c r="O117" s="10"/>
      <c r="P117" s="10"/>
      <c r="Q117" s="10"/>
      <c r="R117" s="10"/>
      <c r="S117" s="10"/>
      <c r="T117" s="10"/>
      <c r="U117" s="10"/>
      <c r="V117" s="10"/>
      <c r="W117" s="10"/>
      <c r="X117" s="10"/>
      <c r="Y117" s="10"/>
      <c r="Z117" s="10"/>
      <c r="AA117" s="10"/>
    </row>
    <row r="118" spans="1:27" x14ac:dyDescent="0.25">
      <c r="C118" s="1"/>
      <c r="D118" s="1"/>
      <c r="E118" t="s">
        <v>140</v>
      </c>
      <c r="F118" t="s">
        <v>43</v>
      </c>
      <c r="H118" s="10"/>
      <c r="I118" s="10"/>
      <c r="J118" s="10"/>
      <c r="K118" s="10"/>
      <c r="L118" s="10"/>
      <c r="M118" s="10"/>
      <c r="N118" s="10"/>
      <c r="O118" s="10"/>
      <c r="P118" s="10"/>
      <c r="Q118" s="10"/>
      <c r="R118" s="10"/>
      <c r="S118" s="10"/>
      <c r="T118" s="10"/>
      <c r="U118" s="10"/>
      <c r="V118" s="10"/>
      <c r="W118" s="10"/>
      <c r="X118" s="10"/>
      <c r="Y118" s="10"/>
      <c r="Z118" s="10"/>
      <c r="AA118" s="10"/>
    </row>
    <row r="119" spans="1:27" x14ac:dyDescent="0.25">
      <c r="C119" s="1"/>
      <c r="D119" s="1"/>
      <c r="E119" t="s">
        <v>64</v>
      </c>
      <c r="F119" t="s">
        <v>144</v>
      </c>
      <c r="H119" s="2">
        <f>H112*H116</f>
        <v>0</v>
      </c>
      <c r="I119" s="2">
        <f t="shared" ref="I119:AA119" si="31">I112*I116</f>
        <v>0</v>
      </c>
      <c r="J119" s="2">
        <f t="shared" si="31"/>
        <v>0</v>
      </c>
      <c r="K119" s="2">
        <f t="shared" si="31"/>
        <v>0</v>
      </c>
      <c r="L119" s="2">
        <f t="shared" si="31"/>
        <v>0</v>
      </c>
      <c r="M119" s="2">
        <f t="shared" si="31"/>
        <v>0</v>
      </c>
      <c r="N119" s="2">
        <f t="shared" si="31"/>
        <v>0</v>
      </c>
      <c r="O119" s="2">
        <f t="shared" si="31"/>
        <v>0</v>
      </c>
      <c r="P119" s="2">
        <f t="shared" si="31"/>
        <v>0</v>
      </c>
      <c r="Q119" s="2">
        <f t="shared" si="31"/>
        <v>0</v>
      </c>
      <c r="R119" s="2">
        <f t="shared" si="31"/>
        <v>0</v>
      </c>
      <c r="S119" s="2">
        <f t="shared" si="31"/>
        <v>0</v>
      </c>
      <c r="T119" s="2">
        <f t="shared" si="31"/>
        <v>0</v>
      </c>
      <c r="U119" s="2">
        <f t="shared" si="31"/>
        <v>0</v>
      </c>
      <c r="V119" s="2">
        <f t="shared" si="31"/>
        <v>0</v>
      </c>
      <c r="W119" s="2">
        <f t="shared" si="31"/>
        <v>0</v>
      </c>
      <c r="X119" s="2">
        <f t="shared" si="31"/>
        <v>0</v>
      </c>
      <c r="Y119" s="2">
        <f t="shared" si="31"/>
        <v>0</v>
      </c>
      <c r="Z119" s="2">
        <f t="shared" si="31"/>
        <v>0</v>
      </c>
      <c r="AA119" s="2">
        <f t="shared" si="31"/>
        <v>0</v>
      </c>
    </row>
    <row r="120" spans="1:27" x14ac:dyDescent="0.25">
      <c r="C120" s="1"/>
      <c r="D120" s="1"/>
      <c r="E120" t="s">
        <v>65</v>
      </c>
      <c r="F120" t="s">
        <v>144</v>
      </c>
      <c r="H120" s="2">
        <f>H112*H117</f>
        <v>0</v>
      </c>
      <c r="I120" s="2">
        <f t="shared" ref="I120:AA120" si="32">I112*I117</f>
        <v>0</v>
      </c>
      <c r="J120" s="2">
        <f t="shared" si="32"/>
        <v>0</v>
      </c>
      <c r="K120" s="2">
        <f t="shared" si="32"/>
        <v>0</v>
      </c>
      <c r="L120" s="2">
        <f t="shared" si="32"/>
        <v>0</v>
      </c>
      <c r="M120" s="2">
        <f t="shared" si="32"/>
        <v>0</v>
      </c>
      <c r="N120" s="2">
        <f t="shared" si="32"/>
        <v>0</v>
      </c>
      <c r="O120" s="2">
        <f t="shared" si="32"/>
        <v>0</v>
      </c>
      <c r="P120" s="2">
        <f t="shared" si="32"/>
        <v>0</v>
      </c>
      <c r="Q120" s="2">
        <f t="shared" si="32"/>
        <v>0</v>
      </c>
      <c r="R120" s="2">
        <f t="shared" si="32"/>
        <v>0</v>
      </c>
      <c r="S120" s="2">
        <f t="shared" si="32"/>
        <v>0</v>
      </c>
      <c r="T120" s="2">
        <f t="shared" si="32"/>
        <v>0</v>
      </c>
      <c r="U120" s="2">
        <f t="shared" si="32"/>
        <v>0</v>
      </c>
      <c r="V120" s="2">
        <f t="shared" si="32"/>
        <v>0</v>
      </c>
      <c r="W120" s="2">
        <f t="shared" si="32"/>
        <v>0</v>
      </c>
      <c r="X120" s="2">
        <f t="shared" si="32"/>
        <v>0</v>
      </c>
      <c r="Y120" s="2">
        <f t="shared" si="32"/>
        <v>0</v>
      </c>
      <c r="Z120" s="2">
        <f t="shared" si="32"/>
        <v>0</v>
      </c>
      <c r="AA120" s="2">
        <f t="shared" si="32"/>
        <v>0</v>
      </c>
    </row>
    <row r="121" spans="1:27" x14ac:dyDescent="0.25">
      <c r="C121" s="1"/>
      <c r="D121" s="1"/>
      <c r="E121" t="s">
        <v>141</v>
      </c>
      <c r="F121" t="s">
        <v>144</v>
      </c>
      <c r="H121" s="2">
        <f>H112*H118</f>
        <v>0</v>
      </c>
      <c r="I121" s="2">
        <f t="shared" ref="I121:AA121" si="33">I112*I118</f>
        <v>0</v>
      </c>
      <c r="J121" s="2">
        <f t="shared" si="33"/>
        <v>0</v>
      </c>
      <c r="K121" s="2">
        <f t="shared" si="33"/>
        <v>0</v>
      </c>
      <c r="L121" s="2">
        <f t="shared" si="33"/>
        <v>0</v>
      </c>
      <c r="M121" s="2">
        <f t="shared" si="33"/>
        <v>0</v>
      </c>
      <c r="N121" s="2">
        <f t="shared" si="33"/>
        <v>0</v>
      </c>
      <c r="O121" s="2">
        <f t="shared" si="33"/>
        <v>0</v>
      </c>
      <c r="P121" s="2">
        <f t="shared" si="33"/>
        <v>0</v>
      </c>
      <c r="Q121" s="2">
        <f t="shared" si="33"/>
        <v>0</v>
      </c>
      <c r="R121" s="2">
        <f t="shared" si="33"/>
        <v>0</v>
      </c>
      <c r="S121" s="2">
        <f t="shared" si="33"/>
        <v>0</v>
      </c>
      <c r="T121" s="2">
        <f t="shared" si="33"/>
        <v>0</v>
      </c>
      <c r="U121" s="2">
        <f t="shared" si="33"/>
        <v>0</v>
      </c>
      <c r="V121" s="2">
        <f t="shared" si="33"/>
        <v>0</v>
      </c>
      <c r="W121" s="2">
        <f t="shared" si="33"/>
        <v>0</v>
      </c>
      <c r="X121" s="2">
        <f t="shared" si="33"/>
        <v>0</v>
      </c>
      <c r="Y121" s="2">
        <f t="shared" si="33"/>
        <v>0</v>
      </c>
      <c r="Z121" s="2">
        <f t="shared" si="33"/>
        <v>0</v>
      </c>
      <c r="AA121" s="2">
        <f t="shared" si="33"/>
        <v>0</v>
      </c>
    </row>
    <row r="122" spans="1:27" x14ac:dyDescent="0.25">
      <c r="A122" s="14">
        <f>'Notes &amp; Assumptions'!A36</f>
        <v>23</v>
      </c>
      <c r="C122" s="1"/>
      <c r="D122" s="1"/>
      <c r="E122" t="s">
        <v>66</v>
      </c>
      <c r="F122" t="s">
        <v>8</v>
      </c>
      <c r="H122" s="11">
        <f>'YVW tariffs'!D39</f>
        <v>-4.24E-2</v>
      </c>
      <c r="I122" s="11">
        <f>'YVW tariffs'!E39</f>
        <v>-2.7400000000000001E-2</v>
      </c>
      <c r="J122" s="11">
        <f>'YVW tariffs'!F39</f>
        <v>0</v>
      </c>
      <c r="K122" s="11">
        <f>'YVW tariffs'!G39</f>
        <v>0</v>
      </c>
      <c r="L122" s="11">
        <f>'YVW tariffs'!H39</f>
        <v>0</v>
      </c>
      <c r="M122" s="11"/>
      <c r="N122" s="11"/>
      <c r="O122" s="11"/>
      <c r="P122" s="11"/>
      <c r="Q122" s="11"/>
      <c r="R122" s="11"/>
      <c r="S122" s="11"/>
      <c r="T122" s="11"/>
      <c r="U122" s="11"/>
      <c r="V122" s="11"/>
      <c r="W122" s="11"/>
      <c r="X122" s="11"/>
      <c r="Y122" s="11"/>
      <c r="Z122" s="11"/>
      <c r="AA122" s="11"/>
    </row>
    <row r="123" spans="1:27" x14ac:dyDescent="0.25">
      <c r="A123" s="14">
        <f>'Notes &amp; Assumptions'!A37</f>
        <v>24</v>
      </c>
      <c r="C123" s="1"/>
      <c r="D123" s="1"/>
      <c r="E123" t="s">
        <v>40</v>
      </c>
      <c r="F123" t="s">
        <v>41</v>
      </c>
      <c r="G123" s="43"/>
      <c r="H123" s="2">
        <f>G123*(1+$G$14)*(1+H122)</f>
        <v>0</v>
      </c>
      <c r="I123" s="2">
        <f t="shared" ref="I123:AA123" si="34">H123*(1+$G$14)*(1+I122)</f>
        <v>0</v>
      </c>
      <c r="J123" s="2">
        <f t="shared" si="34"/>
        <v>0</v>
      </c>
      <c r="K123" s="2">
        <f t="shared" si="34"/>
        <v>0</v>
      </c>
      <c r="L123" s="2">
        <f t="shared" si="34"/>
        <v>0</v>
      </c>
      <c r="M123" s="2">
        <f t="shared" si="34"/>
        <v>0</v>
      </c>
      <c r="N123" s="2">
        <f t="shared" si="34"/>
        <v>0</v>
      </c>
      <c r="O123" s="2">
        <f t="shared" si="34"/>
        <v>0</v>
      </c>
      <c r="P123" s="2">
        <f t="shared" si="34"/>
        <v>0</v>
      </c>
      <c r="Q123" s="2">
        <f t="shared" si="34"/>
        <v>0</v>
      </c>
      <c r="R123" s="2">
        <f t="shared" si="34"/>
        <v>0</v>
      </c>
      <c r="S123" s="2">
        <f t="shared" si="34"/>
        <v>0</v>
      </c>
      <c r="T123" s="2">
        <f t="shared" si="34"/>
        <v>0</v>
      </c>
      <c r="U123" s="2">
        <f t="shared" si="34"/>
        <v>0</v>
      </c>
      <c r="V123" s="2">
        <f t="shared" si="34"/>
        <v>0</v>
      </c>
      <c r="W123" s="2">
        <f t="shared" si="34"/>
        <v>0</v>
      </c>
      <c r="X123" s="2">
        <f t="shared" si="34"/>
        <v>0</v>
      </c>
      <c r="Y123" s="2">
        <f t="shared" si="34"/>
        <v>0</v>
      </c>
      <c r="Z123" s="2">
        <f t="shared" si="34"/>
        <v>0</v>
      </c>
      <c r="AA123" s="2">
        <f t="shared" si="34"/>
        <v>0</v>
      </c>
    </row>
    <row r="124" spans="1:27" x14ac:dyDescent="0.25">
      <c r="C124" s="1"/>
      <c r="D124" s="1"/>
      <c r="E124" t="s">
        <v>67</v>
      </c>
      <c r="F124" t="s">
        <v>143</v>
      </c>
      <c r="G124" s="20">
        <v>1.7756000000000001</v>
      </c>
      <c r="H124" s="21">
        <f>G124*(1+$G$14)*(1+H122)</f>
        <v>1.7360211657599998</v>
      </c>
      <c r="I124" s="21">
        <f t="shared" ref="I124:AA124" si="35">H124*(1+$G$14)*(1+I122)</f>
        <v>1.7239117237203574</v>
      </c>
      <c r="J124" s="21">
        <f t="shared" si="35"/>
        <v>1.7601138699184848</v>
      </c>
      <c r="K124" s="21">
        <f t="shared" si="35"/>
        <v>1.7970762611867728</v>
      </c>
      <c r="L124" s="21">
        <f t="shared" si="35"/>
        <v>1.8348148626716949</v>
      </c>
      <c r="M124" s="21">
        <f t="shared" si="35"/>
        <v>1.8733459747878003</v>
      </c>
      <c r="N124" s="21">
        <f t="shared" si="35"/>
        <v>1.912686240258344</v>
      </c>
      <c r="O124" s="21">
        <f t="shared" si="35"/>
        <v>1.9528526513037689</v>
      </c>
      <c r="P124" s="21">
        <f t="shared" si="35"/>
        <v>1.9938625569811479</v>
      </c>
      <c r="Q124" s="21">
        <f t="shared" si="35"/>
        <v>2.035733670677752</v>
      </c>
      <c r="R124" s="21">
        <f t="shared" si="35"/>
        <v>2.0784840777619844</v>
      </c>
      <c r="S124" s="21">
        <f t="shared" si="35"/>
        <v>2.1221322433949861</v>
      </c>
      <c r="T124" s="21">
        <f t="shared" si="35"/>
        <v>2.1666970205062808</v>
      </c>
      <c r="U124" s="21">
        <f t="shared" si="35"/>
        <v>2.2121976579369123</v>
      </c>
      <c r="V124" s="21">
        <f t="shared" si="35"/>
        <v>2.258653808753587</v>
      </c>
      <c r="W124" s="21">
        <f t="shared" si="35"/>
        <v>2.306085538737412</v>
      </c>
      <c r="X124" s="21">
        <f t="shared" si="35"/>
        <v>2.3545133350508975</v>
      </c>
      <c r="Y124" s="21">
        <f t="shared" si="35"/>
        <v>2.403958115086966</v>
      </c>
      <c r="Z124" s="21">
        <f t="shared" si="35"/>
        <v>2.4544412355037921</v>
      </c>
      <c r="AA124" s="21">
        <f t="shared" si="35"/>
        <v>2.5059845014493716</v>
      </c>
    </row>
    <row r="125" spans="1:27" x14ac:dyDescent="0.25">
      <c r="C125" s="1"/>
      <c r="D125" s="1"/>
      <c r="E125" t="s">
        <v>68</v>
      </c>
      <c r="F125" t="s">
        <v>143</v>
      </c>
      <c r="G125" s="20"/>
      <c r="H125" s="21">
        <f>G125*(1+$G$14)*(1+H122)</f>
        <v>0</v>
      </c>
      <c r="I125" s="21">
        <f t="shared" ref="I125:AA125" si="36">H125*(1+$G$14)*(1+I122)</f>
        <v>0</v>
      </c>
      <c r="J125" s="21">
        <f t="shared" si="36"/>
        <v>0</v>
      </c>
      <c r="K125" s="21">
        <f t="shared" si="36"/>
        <v>0</v>
      </c>
      <c r="L125" s="21">
        <f t="shared" si="36"/>
        <v>0</v>
      </c>
      <c r="M125" s="21">
        <f t="shared" si="36"/>
        <v>0</v>
      </c>
      <c r="N125" s="21">
        <f t="shared" si="36"/>
        <v>0</v>
      </c>
      <c r="O125" s="21">
        <f t="shared" si="36"/>
        <v>0</v>
      </c>
      <c r="P125" s="21">
        <f t="shared" si="36"/>
        <v>0</v>
      </c>
      <c r="Q125" s="21">
        <f t="shared" si="36"/>
        <v>0</v>
      </c>
      <c r="R125" s="21">
        <f t="shared" si="36"/>
        <v>0</v>
      </c>
      <c r="S125" s="21">
        <f t="shared" si="36"/>
        <v>0</v>
      </c>
      <c r="T125" s="21">
        <f t="shared" si="36"/>
        <v>0</v>
      </c>
      <c r="U125" s="21">
        <f t="shared" si="36"/>
        <v>0</v>
      </c>
      <c r="V125" s="21">
        <f t="shared" si="36"/>
        <v>0</v>
      </c>
      <c r="W125" s="21">
        <f t="shared" si="36"/>
        <v>0</v>
      </c>
      <c r="X125" s="21">
        <f t="shared" si="36"/>
        <v>0</v>
      </c>
      <c r="Y125" s="21">
        <f t="shared" si="36"/>
        <v>0</v>
      </c>
      <c r="Z125" s="21">
        <f t="shared" si="36"/>
        <v>0</v>
      </c>
      <c r="AA125" s="21">
        <f t="shared" si="36"/>
        <v>0</v>
      </c>
    </row>
    <row r="126" spans="1:27" x14ac:dyDescent="0.25">
      <c r="C126" s="1"/>
      <c r="D126" s="1"/>
      <c r="E126" t="s">
        <v>142</v>
      </c>
      <c r="F126" t="s">
        <v>143</v>
      </c>
      <c r="G126" s="20"/>
      <c r="H126" s="21">
        <f>G126*(1+$G$14)*(1+H122)</f>
        <v>0</v>
      </c>
      <c r="I126" s="21">
        <f t="shared" ref="I126:AA126" si="37">H126*(1+$G$14)*(1+I122)</f>
        <v>0</v>
      </c>
      <c r="J126" s="21">
        <f t="shared" si="37"/>
        <v>0</v>
      </c>
      <c r="K126" s="21">
        <f t="shared" si="37"/>
        <v>0</v>
      </c>
      <c r="L126" s="21">
        <f t="shared" si="37"/>
        <v>0</v>
      </c>
      <c r="M126" s="21">
        <f t="shared" si="37"/>
        <v>0</v>
      </c>
      <c r="N126" s="21">
        <f t="shared" si="37"/>
        <v>0</v>
      </c>
      <c r="O126" s="21">
        <f t="shared" si="37"/>
        <v>0</v>
      </c>
      <c r="P126" s="21">
        <f t="shared" si="37"/>
        <v>0</v>
      </c>
      <c r="Q126" s="21">
        <f t="shared" si="37"/>
        <v>0</v>
      </c>
      <c r="R126" s="21">
        <f t="shared" si="37"/>
        <v>0</v>
      </c>
      <c r="S126" s="21">
        <f t="shared" si="37"/>
        <v>0</v>
      </c>
      <c r="T126" s="21">
        <f t="shared" si="37"/>
        <v>0</v>
      </c>
      <c r="U126" s="21">
        <f t="shared" si="37"/>
        <v>0</v>
      </c>
      <c r="V126" s="21">
        <f t="shared" si="37"/>
        <v>0</v>
      </c>
      <c r="W126" s="21">
        <f t="shared" si="37"/>
        <v>0</v>
      </c>
      <c r="X126" s="21">
        <f t="shared" si="37"/>
        <v>0</v>
      </c>
      <c r="Y126" s="21">
        <f t="shared" si="37"/>
        <v>0</v>
      </c>
      <c r="Z126" s="21">
        <f t="shared" si="37"/>
        <v>0</v>
      </c>
      <c r="AA126" s="21">
        <f t="shared" si="37"/>
        <v>0</v>
      </c>
    </row>
    <row r="127" spans="1:27" x14ac:dyDescent="0.25">
      <c r="C127" s="1"/>
      <c r="D127" s="1"/>
    </row>
    <row r="128" spans="1:27" x14ac:dyDescent="0.25">
      <c r="C128" s="1"/>
      <c r="D128" s="1"/>
      <c r="E128" t="s">
        <v>72</v>
      </c>
      <c r="F128" t="s">
        <v>58</v>
      </c>
      <c r="H128" s="2">
        <f>SUM(H119:H121)/1000</f>
        <v>0</v>
      </c>
      <c r="I128" s="2">
        <f t="shared" ref="I128:AA128" si="38">SUM(I119:I121)/1000</f>
        <v>0</v>
      </c>
      <c r="J128" s="2">
        <f t="shared" si="38"/>
        <v>0</v>
      </c>
      <c r="K128" s="2">
        <f t="shared" si="38"/>
        <v>0</v>
      </c>
      <c r="L128" s="2">
        <f t="shared" si="38"/>
        <v>0</v>
      </c>
      <c r="M128" s="2">
        <f t="shared" si="38"/>
        <v>0</v>
      </c>
      <c r="N128" s="2">
        <f t="shared" si="38"/>
        <v>0</v>
      </c>
      <c r="O128" s="2">
        <f t="shared" si="38"/>
        <v>0</v>
      </c>
      <c r="P128" s="2">
        <f t="shared" si="38"/>
        <v>0</v>
      </c>
      <c r="Q128" s="2">
        <f t="shared" si="38"/>
        <v>0</v>
      </c>
      <c r="R128" s="2">
        <f t="shared" si="38"/>
        <v>0</v>
      </c>
      <c r="S128" s="2">
        <f t="shared" si="38"/>
        <v>0</v>
      </c>
      <c r="T128" s="2">
        <f t="shared" si="38"/>
        <v>0</v>
      </c>
      <c r="U128" s="2">
        <f t="shared" si="38"/>
        <v>0</v>
      </c>
      <c r="V128" s="2">
        <f t="shared" si="38"/>
        <v>0</v>
      </c>
      <c r="W128" s="2">
        <f t="shared" si="38"/>
        <v>0</v>
      </c>
      <c r="X128" s="2">
        <f t="shared" si="38"/>
        <v>0</v>
      </c>
      <c r="Y128" s="2">
        <f t="shared" si="38"/>
        <v>0</v>
      </c>
      <c r="Z128" s="2">
        <f t="shared" si="38"/>
        <v>0</v>
      </c>
      <c r="AA128" s="2">
        <f t="shared" si="38"/>
        <v>0</v>
      </c>
    </row>
    <row r="129" spans="1:27" x14ac:dyDescent="0.25">
      <c r="C129" s="1"/>
      <c r="D129" s="1"/>
      <c r="E129" t="s">
        <v>73</v>
      </c>
      <c r="F129" t="s">
        <v>7</v>
      </c>
      <c r="H129" s="2">
        <f>H112*H123+H119*H124+H120*H125+H121*H126</f>
        <v>0</v>
      </c>
      <c r="I129" s="2">
        <f t="shared" ref="I129:AA129" si="39">I112*I123+I119*I124+I120*I125+I121*I126</f>
        <v>0</v>
      </c>
      <c r="J129" s="2">
        <f t="shared" si="39"/>
        <v>0</v>
      </c>
      <c r="K129" s="2">
        <f t="shared" si="39"/>
        <v>0</v>
      </c>
      <c r="L129" s="2">
        <f t="shared" si="39"/>
        <v>0</v>
      </c>
      <c r="M129" s="2">
        <f t="shared" si="39"/>
        <v>0</v>
      </c>
      <c r="N129" s="2">
        <f t="shared" si="39"/>
        <v>0</v>
      </c>
      <c r="O129" s="2">
        <f t="shared" si="39"/>
        <v>0</v>
      </c>
      <c r="P129" s="2">
        <f t="shared" si="39"/>
        <v>0</v>
      </c>
      <c r="Q129" s="2">
        <f t="shared" si="39"/>
        <v>0</v>
      </c>
      <c r="R129" s="2">
        <f t="shared" si="39"/>
        <v>0</v>
      </c>
      <c r="S129" s="2">
        <f t="shared" si="39"/>
        <v>0</v>
      </c>
      <c r="T129" s="2">
        <f t="shared" si="39"/>
        <v>0</v>
      </c>
      <c r="U129" s="2">
        <f t="shared" si="39"/>
        <v>0</v>
      </c>
      <c r="V129" s="2">
        <f t="shared" si="39"/>
        <v>0</v>
      </c>
      <c r="W129" s="2">
        <f t="shared" si="39"/>
        <v>0</v>
      </c>
      <c r="X129" s="2">
        <f t="shared" si="39"/>
        <v>0</v>
      </c>
      <c r="Y129" s="2">
        <f t="shared" si="39"/>
        <v>0</v>
      </c>
      <c r="Z129" s="2">
        <f t="shared" si="39"/>
        <v>0</v>
      </c>
      <c r="AA129" s="2">
        <f t="shared" si="39"/>
        <v>0</v>
      </c>
    </row>
    <row r="130" spans="1:27" x14ac:dyDescent="0.25">
      <c r="C130" s="1"/>
      <c r="D130" s="1"/>
    </row>
    <row r="131" spans="1:27" x14ac:dyDescent="0.25">
      <c r="C131" s="1"/>
      <c r="D131" t="s">
        <v>74</v>
      </c>
    </row>
    <row r="132" spans="1:27" x14ac:dyDescent="0.25">
      <c r="A132" s="14">
        <f>'Notes &amp; Assumptions'!A38</f>
        <v>25</v>
      </c>
      <c r="C132" s="1"/>
      <c r="D132" s="1"/>
      <c r="E132" t="s">
        <v>87</v>
      </c>
      <c r="F132" t="s">
        <v>3</v>
      </c>
      <c r="H132" s="10">
        <v>0</v>
      </c>
      <c r="I132" s="10">
        <v>0</v>
      </c>
      <c r="J132" s="10">
        <v>0</v>
      </c>
      <c r="K132" s="10">
        <v>0</v>
      </c>
      <c r="L132" s="10">
        <v>0</v>
      </c>
      <c r="M132" s="10">
        <v>0</v>
      </c>
      <c r="N132" s="10">
        <v>0</v>
      </c>
      <c r="O132" s="10">
        <v>0</v>
      </c>
      <c r="P132" s="10">
        <v>0</v>
      </c>
      <c r="Q132" s="10">
        <v>0</v>
      </c>
      <c r="R132" s="10">
        <f>AVERAGE($O132:$Q132)</f>
        <v>0</v>
      </c>
      <c r="S132" s="10">
        <f t="shared" ref="S132:V132" si="40">AVERAGE($O132:$Q132)</f>
        <v>0</v>
      </c>
      <c r="T132" s="10">
        <f t="shared" si="40"/>
        <v>0</v>
      </c>
      <c r="U132" s="10">
        <f t="shared" si="40"/>
        <v>0</v>
      </c>
      <c r="V132" s="10">
        <f t="shared" si="40"/>
        <v>0</v>
      </c>
    </row>
    <row r="133" spans="1:27" x14ac:dyDescent="0.25">
      <c r="C133" s="1"/>
      <c r="D133" s="1"/>
      <c r="E133" t="s">
        <v>60</v>
      </c>
      <c r="F133" t="s">
        <v>3</v>
      </c>
      <c r="H133" s="2">
        <f>G133+H132</f>
        <v>0</v>
      </c>
      <c r="I133" s="2">
        <f t="shared" ref="I133:AA133" si="41">H133+I132</f>
        <v>0</v>
      </c>
      <c r="J133" s="2">
        <f t="shared" si="41"/>
        <v>0</v>
      </c>
      <c r="K133" s="2">
        <f t="shared" si="41"/>
        <v>0</v>
      </c>
      <c r="L133" s="2">
        <f t="shared" si="41"/>
        <v>0</v>
      </c>
      <c r="M133" s="2">
        <f t="shared" si="41"/>
        <v>0</v>
      </c>
      <c r="N133" s="2">
        <f t="shared" si="41"/>
        <v>0</v>
      </c>
      <c r="O133" s="2">
        <f t="shared" si="41"/>
        <v>0</v>
      </c>
      <c r="P133" s="2">
        <f t="shared" si="41"/>
        <v>0</v>
      </c>
      <c r="Q133" s="2">
        <f t="shared" si="41"/>
        <v>0</v>
      </c>
      <c r="R133" s="2">
        <f t="shared" si="41"/>
        <v>0</v>
      </c>
      <c r="S133" s="2">
        <f t="shared" si="41"/>
        <v>0</v>
      </c>
      <c r="T133" s="2">
        <f t="shared" si="41"/>
        <v>0</v>
      </c>
      <c r="U133" s="2">
        <f t="shared" si="41"/>
        <v>0</v>
      </c>
      <c r="V133" s="2">
        <f t="shared" si="41"/>
        <v>0</v>
      </c>
      <c r="W133" s="2">
        <f t="shared" si="41"/>
        <v>0</v>
      </c>
      <c r="X133" s="2">
        <f t="shared" si="41"/>
        <v>0</v>
      </c>
      <c r="Y133" s="2">
        <f t="shared" si="41"/>
        <v>0</v>
      </c>
      <c r="Z133" s="2">
        <f t="shared" si="41"/>
        <v>0</v>
      </c>
      <c r="AA133" s="2">
        <f t="shared" si="41"/>
        <v>0</v>
      </c>
    </row>
    <row r="134" spans="1:27" x14ac:dyDescent="0.25">
      <c r="A134" s="14">
        <f>'Notes &amp; Assumptions'!A39</f>
        <v>26</v>
      </c>
      <c r="C134" s="1"/>
      <c r="D134" s="1"/>
      <c r="E134" t="s">
        <v>61</v>
      </c>
      <c r="F134" t="s">
        <v>3</v>
      </c>
      <c r="G134" s="10">
        <v>1</v>
      </c>
    </row>
    <row r="135" spans="1:27" x14ac:dyDescent="0.25">
      <c r="C135" s="1"/>
      <c r="D135" s="1"/>
      <c r="E135" t="s">
        <v>88</v>
      </c>
      <c r="F135" t="s">
        <v>3</v>
      </c>
      <c r="H135">
        <f>H132*$G134</f>
        <v>0</v>
      </c>
      <c r="I135">
        <f t="shared" ref="I135:AA135" si="42">I132*$G134</f>
        <v>0</v>
      </c>
      <c r="J135">
        <f t="shared" si="42"/>
        <v>0</v>
      </c>
      <c r="K135">
        <f t="shared" si="42"/>
        <v>0</v>
      </c>
      <c r="L135">
        <f t="shared" si="42"/>
        <v>0</v>
      </c>
      <c r="M135">
        <f t="shared" si="42"/>
        <v>0</v>
      </c>
      <c r="N135">
        <f t="shared" si="42"/>
        <v>0</v>
      </c>
      <c r="O135">
        <f t="shared" si="42"/>
        <v>0</v>
      </c>
      <c r="P135">
        <f t="shared" si="42"/>
        <v>0</v>
      </c>
      <c r="Q135">
        <f t="shared" si="42"/>
        <v>0</v>
      </c>
      <c r="R135">
        <f t="shared" si="42"/>
        <v>0</v>
      </c>
      <c r="S135">
        <f t="shared" si="42"/>
        <v>0</v>
      </c>
      <c r="T135">
        <f t="shared" si="42"/>
        <v>0</v>
      </c>
      <c r="U135">
        <f t="shared" si="42"/>
        <v>0</v>
      </c>
      <c r="V135">
        <f t="shared" si="42"/>
        <v>0</v>
      </c>
      <c r="W135">
        <f t="shared" si="42"/>
        <v>0</v>
      </c>
      <c r="X135">
        <f t="shared" si="42"/>
        <v>0</v>
      </c>
      <c r="Y135">
        <f t="shared" si="42"/>
        <v>0</v>
      </c>
      <c r="Z135">
        <f t="shared" si="42"/>
        <v>0</v>
      </c>
      <c r="AA135">
        <f t="shared" si="42"/>
        <v>0</v>
      </c>
    </row>
    <row r="136" spans="1:27" x14ac:dyDescent="0.25">
      <c r="C136" s="1"/>
      <c r="D136" s="1"/>
      <c r="E136" t="s">
        <v>89</v>
      </c>
      <c r="F136" t="s">
        <v>3</v>
      </c>
      <c r="H136">
        <f>H133*$G134</f>
        <v>0</v>
      </c>
      <c r="I136">
        <f t="shared" ref="I136:AA136" si="43">I133*$G134</f>
        <v>0</v>
      </c>
      <c r="J136">
        <f t="shared" si="43"/>
        <v>0</v>
      </c>
      <c r="K136">
        <f t="shared" si="43"/>
        <v>0</v>
      </c>
      <c r="L136">
        <f t="shared" si="43"/>
        <v>0</v>
      </c>
      <c r="M136">
        <f t="shared" si="43"/>
        <v>0</v>
      </c>
      <c r="N136">
        <f t="shared" si="43"/>
        <v>0</v>
      </c>
      <c r="O136">
        <f t="shared" si="43"/>
        <v>0</v>
      </c>
      <c r="P136">
        <f t="shared" si="43"/>
        <v>0</v>
      </c>
      <c r="Q136">
        <f t="shared" si="43"/>
        <v>0</v>
      </c>
      <c r="R136">
        <f t="shared" si="43"/>
        <v>0</v>
      </c>
      <c r="S136">
        <f t="shared" si="43"/>
        <v>0</v>
      </c>
      <c r="T136">
        <f t="shared" si="43"/>
        <v>0</v>
      </c>
      <c r="U136">
        <f t="shared" si="43"/>
        <v>0</v>
      </c>
      <c r="V136">
        <f t="shared" si="43"/>
        <v>0</v>
      </c>
      <c r="W136">
        <f t="shared" si="43"/>
        <v>0</v>
      </c>
      <c r="X136">
        <f t="shared" si="43"/>
        <v>0</v>
      </c>
      <c r="Y136">
        <f t="shared" si="43"/>
        <v>0</v>
      </c>
      <c r="Z136">
        <f t="shared" si="43"/>
        <v>0</v>
      </c>
      <c r="AA136">
        <f t="shared" si="43"/>
        <v>0</v>
      </c>
    </row>
    <row r="137" spans="1:27" x14ac:dyDescent="0.25">
      <c r="A137" s="14">
        <f>'Notes &amp; Assumptions'!A40</f>
        <v>27</v>
      </c>
      <c r="C137" s="1"/>
      <c r="D137" s="1"/>
      <c r="E137" t="s">
        <v>62</v>
      </c>
      <c r="F137" t="s">
        <v>43</v>
      </c>
      <c r="H137" s="10"/>
      <c r="I137" s="10"/>
      <c r="J137" s="10"/>
      <c r="K137" s="10"/>
      <c r="L137" s="10"/>
      <c r="M137" s="10"/>
      <c r="N137" s="10"/>
      <c r="O137" s="10"/>
      <c r="P137" s="10"/>
      <c r="Q137" s="10"/>
      <c r="R137" s="10"/>
      <c r="S137" s="10"/>
      <c r="T137" s="10"/>
      <c r="U137" s="10"/>
      <c r="V137" s="10"/>
      <c r="W137" s="10"/>
      <c r="X137" s="10"/>
      <c r="Y137" s="10"/>
      <c r="Z137" s="10"/>
      <c r="AA137" s="10"/>
    </row>
    <row r="138" spans="1:27" x14ac:dyDescent="0.25">
      <c r="C138" s="1"/>
      <c r="D138" s="1"/>
      <c r="E138" t="s">
        <v>63</v>
      </c>
      <c r="F138" t="s">
        <v>43</v>
      </c>
      <c r="H138" s="10"/>
      <c r="I138" s="10"/>
      <c r="J138" s="10"/>
      <c r="K138" s="10"/>
      <c r="L138" s="10"/>
      <c r="M138" s="10"/>
      <c r="N138" s="10"/>
      <c r="O138" s="10"/>
      <c r="P138" s="10"/>
      <c r="Q138" s="10"/>
      <c r="R138" s="10"/>
      <c r="S138" s="10"/>
      <c r="T138" s="10"/>
      <c r="U138" s="10"/>
      <c r="V138" s="10"/>
      <c r="W138" s="10"/>
      <c r="X138" s="10"/>
      <c r="Y138" s="10"/>
      <c r="Z138" s="10"/>
      <c r="AA138" s="10"/>
    </row>
    <row r="139" spans="1:27" x14ac:dyDescent="0.25">
      <c r="A139" s="14">
        <f>'Notes &amp; Assumptions'!A41</f>
        <v>28</v>
      </c>
      <c r="C139" s="1"/>
      <c r="D139" s="1"/>
      <c r="E139" t="s">
        <v>140</v>
      </c>
      <c r="F139" t="s">
        <v>43</v>
      </c>
      <c r="H139" s="10"/>
      <c r="I139" s="10"/>
      <c r="J139" s="10"/>
      <c r="K139" s="10"/>
      <c r="L139" s="10"/>
      <c r="M139" s="10"/>
      <c r="N139" s="10"/>
      <c r="O139" s="10"/>
      <c r="P139" s="10"/>
      <c r="Q139" s="10"/>
      <c r="R139" s="10"/>
      <c r="S139" s="10"/>
      <c r="T139" s="10"/>
      <c r="U139" s="10"/>
      <c r="V139" s="10"/>
      <c r="W139" s="10"/>
      <c r="X139" s="10"/>
      <c r="Y139" s="10"/>
      <c r="Z139" s="10"/>
      <c r="AA139" s="10"/>
    </row>
    <row r="140" spans="1:27" x14ac:dyDescent="0.25">
      <c r="C140" s="1"/>
      <c r="D140" s="1"/>
      <c r="E140" t="s">
        <v>64</v>
      </c>
      <c r="F140" t="s">
        <v>144</v>
      </c>
      <c r="H140" s="2">
        <f>H133*H137</f>
        <v>0</v>
      </c>
      <c r="I140" s="2">
        <f t="shared" ref="I140:AA140" si="44">I133*I137</f>
        <v>0</v>
      </c>
      <c r="J140" s="2">
        <f t="shared" si="44"/>
        <v>0</v>
      </c>
      <c r="K140" s="2">
        <f t="shared" si="44"/>
        <v>0</v>
      </c>
      <c r="L140" s="2">
        <f t="shared" si="44"/>
        <v>0</v>
      </c>
      <c r="M140" s="2">
        <f t="shared" si="44"/>
        <v>0</v>
      </c>
      <c r="N140" s="2">
        <f t="shared" si="44"/>
        <v>0</v>
      </c>
      <c r="O140" s="2">
        <f t="shared" si="44"/>
        <v>0</v>
      </c>
      <c r="P140" s="2">
        <f t="shared" si="44"/>
        <v>0</v>
      </c>
      <c r="Q140" s="2">
        <f t="shared" si="44"/>
        <v>0</v>
      </c>
      <c r="R140" s="2">
        <f t="shared" si="44"/>
        <v>0</v>
      </c>
      <c r="S140" s="2">
        <f t="shared" si="44"/>
        <v>0</v>
      </c>
      <c r="T140" s="2">
        <f t="shared" si="44"/>
        <v>0</v>
      </c>
      <c r="U140" s="2">
        <f t="shared" si="44"/>
        <v>0</v>
      </c>
      <c r="V140" s="2">
        <f t="shared" si="44"/>
        <v>0</v>
      </c>
      <c r="W140" s="2">
        <f t="shared" si="44"/>
        <v>0</v>
      </c>
      <c r="X140" s="2">
        <f t="shared" si="44"/>
        <v>0</v>
      </c>
      <c r="Y140" s="2">
        <f t="shared" si="44"/>
        <v>0</v>
      </c>
      <c r="Z140" s="2">
        <f t="shared" si="44"/>
        <v>0</v>
      </c>
      <c r="AA140" s="2">
        <f t="shared" si="44"/>
        <v>0</v>
      </c>
    </row>
    <row r="141" spans="1:27" x14ac:dyDescent="0.25">
      <c r="C141" s="1"/>
      <c r="D141" s="1"/>
      <c r="E141" t="s">
        <v>65</v>
      </c>
      <c r="F141" t="s">
        <v>144</v>
      </c>
      <c r="H141" s="2">
        <f>H133*H138</f>
        <v>0</v>
      </c>
      <c r="I141" s="2">
        <f t="shared" ref="I141:AA141" si="45">I133*I138</f>
        <v>0</v>
      </c>
      <c r="J141" s="2">
        <f t="shared" si="45"/>
        <v>0</v>
      </c>
      <c r="K141" s="2">
        <f t="shared" si="45"/>
        <v>0</v>
      </c>
      <c r="L141" s="2">
        <f t="shared" si="45"/>
        <v>0</v>
      </c>
      <c r="M141" s="2">
        <f t="shared" si="45"/>
        <v>0</v>
      </c>
      <c r="N141" s="2">
        <f t="shared" si="45"/>
        <v>0</v>
      </c>
      <c r="O141" s="2">
        <f t="shared" si="45"/>
        <v>0</v>
      </c>
      <c r="P141" s="2">
        <f t="shared" si="45"/>
        <v>0</v>
      </c>
      <c r="Q141" s="2">
        <f t="shared" si="45"/>
        <v>0</v>
      </c>
      <c r="R141" s="2">
        <f t="shared" si="45"/>
        <v>0</v>
      </c>
      <c r="S141" s="2">
        <f t="shared" si="45"/>
        <v>0</v>
      </c>
      <c r="T141" s="2">
        <f t="shared" si="45"/>
        <v>0</v>
      </c>
      <c r="U141" s="2">
        <f t="shared" si="45"/>
        <v>0</v>
      </c>
      <c r="V141" s="2">
        <f t="shared" si="45"/>
        <v>0</v>
      </c>
      <c r="W141" s="2">
        <f t="shared" si="45"/>
        <v>0</v>
      </c>
      <c r="X141" s="2">
        <f t="shared" si="45"/>
        <v>0</v>
      </c>
      <c r="Y141" s="2">
        <f t="shared" si="45"/>
        <v>0</v>
      </c>
      <c r="Z141" s="2">
        <f t="shared" si="45"/>
        <v>0</v>
      </c>
      <c r="AA141" s="2">
        <f t="shared" si="45"/>
        <v>0</v>
      </c>
    </row>
    <row r="142" spans="1:27" x14ac:dyDescent="0.25">
      <c r="C142" s="1"/>
      <c r="D142" s="1"/>
      <c r="E142" t="s">
        <v>141</v>
      </c>
      <c r="F142" t="s">
        <v>144</v>
      </c>
      <c r="H142" s="2">
        <f>H133*H139</f>
        <v>0</v>
      </c>
      <c r="I142" s="2">
        <f t="shared" ref="I142:AA142" si="46">I133*I139</f>
        <v>0</v>
      </c>
      <c r="J142" s="2">
        <f t="shared" si="46"/>
        <v>0</v>
      </c>
      <c r="K142" s="2">
        <f t="shared" si="46"/>
        <v>0</v>
      </c>
      <c r="L142" s="2">
        <f t="shared" si="46"/>
        <v>0</v>
      </c>
      <c r="M142" s="2">
        <f t="shared" si="46"/>
        <v>0</v>
      </c>
      <c r="N142" s="2">
        <f t="shared" si="46"/>
        <v>0</v>
      </c>
      <c r="O142" s="2">
        <f t="shared" si="46"/>
        <v>0</v>
      </c>
      <c r="P142" s="2">
        <f t="shared" si="46"/>
        <v>0</v>
      </c>
      <c r="Q142" s="2">
        <f t="shared" si="46"/>
        <v>0</v>
      </c>
      <c r="R142" s="2">
        <f t="shared" si="46"/>
        <v>0</v>
      </c>
      <c r="S142" s="2">
        <f t="shared" si="46"/>
        <v>0</v>
      </c>
      <c r="T142" s="2">
        <f t="shared" si="46"/>
        <v>0</v>
      </c>
      <c r="U142" s="2">
        <f t="shared" si="46"/>
        <v>0</v>
      </c>
      <c r="V142" s="2">
        <f t="shared" si="46"/>
        <v>0</v>
      </c>
      <c r="W142" s="2">
        <f t="shared" si="46"/>
        <v>0</v>
      </c>
      <c r="X142" s="2">
        <f t="shared" si="46"/>
        <v>0</v>
      </c>
      <c r="Y142" s="2">
        <f t="shared" si="46"/>
        <v>0</v>
      </c>
      <c r="Z142" s="2">
        <f t="shared" si="46"/>
        <v>0</v>
      </c>
      <c r="AA142" s="2">
        <f t="shared" si="46"/>
        <v>0</v>
      </c>
    </row>
    <row r="143" spans="1:27" x14ac:dyDescent="0.25">
      <c r="A143" s="14">
        <f>'Notes &amp; Assumptions'!A42</f>
        <v>29</v>
      </c>
      <c r="C143" s="1"/>
      <c r="D143" s="1"/>
      <c r="E143" t="s">
        <v>66</v>
      </c>
      <c r="F143" t="s">
        <v>8</v>
      </c>
      <c r="H143" s="11"/>
      <c r="I143" s="11"/>
      <c r="J143" s="11"/>
      <c r="K143" s="11"/>
      <c r="L143" s="11"/>
      <c r="M143" s="11"/>
      <c r="N143" s="11"/>
      <c r="O143" s="11"/>
      <c r="P143" s="11"/>
      <c r="Q143" s="11"/>
      <c r="R143" s="11"/>
      <c r="S143" s="11"/>
      <c r="T143" s="11"/>
      <c r="U143" s="11"/>
      <c r="V143" s="11"/>
      <c r="W143" s="11"/>
      <c r="X143" s="11"/>
      <c r="Y143" s="11"/>
      <c r="Z143" s="11"/>
      <c r="AA143" s="11"/>
    </row>
    <row r="144" spans="1:27" x14ac:dyDescent="0.25">
      <c r="A144" s="14">
        <f>'Notes &amp; Assumptions'!A43</f>
        <v>30</v>
      </c>
      <c r="C144" s="1"/>
      <c r="D144" s="1"/>
      <c r="E144" t="s">
        <v>40</v>
      </c>
      <c r="F144" t="s">
        <v>41</v>
      </c>
      <c r="G144" s="10"/>
      <c r="H144" s="2">
        <f>G144*(1+$G$14)*(1+H143)</f>
        <v>0</v>
      </c>
      <c r="I144" s="2">
        <f t="shared" ref="I144:AA144" si="47">H144*(1+$G$14)*(1+I143)</f>
        <v>0</v>
      </c>
      <c r="J144" s="2">
        <f t="shared" si="47"/>
        <v>0</v>
      </c>
      <c r="K144" s="2">
        <f t="shared" si="47"/>
        <v>0</v>
      </c>
      <c r="L144" s="2">
        <f t="shared" si="47"/>
        <v>0</v>
      </c>
      <c r="M144" s="2">
        <f t="shared" si="47"/>
        <v>0</v>
      </c>
      <c r="N144" s="2">
        <f t="shared" si="47"/>
        <v>0</v>
      </c>
      <c r="O144" s="2">
        <f t="shared" si="47"/>
        <v>0</v>
      </c>
      <c r="P144" s="2">
        <f t="shared" si="47"/>
        <v>0</v>
      </c>
      <c r="Q144" s="2">
        <f t="shared" si="47"/>
        <v>0</v>
      </c>
      <c r="R144" s="2">
        <f t="shared" si="47"/>
        <v>0</v>
      </c>
      <c r="S144" s="2">
        <f t="shared" si="47"/>
        <v>0</v>
      </c>
      <c r="T144" s="2">
        <f t="shared" si="47"/>
        <v>0</v>
      </c>
      <c r="U144" s="2">
        <f t="shared" si="47"/>
        <v>0</v>
      </c>
      <c r="V144" s="2">
        <f t="shared" si="47"/>
        <v>0</v>
      </c>
      <c r="W144" s="2">
        <f t="shared" si="47"/>
        <v>0</v>
      </c>
      <c r="X144" s="2">
        <f t="shared" si="47"/>
        <v>0</v>
      </c>
      <c r="Y144" s="2">
        <f t="shared" si="47"/>
        <v>0</v>
      </c>
      <c r="Z144" s="2">
        <f t="shared" si="47"/>
        <v>0</v>
      </c>
      <c r="AA144" s="2">
        <f t="shared" si="47"/>
        <v>0</v>
      </c>
    </row>
    <row r="145" spans="1:27" x14ac:dyDescent="0.25">
      <c r="C145" s="1"/>
      <c r="D145" s="1"/>
      <c r="E145" t="s">
        <v>67</v>
      </c>
      <c r="F145" t="s">
        <v>143</v>
      </c>
      <c r="G145" s="20"/>
      <c r="H145" s="21">
        <f>G145*(1+$G$14)*(1+H143)</f>
        <v>0</v>
      </c>
      <c r="I145" s="21">
        <f t="shared" ref="I145:AA145" si="48">H145*(1+$G$14)*(1+I143)</f>
        <v>0</v>
      </c>
      <c r="J145" s="21">
        <f t="shared" si="48"/>
        <v>0</v>
      </c>
      <c r="K145" s="21">
        <f t="shared" si="48"/>
        <v>0</v>
      </c>
      <c r="L145" s="21">
        <f t="shared" si="48"/>
        <v>0</v>
      </c>
      <c r="M145" s="21">
        <f t="shared" si="48"/>
        <v>0</v>
      </c>
      <c r="N145" s="21">
        <f t="shared" si="48"/>
        <v>0</v>
      </c>
      <c r="O145" s="21">
        <f t="shared" si="48"/>
        <v>0</v>
      </c>
      <c r="P145" s="21">
        <f t="shared" si="48"/>
        <v>0</v>
      </c>
      <c r="Q145" s="21">
        <f t="shared" si="48"/>
        <v>0</v>
      </c>
      <c r="R145" s="21">
        <f t="shared" si="48"/>
        <v>0</v>
      </c>
      <c r="S145" s="21">
        <f t="shared" si="48"/>
        <v>0</v>
      </c>
      <c r="T145" s="21">
        <f t="shared" si="48"/>
        <v>0</v>
      </c>
      <c r="U145" s="21">
        <f t="shared" si="48"/>
        <v>0</v>
      </c>
      <c r="V145" s="21">
        <f t="shared" si="48"/>
        <v>0</v>
      </c>
      <c r="W145" s="21">
        <f t="shared" si="48"/>
        <v>0</v>
      </c>
      <c r="X145" s="21">
        <f t="shared" si="48"/>
        <v>0</v>
      </c>
      <c r="Y145" s="21">
        <f t="shared" si="48"/>
        <v>0</v>
      </c>
      <c r="Z145" s="21">
        <f t="shared" si="48"/>
        <v>0</v>
      </c>
      <c r="AA145" s="21">
        <f t="shared" si="48"/>
        <v>0</v>
      </c>
    </row>
    <row r="146" spans="1:27" x14ac:dyDescent="0.25">
      <c r="C146" s="1"/>
      <c r="D146" s="1"/>
      <c r="E146" t="s">
        <v>68</v>
      </c>
      <c r="F146" t="s">
        <v>143</v>
      </c>
      <c r="G146" s="20"/>
      <c r="H146" s="21">
        <f>G146*(1+$G$14)*(1+H143)</f>
        <v>0</v>
      </c>
      <c r="I146" s="21">
        <f t="shared" ref="I146:AA146" si="49">H146*(1+$G$14)*(1+I143)</f>
        <v>0</v>
      </c>
      <c r="J146" s="21">
        <f t="shared" si="49"/>
        <v>0</v>
      </c>
      <c r="K146" s="21">
        <f t="shared" si="49"/>
        <v>0</v>
      </c>
      <c r="L146" s="21">
        <f t="shared" si="49"/>
        <v>0</v>
      </c>
      <c r="M146" s="21">
        <f t="shared" si="49"/>
        <v>0</v>
      </c>
      <c r="N146" s="21">
        <f t="shared" si="49"/>
        <v>0</v>
      </c>
      <c r="O146" s="21">
        <f t="shared" si="49"/>
        <v>0</v>
      </c>
      <c r="P146" s="21">
        <f t="shared" si="49"/>
        <v>0</v>
      </c>
      <c r="Q146" s="21">
        <f t="shared" si="49"/>
        <v>0</v>
      </c>
      <c r="R146" s="21">
        <f t="shared" si="49"/>
        <v>0</v>
      </c>
      <c r="S146" s="21">
        <f t="shared" si="49"/>
        <v>0</v>
      </c>
      <c r="T146" s="21">
        <f t="shared" si="49"/>
        <v>0</v>
      </c>
      <c r="U146" s="21">
        <f t="shared" si="49"/>
        <v>0</v>
      </c>
      <c r="V146" s="21">
        <f t="shared" si="49"/>
        <v>0</v>
      </c>
      <c r="W146" s="21">
        <f t="shared" si="49"/>
        <v>0</v>
      </c>
      <c r="X146" s="21">
        <f t="shared" si="49"/>
        <v>0</v>
      </c>
      <c r="Y146" s="21">
        <f t="shared" si="49"/>
        <v>0</v>
      </c>
      <c r="Z146" s="21">
        <f t="shared" si="49"/>
        <v>0</v>
      </c>
      <c r="AA146" s="21">
        <f t="shared" si="49"/>
        <v>0</v>
      </c>
    </row>
    <row r="147" spans="1:27" x14ac:dyDescent="0.25">
      <c r="C147" s="1"/>
      <c r="D147" s="1"/>
      <c r="E147" t="s">
        <v>142</v>
      </c>
      <c r="F147" t="s">
        <v>143</v>
      </c>
      <c r="G147" s="20"/>
      <c r="H147" s="21">
        <f>G147*(1+$G$14)*(1+H143)</f>
        <v>0</v>
      </c>
      <c r="I147" s="21">
        <f t="shared" ref="I147:AA147" si="50">H147*(1+$G$14)*(1+I143)</f>
        <v>0</v>
      </c>
      <c r="J147" s="21">
        <f t="shared" si="50"/>
        <v>0</v>
      </c>
      <c r="K147" s="21">
        <f t="shared" si="50"/>
        <v>0</v>
      </c>
      <c r="L147" s="21">
        <f t="shared" si="50"/>
        <v>0</v>
      </c>
      <c r="M147" s="21">
        <f t="shared" si="50"/>
        <v>0</v>
      </c>
      <c r="N147" s="21">
        <f t="shared" si="50"/>
        <v>0</v>
      </c>
      <c r="O147" s="21">
        <f t="shared" si="50"/>
        <v>0</v>
      </c>
      <c r="P147" s="21">
        <f t="shared" si="50"/>
        <v>0</v>
      </c>
      <c r="Q147" s="21">
        <f t="shared" si="50"/>
        <v>0</v>
      </c>
      <c r="R147" s="21">
        <f t="shared" si="50"/>
        <v>0</v>
      </c>
      <c r="S147" s="21">
        <f t="shared" si="50"/>
        <v>0</v>
      </c>
      <c r="T147" s="21">
        <f t="shared" si="50"/>
        <v>0</v>
      </c>
      <c r="U147" s="21">
        <f t="shared" si="50"/>
        <v>0</v>
      </c>
      <c r="V147" s="21">
        <f t="shared" si="50"/>
        <v>0</v>
      </c>
      <c r="W147" s="21">
        <f t="shared" si="50"/>
        <v>0</v>
      </c>
      <c r="X147" s="21">
        <f t="shared" si="50"/>
        <v>0</v>
      </c>
      <c r="Y147" s="21">
        <f t="shared" si="50"/>
        <v>0</v>
      </c>
      <c r="Z147" s="21">
        <f t="shared" si="50"/>
        <v>0</v>
      </c>
      <c r="AA147" s="21">
        <f t="shared" si="50"/>
        <v>0</v>
      </c>
    </row>
    <row r="148" spans="1:27" x14ac:dyDescent="0.25">
      <c r="C148" s="1"/>
      <c r="D148" s="1"/>
    </row>
    <row r="149" spans="1:27" x14ac:dyDescent="0.25">
      <c r="C149" s="1"/>
      <c r="D149" s="1"/>
      <c r="E149" t="s">
        <v>75</v>
      </c>
      <c r="F149" t="s">
        <v>58</v>
      </c>
      <c r="H149" s="2">
        <f>SUM(H140:H142)/1000</f>
        <v>0</v>
      </c>
      <c r="I149" s="2">
        <f t="shared" ref="I149:AA149" si="51">SUM(I140:I142)/1000</f>
        <v>0</v>
      </c>
      <c r="J149" s="2">
        <f t="shared" si="51"/>
        <v>0</v>
      </c>
      <c r="K149" s="2">
        <f t="shared" si="51"/>
        <v>0</v>
      </c>
      <c r="L149" s="2">
        <f t="shared" si="51"/>
        <v>0</v>
      </c>
      <c r="M149" s="2">
        <f t="shared" si="51"/>
        <v>0</v>
      </c>
      <c r="N149" s="2">
        <f t="shared" si="51"/>
        <v>0</v>
      </c>
      <c r="O149" s="2">
        <f t="shared" si="51"/>
        <v>0</v>
      </c>
      <c r="P149" s="2">
        <f t="shared" si="51"/>
        <v>0</v>
      </c>
      <c r="Q149" s="2">
        <f t="shared" si="51"/>
        <v>0</v>
      </c>
      <c r="R149" s="2">
        <f t="shared" si="51"/>
        <v>0</v>
      </c>
      <c r="S149" s="2">
        <f t="shared" si="51"/>
        <v>0</v>
      </c>
      <c r="T149" s="2">
        <f t="shared" si="51"/>
        <v>0</v>
      </c>
      <c r="U149" s="2">
        <f t="shared" si="51"/>
        <v>0</v>
      </c>
      <c r="V149" s="2">
        <f t="shared" si="51"/>
        <v>0</v>
      </c>
      <c r="W149" s="2">
        <f t="shared" si="51"/>
        <v>0</v>
      </c>
      <c r="X149" s="2">
        <f t="shared" si="51"/>
        <v>0</v>
      </c>
      <c r="Y149" s="2">
        <f t="shared" si="51"/>
        <v>0</v>
      </c>
      <c r="Z149" s="2">
        <f t="shared" si="51"/>
        <v>0</v>
      </c>
      <c r="AA149" s="2">
        <f t="shared" si="51"/>
        <v>0</v>
      </c>
    </row>
    <row r="150" spans="1:27" x14ac:dyDescent="0.25">
      <c r="C150" s="1"/>
      <c r="D150" s="1"/>
      <c r="E150" t="s">
        <v>76</v>
      </c>
      <c r="F150" t="s">
        <v>7</v>
      </c>
      <c r="H150" s="2">
        <f>H133*H144+H140*H145+H141*H146+H142*H147</f>
        <v>0</v>
      </c>
      <c r="I150" s="2">
        <f t="shared" ref="I150:AA150" si="52">I133*I144+I140*I145+I141*I146+I142*I147</f>
        <v>0</v>
      </c>
      <c r="J150" s="2">
        <f t="shared" si="52"/>
        <v>0</v>
      </c>
      <c r="K150" s="2">
        <f t="shared" si="52"/>
        <v>0</v>
      </c>
      <c r="L150" s="2">
        <f t="shared" si="52"/>
        <v>0</v>
      </c>
      <c r="M150" s="2">
        <f t="shared" si="52"/>
        <v>0</v>
      </c>
      <c r="N150" s="2">
        <f t="shared" si="52"/>
        <v>0</v>
      </c>
      <c r="O150" s="2">
        <f t="shared" si="52"/>
        <v>0</v>
      </c>
      <c r="P150" s="2">
        <f t="shared" si="52"/>
        <v>0</v>
      </c>
      <c r="Q150" s="2">
        <f t="shared" si="52"/>
        <v>0</v>
      </c>
      <c r="R150" s="2">
        <f t="shared" si="52"/>
        <v>0</v>
      </c>
      <c r="S150" s="2">
        <f t="shared" si="52"/>
        <v>0</v>
      </c>
      <c r="T150" s="2">
        <f t="shared" si="52"/>
        <v>0</v>
      </c>
      <c r="U150" s="2">
        <f t="shared" si="52"/>
        <v>0</v>
      </c>
      <c r="V150" s="2">
        <f t="shared" si="52"/>
        <v>0</v>
      </c>
      <c r="W150" s="2">
        <f t="shared" si="52"/>
        <v>0</v>
      </c>
      <c r="X150" s="2">
        <f t="shared" si="52"/>
        <v>0</v>
      </c>
      <c r="Y150" s="2">
        <f t="shared" si="52"/>
        <v>0</v>
      </c>
      <c r="Z150" s="2">
        <f t="shared" si="52"/>
        <v>0</v>
      </c>
      <c r="AA150" s="2">
        <f t="shared" si="52"/>
        <v>0</v>
      </c>
    </row>
    <row r="151" spans="1:27" x14ac:dyDescent="0.25">
      <c r="C151" s="1"/>
      <c r="D151" s="1"/>
    </row>
    <row r="152" spans="1:27" x14ac:dyDescent="0.25">
      <c r="C152" s="1"/>
      <c r="D152" t="s">
        <v>77</v>
      </c>
    </row>
    <row r="153" spans="1:27" x14ac:dyDescent="0.25">
      <c r="A153" s="14">
        <f>'Notes &amp; Assumptions'!A44</f>
        <v>31</v>
      </c>
      <c r="C153" s="1"/>
      <c r="D153" s="1"/>
      <c r="E153" t="s">
        <v>87</v>
      </c>
      <c r="F153" t="s">
        <v>3</v>
      </c>
      <c r="H153" s="10">
        <v>0</v>
      </c>
      <c r="I153" s="10">
        <v>0</v>
      </c>
      <c r="J153" s="10">
        <v>0</v>
      </c>
      <c r="K153" s="10">
        <v>0</v>
      </c>
      <c r="L153" s="10">
        <v>0</v>
      </c>
      <c r="M153" s="10">
        <v>0</v>
      </c>
      <c r="N153" s="10">
        <v>0</v>
      </c>
      <c r="O153" s="10">
        <v>0</v>
      </c>
      <c r="P153" s="10">
        <v>0</v>
      </c>
      <c r="Q153" s="10">
        <v>0</v>
      </c>
      <c r="R153" s="10">
        <f>AVERAGE($O153:$Q153)</f>
        <v>0</v>
      </c>
      <c r="S153" s="10">
        <f t="shared" ref="S153:V153" si="53">AVERAGE($O153:$Q153)</f>
        <v>0</v>
      </c>
      <c r="T153" s="10">
        <f t="shared" si="53"/>
        <v>0</v>
      </c>
      <c r="U153" s="10">
        <f t="shared" si="53"/>
        <v>0</v>
      </c>
      <c r="V153" s="10">
        <f t="shared" si="53"/>
        <v>0</v>
      </c>
    </row>
    <row r="154" spans="1:27" x14ac:dyDescent="0.25">
      <c r="C154" s="1"/>
      <c r="D154" s="1"/>
      <c r="E154" t="s">
        <v>60</v>
      </c>
      <c r="F154" t="s">
        <v>3</v>
      </c>
      <c r="H154" s="2">
        <f>G154+H153</f>
        <v>0</v>
      </c>
      <c r="I154" s="2">
        <f t="shared" ref="I154:AA154" si="54">H154+I153</f>
        <v>0</v>
      </c>
      <c r="J154" s="2">
        <f t="shared" si="54"/>
        <v>0</v>
      </c>
      <c r="K154" s="2">
        <f t="shared" si="54"/>
        <v>0</v>
      </c>
      <c r="L154" s="2">
        <f t="shared" si="54"/>
        <v>0</v>
      </c>
      <c r="M154" s="2">
        <f t="shared" si="54"/>
        <v>0</v>
      </c>
      <c r="N154" s="2">
        <f t="shared" si="54"/>
        <v>0</v>
      </c>
      <c r="O154" s="2">
        <f t="shared" si="54"/>
        <v>0</v>
      </c>
      <c r="P154" s="2">
        <f t="shared" si="54"/>
        <v>0</v>
      </c>
      <c r="Q154" s="2">
        <f t="shared" si="54"/>
        <v>0</v>
      </c>
      <c r="R154" s="2">
        <f t="shared" si="54"/>
        <v>0</v>
      </c>
      <c r="S154" s="2">
        <f t="shared" si="54"/>
        <v>0</v>
      </c>
      <c r="T154" s="2">
        <f t="shared" si="54"/>
        <v>0</v>
      </c>
      <c r="U154" s="2">
        <f t="shared" si="54"/>
        <v>0</v>
      </c>
      <c r="V154" s="2">
        <f t="shared" si="54"/>
        <v>0</v>
      </c>
      <c r="W154" s="2">
        <f t="shared" si="54"/>
        <v>0</v>
      </c>
      <c r="X154" s="2">
        <f t="shared" si="54"/>
        <v>0</v>
      </c>
      <c r="Y154" s="2">
        <f t="shared" si="54"/>
        <v>0</v>
      </c>
      <c r="Z154" s="2">
        <f t="shared" si="54"/>
        <v>0</v>
      </c>
      <c r="AA154" s="2">
        <f t="shared" si="54"/>
        <v>0</v>
      </c>
    </row>
    <row r="155" spans="1:27" x14ac:dyDescent="0.25">
      <c r="A155" s="14">
        <f>'Notes &amp; Assumptions'!A45</f>
        <v>32</v>
      </c>
      <c r="C155" s="1"/>
      <c r="D155" s="1"/>
      <c r="E155" t="s">
        <v>61</v>
      </c>
      <c r="F155" t="s">
        <v>3</v>
      </c>
      <c r="G155" s="10">
        <v>1</v>
      </c>
    </row>
    <row r="156" spans="1:27" x14ac:dyDescent="0.25">
      <c r="C156" s="1"/>
      <c r="D156" s="1"/>
      <c r="E156" t="s">
        <v>88</v>
      </c>
      <c r="F156" t="s">
        <v>3</v>
      </c>
      <c r="H156">
        <f>H153*$G155</f>
        <v>0</v>
      </c>
      <c r="I156">
        <f t="shared" ref="I156:AA156" si="55">I153*$G155</f>
        <v>0</v>
      </c>
      <c r="J156">
        <f t="shared" si="55"/>
        <v>0</v>
      </c>
      <c r="K156">
        <f t="shared" si="55"/>
        <v>0</v>
      </c>
      <c r="L156">
        <f t="shared" si="55"/>
        <v>0</v>
      </c>
      <c r="M156">
        <f t="shared" si="55"/>
        <v>0</v>
      </c>
      <c r="N156">
        <f t="shared" si="55"/>
        <v>0</v>
      </c>
      <c r="O156">
        <f t="shared" si="55"/>
        <v>0</v>
      </c>
      <c r="P156">
        <f t="shared" si="55"/>
        <v>0</v>
      </c>
      <c r="Q156">
        <f t="shared" si="55"/>
        <v>0</v>
      </c>
      <c r="R156">
        <f t="shared" si="55"/>
        <v>0</v>
      </c>
      <c r="S156">
        <f t="shared" si="55"/>
        <v>0</v>
      </c>
      <c r="T156">
        <f t="shared" si="55"/>
        <v>0</v>
      </c>
      <c r="U156">
        <f t="shared" si="55"/>
        <v>0</v>
      </c>
      <c r="V156">
        <f t="shared" si="55"/>
        <v>0</v>
      </c>
      <c r="W156">
        <f t="shared" si="55"/>
        <v>0</v>
      </c>
      <c r="X156">
        <f t="shared" si="55"/>
        <v>0</v>
      </c>
      <c r="Y156">
        <f t="shared" si="55"/>
        <v>0</v>
      </c>
      <c r="Z156">
        <f t="shared" si="55"/>
        <v>0</v>
      </c>
      <c r="AA156">
        <f t="shared" si="55"/>
        <v>0</v>
      </c>
    </row>
    <row r="157" spans="1:27" x14ac:dyDescent="0.25">
      <c r="C157" s="1"/>
      <c r="D157" s="1"/>
      <c r="E157" t="s">
        <v>89</v>
      </c>
      <c r="F157" t="s">
        <v>3</v>
      </c>
      <c r="H157">
        <f>H154*$G155</f>
        <v>0</v>
      </c>
      <c r="I157">
        <f t="shared" ref="I157:AA157" si="56">I154*$G155</f>
        <v>0</v>
      </c>
      <c r="J157">
        <f t="shared" si="56"/>
        <v>0</v>
      </c>
      <c r="K157">
        <f t="shared" si="56"/>
        <v>0</v>
      </c>
      <c r="L157">
        <f t="shared" si="56"/>
        <v>0</v>
      </c>
      <c r="M157">
        <f t="shared" si="56"/>
        <v>0</v>
      </c>
      <c r="N157">
        <f t="shared" si="56"/>
        <v>0</v>
      </c>
      <c r="O157">
        <f t="shared" si="56"/>
        <v>0</v>
      </c>
      <c r="P157">
        <f t="shared" si="56"/>
        <v>0</v>
      </c>
      <c r="Q157">
        <f t="shared" si="56"/>
        <v>0</v>
      </c>
      <c r="R157">
        <f t="shared" si="56"/>
        <v>0</v>
      </c>
      <c r="S157">
        <f t="shared" si="56"/>
        <v>0</v>
      </c>
      <c r="T157">
        <f t="shared" si="56"/>
        <v>0</v>
      </c>
      <c r="U157">
        <f t="shared" si="56"/>
        <v>0</v>
      </c>
      <c r="V157">
        <f t="shared" si="56"/>
        <v>0</v>
      </c>
      <c r="W157">
        <f t="shared" si="56"/>
        <v>0</v>
      </c>
      <c r="X157">
        <f t="shared" si="56"/>
        <v>0</v>
      </c>
      <c r="Y157">
        <f t="shared" si="56"/>
        <v>0</v>
      </c>
      <c r="Z157">
        <f t="shared" si="56"/>
        <v>0</v>
      </c>
      <c r="AA157">
        <f t="shared" si="56"/>
        <v>0</v>
      </c>
    </row>
    <row r="158" spans="1:27" x14ac:dyDescent="0.25">
      <c r="A158" s="14">
        <f>'Notes &amp; Assumptions'!A46</f>
        <v>33</v>
      </c>
      <c r="C158" s="1"/>
      <c r="D158" s="1"/>
      <c r="E158" t="s">
        <v>62</v>
      </c>
      <c r="F158" t="s">
        <v>43</v>
      </c>
      <c r="H158" s="10"/>
      <c r="I158" s="10"/>
      <c r="J158" s="10"/>
      <c r="K158" s="10"/>
      <c r="L158" s="10"/>
      <c r="M158" s="10"/>
      <c r="N158" s="10"/>
      <c r="O158" s="10"/>
      <c r="P158" s="10"/>
      <c r="Q158" s="10"/>
      <c r="R158" s="10"/>
      <c r="S158" s="10"/>
      <c r="T158" s="10"/>
      <c r="U158" s="10"/>
      <c r="V158" s="10"/>
      <c r="W158" s="10"/>
      <c r="X158" s="10"/>
      <c r="Y158" s="10"/>
      <c r="Z158" s="10"/>
      <c r="AA158" s="10"/>
    </row>
    <row r="159" spans="1:27" x14ac:dyDescent="0.25">
      <c r="C159" s="1"/>
      <c r="D159" s="1"/>
      <c r="E159" t="s">
        <v>63</v>
      </c>
      <c r="F159" t="s">
        <v>43</v>
      </c>
      <c r="H159" s="10"/>
      <c r="I159" s="10"/>
      <c r="J159" s="10"/>
      <c r="K159" s="10"/>
      <c r="L159" s="10"/>
      <c r="M159" s="10"/>
      <c r="N159" s="10"/>
      <c r="O159" s="10"/>
      <c r="P159" s="10"/>
      <c r="Q159" s="10"/>
      <c r="R159" s="10"/>
      <c r="S159" s="10"/>
      <c r="T159" s="10"/>
      <c r="U159" s="10"/>
      <c r="V159" s="10"/>
      <c r="W159" s="10"/>
      <c r="X159" s="10"/>
      <c r="Y159" s="10"/>
      <c r="Z159" s="10"/>
      <c r="AA159" s="10"/>
    </row>
    <row r="160" spans="1:27" x14ac:dyDescent="0.25">
      <c r="A160" s="14">
        <f>'Notes &amp; Assumptions'!A47</f>
        <v>34</v>
      </c>
      <c r="C160" s="1"/>
      <c r="D160" s="1"/>
      <c r="E160" t="s">
        <v>140</v>
      </c>
      <c r="F160" t="s">
        <v>43</v>
      </c>
      <c r="H160" s="10"/>
      <c r="I160" s="10"/>
      <c r="J160" s="10"/>
      <c r="K160" s="10"/>
      <c r="L160" s="10"/>
      <c r="M160" s="10"/>
      <c r="N160" s="10"/>
      <c r="O160" s="10"/>
      <c r="P160" s="10"/>
      <c r="Q160" s="10"/>
      <c r="R160" s="10"/>
      <c r="S160" s="10"/>
      <c r="T160" s="10"/>
      <c r="U160" s="10"/>
      <c r="V160" s="10"/>
      <c r="W160" s="10"/>
      <c r="X160" s="10"/>
      <c r="Y160" s="10"/>
      <c r="Z160" s="10"/>
      <c r="AA160" s="10"/>
    </row>
    <row r="161" spans="1:27" x14ac:dyDescent="0.25">
      <c r="C161" s="1"/>
      <c r="D161" s="1"/>
      <c r="E161" t="s">
        <v>64</v>
      </c>
      <c r="F161" t="s">
        <v>144</v>
      </c>
      <c r="H161" s="2">
        <f>H154*H158</f>
        <v>0</v>
      </c>
      <c r="I161" s="2">
        <f t="shared" ref="I161:AA161" si="57">I154*I158</f>
        <v>0</v>
      </c>
      <c r="J161" s="2">
        <f t="shared" si="57"/>
        <v>0</v>
      </c>
      <c r="K161" s="2">
        <f t="shared" si="57"/>
        <v>0</v>
      </c>
      <c r="L161" s="2">
        <f t="shared" si="57"/>
        <v>0</v>
      </c>
      <c r="M161" s="2">
        <f t="shared" si="57"/>
        <v>0</v>
      </c>
      <c r="N161" s="2">
        <f t="shared" si="57"/>
        <v>0</v>
      </c>
      <c r="O161" s="2">
        <f t="shared" si="57"/>
        <v>0</v>
      </c>
      <c r="P161" s="2">
        <f t="shared" si="57"/>
        <v>0</v>
      </c>
      <c r="Q161" s="2">
        <f t="shared" si="57"/>
        <v>0</v>
      </c>
      <c r="R161" s="2">
        <f t="shared" si="57"/>
        <v>0</v>
      </c>
      <c r="S161" s="2">
        <f t="shared" si="57"/>
        <v>0</v>
      </c>
      <c r="T161" s="2">
        <f t="shared" si="57"/>
        <v>0</v>
      </c>
      <c r="U161" s="2">
        <f t="shared" si="57"/>
        <v>0</v>
      </c>
      <c r="V161" s="2">
        <f t="shared" si="57"/>
        <v>0</v>
      </c>
      <c r="W161" s="2">
        <f t="shared" si="57"/>
        <v>0</v>
      </c>
      <c r="X161" s="2">
        <f t="shared" si="57"/>
        <v>0</v>
      </c>
      <c r="Y161" s="2">
        <f t="shared" si="57"/>
        <v>0</v>
      </c>
      <c r="Z161" s="2">
        <f t="shared" si="57"/>
        <v>0</v>
      </c>
      <c r="AA161" s="2">
        <f t="shared" si="57"/>
        <v>0</v>
      </c>
    </row>
    <row r="162" spans="1:27" x14ac:dyDescent="0.25">
      <c r="C162" s="1"/>
      <c r="D162" s="1"/>
      <c r="E162" t="s">
        <v>65</v>
      </c>
      <c r="F162" t="s">
        <v>144</v>
      </c>
      <c r="H162" s="2">
        <f>H154*H159</f>
        <v>0</v>
      </c>
      <c r="I162" s="2">
        <f t="shared" ref="I162:AA162" si="58">I154*I159</f>
        <v>0</v>
      </c>
      <c r="J162" s="2">
        <f t="shared" si="58"/>
        <v>0</v>
      </c>
      <c r="K162" s="2">
        <f t="shared" si="58"/>
        <v>0</v>
      </c>
      <c r="L162" s="2">
        <f t="shared" si="58"/>
        <v>0</v>
      </c>
      <c r="M162" s="2">
        <f t="shared" si="58"/>
        <v>0</v>
      </c>
      <c r="N162" s="2">
        <f t="shared" si="58"/>
        <v>0</v>
      </c>
      <c r="O162" s="2">
        <f t="shared" si="58"/>
        <v>0</v>
      </c>
      <c r="P162" s="2">
        <f t="shared" si="58"/>
        <v>0</v>
      </c>
      <c r="Q162" s="2">
        <f t="shared" si="58"/>
        <v>0</v>
      </c>
      <c r="R162" s="2">
        <f t="shared" si="58"/>
        <v>0</v>
      </c>
      <c r="S162" s="2">
        <f t="shared" si="58"/>
        <v>0</v>
      </c>
      <c r="T162" s="2">
        <f t="shared" si="58"/>
        <v>0</v>
      </c>
      <c r="U162" s="2">
        <f t="shared" si="58"/>
        <v>0</v>
      </c>
      <c r="V162" s="2">
        <f t="shared" si="58"/>
        <v>0</v>
      </c>
      <c r="W162" s="2">
        <f t="shared" si="58"/>
        <v>0</v>
      </c>
      <c r="X162" s="2">
        <f t="shared" si="58"/>
        <v>0</v>
      </c>
      <c r="Y162" s="2">
        <f t="shared" si="58"/>
        <v>0</v>
      </c>
      <c r="Z162" s="2">
        <f t="shared" si="58"/>
        <v>0</v>
      </c>
      <c r="AA162" s="2">
        <f t="shared" si="58"/>
        <v>0</v>
      </c>
    </row>
    <row r="163" spans="1:27" x14ac:dyDescent="0.25">
      <c r="C163" s="1"/>
      <c r="D163" s="1"/>
      <c r="E163" t="s">
        <v>141</v>
      </c>
      <c r="F163" t="s">
        <v>144</v>
      </c>
      <c r="H163" s="2">
        <f>H154*H160</f>
        <v>0</v>
      </c>
      <c r="I163" s="2">
        <f t="shared" ref="I163:AA163" si="59">I154*I160</f>
        <v>0</v>
      </c>
      <c r="J163" s="2">
        <f t="shared" si="59"/>
        <v>0</v>
      </c>
      <c r="K163" s="2">
        <f t="shared" si="59"/>
        <v>0</v>
      </c>
      <c r="L163" s="2">
        <f t="shared" si="59"/>
        <v>0</v>
      </c>
      <c r="M163" s="2">
        <f t="shared" si="59"/>
        <v>0</v>
      </c>
      <c r="N163" s="2">
        <f t="shared" si="59"/>
        <v>0</v>
      </c>
      <c r="O163" s="2">
        <f t="shared" si="59"/>
        <v>0</v>
      </c>
      <c r="P163" s="2">
        <f t="shared" si="59"/>
        <v>0</v>
      </c>
      <c r="Q163" s="2">
        <f t="shared" si="59"/>
        <v>0</v>
      </c>
      <c r="R163" s="2">
        <f t="shared" si="59"/>
        <v>0</v>
      </c>
      <c r="S163" s="2">
        <f t="shared" si="59"/>
        <v>0</v>
      </c>
      <c r="T163" s="2">
        <f t="shared" si="59"/>
        <v>0</v>
      </c>
      <c r="U163" s="2">
        <f t="shared" si="59"/>
        <v>0</v>
      </c>
      <c r="V163" s="2">
        <f t="shared" si="59"/>
        <v>0</v>
      </c>
      <c r="W163" s="2">
        <f t="shared" si="59"/>
        <v>0</v>
      </c>
      <c r="X163" s="2">
        <f t="shared" si="59"/>
        <v>0</v>
      </c>
      <c r="Y163" s="2">
        <f t="shared" si="59"/>
        <v>0</v>
      </c>
      <c r="Z163" s="2">
        <f t="shared" si="59"/>
        <v>0</v>
      </c>
      <c r="AA163" s="2">
        <f t="shared" si="59"/>
        <v>0</v>
      </c>
    </row>
    <row r="164" spans="1:27" x14ac:dyDescent="0.25">
      <c r="A164" s="14">
        <f>'Notes &amp; Assumptions'!A48</f>
        <v>35</v>
      </c>
      <c r="C164" s="1"/>
      <c r="D164" s="1"/>
      <c r="E164" t="s">
        <v>66</v>
      </c>
      <c r="F164" t="s">
        <v>8</v>
      </c>
      <c r="H164" s="11"/>
      <c r="I164" s="11"/>
      <c r="J164" s="11"/>
      <c r="K164" s="11"/>
      <c r="L164" s="11"/>
      <c r="M164" s="11"/>
      <c r="N164" s="11"/>
      <c r="O164" s="11"/>
      <c r="P164" s="11"/>
      <c r="Q164" s="11"/>
      <c r="R164" s="11"/>
      <c r="S164" s="11"/>
      <c r="T164" s="11"/>
      <c r="U164" s="11"/>
      <c r="V164" s="11"/>
      <c r="W164" s="11"/>
      <c r="X164" s="11"/>
      <c r="Y164" s="11"/>
      <c r="Z164" s="11"/>
      <c r="AA164" s="11"/>
    </row>
    <row r="165" spans="1:27" x14ac:dyDescent="0.25">
      <c r="A165" s="14">
        <f>'Notes &amp; Assumptions'!A49</f>
        <v>36</v>
      </c>
      <c r="C165" s="1"/>
      <c r="D165" s="1"/>
      <c r="E165" t="s">
        <v>40</v>
      </c>
      <c r="F165" t="s">
        <v>41</v>
      </c>
      <c r="G165" s="10"/>
      <c r="H165" s="2">
        <f>G165*(1+$G$14)*(1+H164)</f>
        <v>0</v>
      </c>
      <c r="I165" s="2">
        <f t="shared" ref="I165:AA165" si="60">H165*(1+$G$14)*(1+I164)</f>
        <v>0</v>
      </c>
      <c r="J165" s="2">
        <f t="shared" si="60"/>
        <v>0</v>
      </c>
      <c r="K165" s="2">
        <f t="shared" si="60"/>
        <v>0</v>
      </c>
      <c r="L165" s="2">
        <f t="shared" si="60"/>
        <v>0</v>
      </c>
      <c r="M165" s="2">
        <f t="shared" si="60"/>
        <v>0</v>
      </c>
      <c r="N165" s="2">
        <f t="shared" si="60"/>
        <v>0</v>
      </c>
      <c r="O165" s="2">
        <f t="shared" si="60"/>
        <v>0</v>
      </c>
      <c r="P165" s="2">
        <f t="shared" si="60"/>
        <v>0</v>
      </c>
      <c r="Q165" s="2">
        <f t="shared" si="60"/>
        <v>0</v>
      </c>
      <c r="R165" s="2">
        <f t="shared" si="60"/>
        <v>0</v>
      </c>
      <c r="S165" s="2">
        <f t="shared" si="60"/>
        <v>0</v>
      </c>
      <c r="T165" s="2">
        <f t="shared" si="60"/>
        <v>0</v>
      </c>
      <c r="U165" s="2">
        <f t="shared" si="60"/>
        <v>0</v>
      </c>
      <c r="V165" s="2">
        <f t="shared" si="60"/>
        <v>0</v>
      </c>
      <c r="W165" s="2">
        <f t="shared" si="60"/>
        <v>0</v>
      </c>
      <c r="X165" s="2">
        <f t="shared" si="60"/>
        <v>0</v>
      </c>
      <c r="Y165" s="2">
        <f t="shared" si="60"/>
        <v>0</v>
      </c>
      <c r="Z165" s="2">
        <f t="shared" si="60"/>
        <v>0</v>
      </c>
      <c r="AA165" s="2">
        <f t="shared" si="60"/>
        <v>0</v>
      </c>
    </row>
    <row r="166" spans="1:27" x14ac:dyDescent="0.25">
      <c r="C166" s="1"/>
      <c r="D166" s="1"/>
      <c r="E166" t="s">
        <v>67</v>
      </c>
      <c r="F166" t="s">
        <v>143</v>
      </c>
      <c r="G166" s="20"/>
      <c r="H166" s="21">
        <f>G166*(1+$G$14)*(1+H164)</f>
        <v>0</v>
      </c>
      <c r="I166" s="21">
        <f t="shared" ref="I166:AA166" si="61">H166*(1+$G$14)*(1+I164)</f>
        <v>0</v>
      </c>
      <c r="J166" s="21">
        <f t="shared" si="61"/>
        <v>0</v>
      </c>
      <c r="K166" s="21">
        <f t="shared" si="61"/>
        <v>0</v>
      </c>
      <c r="L166" s="21">
        <f t="shared" si="61"/>
        <v>0</v>
      </c>
      <c r="M166" s="21">
        <f t="shared" si="61"/>
        <v>0</v>
      </c>
      <c r="N166" s="21">
        <f t="shared" si="61"/>
        <v>0</v>
      </c>
      <c r="O166" s="21">
        <f t="shared" si="61"/>
        <v>0</v>
      </c>
      <c r="P166" s="21">
        <f t="shared" si="61"/>
        <v>0</v>
      </c>
      <c r="Q166" s="21">
        <f t="shared" si="61"/>
        <v>0</v>
      </c>
      <c r="R166" s="21">
        <f t="shared" si="61"/>
        <v>0</v>
      </c>
      <c r="S166" s="21">
        <f t="shared" si="61"/>
        <v>0</v>
      </c>
      <c r="T166" s="21">
        <f t="shared" si="61"/>
        <v>0</v>
      </c>
      <c r="U166" s="21">
        <f t="shared" si="61"/>
        <v>0</v>
      </c>
      <c r="V166" s="21">
        <f t="shared" si="61"/>
        <v>0</v>
      </c>
      <c r="W166" s="21">
        <f t="shared" si="61"/>
        <v>0</v>
      </c>
      <c r="X166" s="21">
        <f t="shared" si="61"/>
        <v>0</v>
      </c>
      <c r="Y166" s="21">
        <f t="shared" si="61"/>
        <v>0</v>
      </c>
      <c r="Z166" s="21">
        <f t="shared" si="61"/>
        <v>0</v>
      </c>
      <c r="AA166" s="21">
        <f t="shared" si="61"/>
        <v>0</v>
      </c>
    </row>
    <row r="167" spans="1:27" x14ac:dyDescent="0.25">
      <c r="C167" s="1"/>
      <c r="D167" s="1"/>
      <c r="E167" t="s">
        <v>68</v>
      </c>
      <c r="F167" t="s">
        <v>143</v>
      </c>
      <c r="G167" s="20"/>
      <c r="H167" s="21">
        <f>G167*(1+$G$14)*(1+H164)</f>
        <v>0</v>
      </c>
      <c r="I167" s="21">
        <f t="shared" ref="I167:AA167" si="62">H167*(1+$G$14)*(1+I164)</f>
        <v>0</v>
      </c>
      <c r="J167" s="21">
        <f t="shared" si="62"/>
        <v>0</v>
      </c>
      <c r="K167" s="21">
        <f t="shared" si="62"/>
        <v>0</v>
      </c>
      <c r="L167" s="21">
        <f t="shared" si="62"/>
        <v>0</v>
      </c>
      <c r="M167" s="21">
        <f t="shared" si="62"/>
        <v>0</v>
      </c>
      <c r="N167" s="21">
        <f t="shared" si="62"/>
        <v>0</v>
      </c>
      <c r="O167" s="21">
        <f t="shared" si="62"/>
        <v>0</v>
      </c>
      <c r="P167" s="21">
        <f t="shared" si="62"/>
        <v>0</v>
      </c>
      <c r="Q167" s="21">
        <f t="shared" si="62"/>
        <v>0</v>
      </c>
      <c r="R167" s="21">
        <f t="shared" si="62"/>
        <v>0</v>
      </c>
      <c r="S167" s="21">
        <f t="shared" si="62"/>
        <v>0</v>
      </c>
      <c r="T167" s="21">
        <f t="shared" si="62"/>
        <v>0</v>
      </c>
      <c r="U167" s="21">
        <f t="shared" si="62"/>
        <v>0</v>
      </c>
      <c r="V167" s="21">
        <f t="shared" si="62"/>
        <v>0</v>
      </c>
      <c r="W167" s="21">
        <f t="shared" si="62"/>
        <v>0</v>
      </c>
      <c r="X167" s="21">
        <f t="shared" si="62"/>
        <v>0</v>
      </c>
      <c r="Y167" s="21">
        <f t="shared" si="62"/>
        <v>0</v>
      </c>
      <c r="Z167" s="21">
        <f t="shared" si="62"/>
        <v>0</v>
      </c>
      <c r="AA167" s="21">
        <f t="shared" si="62"/>
        <v>0</v>
      </c>
    </row>
    <row r="168" spans="1:27" x14ac:dyDescent="0.25">
      <c r="C168" s="1"/>
      <c r="D168" s="1"/>
      <c r="E168" t="s">
        <v>142</v>
      </c>
      <c r="F168" t="s">
        <v>143</v>
      </c>
      <c r="G168" s="20"/>
      <c r="H168" s="21">
        <f>G168*(1+$G$14)*(1+H164)</f>
        <v>0</v>
      </c>
      <c r="I168" s="21">
        <f t="shared" ref="I168:AA168" si="63">H168*(1+$G$14)*(1+I164)</f>
        <v>0</v>
      </c>
      <c r="J168" s="21">
        <f t="shared" si="63"/>
        <v>0</v>
      </c>
      <c r="K168" s="21">
        <f t="shared" si="63"/>
        <v>0</v>
      </c>
      <c r="L168" s="21">
        <f t="shared" si="63"/>
        <v>0</v>
      </c>
      <c r="M168" s="21">
        <f t="shared" si="63"/>
        <v>0</v>
      </c>
      <c r="N168" s="21">
        <f t="shared" si="63"/>
        <v>0</v>
      </c>
      <c r="O168" s="21">
        <f t="shared" si="63"/>
        <v>0</v>
      </c>
      <c r="P168" s="21">
        <f t="shared" si="63"/>
        <v>0</v>
      </c>
      <c r="Q168" s="21">
        <f t="shared" si="63"/>
        <v>0</v>
      </c>
      <c r="R168" s="21">
        <f t="shared" si="63"/>
        <v>0</v>
      </c>
      <c r="S168" s="21">
        <f t="shared" si="63"/>
        <v>0</v>
      </c>
      <c r="T168" s="21">
        <f t="shared" si="63"/>
        <v>0</v>
      </c>
      <c r="U168" s="21">
        <f t="shared" si="63"/>
        <v>0</v>
      </c>
      <c r="V168" s="21">
        <f t="shared" si="63"/>
        <v>0</v>
      </c>
      <c r="W168" s="21">
        <f t="shared" si="63"/>
        <v>0</v>
      </c>
      <c r="X168" s="21">
        <f t="shared" si="63"/>
        <v>0</v>
      </c>
      <c r="Y168" s="21">
        <f t="shared" si="63"/>
        <v>0</v>
      </c>
      <c r="Z168" s="21">
        <f t="shared" si="63"/>
        <v>0</v>
      </c>
      <c r="AA168" s="21">
        <f t="shared" si="63"/>
        <v>0</v>
      </c>
    </row>
    <row r="169" spans="1:27" x14ac:dyDescent="0.25">
      <c r="C169" s="1"/>
      <c r="D169" s="1"/>
    </row>
    <row r="170" spans="1:27" x14ac:dyDescent="0.25">
      <c r="C170" s="1"/>
      <c r="D170" s="1"/>
      <c r="E170" t="s">
        <v>78</v>
      </c>
      <c r="F170" t="s">
        <v>58</v>
      </c>
      <c r="H170" s="2">
        <f>SUM(H161:H163)/1000</f>
        <v>0</v>
      </c>
      <c r="I170" s="2">
        <f t="shared" ref="I170:AA170" si="64">SUM(I161:I163)/1000</f>
        <v>0</v>
      </c>
      <c r="J170" s="2">
        <f t="shared" si="64"/>
        <v>0</v>
      </c>
      <c r="K170" s="2">
        <f t="shared" si="64"/>
        <v>0</v>
      </c>
      <c r="L170" s="2">
        <f t="shared" si="64"/>
        <v>0</v>
      </c>
      <c r="M170" s="2">
        <f t="shared" si="64"/>
        <v>0</v>
      </c>
      <c r="N170" s="2">
        <f t="shared" si="64"/>
        <v>0</v>
      </c>
      <c r="O170" s="2">
        <f t="shared" si="64"/>
        <v>0</v>
      </c>
      <c r="P170" s="2">
        <f t="shared" si="64"/>
        <v>0</v>
      </c>
      <c r="Q170" s="2">
        <f t="shared" si="64"/>
        <v>0</v>
      </c>
      <c r="R170" s="2">
        <f t="shared" si="64"/>
        <v>0</v>
      </c>
      <c r="S170" s="2">
        <f t="shared" si="64"/>
        <v>0</v>
      </c>
      <c r="T170" s="2">
        <f t="shared" si="64"/>
        <v>0</v>
      </c>
      <c r="U170" s="2">
        <f t="shared" si="64"/>
        <v>0</v>
      </c>
      <c r="V170" s="2">
        <f t="shared" si="64"/>
        <v>0</v>
      </c>
      <c r="W170" s="2">
        <f t="shared" si="64"/>
        <v>0</v>
      </c>
      <c r="X170" s="2">
        <f t="shared" si="64"/>
        <v>0</v>
      </c>
      <c r="Y170" s="2">
        <f t="shared" si="64"/>
        <v>0</v>
      </c>
      <c r="Z170" s="2">
        <f t="shared" si="64"/>
        <v>0</v>
      </c>
      <c r="AA170" s="2">
        <f t="shared" si="64"/>
        <v>0</v>
      </c>
    </row>
    <row r="171" spans="1:27" x14ac:dyDescent="0.25">
      <c r="C171" s="1"/>
      <c r="D171" s="1"/>
      <c r="E171" t="s">
        <v>79</v>
      </c>
      <c r="F171" t="s">
        <v>7</v>
      </c>
      <c r="H171" s="2">
        <f>H154*H165+H161*H166+H162*H167+H163*H168</f>
        <v>0</v>
      </c>
      <c r="I171" s="2">
        <f t="shared" ref="I171:AA171" si="65">I154*I165+I161*I166+I162*I167+I163*I168</f>
        <v>0</v>
      </c>
      <c r="J171" s="2">
        <f t="shared" si="65"/>
        <v>0</v>
      </c>
      <c r="K171" s="2">
        <f t="shared" si="65"/>
        <v>0</v>
      </c>
      <c r="L171" s="2">
        <f t="shared" si="65"/>
        <v>0</v>
      </c>
      <c r="M171" s="2">
        <f t="shared" si="65"/>
        <v>0</v>
      </c>
      <c r="N171" s="2">
        <f t="shared" si="65"/>
        <v>0</v>
      </c>
      <c r="O171" s="2">
        <f t="shared" si="65"/>
        <v>0</v>
      </c>
      <c r="P171" s="2">
        <f t="shared" si="65"/>
        <v>0</v>
      </c>
      <c r="Q171" s="2">
        <f t="shared" si="65"/>
        <v>0</v>
      </c>
      <c r="R171" s="2">
        <f t="shared" si="65"/>
        <v>0</v>
      </c>
      <c r="S171" s="2">
        <f t="shared" si="65"/>
        <v>0</v>
      </c>
      <c r="T171" s="2">
        <f t="shared" si="65"/>
        <v>0</v>
      </c>
      <c r="U171" s="2">
        <f t="shared" si="65"/>
        <v>0</v>
      </c>
      <c r="V171" s="2">
        <f t="shared" si="65"/>
        <v>0</v>
      </c>
      <c r="W171" s="2">
        <f t="shared" si="65"/>
        <v>0</v>
      </c>
      <c r="X171" s="2">
        <f t="shared" si="65"/>
        <v>0</v>
      </c>
      <c r="Y171" s="2">
        <f t="shared" si="65"/>
        <v>0</v>
      </c>
      <c r="Z171" s="2">
        <f t="shared" si="65"/>
        <v>0</v>
      </c>
      <c r="AA171" s="2">
        <f t="shared" si="65"/>
        <v>0</v>
      </c>
    </row>
    <row r="172" spans="1:27" x14ac:dyDescent="0.25">
      <c r="C172" s="1"/>
      <c r="D172" s="1"/>
    </row>
    <row r="173" spans="1:27" x14ac:dyDescent="0.25">
      <c r="C173" s="1"/>
      <c r="D173" t="s">
        <v>80</v>
      </c>
    </row>
    <row r="174" spans="1:27" x14ac:dyDescent="0.25">
      <c r="C174" s="1"/>
      <c r="E174" t="s">
        <v>91</v>
      </c>
      <c r="F174" t="s">
        <v>3</v>
      </c>
      <c r="H174">
        <f t="shared" ref="H174:AA175" si="66">SUM(H93,H114,H135,H156)</f>
        <v>311</v>
      </c>
      <c r="I174">
        <f t="shared" si="66"/>
        <v>310</v>
      </c>
      <c r="J174">
        <f t="shared" si="66"/>
        <v>314.75</v>
      </c>
      <c r="K174">
        <f t="shared" si="66"/>
        <v>303.5</v>
      </c>
      <c r="L174">
        <f t="shared" si="66"/>
        <v>291.75</v>
      </c>
      <c r="M174">
        <f t="shared" si="66"/>
        <v>280.5</v>
      </c>
      <c r="N174">
        <f t="shared" si="66"/>
        <v>269.25</v>
      </c>
      <c r="O174">
        <f t="shared" si="66"/>
        <v>258.25</v>
      </c>
      <c r="P174">
        <f t="shared" si="66"/>
        <v>273.25</v>
      </c>
      <c r="Q174">
        <f t="shared" si="66"/>
        <v>289.25</v>
      </c>
      <c r="R174">
        <f t="shared" si="66"/>
        <v>306.25</v>
      </c>
      <c r="S174">
        <f t="shared" si="66"/>
        <v>324.5</v>
      </c>
      <c r="T174">
        <f t="shared" si="66"/>
        <v>343.75</v>
      </c>
      <c r="U174">
        <f t="shared" si="66"/>
        <v>341.5</v>
      </c>
      <c r="V174">
        <f t="shared" si="66"/>
        <v>339</v>
      </c>
      <c r="W174">
        <f t="shared" si="66"/>
        <v>0</v>
      </c>
      <c r="X174">
        <f t="shared" si="66"/>
        <v>0</v>
      </c>
      <c r="Y174">
        <f t="shared" si="66"/>
        <v>0</v>
      </c>
      <c r="Z174">
        <f t="shared" si="66"/>
        <v>0</v>
      </c>
      <c r="AA174">
        <f t="shared" si="66"/>
        <v>0</v>
      </c>
    </row>
    <row r="175" spans="1:27" x14ac:dyDescent="0.25">
      <c r="C175" s="1"/>
      <c r="D175" s="1"/>
      <c r="E175" t="s">
        <v>90</v>
      </c>
      <c r="F175" t="s">
        <v>3</v>
      </c>
      <c r="H175">
        <f t="shared" si="66"/>
        <v>311</v>
      </c>
      <c r="I175">
        <f t="shared" si="66"/>
        <v>621</v>
      </c>
      <c r="J175">
        <f t="shared" si="66"/>
        <v>935.75</v>
      </c>
      <c r="K175">
        <f t="shared" si="66"/>
        <v>1239.25</v>
      </c>
      <c r="L175">
        <f t="shared" si="66"/>
        <v>1531</v>
      </c>
      <c r="M175">
        <f t="shared" si="66"/>
        <v>1811.5</v>
      </c>
      <c r="N175">
        <f t="shared" si="66"/>
        <v>2080.75</v>
      </c>
      <c r="O175">
        <f t="shared" si="66"/>
        <v>2339</v>
      </c>
      <c r="P175">
        <f t="shared" si="66"/>
        <v>2612.25</v>
      </c>
      <c r="Q175">
        <f t="shared" si="66"/>
        <v>2901.5</v>
      </c>
      <c r="R175">
        <f t="shared" si="66"/>
        <v>3207.75</v>
      </c>
      <c r="S175">
        <f t="shared" si="66"/>
        <v>3532.25</v>
      </c>
      <c r="T175">
        <f t="shared" si="66"/>
        <v>3876</v>
      </c>
      <c r="U175">
        <f t="shared" si="66"/>
        <v>4217.5</v>
      </c>
      <c r="V175">
        <f t="shared" si="66"/>
        <v>4556.5</v>
      </c>
      <c r="W175">
        <f t="shared" si="66"/>
        <v>4556.5</v>
      </c>
      <c r="X175">
        <f t="shared" si="66"/>
        <v>4556.5</v>
      </c>
      <c r="Y175">
        <f t="shared" si="66"/>
        <v>4556.5</v>
      </c>
      <c r="Z175">
        <f t="shared" si="66"/>
        <v>4556.5</v>
      </c>
      <c r="AA175">
        <f t="shared" si="66"/>
        <v>4556.5</v>
      </c>
    </row>
    <row r="176" spans="1:27" x14ac:dyDescent="0.25">
      <c r="C176" s="1"/>
      <c r="D176" s="1"/>
      <c r="E176" t="s">
        <v>81</v>
      </c>
      <c r="F176" t="s">
        <v>58</v>
      </c>
      <c r="H176" s="2">
        <f t="shared" ref="H176:AA177" si="67">SUM(H107,H128,H149,H170)</f>
        <v>12.44</v>
      </c>
      <c r="I176" s="2">
        <f t="shared" si="67"/>
        <v>24.84</v>
      </c>
      <c r="J176" s="2">
        <f t="shared" si="67"/>
        <v>37.43</v>
      </c>
      <c r="K176" s="2">
        <f t="shared" si="67"/>
        <v>49.57</v>
      </c>
      <c r="L176" s="2">
        <f t="shared" si="67"/>
        <v>61.24</v>
      </c>
      <c r="M176" s="2">
        <f t="shared" si="67"/>
        <v>72.459999999999994</v>
      </c>
      <c r="N176" s="2">
        <f t="shared" si="67"/>
        <v>83.23</v>
      </c>
      <c r="O176" s="2">
        <f t="shared" si="67"/>
        <v>93.56</v>
      </c>
      <c r="P176" s="2">
        <f t="shared" si="67"/>
        <v>104.49</v>
      </c>
      <c r="Q176" s="2">
        <f t="shared" si="67"/>
        <v>116.06</v>
      </c>
      <c r="R176" s="2">
        <f t="shared" si="67"/>
        <v>128.31</v>
      </c>
      <c r="S176" s="2">
        <f t="shared" si="67"/>
        <v>141.29</v>
      </c>
      <c r="T176" s="2">
        <f t="shared" si="67"/>
        <v>155.04</v>
      </c>
      <c r="U176" s="2">
        <f t="shared" si="67"/>
        <v>168.7</v>
      </c>
      <c r="V176" s="2">
        <f t="shared" si="67"/>
        <v>182.26</v>
      </c>
      <c r="W176" s="2">
        <f t="shared" si="67"/>
        <v>182.26</v>
      </c>
      <c r="X176" s="2">
        <f t="shared" si="67"/>
        <v>182.26</v>
      </c>
      <c r="Y176" s="2">
        <f t="shared" si="67"/>
        <v>182.26</v>
      </c>
      <c r="Z176" s="2">
        <f t="shared" si="67"/>
        <v>182.26</v>
      </c>
      <c r="AA176" s="2">
        <f t="shared" si="67"/>
        <v>182.26</v>
      </c>
    </row>
    <row r="177" spans="1:27" x14ac:dyDescent="0.25">
      <c r="C177" s="1"/>
      <c r="D177" s="1"/>
      <c r="E177" t="s">
        <v>82</v>
      </c>
      <c r="F177" t="s">
        <v>7</v>
      </c>
      <c r="H177" s="2">
        <f t="shared" si="67"/>
        <v>21153.032898388468</v>
      </c>
      <c r="I177" s="2">
        <f t="shared" si="67"/>
        <v>41943.422322547645</v>
      </c>
      <c r="J177" s="2">
        <f t="shared" si="67"/>
        <v>64529.4317947323</v>
      </c>
      <c r="K177" s="2">
        <f t="shared" si="67"/>
        <v>87253.463443233821</v>
      </c>
      <c r="L177" s="2">
        <f t="shared" si="67"/>
        <v>110058.77638471204</v>
      </c>
      <c r="M177" s="2">
        <f t="shared" si="67"/>
        <v>132957.7232937589</v>
      </c>
      <c r="N177" s="2">
        <f t="shared" si="67"/>
        <v>155926.8397356346</v>
      </c>
      <c r="O177" s="2">
        <f t="shared" si="67"/>
        <v>178960.39821344416</v>
      </c>
      <c r="P177" s="2">
        <f t="shared" si="67"/>
        <v>204064.37603162203</v>
      </c>
      <c r="Q177" s="2">
        <f t="shared" si="67"/>
        <v>231419.93897365185</v>
      </c>
      <c r="R177" s="2">
        <f t="shared" si="67"/>
        <v>261218.81534958782</v>
      </c>
      <c r="S177" s="2">
        <f t="shared" si="67"/>
        <v>293684.56204176502</v>
      </c>
      <c r="T177" s="2">
        <f t="shared" si="67"/>
        <v>329032.80093023781</v>
      </c>
      <c r="U177" s="2">
        <f t="shared" si="67"/>
        <v>365541.13790497073</v>
      </c>
      <c r="V177" s="2">
        <f t="shared" si="67"/>
        <v>403216.49009037175</v>
      </c>
      <c r="W177" s="2">
        <f t="shared" si="67"/>
        <v>411684.03638226952</v>
      </c>
      <c r="X177" s="2">
        <f t="shared" si="67"/>
        <v>420329.40114629711</v>
      </c>
      <c r="Y177" s="2">
        <f t="shared" si="67"/>
        <v>429156.31857036927</v>
      </c>
      <c r="Z177" s="2">
        <f t="shared" si="67"/>
        <v>438168.601260347</v>
      </c>
      <c r="AA177" s="2">
        <f t="shared" si="67"/>
        <v>447370.14188681426</v>
      </c>
    </row>
    <row r="178" spans="1:27" x14ac:dyDescent="0.25">
      <c r="C178" s="1"/>
      <c r="D178" s="1"/>
    </row>
    <row r="179" spans="1:27" x14ac:dyDescent="0.25">
      <c r="C179" s="1"/>
      <c r="D179" s="1"/>
      <c r="E179" s="3" t="s">
        <v>84</v>
      </c>
      <c r="F179" s="3" t="s">
        <v>85</v>
      </c>
      <c r="G179" s="3"/>
      <c r="H179" s="9">
        <f>H176*1000/H175</f>
        <v>40</v>
      </c>
      <c r="I179" s="9">
        <f t="shared" ref="I179:AA179" si="68">I176*1000/I175</f>
        <v>40</v>
      </c>
      <c r="J179" s="9">
        <f t="shared" si="68"/>
        <v>40</v>
      </c>
      <c r="K179" s="9">
        <f t="shared" si="68"/>
        <v>40</v>
      </c>
      <c r="L179" s="9">
        <f t="shared" si="68"/>
        <v>40</v>
      </c>
      <c r="M179" s="9">
        <f t="shared" si="68"/>
        <v>40</v>
      </c>
      <c r="N179" s="9">
        <f t="shared" si="68"/>
        <v>40</v>
      </c>
      <c r="O179" s="9">
        <f t="shared" si="68"/>
        <v>40</v>
      </c>
      <c r="P179" s="9">
        <f t="shared" si="68"/>
        <v>40</v>
      </c>
      <c r="Q179" s="9">
        <f t="shared" si="68"/>
        <v>40</v>
      </c>
      <c r="R179" s="9">
        <f t="shared" si="68"/>
        <v>40</v>
      </c>
      <c r="S179" s="9">
        <f t="shared" si="68"/>
        <v>40</v>
      </c>
      <c r="T179" s="9">
        <f t="shared" si="68"/>
        <v>40</v>
      </c>
      <c r="U179" s="9">
        <f t="shared" si="68"/>
        <v>40</v>
      </c>
      <c r="V179" s="9">
        <f t="shared" si="68"/>
        <v>40</v>
      </c>
      <c r="W179" s="9">
        <f t="shared" si="68"/>
        <v>40</v>
      </c>
      <c r="X179" s="9">
        <f t="shared" si="68"/>
        <v>40</v>
      </c>
      <c r="Y179" s="9">
        <f t="shared" si="68"/>
        <v>40</v>
      </c>
      <c r="Z179" s="9">
        <f t="shared" si="68"/>
        <v>40</v>
      </c>
      <c r="AA179" s="9">
        <f t="shared" si="68"/>
        <v>40</v>
      </c>
    </row>
    <row r="180" spans="1:27" x14ac:dyDescent="0.25">
      <c r="C180" s="1"/>
      <c r="D180" s="1"/>
      <c r="E180" s="3" t="s">
        <v>83</v>
      </c>
      <c r="F180" s="3" t="s">
        <v>22</v>
      </c>
      <c r="G180" s="3"/>
      <c r="H180" s="9">
        <f>H177/H175</f>
        <v>68.016182953017577</v>
      </c>
      <c r="I180" s="9">
        <f t="shared" ref="I180:AA180" si="69">I177/I175</f>
        <v>67.541742870447095</v>
      </c>
      <c r="J180" s="9">
        <f t="shared" si="69"/>
        <v>68.960119470726482</v>
      </c>
      <c r="K180" s="9">
        <f t="shared" si="69"/>
        <v>70.408281979611715</v>
      </c>
      <c r="L180" s="9">
        <f t="shared" si="69"/>
        <v>71.886855901183566</v>
      </c>
      <c r="M180" s="9">
        <f t="shared" si="69"/>
        <v>73.396479875108412</v>
      </c>
      <c r="N180" s="9">
        <f t="shared" si="69"/>
        <v>74.937805952485689</v>
      </c>
      <c r="O180" s="9">
        <f t="shared" si="69"/>
        <v>76.511499877487879</v>
      </c>
      <c r="P180" s="9">
        <f t="shared" si="69"/>
        <v>78.118241374915129</v>
      </c>
      <c r="Q180" s="9">
        <f t="shared" si="69"/>
        <v>79.758724443788338</v>
      </c>
      <c r="R180" s="9">
        <f t="shared" si="69"/>
        <v>81.433657657107887</v>
      </c>
      <c r="S180" s="9">
        <f t="shared" si="69"/>
        <v>83.143764467907147</v>
      </c>
      <c r="T180" s="9">
        <f t="shared" si="69"/>
        <v>84.889783521733179</v>
      </c>
      <c r="U180" s="9">
        <f t="shared" si="69"/>
        <v>86.672468975689569</v>
      </c>
      <c r="V180" s="9">
        <f t="shared" si="69"/>
        <v>88.492590824179032</v>
      </c>
      <c r="W180" s="9">
        <f t="shared" si="69"/>
        <v>90.350935231486787</v>
      </c>
      <c r="X180" s="9">
        <f t="shared" si="69"/>
        <v>92.248304871347983</v>
      </c>
      <c r="Y180" s="9">
        <f t="shared" si="69"/>
        <v>94.185519273646278</v>
      </c>
      <c r="Z180" s="9">
        <f t="shared" si="69"/>
        <v>96.163415178392839</v>
      </c>
      <c r="AA180" s="9">
        <f t="shared" si="69"/>
        <v>98.182846897139086</v>
      </c>
    </row>
    <row r="181" spans="1:27" x14ac:dyDescent="0.25">
      <c r="C181" s="1"/>
      <c r="D181" s="1"/>
      <c r="E181" s="3" t="s">
        <v>86</v>
      </c>
      <c r="F181" s="3" t="s">
        <v>4</v>
      </c>
      <c r="G181" s="3"/>
      <c r="H181" s="9">
        <f>H177/H176</f>
        <v>1700.4045738254397</v>
      </c>
      <c r="I181" s="9">
        <f t="shared" ref="I181:AA181" si="70">I177/I176</f>
        <v>1688.5435717611774</v>
      </c>
      <c r="J181" s="9">
        <f t="shared" si="70"/>
        <v>1724.0029867681619</v>
      </c>
      <c r="K181" s="9">
        <f t="shared" si="70"/>
        <v>1760.207049490293</v>
      </c>
      <c r="L181" s="9">
        <f t="shared" si="70"/>
        <v>1797.1713975295891</v>
      </c>
      <c r="M181" s="9">
        <f t="shared" si="70"/>
        <v>1834.9119968777106</v>
      </c>
      <c r="N181" s="9">
        <f t="shared" si="70"/>
        <v>1873.4451488121422</v>
      </c>
      <c r="O181" s="9">
        <f t="shared" si="70"/>
        <v>1912.7874969371971</v>
      </c>
      <c r="P181" s="9">
        <f t="shared" si="70"/>
        <v>1952.9560343728781</v>
      </c>
      <c r="Q181" s="9">
        <f t="shared" si="70"/>
        <v>1993.9681110947083</v>
      </c>
      <c r="R181" s="9">
        <f t="shared" si="70"/>
        <v>2035.8414414276972</v>
      </c>
      <c r="S181" s="9">
        <f t="shared" si="70"/>
        <v>2078.5941116976787</v>
      </c>
      <c r="T181" s="9">
        <f t="shared" si="70"/>
        <v>2122.2445880433297</v>
      </c>
      <c r="U181" s="9">
        <f t="shared" si="70"/>
        <v>2166.8117243922393</v>
      </c>
      <c r="V181" s="9">
        <f t="shared" si="70"/>
        <v>2212.3147706044761</v>
      </c>
      <c r="W181" s="9">
        <f t="shared" si="70"/>
        <v>2258.7733807871696</v>
      </c>
      <c r="X181" s="9">
        <f t="shared" si="70"/>
        <v>2306.2076217836998</v>
      </c>
      <c r="Y181" s="9">
        <f t="shared" si="70"/>
        <v>2354.6379818411569</v>
      </c>
      <c r="Z181" s="9">
        <f t="shared" si="70"/>
        <v>2404.0853794598211</v>
      </c>
      <c r="AA181" s="9">
        <f t="shared" si="70"/>
        <v>2454.5711724284774</v>
      </c>
    </row>
    <row r="182" spans="1:27" x14ac:dyDescent="0.25">
      <c r="C182" s="1"/>
      <c r="D182" s="1"/>
    </row>
    <row r="183" spans="1:27" x14ac:dyDescent="0.25">
      <c r="C183" s="1" t="str">
        <f>"Incremental "&amp;VLOOKUP(G4,E320:F322,2,FALSE)&amp;" Charges"</f>
        <v>Incremental Bulk Recycled Water Processing Charges</v>
      </c>
      <c r="H183" s="2"/>
      <c r="I183" s="2"/>
      <c r="J183" s="2"/>
      <c r="K183" s="2"/>
      <c r="L183" s="2"/>
      <c r="M183" s="2"/>
      <c r="N183" s="2"/>
      <c r="O183" s="2"/>
      <c r="P183" s="2"/>
      <c r="Q183" s="2"/>
      <c r="R183" s="2"/>
      <c r="S183" s="2"/>
      <c r="T183" s="2"/>
      <c r="U183" s="2"/>
      <c r="V183" s="2"/>
      <c r="W183" s="2"/>
      <c r="X183" s="2"/>
      <c r="Y183" s="2"/>
      <c r="Z183" s="2"/>
      <c r="AA183" s="2"/>
    </row>
    <row r="184" spans="1:27" x14ac:dyDescent="0.25">
      <c r="A184" s="14">
        <f>'Notes &amp; Assumptions'!A50</f>
        <v>37</v>
      </c>
      <c r="E184" t="s">
        <v>118</v>
      </c>
      <c r="F184" t="s">
        <v>8</v>
      </c>
      <c r="H184" s="11"/>
      <c r="I184" s="11"/>
      <c r="J184" s="11"/>
      <c r="K184" s="11"/>
      <c r="L184" s="11"/>
      <c r="M184" s="11"/>
      <c r="N184" s="11"/>
      <c r="O184" s="11"/>
      <c r="P184" s="11"/>
      <c r="Q184" s="11"/>
      <c r="R184" s="11"/>
      <c r="S184" s="11"/>
      <c r="T184" s="11"/>
      <c r="U184" s="11"/>
      <c r="V184" s="11"/>
      <c r="W184" s="11"/>
      <c r="X184" s="11"/>
      <c r="Y184" s="11"/>
      <c r="Z184" s="11"/>
      <c r="AA184" s="11"/>
    </row>
    <row r="185" spans="1:27" x14ac:dyDescent="0.25">
      <c r="A185" s="14">
        <f>'Notes &amp; Assumptions'!A51</f>
        <v>38</v>
      </c>
      <c r="E185" t="s">
        <v>122</v>
      </c>
      <c r="F185" t="s">
        <v>4</v>
      </c>
      <c r="G185" s="10"/>
      <c r="H185" s="2">
        <f t="shared" ref="H185:AA185" si="71">G185*(1+$G$14)*(1+H184)</f>
        <v>0</v>
      </c>
      <c r="I185" s="2">
        <f t="shared" si="71"/>
        <v>0</v>
      </c>
      <c r="J185" s="2">
        <f t="shared" si="71"/>
        <v>0</v>
      </c>
      <c r="K185" s="2">
        <f t="shared" si="71"/>
        <v>0</v>
      </c>
      <c r="L185" s="2">
        <f t="shared" si="71"/>
        <v>0</v>
      </c>
      <c r="M185" s="2">
        <f t="shared" si="71"/>
        <v>0</v>
      </c>
      <c r="N185" s="2">
        <f t="shared" si="71"/>
        <v>0</v>
      </c>
      <c r="O185" s="2">
        <f t="shared" si="71"/>
        <v>0</v>
      </c>
      <c r="P185" s="2">
        <f t="shared" si="71"/>
        <v>0</v>
      </c>
      <c r="Q185" s="2">
        <f t="shared" si="71"/>
        <v>0</v>
      </c>
      <c r="R185" s="2">
        <f t="shared" si="71"/>
        <v>0</v>
      </c>
      <c r="S185" s="2">
        <f t="shared" si="71"/>
        <v>0</v>
      </c>
      <c r="T185" s="2">
        <f t="shared" si="71"/>
        <v>0</v>
      </c>
      <c r="U185" s="2">
        <f t="shared" si="71"/>
        <v>0</v>
      </c>
      <c r="V185" s="2">
        <f t="shared" si="71"/>
        <v>0</v>
      </c>
      <c r="W185" s="2">
        <f t="shared" si="71"/>
        <v>0</v>
      </c>
      <c r="X185" s="2">
        <f t="shared" si="71"/>
        <v>0</v>
      </c>
      <c r="Y185" s="2">
        <f t="shared" si="71"/>
        <v>0</v>
      </c>
      <c r="Z185" s="2">
        <f t="shared" si="71"/>
        <v>0</v>
      </c>
      <c r="AA185" s="2">
        <f t="shared" si="71"/>
        <v>0</v>
      </c>
    </row>
    <row r="186" spans="1:27" x14ac:dyDescent="0.25">
      <c r="A186" s="14">
        <f>'Notes &amp; Assumptions'!A52</f>
        <v>39</v>
      </c>
      <c r="E186" t="s">
        <v>123</v>
      </c>
      <c r="F186" t="s">
        <v>7</v>
      </c>
      <c r="G186" s="2"/>
      <c r="H186" s="10"/>
      <c r="I186" s="10"/>
      <c r="J186" s="10"/>
      <c r="K186" s="10"/>
      <c r="L186" s="10"/>
      <c r="M186" s="10"/>
      <c r="N186" s="10"/>
      <c r="O186" s="10"/>
      <c r="P186" s="10"/>
      <c r="Q186" s="10"/>
      <c r="R186" s="10"/>
      <c r="S186" s="10"/>
      <c r="T186" s="10"/>
      <c r="U186" s="10"/>
      <c r="V186" s="10"/>
      <c r="W186" s="10"/>
      <c r="X186" s="10"/>
      <c r="Y186" s="10"/>
      <c r="Z186" s="10"/>
      <c r="AA186" s="10"/>
    </row>
    <row r="187" spans="1:27" x14ac:dyDescent="0.25">
      <c r="E187" t="s">
        <v>57</v>
      </c>
      <c r="F187" t="s">
        <v>7</v>
      </c>
      <c r="H187" s="2">
        <f>H185*H176+H186</f>
        <v>0</v>
      </c>
      <c r="I187" s="2">
        <f t="shared" ref="I187:AA187" si="72">I185*I176+I186</f>
        <v>0</v>
      </c>
      <c r="J187" s="2">
        <f t="shared" si="72"/>
        <v>0</v>
      </c>
      <c r="K187" s="2">
        <f t="shared" si="72"/>
        <v>0</v>
      </c>
      <c r="L187" s="2">
        <f t="shared" si="72"/>
        <v>0</v>
      </c>
      <c r="M187" s="2">
        <f t="shared" si="72"/>
        <v>0</v>
      </c>
      <c r="N187" s="2">
        <f t="shared" si="72"/>
        <v>0</v>
      </c>
      <c r="O187" s="2">
        <f t="shared" si="72"/>
        <v>0</v>
      </c>
      <c r="P187" s="2">
        <f t="shared" si="72"/>
        <v>0</v>
      </c>
      <c r="Q187" s="2">
        <f t="shared" si="72"/>
        <v>0</v>
      </c>
      <c r="R187" s="2">
        <f t="shared" si="72"/>
        <v>0</v>
      </c>
      <c r="S187" s="2">
        <f t="shared" si="72"/>
        <v>0</v>
      </c>
      <c r="T187" s="2">
        <f t="shared" si="72"/>
        <v>0</v>
      </c>
      <c r="U187" s="2">
        <f t="shared" si="72"/>
        <v>0</v>
      </c>
      <c r="V187" s="2">
        <f t="shared" si="72"/>
        <v>0</v>
      </c>
      <c r="W187" s="2">
        <f t="shared" si="72"/>
        <v>0</v>
      </c>
      <c r="X187" s="2">
        <f t="shared" si="72"/>
        <v>0</v>
      </c>
      <c r="Y187" s="2">
        <f t="shared" si="72"/>
        <v>0</v>
      </c>
      <c r="Z187" s="2">
        <f t="shared" si="72"/>
        <v>0</v>
      </c>
      <c r="AA187" s="2">
        <f t="shared" si="72"/>
        <v>0</v>
      </c>
    </row>
    <row r="188" spans="1:27" x14ac:dyDescent="0.25">
      <c r="H188" s="2"/>
      <c r="I188" s="2"/>
      <c r="J188" s="2"/>
      <c r="K188" s="2"/>
      <c r="L188" s="2"/>
      <c r="M188" s="2"/>
      <c r="N188" s="2"/>
      <c r="O188" s="2"/>
      <c r="P188" s="2"/>
      <c r="Q188" s="2"/>
      <c r="R188" s="2"/>
      <c r="S188" s="2"/>
      <c r="T188" s="2"/>
      <c r="U188" s="2"/>
      <c r="V188" s="2"/>
      <c r="W188" s="2"/>
      <c r="X188" s="2"/>
      <c r="Y188" s="2"/>
      <c r="Z188" s="2"/>
      <c r="AA188" s="2"/>
    </row>
    <row r="189" spans="1:27" x14ac:dyDescent="0.25">
      <c r="C189" s="1" t="s">
        <v>10</v>
      </c>
      <c r="G189" s="2"/>
    </row>
    <row r="190" spans="1:27" x14ac:dyDescent="0.25">
      <c r="C190" s="1"/>
      <c r="D190" t="s">
        <v>149</v>
      </c>
      <c r="G190" s="2"/>
    </row>
    <row r="191" spans="1:27" x14ac:dyDescent="0.25">
      <c r="A191" s="14">
        <f>'Notes &amp; Assumptions'!A53</f>
        <v>40</v>
      </c>
      <c r="C191" s="1"/>
      <c r="E191" t="s">
        <v>125</v>
      </c>
      <c r="G191" s="2"/>
      <c r="H191" s="11"/>
      <c r="I191" s="11"/>
      <c r="J191" s="11"/>
      <c r="K191" s="11"/>
      <c r="L191" s="11"/>
      <c r="M191" s="11"/>
      <c r="N191" s="11"/>
      <c r="O191" s="11"/>
      <c r="P191" s="11"/>
      <c r="Q191" s="11"/>
      <c r="R191" s="11"/>
      <c r="S191" s="11"/>
      <c r="T191" s="11"/>
      <c r="U191" s="11"/>
      <c r="V191" s="11"/>
      <c r="W191" s="11"/>
      <c r="X191" s="11"/>
      <c r="Y191" s="11"/>
      <c r="Z191" s="11"/>
      <c r="AA191" s="11"/>
    </row>
    <row r="192" spans="1:27" x14ac:dyDescent="0.25">
      <c r="A192" s="14">
        <f>'Notes &amp; Assumptions'!A54</f>
        <v>41</v>
      </c>
      <c r="E192" t="s">
        <v>26</v>
      </c>
      <c r="F192" t="s">
        <v>22</v>
      </c>
      <c r="G192" s="10">
        <f>'Key assumptions'!B14</f>
        <v>120</v>
      </c>
      <c r="H192" s="2">
        <f t="shared" ref="H192:W193" si="73">G192*(1+$G$14)*(1+H$191)</f>
        <v>122.51999999999998</v>
      </c>
      <c r="I192" s="2">
        <f t="shared" si="73"/>
        <v>125.09291999999996</v>
      </c>
      <c r="J192" s="2">
        <f t="shared" si="73"/>
        <v>127.71987131999995</v>
      </c>
      <c r="K192" s="2">
        <f t="shared" si="73"/>
        <v>130.40198861771995</v>
      </c>
      <c r="L192" s="2">
        <f t="shared" si="73"/>
        <v>133.14043037869206</v>
      </c>
      <c r="M192" s="2">
        <f t="shared" si="73"/>
        <v>135.93637941664457</v>
      </c>
      <c r="N192" s="2">
        <f t="shared" si="73"/>
        <v>138.7910433843941</v>
      </c>
      <c r="O192" s="2">
        <f t="shared" si="73"/>
        <v>141.70565529546636</v>
      </c>
      <c r="P192" s="2">
        <f t="shared" si="73"/>
        <v>144.68147405667114</v>
      </c>
      <c r="Q192" s="2">
        <f t="shared" si="73"/>
        <v>147.71978501186121</v>
      </c>
      <c r="R192" s="2">
        <f t="shared" si="73"/>
        <v>150.82190049711028</v>
      </c>
      <c r="S192" s="2">
        <f t="shared" si="73"/>
        <v>153.98916040754958</v>
      </c>
      <c r="T192" s="2">
        <f t="shared" si="73"/>
        <v>157.22293277610811</v>
      </c>
      <c r="U192" s="2">
        <f t="shared" si="73"/>
        <v>160.52461436440637</v>
      </c>
      <c r="V192" s="2">
        <f t="shared" si="73"/>
        <v>163.8956312660589</v>
      </c>
      <c r="W192" s="2">
        <f t="shared" si="73"/>
        <v>167.33743952264612</v>
      </c>
      <c r="X192" s="2">
        <f t="shared" ref="X192:AA193" si="74">W192*(1+$G$14)*(1+X$191)</f>
        <v>170.85152575262168</v>
      </c>
      <c r="Y192" s="2">
        <f t="shared" si="74"/>
        <v>174.43940779342671</v>
      </c>
      <c r="Z192" s="2">
        <f t="shared" si="74"/>
        <v>178.10263535708864</v>
      </c>
      <c r="AA192" s="2">
        <f t="shared" si="74"/>
        <v>181.84279069958748</v>
      </c>
    </row>
    <row r="193" spans="1:29" x14ac:dyDescent="0.25">
      <c r="A193" s="14">
        <f>'Notes &amp; Assumptions'!A55</f>
        <v>42</v>
      </c>
      <c r="E193" t="s">
        <v>27</v>
      </c>
      <c r="F193" t="s">
        <v>4</v>
      </c>
      <c r="G193" s="10">
        <f>'Key assumptions'!B17</f>
        <v>0</v>
      </c>
      <c r="H193" s="2">
        <f t="shared" si="73"/>
        <v>0</v>
      </c>
      <c r="I193" s="2">
        <f t="shared" si="73"/>
        <v>0</v>
      </c>
      <c r="J193" s="2">
        <f t="shared" si="73"/>
        <v>0</v>
      </c>
      <c r="K193" s="2">
        <f t="shared" si="73"/>
        <v>0</v>
      </c>
      <c r="L193" s="2">
        <f t="shared" si="73"/>
        <v>0</v>
      </c>
      <c r="M193" s="2">
        <f t="shared" si="73"/>
        <v>0</v>
      </c>
      <c r="N193" s="2">
        <f t="shared" si="73"/>
        <v>0</v>
      </c>
      <c r="O193" s="2">
        <f t="shared" si="73"/>
        <v>0</v>
      </c>
      <c r="P193" s="2">
        <f t="shared" si="73"/>
        <v>0</v>
      </c>
      <c r="Q193" s="2">
        <f t="shared" si="73"/>
        <v>0</v>
      </c>
      <c r="R193" s="2">
        <f t="shared" si="73"/>
        <v>0</v>
      </c>
      <c r="S193" s="2">
        <f t="shared" si="73"/>
        <v>0</v>
      </c>
      <c r="T193" s="2">
        <f t="shared" si="73"/>
        <v>0</v>
      </c>
      <c r="U193" s="2">
        <f t="shared" si="73"/>
        <v>0</v>
      </c>
      <c r="V193" s="2">
        <f t="shared" si="73"/>
        <v>0</v>
      </c>
      <c r="W193" s="2">
        <f t="shared" si="73"/>
        <v>0</v>
      </c>
      <c r="X193" s="2">
        <f t="shared" si="74"/>
        <v>0</v>
      </c>
      <c r="Y193" s="2">
        <f t="shared" si="74"/>
        <v>0</v>
      </c>
      <c r="Z193" s="2">
        <f t="shared" si="74"/>
        <v>0</v>
      </c>
      <c r="AA193" s="2">
        <f t="shared" si="74"/>
        <v>0</v>
      </c>
    </row>
    <row r="194" spans="1:29" x14ac:dyDescent="0.25">
      <c r="A194" s="14">
        <f>'Notes &amp; Assumptions'!A56</f>
        <v>43</v>
      </c>
      <c r="E194" t="s">
        <v>39</v>
      </c>
      <c r="F194" t="s">
        <v>7</v>
      </c>
      <c r="G194" s="2"/>
      <c r="H194" s="10"/>
      <c r="I194" s="10"/>
      <c r="J194" s="10"/>
      <c r="K194" s="10"/>
      <c r="L194" s="10"/>
      <c r="M194" s="10"/>
      <c r="N194" s="10"/>
      <c r="O194" s="10"/>
      <c r="P194" s="10"/>
      <c r="Q194" s="10"/>
      <c r="R194" s="10"/>
      <c r="S194" s="10"/>
      <c r="T194" s="10"/>
      <c r="U194" s="10"/>
      <c r="V194" s="10"/>
      <c r="W194" s="10"/>
      <c r="X194" s="10"/>
      <c r="Y194" s="10"/>
      <c r="Z194" s="10"/>
      <c r="AA194" s="10"/>
    </row>
    <row r="195" spans="1:29" x14ac:dyDescent="0.25">
      <c r="B195" s="14"/>
      <c r="C195" s="14"/>
      <c r="D195" s="14"/>
      <c r="E195" s="14"/>
      <c r="F195" s="14"/>
      <c r="G195" s="14"/>
      <c r="H195" s="14"/>
      <c r="I195" s="14"/>
      <c r="J195" s="14"/>
      <c r="K195" s="14"/>
      <c r="L195" s="14"/>
      <c r="M195" s="14"/>
      <c r="N195" s="14"/>
      <c r="O195" s="14"/>
      <c r="P195" s="14"/>
      <c r="Q195" s="14"/>
      <c r="R195" s="14"/>
      <c r="S195" s="14"/>
      <c r="T195" s="14"/>
      <c r="U195" s="14"/>
      <c r="V195" s="14"/>
      <c r="W195" s="14"/>
      <c r="X195" s="14"/>
      <c r="Y195" s="14"/>
      <c r="Z195" s="14"/>
      <c r="AA195" s="14"/>
      <c r="AB195" s="14"/>
      <c r="AC195" s="14"/>
    </row>
    <row r="196" spans="1:29" x14ac:dyDescent="0.25">
      <c r="D196" t="s">
        <v>124</v>
      </c>
      <c r="G196" s="14"/>
      <c r="H196" s="14"/>
      <c r="I196" s="14"/>
      <c r="J196" s="14"/>
      <c r="K196" s="14"/>
      <c r="L196" s="14"/>
      <c r="M196" s="14"/>
      <c r="N196" s="14"/>
      <c r="O196" s="14"/>
      <c r="P196" s="14"/>
      <c r="Q196" s="14"/>
      <c r="R196" s="14"/>
      <c r="S196" s="14"/>
      <c r="T196" s="14"/>
      <c r="U196" s="14"/>
      <c r="V196" s="14"/>
      <c r="W196" s="14"/>
      <c r="X196" s="14"/>
      <c r="Y196" s="14"/>
      <c r="Z196" s="14"/>
      <c r="AA196" s="14"/>
    </row>
    <row r="197" spans="1:29" x14ac:dyDescent="0.25">
      <c r="A197" s="14">
        <f>'Notes &amp; Assumptions'!A57</f>
        <v>44</v>
      </c>
      <c r="E197" t="s">
        <v>27</v>
      </c>
      <c r="F197" t="s">
        <v>4</v>
      </c>
      <c r="G197" s="14"/>
      <c r="H197" s="10"/>
      <c r="I197" s="10"/>
      <c r="J197" s="10"/>
      <c r="K197" s="10"/>
      <c r="L197" s="10"/>
      <c r="M197" s="10"/>
      <c r="N197" s="10"/>
      <c r="O197" s="10"/>
      <c r="P197" s="10"/>
      <c r="Q197" s="10"/>
      <c r="R197" s="10"/>
      <c r="S197" s="10"/>
      <c r="T197" s="10"/>
      <c r="U197" s="10"/>
      <c r="V197" s="10"/>
      <c r="W197" s="10"/>
      <c r="X197" s="10"/>
      <c r="Y197" s="10"/>
      <c r="Z197" s="10"/>
      <c r="AA197" s="10"/>
    </row>
    <row r="198" spans="1:29" x14ac:dyDescent="0.25">
      <c r="A198" s="14">
        <f>'Notes &amp; Assumptions'!A58</f>
        <v>45</v>
      </c>
      <c r="E198" t="s">
        <v>39</v>
      </c>
      <c r="F198" t="s">
        <v>7</v>
      </c>
      <c r="G198" s="2"/>
      <c r="H198" s="10"/>
      <c r="I198" s="10"/>
      <c r="J198" s="10"/>
      <c r="K198" s="10"/>
      <c r="L198" s="10"/>
      <c r="M198" s="10"/>
      <c r="N198" s="10"/>
      <c r="O198" s="10"/>
      <c r="P198" s="10"/>
      <c r="Q198" s="10"/>
      <c r="R198" s="10"/>
      <c r="S198" s="10"/>
      <c r="T198" s="10"/>
      <c r="U198" s="10"/>
      <c r="V198" s="10"/>
      <c r="W198" s="10"/>
      <c r="X198" s="10"/>
      <c r="Y198" s="10"/>
      <c r="Z198" s="10"/>
      <c r="AA198" s="10"/>
    </row>
    <row r="199" spans="1:29" x14ac:dyDescent="0.25">
      <c r="G199" s="2"/>
    </row>
    <row r="200" spans="1:29" x14ac:dyDescent="0.25">
      <c r="E200" t="s">
        <v>10</v>
      </c>
      <c r="F200" t="s">
        <v>7</v>
      </c>
      <c r="G200" s="2"/>
      <c r="H200" s="2">
        <f>H192*H175+(H193+H197)*H176+H194+H198</f>
        <v>38103.719999999994</v>
      </c>
      <c r="I200" s="2">
        <f t="shared" ref="I200:AA200" si="75">I192*I175+(I193+I197)*I176+I194+I198</f>
        <v>77682.703319999971</v>
      </c>
      <c r="J200" s="2">
        <f t="shared" si="75"/>
        <v>119513.86958768996</v>
      </c>
      <c r="K200" s="2">
        <f t="shared" si="75"/>
        <v>161600.66439450945</v>
      </c>
      <c r="L200" s="2">
        <f t="shared" si="75"/>
        <v>203837.99890977755</v>
      </c>
      <c r="M200" s="2">
        <f t="shared" si="75"/>
        <v>246248.75131325165</v>
      </c>
      <c r="N200" s="2">
        <f t="shared" si="75"/>
        <v>288789.463522078</v>
      </c>
      <c r="O200" s="2">
        <f t="shared" si="75"/>
        <v>331449.52773609583</v>
      </c>
      <c r="P200" s="2">
        <f t="shared" si="75"/>
        <v>377944.18060453917</v>
      </c>
      <c r="Q200" s="2">
        <f t="shared" si="75"/>
        <v>428608.9562119153</v>
      </c>
      <c r="R200" s="2">
        <f t="shared" si="75"/>
        <v>483798.95131960552</v>
      </c>
      <c r="S200" s="2">
        <f t="shared" si="75"/>
        <v>543928.21184956701</v>
      </c>
      <c r="T200" s="2">
        <f t="shared" si="75"/>
        <v>609396.08744019503</v>
      </c>
      <c r="U200" s="2">
        <f t="shared" si="75"/>
        <v>677012.56108188385</v>
      </c>
      <c r="V200" s="2">
        <f t="shared" si="75"/>
        <v>746790.44386379735</v>
      </c>
      <c r="W200" s="2">
        <f t="shared" si="75"/>
        <v>762473.04318493709</v>
      </c>
      <c r="X200" s="2">
        <f t="shared" si="75"/>
        <v>778484.97709182068</v>
      </c>
      <c r="Y200" s="2">
        <f t="shared" si="75"/>
        <v>794833.16161074885</v>
      </c>
      <c r="Z200" s="2">
        <f t="shared" si="75"/>
        <v>811524.65800457436</v>
      </c>
      <c r="AA200" s="2">
        <f t="shared" si="75"/>
        <v>828566.67582267034</v>
      </c>
    </row>
    <row r="201" spans="1:29" x14ac:dyDescent="0.25">
      <c r="G201" s="2"/>
      <c r="H201" s="2"/>
      <c r="I201" s="2"/>
      <c r="J201" s="2"/>
      <c r="K201" s="2"/>
      <c r="L201" s="2"/>
      <c r="M201" s="2"/>
      <c r="N201" s="2"/>
      <c r="O201" s="2"/>
      <c r="P201" s="2"/>
      <c r="Q201" s="2"/>
      <c r="R201" s="2"/>
      <c r="S201" s="2"/>
      <c r="T201" s="2"/>
      <c r="U201" s="2"/>
      <c r="V201" s="2"/>
      <c r="W201" s="2"/>
      <c r="X201" s="2"/>
      <c r="Y201" s="2"/>
      <c r="Z201" s="2"/>
      <c r="AA201" s="2"/>
    </row>
    <row r="202" spans="1:29" x14ac:dyDescent="0.25">
      <c r="C202" s="1" t="s">
        <v>48</v>
      </c>
      <c r="G202" s="2"/>
      <c r="H202" s="2"/>
      <c r="I202" s="2"/>
      <c r="J202" s="2"/>
      <c r="K202" s="2"/>
      <c r="L202" s="2"/>
      <c r="M202" s="2"/>
      <c r="N202" s="2"/>
      <c r="O202" s="2"/>
      <c r="P202" s="2"/>
      <c r="Q202" s="2"/>
      <c r="R202" s="2"/>
      <c r="S202" s="2"/>
      <c r="T202" s="2"/>
      <c r="U202" s="2"/>
      <c r="V202" s="2"/>
      <c r="W202" s="2"/>
      <c r="X202" s="2"/>
      <c r="Y202" s="2"/>
      <c r="Z202" s="2"/>
      <c r="AA202" s="2"/>
    </row>
    <row r="203" spans="1:29" x14ac:dyDescent="0.25">
      <c r="A203" s="14">
        <f>'Notes &amp; Assumptions'!A59</f>
        <v>46</v>
      </c>
      <c r="E203" s="10" t="s">
        <v>44</v>
      </c>
      <c r="F203" t="s">
        <v>7</v>
      </c>
      <c r="G203" s="2"/>
      <c r="H203" s="10"/>
      <c r="I203" s="10"/>
      <c r="J203" s="10"/>
      <c r="K203" s="10"/>
      <c r="L203" s="10"/>
      <c r="M203" s="10"/>
      <c r="N203" s="10"/>
      <c r="O203" s="10"/>
      <c r="P203" s="10"/>
      <c r="Q203" s="10"/>
      <c r="R203" s="10"/>
      <c r="S203" s="10"/>
      <c r="T203" s="10"/>
      <c r="U203" s="10"/>
      <c r="V203" s="10"/>
      <c r="W203" s="10"/>
      <c r="X203" s="10"/>
      <c r="Y203" s="10"/>
      <c r="Z203" s="10"/>
      <c r="AA203" s="10"/>
    </row>
    <row r="204" spans="1:29" x14ac:dyDescent="0.25">
      <c r="A204" s="14">
        <f>'Notes &amp; Assumptions'!A60</f>
        <v>47</v>
      </c>
      <c r="E204" s="10" t="s">
        <v>45</v>
      </c>
      <c r="F204" t="s">
        <v>7</v>
      </c>
      <c r="G204" s="2"/>
      <c r="H204" s="10"/>
      <c r="I204" s="10"/>
      <c r="J204" s="10"/>
      <c r="K204" s="10"/>
      <c r="L204" s="10"/>
      <c r="M204" s="10"/>
      <c r="N204" s="10"/>
      <c r="O204" s="10"/>
      <c r="P204" s="10"/>
      <c r="Q204" s="10"/>
      <c r="R204" s="10"/>
      <c r="S204" s="10"/>
      <c r="T204" s="10"/>
      <c r="U204" s="10"/>
      <c r="V204" s="10"/>
      <c r="W204" s="10"/>
      <c r="X204" s="10"/>
      <c r="Y204" s="10"/>
      <c r="Z204" s="10"/>
      <c r="AA204" s="10"/>
    </row>
    <row r="205" spans="1:29" x14ac:dyDescent="0.25">
      <c r="A205" s="14">
        <f>'Notes &amp; Assumptions'!A61</f>
        <v>48</v>
      </c>
      <c r="E205" s="10" t="s">
        <v>46</v>
      </c>
      <c r="F205" t="s">
        <v>7</v>
      </c>
      <c r="G205" s="2"/>
      <c r="H205" s="10"/>
      <c r="I205" s="10"/>
      <c r="J205" s="10"/>
      <c r="K205" s="10"/>
      <c r="L205" s="10"/>
      <c r="M205" s="10"/>
      <c r="N205" s="10"/>
      <c r="O205" s="10"/>
      <c r="P205" s="10"/>
      <c r="Q205" s="10"/>
      <c r="R205" s="10"/>
      <c r="S205" s="10"/>
      <c r="T205" s="10"/>
      <c r="U205" s="10"/>
      <c r="V205" s="10"/>
      <c r="W205" s="10"/>
      <c r="X205" s="10"/>
      <c r="Y205" s="10"/>
      <c r="Z205" s="10"/>
      <c r="AA205" s="10"/>
    </row>
    <row r="206" spans="1:29" x14ac:dyDescent="0.25">
      <c r="A206" s="14">
        <f>'Notes &amp; Assumptions'!A62</f>
        <v>49</v>
      </c>
      <c r="E206" s="10" t="s">
        <v>47</v>
      </c>
      <c r="F206" t="s">
        <v>7</v>
      </c>
      <c r="G206" s="2"/>
      <c r="H206" s="10"/>
      <c r="I206" s="10"/>
      <c r="J206" s="10"/>
      <c r="K206" s="10"/>
      <c r="L206" s="10"/>
      <c r="M206" s="10"/>
      <c r="N206" s="10"/>
      <c r="O206" s="10"/>
      <c r="P206" s="10"/>
      <c r="Q206" s="10"/>
      <c r="R206" s="10"/>
      <c r="S206" s="10"/>
      <c r="T206" s="10"/>
      <c r="U206" s="10"/>
      <c r="V206" s="10"/>
      <c r="W206" s="10"/>
      <c r="X206" s="10"/>
      <c r="Y206" s="10"/>
      <c r="Z206" s="10"/>
      <c r="AA206" s="10"/>
    </row>
    <row r="207" spans="1:29" x14ac:dyDescent="0.25">
      <c r="E207" t="s">
        <v>17</v>
      </c>
      <c r="G207" s="2"/>
      <c r="H207" s="2">
        <f>SUM(H203:H206)</f>
        <v>0</v>
      </c>
      <c r="I207" s="2">
        <f t="shared" ref="I207:AA207" si="76">SUM(I203:I206)</f>
        <v>0</v>
      </c>
      <c r="J207" s="2">
        <f t="shared" si="76"/>
        <v>0</v>
      </c>
      <c r="K207" s="2">
        <f t="shared" si="76"/>
        <v>0</v>
      </c>
      <c r="L207" s="2">
        <f t="shared" si="76"/>
        <v>0</v>
      </c>
      <c r="M207" s="2">
        <f t="shared" si="76"/>
        <v>0</v>
      </c>
      <c r="N207" s="2">
        <f t="shared" si="76"/>
        <v>0</v>
      </c>
      <c r="O207" s="2">
        <f t="shared" si="76"/>
        <v>0</v>
      </c>
      <c r="P207" s="2">
        <f t="shared" si="76"/>
        <v>0</v>
      </c>
      <c r="Q207" s="2">
        <f t="shared" si="76"/>
        <v>0</v>
      </c>
      <c r="R207" s="2">
        <f t="shared" si="76"/>
        <v>0</v>
      </c>
      <c r="S207" s="2">
        <f t="shared" si="76"/>
        <v>0</v>
      </c>
      <c r="T207" s="2">
        <f t="shared" si="76"/>
        <v>0</v>
      </c>
      <c r="U207" s="2">
        <f t="shared" si="76"/>
        <v>0</v>
      </c>
      <c r="V207" s="2">
        <f t="shared" si="76"/>
        <v>0</v>
      </c>
      <c r="W207" s="2">
        <f t="shared" si="76"/>
        <v>0</v>
      </c>
      <c r="X207" s="2">
        <f t="shared" si="76"/>
        <v>0</v>
      </c>
      <c r="Y207" s="2">
        <f t="shared" si="76"/>
        <v>0</v>
      </c>
      <c r="Z207" s="2">
        <f t="shared" si="76"/>
        <v>0</v>
      </c>
      <c r="AA207" s="2">
        <f t="shared" si="76"/>
        <v>0</v>
      </c>
    </row>
    <row r="208" spans="1:29" x14ac:dyDescent="0.25">
      <c r="G208" s="2"/>
      <c r="H208" s="2"/>
      <c r="I208" s="2"/>
      <c r="J208" s="2"/>
      <c r="K208" s="2"/>
      <c r="L208" s="2"/>
      <c r="M208" s="2"/>
      <c r="N208" s="2"/>
      <c r="O208" s="2"/>
      <c r="P208" s="2"/>
      <c r="Q208" s="2"/>
      <c r="R208" s="2"/>
      <c r="S208" s="2"/>
      <c r="T208" s="2"/>
      <c r="U208" s="2"/>
      <c r="V208" s="2"/>
      <c r="W208" s="2"/>
      <c r="X208" s="2"/>
      <c r="Y208" s="2"/>
      <c r="Z208" s="2"/>
      <c r="AA208" s="2"/>
    </row>
    <row r="209" spans="1:27" x14ac:dyDescent="0.25">
      <c r="C209" s="1" t="s">
        <v>49</v>
      </c>
      <c r="G209" s="2"/>
      <c r="H209" s="2"/>
      <c r="I209" s="2"/>
      <c r="J209" s="2"/>
      <c r="K209" s="2"/>
      <c r="L209" s="2"/>
      <c r="M209" s="2"/>
      <c r="N209" s="2"/>
      <c r="O209" s="2"/>
      <c r="P209" s="2"/>
      <c r="Q209" s="2"/>
      <c r="R209" s="2"/>
      <c r="S209" s="2"/>
      <c r="T209" s="2"/>
      <c r="U209" s="2"/>
      <c r="V209" s="2"/>
      <c r="W209" s="2"/>
      <c r="X209" s="2"/>
      <c r="Y209" s="2"/>
      <c r="Z209" s="2"/>
      <c r="AA209" s="2"/>
    </row>
    <row r="210" spans="1:27" x14ac:dyDescent="0.25">
      <c r="A210" s="14">
        <f>'Notes &amp; Assumptions'!A63</f>
        <v>50</v>
      </c>
      <c r="E210" s="10" t="s">
        <v>240</v>
      </c>
      <c r="F210" t="s">
        <v>7</v>
      </c>
      <c r="G210" s="2"/>
      <c r="H210" s="10"/>
      <c r="I210" s="10"/>
      <c r="J210" s="10"/>
      <c r="K210" s="10"/>
      <c r="L210" s="10"/>
      <c r="M210" s="10"/>
      <c r="N210" s="10"/>
      <c r="O210" s="10"/>
      <c r="P210" s="10"/>
      <c r="Q210" s="10"/>
      <c r="R210" s="10"/>
      <c r="S210" s="10"/>
      <c r="T210" s="10"/>
      <c r="U210" s="10"/>
      <c r="V210" s="10"/>
      <c r="W210" s="10"/>
      <c r="X210" s="10"/>
      <c r="Y210" s="10"/>
      <c r="Z210" s="10"/>
      <c r="AA210" s="10"/>
    </row>
    <row r="211" spans="1:27" x14ac:dyDescent="0.25">
      <c r="A211" s="14">
        <f>'Notes &amp; Assumptions'!A64</f>
        <v>51</v>
      </c>
      <c r="E211" s="10" t="s">
        <v>50</v>
      </c>
      <c r="F211" t="s">
        <v>7</v>
      </c>
      <c r="G211" s="2"/>
      <c r="H211" s="10"/>
      <c r="I211" s="10"/>
      <c r="J211" s="10"/>
      <c r="K211" s="10"/>
      <c r="L211" s="10"/>
      <c r="M211" s="10"/>
      <c r="N211" s="10"/>
      <c r="O211" s="10"/>
      <c r="P211" s="10"/>
      <c r="Q211" s="10"/>
      <c r="R211" s="10"/>
      <c r="S211" s="10"/>
      <c r="T211" s="10"/>
      <c r="U211" s="10"/>
      <c r="V211" s="10"/>
      <c r="W211" s="10"/>
      <c r="X211" s="10"/>
      <c r="Y211" s="10"/>
      <c r="Z211" s="10"/>
      <c r="AA211" s="10"/>
    </row>
    <row r="212" spans="1:27" x14ac:dyDescent="0.25">
      <c r="A212" s="14">
        <f>'Notes &amp; Assumptions'!A65</f>
        <v>52</v>
      </c>
      <c r="E212" s="10" t="s">
        <v>51</v>
      </c>
      <c r="F212" t="s">
        <v>7</v>
      </c>
      <c r="G212" s="2"/>
      <c r="H212" s="10"/>
      <c r="I212" s="10"/>
      <c r="J212" s="10"/>
      <c r="K212" s="10"/>
      <c r="L212" s="10"/>
      <c r="M212" s="10"/>
      <c r="N212" s="10"/>
      <c r="O212" s="10"/>
      <c r="P212" s="10"/>
      <c r="Q212" s="10"/>
      <c r="R212" s="10"/>
      <c r="S212" s="10"/>
      <c r="T212" s="10"/>
      <c r="U212" s="10"/>
      <c r="V212" s="10"/>
      <c r="W212" s="10"/>
      <c r="X212" s="10"/>
      <c r="Y212" s="10"/>
      <c r="Z212" s="10"/>
      <c r="AA212" s="10"/>
    </row>
    <row r="213" spans="1:27" x14ac:dyDescent="0.25">
      <c r="A213" s="14">
        <f>'Notes &amp; Assumptions'!A66</f>
        <v>53</v>
      </c>
      <c r="E213" s="10" t="s">
        <v>52</v>
      </c>
      <c r="F213" t="s">
        <v>7</v>
      </c>
      <c r="G213" s="2"/>
      <c r="H213" s="10"/>
      <c r="I213" s="10"/>
      <c r="J213" s="10"/>
      <c r="K213" s="10"/>
      <c r="L213" s="10"/>
      <c r="M213" s="10"/>
      <c r="N213" s="10"/>
      <c r="O213" s="10"/>
      <c r="P213" s="10"/>
      <c r="Q213" s="10"/>
      <c r="R213" s="10"/>
      <c r="S213" s="10"/>
      <c r="T213" s="10"/>
      <c r="U213" s="10"/>
      <c r="V213" s="10"/>
      <c r="W213" s="10"/>
      <c r="X213" s="10"/>
      <c r="Y213" s="10"/>
      <c r="Z213" s="10"/>
      <c r="AA213" s="10"/>
    </row>
    <row r="214" spans="1:27" x14ac:dyDescent="0.25">
      <c r="E214" t="s">
        <v>17</v>
      </c>
      <c r="G214" s="2"/>
      <c r="H214" s="2">
        <f>SUM(H210:H213)</f>
        <v>0</v>
      </c>
      <c r="I214" s="2">
        <f t="shared" ref="I214:AA214" si="77">SUM(I210:I213)</f>
        <v>0</v>
      </c>
      <c r="J214" s="2">
        <f t="shared" si="77"/>
        <v>0</v>
      </c>
      <c r="K214" s="2">
        <f t="shared" si="77"/>
        <v>0</v>
      </c>
      <c r="L214" s="2">
        <f t="shared" si="77"/>
        <v>0</v>
      </c>
      <c r="M214" s="2">
        <f t="shared" si="77"/>
        <v>0</v>
      </c>
      <c r="N214" s="2">
        <f t="shared" si="77"/>
        <v>0</v>
      </c>
      <c r="O214" s="2">
        <f t="shared" si="77"/>
        <v>0</v>
      </c>
      <c r="P214" s="2">
        <f t="shared" si="77"/>
        <v>0</v>
      </c>
      <c r="Q214" s="2">
        <f t="shared" si="77"/>
        <v>0</v>
      </c>
      <c r="R214" s="2">
        <f t="shared" si="77"/>
        <v>0</v>
      </c>
      <c r="S214" s="2">
        <f t="shared" si="77"/>
        <v>0</v>
      </c>
      <c r="T214" s="2">
        <f t="shared" si="77"/>
        <v>0</v>
      </c>
      <c r="U214" s="2">
        <f t="shared" si="77"/>
        <v>0</v>
      </c>
      <c r="V214" s="2">
        <f t="shared" si="77"/>
        <v>0</v>
      </c>
      <c r="W214" s="2">
        <f t="shared" si="77"/>
        <v>0</v>
      </c>
      <c r="X214" s="2">
        <f t="shared" si="77"/>
        <v>0</v>
      </c>
      <c r="Y214" s="2">
        <f t="shared" si="77"/>
        <v>0</v>
      </c>
      <c r="Z214" s="2">
        <f t="shared" si="77"/>
        <v>0</v>
      </c>
      <c r="AA214" s="2">
        <f t="shared" si="77"/>
        <v>0</v>
      </c>
    </row>
    <row r="215" spans="1:27" x14ac:dyDescent="0.25">
      <c r="G215" s="2"/>
      <c r="H215" s="2"/>
      <c r="I215" s="2"/>
      <c r="J215" s="2"/>
      <c r="K215" s="2"/>
      <c r="L215" s="2"/>
      <c r="M215" s="2"/>
      <c r="N215" s="2"/>
      <c r="O215" s="2"/>
      <c r="P215" s="2"/>
      <c r="Q215" s="2"/>
      <c r="R215" s="2"/>
      <c r="S215" s="2"/>
      <c r="T215" s="2"/>
      <c r="U215" s="2"/>
      <c r="V215" s="2"/>
      <c r="W215" s="2"/>
      <c r="X215" s="2"/>
      <c r="Y215" s="2"/>
      <c r="Z215" s="2"/>
      <c r="AA215" s="2"/>
    </row>
    <row r="216" spans="1:27" x14ac:dyDescent="0.25">
      <c r="C216" s="1" t="s">
        <v>33</v>
      </c>
      <c r="G216" s="2"/>
      <c r="H216" s="2"/>
      <c r="I216" s="2"/>
      <c r="J216" s="2"/>
      <c r="K216" s="2"/>
      <c r="L216" s="2"/>
      <c r="M216" s="2"/>
      <c r="N216" s="2"/>
      <c r="O216" s="2"/>
      <c r="P216" s="2"/>
      <c r="Q216" s="2"/>
      <c r="R216" s="2"/>
      <c r="S216" s="2"/>
      <c r="T216" s="2"/>
      <c r="U216" s="2"/>
      <c r="V216" s="2"/>
      <c r="W216" s="2"/>
      <c r="X216" s="2"/>
      <c r="Y216" s="2"/>
      <c r="Z216" s="2"/>
      <c r="AA216" s="2"/>
    </row>
    <row r="217" spans="1:27" x14ac:dyDescent="0.25">
      <c r="C217" s="1"/>
      <c r="D217" s="1"/>
      <c r="E217" t="s">
        <v>29</v>
      </c>
      <c r="F217" t="s">
        <v>3</v>
      </c>
      <c r="G217" s="2"/>
      <c r="H217" s="2">
        <f t="shared" ref="H217:AA217" si="78">H174</f>
        <v>311</v>
      </c>
      <c r="I217" s="2">
        <f t="shared" si="78"/>
        <v>310</v>
      </c>
      <c r="J217" s="2">
        <f t="shared" si="78"/>
        <v>314.75</v>
      </c>
      <c r="K217" s="2">
        <f t="shared" si="78"/>
        <v>303.5</v>
      </c>
      <c r="L217" s="2">
        <f t="shared" si="78"/>
        <v>291.75</v>
      </c>
      <c r="M217" s="2">
        <f t="shared" si="78"/>
        <v>280.5</v>
      </c>
      <c r="N217" s="2">
        <f t="shared" si="78"/>
        <v>269.25</v>
      </c>
      <c r="O217" s="2">
        <f t="shared" si="78"/>
        <v>258.25</v>
      </c>
      <c r="P217" s="2">
        <f t="shared" si="78"/>
        <v>273.25</v>
      </c>
      <c r="Q217" s="2">
        <f t="shared" si="78"/>
        <v>289.25</v>
      </c>
      <c r="R217" s="2">
        <f t="shared" si="78"/>
        <v>306.25</v>
      </c>
      <c r="S217" s="2">
        <f t="shared" si="78"/>
        <v>324.5</v>
      </c>
      <c r="T217" s="2">
        <f t="shared" si="78"/>
        <v>343.75</v>
      </c>
      <c r="U217" s="2">
        <f t="shared" si="78"/>
        <v>341.5</v>
      </c>
      <c r="V217" s="2">
        <f t="shared" si="78"/>
        <v>339</v>
      </c>
      <c r="W217" s="2">
        <f t="shared" si="78"/>
        <v>0</v>
      </c>
      <c r="X217" s="2">
        <f t="shared" si="78"/>
        <v>0</v>
      </c>
      <c r="Y217" s="2">
        <f t="shared" si="78"/>
        <v>0</v>
      </c>
      <c r="Z217" s="2">
        <f t="shared" si="78"/>
        <v>0</v>
      </c>
      <c r="AA217" s="2">
        <f t="shared" si="78"/>
        <v>0</v>
      </c>
    </row>
    <row r="218" spans="1:27" x14ac:dyDescent="0.25">
      <c r="E218" t="s">
        <v>18</v>
      </c>
      <c r="F218" t="s">
        <v>22</v>
      </c>
      <c r="G218" s="8">
        <f ca="1">MAX(0,-G245/(NPV($G$16,H217:AA217)))</f>
        <v>3137.8150673493105</v>
      </c>
      <c r="H218" s="2">
        <f t="shared" ref="H218:AA218" ca="1" si="79">G218*(1+$G$14)</f>
        <v>3203.7091837636458</v>
      </c>
      <c r="I218" s="2">
        <f t="shared" ca="1" si="79"/>
        <v>3270.9870766226823</v>
      </c>
      <c r="J218" s="2">
        <f t="shared" ca="1" si="79"/>
        <v>3339.6778052317582</v>
      </c>
      <c r="K218" s="2">
        <f t="shared" ca="1" si="79"/>
        <v>3409.8110391416249</v>
      </c>
      <c r="L218" s="2">
        <f t="shared" ca="1" si="79"/>
        <v>3481.4170709635987</v>
      </c>
      <c r="M218" s="2">
        <f t="shared" ca="1" si="79"/>
        <v>3554.5268294538341</v>
      </c>
      <c r="N218" s="2">
        <f t="shared" ca="1" si="79"/>
        <v>3629.1718928723644</v>
      </c>
      <c r="O218" s="2">
        <f t="shared" ca="1" si="79"/>
        <v>3705.3845026226836</v>
      </c>
      <c r="P218" s="2">
        <f t="shared" ca="1" si="79"/>
        <v>3783.1975771777597</v>
      </c>
      <c r="Q218" s="2">
        <f t="shared" ca="1" si="79"/>
        <v>3862.6447262984925</v>
      </c>
      <c r="R218" s="2">
        <f t="shared" ca="1" si="79"/>
        <v>3943.7602655507603</v>
      </c>
      <c r="S218" s="2">
        <f t="shared" ca="1" si="79"/>
        <v>4026.5792311273258</v>
      </c>
      <c r="T218" s="2">
        <f t="shared" ca="1" si="79"/>
        <v>4111.1373949809995</v>
      </c>
      <c r="U218" s="2">
        <f t="shared" ca="1" si="79"/>
        <v>4197.4712802756003</v>
      </c>
      <c r="V218" s="2">
        <f t="shared" ca="1" si="79"/>
        <v>4285.6181771613874</v>
      </c>
      <c r="W218" s="2">
        <f t="shared" ca="1" si="79"/>
        <v>4375.6161588817758</v>
      </c>
      <c r="X218" s="2">
        <f t="shared" ca="1" si="79"/>
        <v>4467.5040982182927</v>
      </c>
      <c r="Y218" s="2">
        <f t="shared" ca="1" si="79"/>
        <v>4561.3216842808761</v>
      </c>
      <c r="Z218" s="2">
        <f t="shared" ca="1" si="79"/>
        <v>4657.1094396507742</v>
      </c>
      <c r="AA218" s="2">
        <f t="shared" ca="1" si="79"/>
        <v>4754.9087378834402</v>
      </c>
    </row>
    <row r="219" spans="1:27" x14ac:dyDescent="0.25">
      <c r="E219" t="s">
        <v>21</v>
      </c>
      <c r="F219" t="s">
        <v>7</v>
      </c>
      <c r="H219" s="2">
        <f ca="1">H218*H217</f>
        <v>996353.55615049379</v>
      </c>
      <c r="I219" s="2">
        <f t="shared" ref="I219:AA219" ca="1" si="80">I218*I217</f>
        <v>1014005.9937530315</v>
      </c>
      <c r="J219" s="2">
        <f t="shared" ca="1" si="80"/>
        <v>1051163.5891966959</v>
      </c>
      <c r="K219" s="2">
        <f t="shared" ca="1" si="80"/>
        <v>1034877.6503794831</v>
      </c>
      <c r="L219" s="2">
        <f t="shared" ca="1" si="80"/>
        <v>1015703.4304536299</v>
      </c>
      <c r="M219" s="2">
        <f t="shared" ca="1" si="80"/>
        <v>997044.77566180052</v>
      </c>
      <c r="N219" s="2">
        <f t="shared" ca="1" si="80"/>
        <v>977154.53215588408</v>
      </c>
      <c r="O219" s="2">
        <f t="shared" ca="1" si="80"/>
        <v>956915.54780230799</v>
      </c>
      <c r="P219" s="2">
        <f t="shared" ca="1" si="80"/>
        <v>1033758.7379638229</v>
      </c>
      <c r="Q219" s="2">
        <f t="shared" ca="1" si="80"/>
        <v>1117269.987081839</v>
      </c>
      <c r="R219" s="2">
        <f t="shared" ca="1" si="80"/>
        <v>1207776.5813249203</v>
      </c>
      <c r="S219" s="2">
        <f t="shared" ca="1" si="80"/>
        <v>1306624.9605008173</v>
      </c>
      <c r="T219" s="2">
        <f t="shared" ca="1" si="80"/>
        <v>1413203.4795247186</v>
      </c>
      <c r="U219" s="2">
        <f t="shared" ca="1" si="80"/>
        <v>1433436.4422141174</v>
      </c>
      <c r="V219" s="2">
        <f t="shared" ca="1" si="80"/>
        <v>1452824.5620577103</v>
      </c>
      <c r="W219" s="2">
        <f t="shared" ca="1" si="80"/>
        <v>0</v>
      </c>
      <c r="X219" s="2">
        <f t="shared" ca="1" si="80"/>
        <v>0</v>
      </c>
      <c r="Y219" s="2">
        <f t="shared" ca="1" si="80"/>
        <v>0</v>
      </c>
      <c r="Z219" s="2">
        <f t="shared" ca="1" si="80"/>
        <v>0</v>
      </c>
      <c r="AA219" s="2">
        <f t="shared" ca="1" si="80"/>
        <v>0</v>
      </c>
    </row>
    <row r="220" spans="1:27" x14ac:dyDescent="0.25">
      <c r="G220" s="8">
        <f ca="1">-G245/(NPV($G$16,H217:AA217))</f>
        <v>3137.8150673493105</v>
      </c>
    </row>
    <row r="221" spans="1:27" x14ac:dyDescent="0.25">
      <c r="D221" t="s">
        <v>9</v>
      </c>
    </row>
    <row r="222" spans="1:27" x14ac:dyDescent="0.25">
      <c r="E222" t="s">
        <v>107</v>
      </c>
      <c r="F222" t="s">
        <v>7</v>
      </c>
      <c r="G222" s="2">
        <f t="shared" ref="G222:AA222" si="81">G42</f>
        <v>0</v>
      </c>
      <c r="H222" s="2">
        <f t="shared" si="81"/>
        <v>1111358.4999999998</v>
      </c>
      <c r="I222" s="2">
        <f t="shared" si="81"/>
        <v>1131048.4849999996</v>
      </c>
      <c r="J222" s="2">
        <f t="shared" si="81"/>
        <v>1172495.0270241247</v>
      </c>
      <c r="K222" s="2">
        <f t="shared" si="81"/>
        <v>1154329.2700764416</v>
      </c>
      <c r="L222" s="2">
        <f t="shared" si="81"/>
        <v>1132941.8497536825</v>
      </c>
      <c r="M222" s="2">
        <f t="shared" si="81"/>
        <v>1112129.5041024233</v>
      </c>
      <c r="N222" s="2">
        <f t="shared" si="81"/>
        <v>1089943.4125780698</v>
      </c>
      <c r="O222" s="2">
        <f t="shared" si="81"/>
        <v>1067368.3265015802</v>
      </c>
      <c r="P222" s="2">
        <f t="shared" si="81"/>
        <v>1153081.2062579067</v>
      </c>
      <c r="Q222" s="2">
        <f t="shared" si="81"/>
        <v>1246231.8112615247</v>
      </c>
      <c r="R222" s="2">
        <f t="shared" si="81"/>
        <v>1347185.2049611674</v>
      </c>
      <c r="S222" s="2">
        <f t="shared" si="81"/>
        <v>1457443.2411072867</v>
      </c>
      <c r="T222" s="2">
        <f t="shared" si="81"/>
        <v>1576323.6749687917</v>
      </c>
      <c r="U222" s="2">
        <f t="shared" si="81"/>
        <v>1598892.0443254721</v>
      </c>
      <c r="V222" s="2">
        <f t="shared" si="81"/>
        <v>1620518.0541431566</v>
      </c>
      <c r="W222" s="2">
        <f t="shared" si="81"/>
        <v>0</v>
      </c>
      <c r="X222" s="2">
        <f t="shared" si="81"/>
        <v>0</v>
      </c>
      <c r="Y222" s="2">
        <f t="shared" si="81"/>
        <v>0</v>
      </c>
      <c r="Z222" s="2">
        <f t="shared" si="81"/>
        <v>0</v>
      </c>
      <c r="AA222" s="2">
        <f t="shared" si="81"/>
        <v>0</v>
      </c>
    </row>
    <row r="223" spans="1:27" x14ac:dyDescent="0.25">
      <c r="E223" t="s">
        <v>11</v>
      </c>
      <c r="F223" t="s">
        <v>7</v>
      </c>
      <c r="G223" s="2">
        <f t="shared" ref="G223:AA223" si="82">G177</f>
        <v>0</v>
      </c>
      <c r="H223" s="2">
        <f t="shared" si="82"/>
        <v>21153.032898388468</v>
      </c>
      <c r="I223" s="2">
        <f t="shared" si="82"/>
        <v>41943.422322547645</v>
      </c>
      <c r="J223" s="2">
        <f t="shared" si="82"/>
        <v>64529.4317947323</v>
      </c>
      <c r="K223" s="2">
        <f t="shared" si="82"/>
        <v>87253.463443233821</v>
      </c>
      <c r="L223" s="2">
        <f t="shared" si="82"/>
        <v>110058.77638471204</v>
      </c>
      <c r="M223" s="2">
        <f t="shared" si="82"/>
        <v>132957.7232937589</v>
      </c>
      <c r="N223" s="2">
        <f t="shared" si="82"/>
        <v>155926.8397356346</v>
      </c>
      <c r="O223" s="2">
        <f t="shared" si="82"/>
        <v>178960.39821344416</v>
      </c>
      <c r="P223" s="2">
        <f t="shared" si="82"/>
        <v>204064.37603162203</v>
      </c>
      <c r="Q223" s="2">
        <f t="shared" si="82"/>
        <v>231419.93897365185</v>
      </c>
      <c r="R223" s="2">
        <f t="shared" si="82"/>
        <v>261218.81534958782</v>
      </c>
      <c r="S223" s="2">
        <f t="shared" si="82"/>
        <v>293684.56204176502</v>
      </c>
      <c r="T223" s="2">
        <f t="shared" si="82"/>
        <v>329032.80093023781</v>
      </c>
      <c r="U223" s="2">
        <f t="shared" si="82"/>
        <v>365541.13790497073</v>
      </c>
      <c r="V223" s="2">
        <f t="shared" si="82"/>
        <v>403216.49009037175</v>
      </c>
      <c r="W223" s="2">
        <f t="shared" si="82"/>
        <v>411684.03638226952</v>
      </c>
      <c r="X223" s="2">
        <f t="shared" si="82"/>
        <v>420329.40114629711</v>
      </c>
      <c r="Y223" s="2">
        <f t="shared" si="82"/>
        <v>429156.31857036927</v>
      </c>
      <c r="Z223" s="2">
        <f t="shared" si="82"/>
        <v>438168.601260347</v>
      </c>
      <c r="AA223" s="2">
        <f t="shared" si="82"/>
        <v>447370.14188681426</v>
      </c>
    </row>
    <row r="224" spans="1:27" x14ac:dyDescent="0.25">
      <c r="E224" t="s">
        <v>57</v>
      </c>
      <c r="F224" t="s">
        <v>7</v>
      </c>
      <c r="G224" s="2">
        <f t="shared" ref="G224:AA224" si="83">-G187</f>
        <v>0</v>
      </c>
      <c r="H224" s="2">
        <f t="shared" si="83"/>
        <v>0</v>
      </c>
      <c r="I224" s="2">
        <f t="shared" si="83"/>
        <v>0</v>
      </c>
      <c r="J224" s="2">
        <f t="shared" si="83"/>
        <v>0</v>
      </c>
      <c r="K224" s="2">
        <f t="shared" si="83"/>
        <v>0</v>
      </c>
      <c r="L224" s="2">
        <f t="shared" si="83"/>
        <v>0</v>
      </c>
      <c r="M224" s="2">
        <f t="shared" si="83"/>
        <v>0</v>
      </c>
      <c r="N224" s="2">
        <f t="shared" si="83"/>
        <v>0</v>
      </c>
      <c r="O224" s="2">
        <f t="shared" si="83"/>
        <v>0</v>
      </c>
      <c r="P224" s="2">
        <f t="shared" si="83"/>
        <v>0</v>
      </c>
      <c r="Q224" s="2">
        <f t="shared" si="83"/>
        <v>0</v>
      </c>
      <c r="R224" s="2">
        <f t="shared" si="83"/>
        <v>0</v>
      </c>
      <c r="S224" s="2">
        <f t="shared" si="83"/>
        <v>0</v>
      </c>
      <c r="T224" s="2">
        <f t="shared" si="83"/>
        <v>0</v>
      </c>
      <c r="U224" s="2">
        <f t="shared" si="83"/>
        <v>0</v>
      </c>
      <c r="V224" s="2">
        <f t="shared" si="83"/>
        <v>0</v>
      </c>
      <c r="W224" s="2">
        <f t="shared" si="83"/>
        <v>0</v>
      </c>
      <c r="X224" s="2">
        <f t="shared" si="83"/>
        <v>0</v>
      </c>
      <c r="Y224" s="2">
        <f t="shared" si="83"/>
        <v>0</v>
      </c>
      <c r="Z224" s="2">
        <f t="shared" si="83"/>
        <v>0</v>
      </c>
      <c r="AA224" s="2">
        <f t="shared" si="83"/>
        <v>0</v>
      </c>
    </row>
    <row r="225" spans="4:28" customFormat="1" x14ac:dyDescent="0.25">
      <c r="E225" t="s">
        <v>10</v>
      </c>
      <c r="F225" t="s">
        <v>7</v>
      </c>
      <c r="G225" s="2">
        <f t="shared" ref="G225:AA225" si="84">-G200</f>
        <v>0</v>
      </c>
      <c r="H225" s="2">
        <f t="shared" si="84"/>
        <v>-38103.719999999994</v>
      </c>
      <c r="I225" s="2">
        <f t="shared" si="84"/>
        <v>-77682.703319999971</v>
      </c>
      <c r="J225" s="2">
        <f t="shared" si="84"/>
        <v>-119513.86958768996</v>
      </c>
      <c r="K225" s="2">
        <f t="shared" si="84"/>
        <v>-161600.66439450945</v>
      </c>
      <c r="L225" s="2">
        <f t="shared" si="84"/>
        <v>-203837.99890977755</v>
      </c>
      <c r="M225" s="2">
        <f t="shared" si="84"/>
        <v>-246248.75131325165</v>
      </c>
      <c r="N225" s="2">
        <f t="shared" si="84"/>
        <v>-288789.463522078</v>
      </c>
      <c r="O225" s="2">
        <f t="shared" si="84"/>
        <v>-331449.52773609583</v>
      </c>
      <c r="P225" s="2">
        <f t="shared" si="84"/>
        <v>-377944.18060453917</v>
      </c>
      <c r="Q225" s="2">
        <f t="shared" si="84"/>
        <v>-428608.9562119153</v>
      </c>
      <c r="R225" s="2">
        <f t="shared" si="84"/>
        <v>-483798.95131960552</v>
      </c>
      <c r="S225" s="2">
        <f t="shared" si="84"/>
        <v>-543928.21184956701</v>
      </c>
      <c r="T225" s="2">
        <f t="shared" si="84"/>
        <v>-609396.08744019503</v>
      </c>
      <c r="U225" s="2">
        <f t="shared" si="84"/>
        <v>-677012.56108188385</v>
      </c>
      <c r="V225" s="2">
        <f t="shared" si="84"/>
        <v>-746790.44386379735</v>
      </c>
      <c r="W225" s="2">
        <f t="shared" si="84"/>
        <v>-762473.04318493709</v>
      </c>
      <c r="X225" s="2">
        <f t="shared" si="84"/>
        <v>-778484.97709182068</v>
      </c>
      <c r="Y225" s="2">
        <f t="shared" si="84"/>
        <v>-794833.16161074885</v>
      </c>
      <c r="Z225" s="2">
        <f t="shared" si="84"/>
        <v>-811524.65800457436</v>
      </c>
      <c r="AA225" s="2">
        <f t="shared" si="84"/>
        <v>-828566.67582267034</v>
      </c>
    </row>
    <row r="226" spans="4:28" customFormat="1" x14ac:dyDescent="0.25">
      <c r="E226" t="s">
        <v>12</v>
      </c>
      <c r="F226" t="s">
        <v>7</v>
      </c>
      <c r="G226" s="2">
        <f t="shared" ref="G226:AA226" si="85">-G34-G50-G85</f>
        <v>-15860.495071822996</v>
      </c>
      <c r="H226" s="2">
        <f t="shared" si="85"/>
        <v>-31634.745854978955</v>
      </c>
      <c r="I226" s="2">
        <f t="shared" si="85"/>
        <v>-49880.277586834934</v>
      </c>
      <c r="J226" s="2">
        <f t="shared" si="85"/>
        <v>-64536.465424636495</v>
      </c>
      <c r="K226" s="2">
        <f t="shared" si="85"/>
        <v>-78965.581300592021</v>
      </c>
      <c r="L226" s="2">
        <f t="shared" si="85"/>
        <v>-93127.354422513046</v>
      </c>
      <c r="M226" s="2">
        <f t="shared" si="85"/>
        <v>-107028.97322379332</v>
      </c>
      <c r="N226" s="2">
        <f t="shared" si="85"/>
        <v>-120653.26588101921</v>
      </c>
      <c r="O226" s="2">
        <f t="shared" si="85"/>
        <v>-133995.36996228894</v>
      </c>
      <c r="P226" s="2">
        <f t="shared" si="85"/>
        <v>-148408.88504051277</v>
      </c>
      <c r="Q226" s="2">
        <f t="shared" si="85"/>
        <v>-163986.78268128185</v>
      </c>
      <c r="R226" s="2">
        <f t="shared" si="85"/>
        <v>-180826.59774329644</v>
      </c>
      <c r="S226" s="2">
        <f t="shared" si="85"/>
        <v>-199044.63825713753</v>
      </c>
      <c r="T226" s="2">
        <f t="shared" si="85"/>
        <v>-218748.68419424741</v>
      </c>
      <c r="U226" s="2">
        <f t="shared" si="85"/>
        <v>-238734.83474831583</v>
      </c>
      <c r="V226" s="2">
        <f t="shared" si="85"/>
        <v>-258991.3104251053</v>
      </c>
      <c r="W226" s="2">
        <f t="shared" si="85"/>
        <v>-258991.3104251053</v>
      </c>
      <c r="X226" s="2">
        <f t="shared" si="85"/>
        <v>-258991.3104251053</v>
      </c>
      <c r="Y226" s="2">
        <f t="shared" si="85"/>
        <v>-258991.3104251053</v>
      </c>
      <c r="Z226" s="2">
        <f t="shared" si="85"/>
        <v>-258991.3104251053</v>
      </c>
      <c r="AA226" s="2">
        <f t="shared" si="85"/>
        <v>-258991.3104251053</v>
      </c>
    </row>
    <row r="227" spans="4:28" customFormat="1" x14ac:dyDescent="0.25">
      <c r="E227" t="s">
        <v>48</v>
      </c>
      <c r="F227" t="s">
        <v>7</v>
      </c>
      <c r="G227" s="2">
        <f t="shared" ref="G227:AA227" si="86">G207</f>
        <v>0</v>
      </c>
      <c r="H227" s="2">
        <f t="shared" si="86"/>
        <v>0</v>
      </c>
      <c r="I227" s="2">
        <f t="shared" si="86"/>
        <v>0</v>
      </c>
      <c r="J227" s="2">
        <f t="shared" si="86"/>
        <v>0</v>
      </c>
      <c r="K227" s="2">
        <f t="shared" si="86"/>
        <v>0</v>
      </c>
      <c r="L227" s="2">
        <f t="shared" si="86"/>
        <v>0</v>
      </c>
      <c r="M227" s="2">
        <f t="shared" si="86"/>
        <v>0</v>
      </c>
      <c r="N227" s="2">
        <f t="shared" si="86"/>
        <v>0</v>
      </c>
      <c r="O227" s="2">
        <f t="shared" si="86"/>
        <v>0</v>
      </c>
      <c r="P227" s="2">
        <f t="shared" si="86"/>
        <v>0</v>
      </c>
      <c r="Q227" s="2">
        <f t="shared" si="86"/>
        <v>0</v>
      </c>
      <c r="R227" s="2">
        <f t="shared" si="86"/>
        <v>0</v>
      </c>
      <c r="S227" s="2">
        <f t="shared" si="86"/>
        <v>0</v>
      </c>
      <c r="T227" s="2">
        <f t="shared" si="86"/>
        <v>0</v>
      </c>
      <c r="U227" s="2">
        <f t="shared" si="86"/>
        <v>0</v>
      </c>
      <c r="V227" s="2">
        <f t="shared" si="86"/>
        <v>0</v>
      </c>
      <c r="W227" s="2">
        <f t="shared" si="86"/>
        <v>0</v>
      </c>
      <c r="X227" s="2">
        <f t="shared" si="86"/>
        <v>0</v>
      </c>
      <c r="Y227" s="2">
        <f t="shared" si="86"/>
        <v>0</v>
      </c>
      <c r="Z227" s="2">
        <f t="shared" si="86"/>
        <v>0</v>
      </c>
      <c r="AA227" s="2">
        <f t="shared" si="86"/>
        <v>0</v>
      </c>
    </row>
    <row r="228" spans="4:28" customFormat="1" x14ac:dyDescent="0.25">
      <c r="E228" t="s">
        <v>13</v>
      </c>
      <c r="F228" t="s">
        <v>7</v>
      </c>
      <c r="H228" s="2">
        <f t="shared" ref="H228:AA228" ca="1" si="87">H219</f>
        <v>996353.55615049379</v>
      </c>
      <c r="I228" s="2">
        <f t="shared" ca="1" si="87"/>
        <v>1014005.9937530315</v>
      </c>
      <c r="J228" s="2">
        <f t="shared" ca="1" si="87"/>
        <v>1051163.5891966959</v>
      </c>
      <c r="K228" s="2">
        <f t="shared" ca="1" si="87"/>
        <v>1034877.6503794831</v>
      </c>
      <c r="L228" s="2">
        <f t="shared" ca="1" si="87"/>
        <v>1015703.4304536299</v>
      </c>
      <c r="M228" s="2">
        <f t="shared" ca="1" si="87"/>
        <v>997044.77566180052</v>
      </c>
      <c r="N228" s="2">
        <f t="shared" ca="1" si="87"/>
        <v>977154.53215588408</v>
      </c>
      <c r="O228" s="2">
        <f t="shared" ca="1" si="87"/>
        <v>956915.54780230799</v>
      </c>
      <c r="P228" s="2">
        <f t="shared" ca="1" si="87"/>
        <v>1033758.7379638229</v>
      </c>
      <c r="Q228" s="2">
        <f t="shared" ca="1" si="87"/>
        <v>1117269.987081839</v>
      </c>
      <c r="R228" s="2">
        <f t="shared" ca="1" si="87"/>
        <v>1207776.5813249203</v>
      </c>
      <c r="S228" s="2">
        <f t="shared" ca="1" si="87"/>
        <v>1306624.9605008173</v>
      </c>
      <c r="T228" s="2">
        <f t="shared" ca="1" si="87"/>
        <v>1413203.4795247186</v>
      </c>
      <c r="U228" s="2">
        <f t="shared" ca="1" si="87"/>
        <v>1433436.4422141174</v>
      </c>
      <c r="V228" s="2">
        <f t="shared" ca="1" si="87"/>
        <v>1452824.5620577103</v>
      </c>
      <c r="W228" s="2">
        <f t="shared" ca="1" si="87"/>
        <v>0</v>
      </c>
      <c r="X228" s="2">
        <f t="shared" ca="1" si="87"/>
        <v>0</v>
      </c>
      <c r="Y228" s="2">
        <f t="shared" ca="1" si="87"/>
        <v>0</v>
      </c>
      <c r="Z228" s="2">
        <f t="shared" ca="1" si="87"/>
        <v>0</v>
      </c>
      <c r="AA228" s="2">
        <f t="shared" ca="1" si="87"/>
        <v>0</v>
      </c>
    </row>
    <row r="229" spans="4:28" customFormat="1" x14ac:dyDescent="0.25"/>
    <row r="230" spans="4:28" customFormat="1" x14ac:dyDescent="0.25">
      <c r="E230" t="s">
        <v>14</v>
      </c>
      <c r="F230" t="s">
        <v>7</v>
      </c>
      <c r="G230" s="2">
        <f t="shared" ref="G230:AA230" si="88">SUM(G222:G228)</f>
        <v>-15860.495071822996</v>
      </c>
      <c r="H230" s="2">
        <f t="shared" ca="1" si="88"/>
        <v>2059126.6231939034</v>
      </c>
      <c r="I230" s="2">
        <f t="shared" ca="1" si="88"/>
        <v>2059434.9201687439</v>
      </c>
      <c r="J230" s="2">
        <f t="shared" ca="1" si="88"/>
        <v>2104137.7130032266</v>
      </c>
      <c r="K230" s="2">
        <f t="shared" ca="1" si="88"/>
        <v>2035894.138204057</v>
      </c>
      <c r="L230" s="2">
        <f t="shared" ca="1" si="88"/>
        <v>1961738.703259734</v>
      </c>
      <c r="M230" s="2">
        <f t="shared" ca="1" si="88"/>
        <v>1888854.2785209378</v>
      </c>
      <c r="N230" s="2">
        <f t="shared" ca="1" si="88"/>
        <v>1813582.0550664915</v>
      </c>
      <c r="O230" s="2">
        <f t="shared" ca="1" si="88"/>
        <v>1737799.3748189476</v>
      </c>
      <c r="P230" s="2">
        <f t="shared" ca="1" si="88"/>
        <v>1864551.2546082998</v>
      </c>
      <c r="Q230" s="2">
        <f t="shared" ca="1" si="88"/>
        <v>2002325.9984238185</v>
      </c>
      <c r="R230" s="2">
        <f t="shared" ca="1" si="88"/>
        <v>2151555.0525727738</v>
      </c>
      <c r="S230" s="2">
        <f t="shared" ca="1" si="88"/>
        <v>2314779.9135431647</v>
      </c>
      <c r="T230" s="2">
        <f t="shared" ca="1" si="88"/>
        <v>2490415.1837893054</v>
      </c>
      <c r="U230" s="2">
        <f t="shared" ca="1" si="88"/>
        <v>2482122.2286143601</v>
      </c>
      <c r="V230" s="2">
        <f t="shared" ca="1" si="88"/>
        <v>2470777.3520023357</v>
      </c>
      <c r="W230" s="2">
        <f t="shared" ca="1" si="88"/>
        <v>-609780.3172277729</v>
      </c>
      <c r="X230" s="2">
        <f t="shared" ca="1" si="88"/>
        <v>-617146.88637062884</v>
      </c>
      <c r="Y230" s="2">
        <f t="shared" ca="1" si="88"/>
        <v>-624668.15346548485</v>
      </c>
      <c r="Z230" s="2">
        <f t="shared" ca="1" si="88"/>
        <v>-632347.36716933269</v>
      </c>
      <c r="AA230" s="2">
        <f t="shared" ca="1" si="88"/>
        <v>-640187.84436096135</v>
      </c>
    </row>
    <row r="231" spans="4:28" customFormat="1" x14ac:dyDescent="0.25">
      <c r="E231" t="s">
        <v>15</v>
      </c>
      <c r="F231" t="s">
        <v>7</v>
      </c>
      <c r="G231" s="2">
        <f>-G230*G$18</f>
        <v>4758.1485215468983</v>
      </c>
      <c r="H231" s="2">
        <f t="shared" ref="H231:AA231" ca="1" si="89">-H230*H$18</f>
        <v>-617737.98695817101</v>
      </c>
      <c r="I231" s="2">
        <f t="shared" ca="1" si="89"/>
        <v>-617830.47605062311</v>
      </c>
      <c r="J231" s="2">
        <f t="shared" ca="1" si="89"/>
        <v>-631241.31390096794</v>
      </c>
      <c r="K231" s="2">
        <f t="shared" ca="1" si="89"/>
        <v>-610768.24146121705</v>
      </c>
      <c r="L231" s="2">
        <f t="shared" ca="1" si="89"/>
        <v>-588521.61097792012</v>
      </c>
      <c r="M231" s="2">
        <f t="shared" ca="1" si="89"/>
        <v>-566656.28355628136</v>
      </c>
      <c r="N231" s="2">
        <f t="shared" ca="1" si="89"/>
        <v>-544074.61651994742</v>
      </c>
      <c r="O231" s="2">
        <f t="shared" ca="1" si="89"/>
        <v>-521339.81244568428</v>
      </c>
      <c r="P231" s="2">
        <f t="shared" ca="1" si="89"/>
        <v>-559365.37638248992</v>
      </c>
      <c r="Q231" s="2">
        <f t="shared" ca="1" si="89"/>
        <v>-600697.79952714557</v>
      </c>
      <c r="R231" s="2">
        <f t="shared" ca="1" si="89"/>
        <v>-645466.51577183208</v>
      </c>
      <c r="S231" s="2">
        <f t="shared" ca="1" si="89"/>
        <v>-694433.97406294942</v>
      </c>
      <c r="T231" s="2">
        <f t="shared" ca="1" si="89"/>
        <v>-747124.55513679155</v>
      </c>
      <c r="U231" s="2">
        <f t="shared" ca="1" si="89"/>
        <v>-744636.668584308</v>
      </c>
      <c r="V231" s="2">
        <f t="shared" ca="1" si="89"/>
        <v>-741233.20560070069</v>
      </c>
      <c r="W231" s="2">
        <f t="shared" ca="1" si="89"/>
        <v>182934.09516833187</v>
      </c>
      <c r="X231" s="2">
        <f t="shared" ca="1" si="89"/>
        <v>185144.06591118863</v>
      </c>
      <c r="Y231" s="2">
        <f t="shared" ca="1" si="89"/>
        <v>187400.44603964544</v>
      </c>
      <c r="Z231" s="2">
        <f t="shared" ca="1" si="89"/>
        <v>189704.2101507998</v>
      </c>
      <c r="AA231" s="2">
        <f t="shared" ca="1" si="89"/>
        <v>192056.35330828841</v>
      </c>
    </row>
    <row r="232" spans="4:28" customFormat="1" x14ac:dyDescent="0.25"/>
    <row r="233" spans="4:28" customFormat="1" x14ac:dyDescent="0.25">
      <c r="D233" t="s">
        <v>28</v>
      </c>
    </row>
    <row r="234" spans="4:28" customFormat="1" x14ac:dyDescent="0.25">
      <c r="E234" t="s">
        <v>1</v>
      </c>
      <c r="F234" t="s">
        <v>7</v>
      </c>
      <c r="G234" s="2">
        <f t="shared" ref="G234:AA234" si="90">-G26</f>
        <v>-1268839.6057458397</v>
      </c>
      <c r="H234" s="2">
        <f t="shared" si="90"/>
        <v>-150581.56265247698</v>
      </c>
      <c r="I234" s="2">
        <f t="shared" si="90"/>
        <v>-328594.05354847881</v>
      </c>
      <c r="J234" s="2">
        <f t="shared" si="90"/>
        <v>0</v>
      </c>
      <c r="K234" s="2">
        <f t="shared" si="90"/>
        <v>0</v>
      </c>
      <c r="L234" s="2">
        <f t="shared" si="90"/>
        <v>0</v>
      </c>
      <c r="M234" s="2">
        <f t="shared" si="90"/>
        <v>0</v>
      </c>
      <c r="N234" s="2">
        <f t="shared" si="90"/>
        <v>0</v>
      </c>
      <c r="O234" s="2">
        <f t="shared" si="90"/>
        <v>0</v>
      </c>
      <c r="P234" s="2">
        <f t="shared" si="90"/>
        <v>0</v>
      </c>
      <c r="Q234" s="2">
        <f t="shared" si="90"/>
        <v>0</v>
      </c>
      <c r="R234" s="2">
        <f t="shared" si="90"/>
        <v>0</v>
      </c>
      <c r="S234" s="2">
        <f t="shared" si="90"/>
        <v>0</v>
      </c>
      <c r="T234" s="2">
        <f t="shared" si="90"/>
        <v>0</v>
      </c>
      <c r="U234" s="2">
        <f t="shared" si="90"/>
        <v>0</v>
      </c>
      <c r="V234" s="2">
        <f t="shared" si="90"/>
        <v>0</v>
      </c>
      <c r="W234" s="2">
        <f t="shared" si="90"/>
        <v>0</v>
      </c>
      <c r="X234" s="2">
        <f t="shared" si="90"/>
        <v>0</v>
      </c>
      <c r="Y234" s="2">
        <f t="shared" si="90"/>
        <v>0</v>
      </c>
      <c r="Z234" s="2">
        <f t="shared" si="90"/>
        <v>0</v>
      </c>
      <c r="AA234" s="2">
        <f t="shared" si="90"/>
        <v>0</v>
      </c>
    </row>
    <row r="235" spans="4:28" customFormat="1" x14ac:dyDescent="0.25">
      <c r="E235" t="s">
        <v>19</v>
      </c>
      <c r="F235" t="s">
        <v>7</v>
      </c>
      <c r="G235" s="2">
        <f t="shared" ref="G235:AA235" si="91">G84</f>
        <v>0</v>
      </c>
      <c r="H235" s="2">
        <f t="shared" si="91"/>
        <v>0</v>
      </c>
      <c r="I235" s="2">
        <f t="shared" si="91"/>
        <v>0</v>
      </c>
      <c r="J235" s="2">
        <f t="shared" si="91"/>
        <v>0</v>
      </c>
      <c r="K235" s="2">
        <f t="shared" si="91"/>
        <v>0</v>
      </c>
      <c r="L235" s="2">
        <f t="shared" si="91"/>
        <v>0</v>
      </c>
      <c r="M235" s="2">
        <f t="shared" si="91"/>
        <v>0</v>
      </c>
      <c r="N235" s="2">
        <f t="shared" si="91"/>
        <v>0</v>
      </c>
      <c r="O235" s="2">
        <f t="shared" si="91"/>
        <v>0</v>
      </c>
      <c r="P235" s="2">
        <f t="shared" si="91"/>
        <v>0</v>
      </c>
      <c r="Q235" s="2">
        <f t="shared" si="91"/>
        <v>0</v>
      </c>
      <c r="R235" s="2">
        <f t="shared" si="91"/>
        <v>0</v>
      </c>
      <c r="S235" s="2">
        <f t="shared" si="91"/>
        <v>0</v>
      </c>
      <c r="T235" s="2">
        <f t="shared" si="91"/>
        <v>0</v>
      </c>
      <c r="U235" s="2">
        <f t="shared" si="91"/>
        <v>0</v>
      </c>
      <c r="V235" s="2">
        <f t="shared" si="91"/>
        <v>0</v>
      </c>
      <c r="W235" s="2">
        <f t="shared" si="91"/>
        <v>0</v>
      </c>
      <c r="X235" s="2">
        <f t="shared" si="91"/>
        <v>0</v>
      </c>
      <c r="Y235" s="2">
        <f t="shared" si="91"/>
        <v>0</v>
      </c>
      <c r="Z235" s="2">
        <f t="shared" si="91"/>
        <v>0</v>
      </c>
      <c r="AA235" s="2">
        <f t="shared" si="91"/>
        <v>0</v>
      </c>
    </row>
    <row r="236" spans="4:28" customFormat="1" x14ac:dyDescent="0.25">
      <c r="E236" t="s">
        <v>109</v>
      </c>
      <c r="F236" t="s">
        <v>7</v>
      </c>
      <c r="G236" s="2">
        <f t="shared" ref="G236:AA236" si="92">G53</f>
        <v>0</v>
      </c>
      <c r="H236" s="2">
        <f t="shared" si="92"/>
        <v>0</v>
      </c>
      <c r="I236" s="2">
        <f t="shared" si="92"/>
        <v>0</v>
      </c>
      <c r="J236" s="2">
        <f t="shared" si="92"/>
        <v>0</v>
      </c>
      <c r="K236" s="2">
        <f t="shared" si="92"/>
        <v>0</v>
      </c>
      <c r="L236" s="2">
        <f t="shared" si="92"/>
        <v>0</v>
      </c>
      <c r="M236" s="2">
        <f t="shared" si="92"/>
        <v>0</v>
      </c>
      <c r="N236" s="2">
        <f t="shared" si="92"/>
        <v>0</v>
      </c>
      <c r="O236" s="2">
        <f t="shared" si="92"/>
        <v>0</v>
      </c>
      <c r="P236" s="2">
        <f t="shared" si="92"/>
        <v>0</v>
      </c>
      <c r="Q236" s="2">
        <f t="shared" si="92"/>
        <v>0</v>
      </c>
      <c r="R236" s="2">
        <f t="shared" si="92"/>
        <v>0</v>
      </c>
      <c r="S236" s="2">
        <f t="shared" si="92"/>
        <v>0</v>
      </c>
      <c r="T236" s="2">
        <f t="shared" si="92"/>
        <v>0</v>
      </c>
      <c r="U236" s="2">
        <f t="shared" si="92"/>
        <v>0</v>
      </c>
      <c r="V236" s="2">
        <f t="shared" si="92"/>
        <v>0</v>
      </c>
      <c r="W236" s="2">
        <f t="shared" si="92"/>
        <v>0</v>
      </c>
      <c r="X236" s="2">
        <f t="shared" si="92"/>
        <v>0</v>
      </c>
      <c r="Y236" s="2">
        <f t="shared" si="92"/>
        <v>0</v>
      </c>
      <c r="Z236" s="2">
        <f t="shared" si="92"/>
        <v>0</v>
      </c>
      <c r="AA236" s="2">
        <f t="shared" si="92"/>
        <v>0</v>
      </c>
    </row>
    <row r="237" spans="4:28" customFormat="1" x14ac:dyDescent="0.25">
      <c r="E237" t="s">
        <v>11</v>
      </c>
      <c r="F237" t="s">
        <v>7</v>
      </c>
      <c r="G237" s="2">
        <f t="shared" ref="G237:AA237" si="93">G177</f>
        <v>0</v>
      </c>
      <c r="H237" s="2">
        <f t="shared" si="93"/>
        <v>21153.032898388468</v>
      </c>
      <c r="I237" s="2">
        <f t="shared" si="93"/>
        <v>41943.422322547645</v>
      </c>
      <c r="J237" s="2">
        <f t="shared" si="93"/>
        <v>64529.4317947323</v>
      </c>
      <c r="K237" s="2">
        <f t="shared" si="93"/>
        <v>87253.463443233821</v>
      </c>
      <c r="L237" s="2">
        <f t="shared" si="93"/>
        <v>110058.77638471204</v>
      </c>
      <c r="M237" s="2">
        <f t="shared" si="93"/>
        <v>132957.7232937589</v>
      </c>
      <c r="N237" s="2">
        <f t="shared" si="93"/>
        <v>155926.8397356346</v>
      </c>
      <c r="O237" s="2">
        <f t="shared" si="93"/>
        <v>178960.39821344416</v>
      </c>
      <c r="P237" s="2">
        <f t="shared" si="93"/>
        <v>204064.37603162203</v>
      </c>
      <c r="Q237" s="2">
        <f t="shared" si="93"/>
        <v>231419.93897365185</v>
      </c>
      <c r="R237" s="2">
        <f t="shared" si="93"/>
        <v>261218.81534958782</v>
      </c>
      <c r="S237" s="2">
        <f t="shared" si="93"/>
        <v>293684.56204176502</v>
      </c>
      <c r="T237" s="2">
        <f t="shared" si="93"/>
        <v>329032.80093023781</v>
      </c>
      <c r="U237" s="2">
        <f t="shared" si="93"/>
        <v>365541.13790497073</v>
      </c>
      <c r="V237" s="2">
        <f t="shared" si="93"/>
        <v>403216.49009037175</v>
      </c>
      <c r="W237" s="2">
        <f t="shared" si="93"/>
        <v>411684.03638226952</v>
      </c>
      <c r="X237" s="2">
        <f t="shared" si="93"/>
        <v>420329.40114629711</v>
      </c>
      <c r="Y237" s="2">
        <f t="shared" si="93"/>
        <v>429156.31857036927</v>
      </c>
      <c r="Z237" s="2">
        <f t="shared" si="93"/>
        <v>438168.601260347</v>
      </c>
      <c r="AA237" s="2">
        <f t="shared" si="93"/>
        <v>447370.14188681426</v>
      </c>
      <c r="AB237" s="2">
        <f t="shared" ref="AB237:AB241" si="94">IF(V237=0,0,IF($G$15&gt;(AA237/V237)^(1/5)-1+2%,AA237*(AA237/V237)^(1/5)/($G$15-((AA237/V237)^(1/5)-1)),AA237*(1+$G$14)/$G$16))</f>
        <v>14912338.06289384</v>
      </c>
    </row>
    <row r="238" spans="4:28" customFormat="1" x14ac:dyDescent="0.25">
      <c r="E238" t="s">
        <v>57</v>
      </c>
      <c r="F238" t="s">
        <v>7</v>
      </c>
      <c r="G238" s="2">
        <f t="shared" ref="G238:AA238" si="95">G224</f>
        <v>0</v>
      </c>
      <c r="H238" s="2">
        <f t="shared" si="95"/>
        <v>0</v>
      </c>
      <c r="I238" s="2">
        <f t="shared" si="95"/>
        <v>0</v>
      </c>
      <c r="J238" s="2">
        <f t="shared" si="95"/>
        <v>0</v>
      </c>
      <c r="K238" s="2">
        <f t="shared" si="95"/>
        <v>0</v>
      </c>
      <c r="L238" s="2">
        <f t="shared" si="95"/>
        <v>0</v>
      </c>
      <c r="M238" s="2">
        <f t="shared" si="95"/>
        <v>0</v>
      </c>
      <c r="N238" s="2">
        <f t="shared" si="95"/>
        <v>0</v>
      </c>
      <c r="O238" s="2">
        <f t="shared" si="95"/>
        <v>0</v>
      </c>
      <c r="P238" s="2">
        <f t="shared" si="95"/>
        <v>0</v>
      </c>
      <c r="Q238" s="2">
        <f t="shared" si="95"/>
        <v>0</v>
      </c>
      <c r="R238" s="2">
        <f t="shared" si="95"/>
        <v>0</v>
      </c>
      <c r="S238" s="2">
        <f t="shared" si="95"/>
        <v>0</v>
      </c>
      <c r="T238" s="2">
        <f t="shared" si="95"/>
        <v>0</v>
      </c>
      <c r="U238" s="2">
        <f t="shared" si="95"/>
        <v>0</v>
      </c>
      <c r="V238" s="2">
        <f t="shared" si="95"/>
        <v>0</v>
      </c>
      <c r="W238" s="2">
        <f t="shared" si="95"/>
        <v>0</v>
      </c>
      <c r="X238" s="2">
        <f t="shared" si="95"/>
        <v>0</v>
      </c>
      <c r="Y238" s="2">
        <f t="shared" si="95"/>
        <v>0</v>
      </c>
      <c r="Z238" s="2">
        <f t="shared" si="95"/>
        <v>0</v>
      </c>
      <c r="AA238" s="2">
        <f t="shared" si="95"/>
        <v>0</v>
      </c>
      <c r="AB238" s="2">
        <f t="shared" si="94"/>
        <v>0</v>
      </c>
    </row>
    <row r="239" spans="4:28" customFormat="1" x14ac:dyDescent="0.25">
      <c r="E239" t="s">
        <v>10</v>
      </c>
      <c r="F239" t="s">
        <v>7</v>
      </c>
      <c r="G239" s="2">
        <f t="shared" ref="G239:AA239" si="96">-G200</f>
        <v>0</v>
      </c>
      <c r="H239" s="2">
        <f t="shared" si="96"/>
        <v>-38103.719999999994</v>
      </c>
      <c r="I239" s="2">
        <f t="shared" si="96"/>
        <v>-77682.703319999971</v>
      </c>
      <c r="J239" s="2">
        <f t="shared" si="96"/>
        <v>-119513.86958768996</v>
      </c>
      <c r="K239" s="2">
        <f t="shared" si="96"/>
        <v>-161600.66439450945</v>
      </c>
      <c r="L239" s="2">
        <f t="shared" si="96"/>
        <v>-203837.99890977755</v>
      </c>
      <c r="M239" s="2">
        <f t="shared" si="96"/>
        <v>-246248.75131325165</v>
      </c>
      <c r="N239" s="2">
        <f t="shared" si="96"/>
        <v>-288789.463522078</v>
      </c>
      <c r="O239" s="2">
        <f t="shared" si="96"/>
        <v>-331449.52773609583</v>
      </c>
      <c r="P239" s="2">
        <f t="shared" si="96"/>
        <v>-377944.18060453917</v>
      </c>
      <c r="Q239" s="2">
        <f t="shared" si="96"/>
        <v>-428608.9562119153</v>
      </c>
      <c r="R239" s="2">
        <f t="shared" si="96"/>
        <v>-483798.95131960552</v>
      </c>
      <c r="S239" s="2">
        <f t="shared" si="96"/>
        <v>-543928.21184956701</v>
      </c>
      <c r="T239" s="2">
        <f t="shared" si="96"/>
        <v>-609396.08744019503</v>
      </c>
      <c r="U239" s="2">
        <f t="shared" si="96"/>
        <v>-677012.56108188385</v>
      </c>
      <c r="V239" s="2">
        <f t="shared" si="96"/>
        <v>-746790.44386379735</v>
      </c>
      <c r="W239" s="2">
        <f t="shared" si="96"/>
        <v>-762473.04318493709</v>
      </c>
      <c r="X239" s="2">
        <f t="shared" si="96"/>
        <v>-778484.97709182068</v>
      </c>
      <c r="Y239" s="2">
        <f t="shared" si="96"/>
        <v>-794833.16161074885</v>
      </c>
      <c r="Z239" s="2">
        <f t="shared" si="96"/>
        <v>-811524.65800457436</v>
      </c>
      <c r="AA239" s="2">
        <f t="shared" si="96"/>
        <v>-828566.67582267034</v>
      </c>
      <c r="AB239" s="2">
        <f t="shared" si="94"/>
        <v>-27618889.194089066</v>
      </c>
    </row>
    <row r="240" spans="4:28" customFormat="1" x14ac:dyDescent="0.25">
      <c r="E240" t="s">
        <v>48</v>
      </c>
      <c r="F240" t="s">
        <v>7</v>
      </c>
      <c r="G240" s="2">
        <f t="shared" ref="G240:AA240" si="97">G207</f>
        <v>0</v>
      </c>
      <c r="H240" s="2">
        <f t="shared" si="97"/>
        <v>0</v>
      </c>
      <c r="I240" s="2">
        <f t="shared" si="97"/>
        <v>0</v>
      </c>
      <c r="J240" s="2">
        <f t="shared" si="97"/>
        <v>0</v>
      </c>
      <c r="K240" s="2">
        <f t="shared" si="97"/>
        <v>0</v>
      </c>
      <c r="L240" s="2">
        <f t="shared" si="97"/>
        <v>0</v>
      </c>
      <c r="M240" s="2">
        <f t="shared" si="97"/>
        <v>0</v>
      </c>
      <c r="N240" s="2">
        <f t="shared" si="97"/>
        <v>0</v>
      </c>
      <c r="O240" s="2">
        <f t="shared" si="97"/>
        <v>0</v>
      </c>
      <c r="P240" s="2">
        <f t="shared" si="97"/>
        <v>0</v>
      </c>
      <c r="Q240" s="2">
        <f t="shared" si="97"/>
        <v>0</v>
      </c>
      <c r="R240" s="2">
        <f t="shared" si="97"/>
        <v>0</v>
      </c>
      <c r="S240" s="2">
        <f t="shared" si="97"/>
        <v>0</v>
      </c>
      <c r="T240" s="2">
        <f t="shared" si="97"/>
        <v>0</v>
      </c>
      <c r="U240" s="2">
        <f t="shared" si="97"/>
        <v>0</v>
      </c>
      <c r="V240" s="2">
        <f t="shared" si="97"/>
        <v>0</v>
      </c>
      <c r="W240" s="2">
        <f t="shared" si="97"/>
        <v>0</v>
      </c>
      <c r="X240" s="2">
        <f t="shared" si="97"/>
        <v>0</v>
      </c>
      <c r="Y240" s="2">
        <f t="shared" si="97"/>
        <v>0</v>
      </c>
      <c r="Z240" s="2">
        <f t="shared" si="97"/>
        <v>0</v>
      </c>
      <c r="AA240" s="2">
        <f t="shared" si="97"/>
        <v>0</v>
      </c>
      <c r="AB240" s="2">
        <f t="shared" si="94"/>
        <v>0</v>
      </c>
    </row>
    <row r="241" spans="3:28" customFormat="1" x14ac:dyDescent="0.25">
      <c r="E241" t="s">
        <v>49</v>
      </c>
      <c r="F241" t="s">
        <v>7</v>
      </c>
      <c r="G241" s="2">
        <f t="shared" ref="G241:AA241" si="98">G214</f>
        <v>0</v>
      </c>
      <c r="H241" s="2">
        <f t="shared" si="98"/>
        <v>0</v>
      </c>
      <c r="I241" s="2">
        <f t="shared" si="98"/>
        <v>0</v>
      </c>
      <c r="J241" s="2">
        <f t="shared" si="98"/>
        <v>0</v>
      </c>
      <c r="K241" s="2">
        <f t="shared" si="98"/>
        <v>0</v>
      </c>
      <c r="L241" s="2">
        <f t="shared" si="98"/>
        <v>0</v>
      </c>
      <c r="M241" s="2">
        <f t="shared" si="98"/>
        <v>0</v>
      </c>
      <c r="N241" s="2">
        <f t="shared" si="98"/>
        <v>0</v>
      </c>
      <c r="O241" s="2">
        <f t="shared" si="98"/>
        <v>0</v>
      </c>
      <c r="P241" s="2">
        <f t="shared" si="98"/>
        <v>0</v>
      </c>
      <c r="Q241" s="2">
        <f t="shared" si="98"/>
        <v>0</v>
      </c>
      <c r="R241" s="2">
        <f t="shared" si="98"/>
        <v>0</v>
      </c>
      <c r="S241" s="2">
        <f t="shared" si="98"/>
        <v>0</v>
      </c>
      <c r="T241" s="2">
        <f t="shared" si="98"/>
        <v>0</v>
      </c>
      <c r="U241" s="2">
        <f t="shared" si="98"/>
        <v>0</v>
      </c>
      <c r="V241" s="2">
        <f t="shared" si="98"/>
        <v>0</v>
      </c>
      <c r="W241" s="2">
        <f t="shared" si="98"/>
        <v>0</v>
      </c>
      <c r="X241" s="2">
        <f t="shared" si="98"/>
        <v>0</v>
      </c>
      <c r="Y241" s="2">
        <f t="shared" si="98"/>
        <v>0</v>
      </c>
      <c r="Z241" s="2">
        <f t="shared" si="98"/>
        <v>0</v>
      </c>
      <c r="AA241" s="2">
        <f t="shared" si="98"/>
        <v>0</v>
      </c>
      <c r="AB241" s="2">
        <f t="shared" si="94"/>
        <v>0</v>
      </c>
    </row>
    <row r="242" spans="3:28" customFormat="1" x14ac:dyDescent="0.25">
      <c r="E242" t="s">
        <v>20</v>
      </c>
      <c r="F242" t="s">
        <v>7</v>
      </c>
      <c r="G242" s="2">
        <f t="shared" ref="G242:AA242" si="99">G231</f>
        <v>4758.1485215468983</v>
      </c>
      <c r="H242" s="2">
        <f t="shared" ca="1" si="99"/>
        <v>-617737.98695817101</v>
      </c>
      <c r="I242" s="2">
        <f t="shared" ca="1" si="99"/>
        <v>-617830.47605062311</v>
      </c>
      <c r="J242" s="2">
        <f t="shared" ca="1" si="99"/>
        <v>-631241.31390096794</v>
      </c>
      <c r="K242" s="2">
        <f t="shared" ca="1" si="99"/>
        <v>-610768.24146121705</v>
      </c>
      <c r="L242" s="2">
        <f t="shared" ca="1" si="99"/>
        <v>-588521.61097792012</v>
      </c>
      <c r="M242" s="2">
        <f t="shared" ca="1" si="99"/>
        <v>-566656.28355628136</v>
      </c>
      <c r="N242" s="2">
        <f t="shared" ca="1" si="99"/>
        <v>-544074.61651994742</v>
      </c>
      <c r="O242" s="2">
        <f t="shared" ca="1" si="99"/>
        <v>-521339.81244568428</v>
      </c>
      <c r="P242" s="2">
        <f t="shared" ca="1" si="99"/>
        <v>-559365.37638248992</v>
      </c>
      <c r="Q242" s="2">
        <f t="shared" ca="1" si="99"/>
        <v>-600697.79952714557</v>
      </c>
      <c r="R242" s="2">
        <f t="shared" ca="1" si="99"/>
        <v>-645466.51577183208</v>
      </c>
      <c r="S242" s="2">
        <f t="shared" ca="1" si="99"/>
        <v>-694433.97406294942</v>
      </c>
      <c r="T242" s="2">
        <f t="shared" ca="1" si="99"/>
        <v>-747124.55513679155</v>
      </c>
      <c r="U242" s="2">
        <f t="shared" ca="1" si="99"/>
        <v>-744636.668584308</v>
      </c>
      <c r="V242" s="2">
        <f t="shared" ca="1" si="99"/>
        <v>-741233.20560070069</v>
      </c>
      <c r="W242" s="2">
        <f t="shared" ca="1" si="99"/>
        <v>182934.09516833187</v>
      </c>
      <c r="X242" s="2">
        <f t="shared" ca="1" si="99"/>
        <v>185144.06591118863</v>
      </c>
      <c r="Y242" s="2">
        <f t="shared" ca="1" si="99"/>
        <v>187400.44603964544</v>
      </c>
      <c r="Z242" s="2">
        <f t="shared" ca="1" si="99"/>
        <v>189704.2101507998</v>
      </c>
      <c r="AA242" s="2">
        <f t="shared" ca="1" si="99"/>
        <v>192056.35330828841</v>
      </c>
      <c r="AB242" s="2">
        <f ca="1">IF(V242=0,0,IF($G$15&gt;(AA242/V242)^(1/5)-1+2%,AA242*(AA242/V242)^(1/5)/($G$15-((AA242/V242)^(1/5)-1)),AA242*(1+$G$14)/$G$16))</f>
        <v>-80772.545875056312</v>
      </c>
    </row>
    <row r="243" spans="3:28" customFormat="1" x14ac:dyDescent="0.25">
      <c r="E243" t="s">
        <v>173</v>
      </c>
      <c r="F243" t="s">
        <v>7</v>
      </c>
      <c r="G243" s="2">
        <f>-$G$17*G242</f>
        <v>-2379.0742607734492</v>
      </c>
      <c r="H243" s="2">
        <f t="shared" ref="H243:AA243" ca="1" si="100">-$G$17*H242</f>
        <v>308868.9934790855</v>
      </c>
      <c r="I243" s="2">
        <f t="shared" ca="1" si="100"/>
        <v>308915.23802531156</v>
      </c>
      <c r="J243" s="2">
        <f t="shared" ca="1" si="100"/>
        <v>315620.65695048397</v>
      </c>
      <c r="K243" s="2">
        <f t="shared" ca="1" si="100"/>
        <v>305384.12073060853</v>
      </c>
      <c r="L243" s="2">
        <f t="shared" ca="1" si="100"/>
        <v>294260.80548896006</v>
      </c>
      <c r="M243" s="2">
        <f t="shared" ca="1" si="100"/>
        <v>283328.14177814068</v>
      </c>
      <c r="N243" s="2">
        <f t="shared" ca="1" si="100"/>
        <v>272037.30825997371</v>
      </c>
      <c r="O243" s="2">
        <f t="shared" ca="1" si="100"/>
        <v>260669.90622284214</v>
      </c>
      <c r="P243" s="2">
        <f t="shared" ca="1" si="100"/>
        <v>279682.68819124496</v>
      </c>
      <c r="Q243" s="2">
        <f t="shared" ca="1" si="100"/>
        <v>300348.89976357279</v>
      </c>
      <c r="R243" s="2">
        <f t="shared" ca="1" si="100"/>
        <v>322733.25788591604</v>
      </c>
      <c r="S243" s="2">
        <f t="shared" ca="1" si="100"/>
        <v>347216.98703147471</v>
      </c>
      <c r="T243" s="2">
        <f t="shared" ca="1" si="100"/>
        <v>373562.27756839577</v>
      </c>
      <c r="U243" s="2">
        <f t="shared" ca="1" si="100"/>
        <v>372318.334292154</v>
      </c>
      <c r="V243" s="2">
        <f t="shared" ca="1" si="100"/>
        <v>370616.60280035035</v>
      </c>
      <c r="W243" s="2">
        <f t="shared" ca="1" si="100"/>
        <v>-91467.047584165935</v>
      </c>
      <c r="X243" s="2">
        <f t="shared" ca="1" si="100"/>
        <v>-92572.032955594317</v>
      </c>
      <c r="Y243" s="2">
        <f t="shared" ca="1" si="100"/>
        <v>-93700.223019822719</v>
      </c>
      <c r="Z243" s="2">
        <f t="shared" ca="1" si="100"/>
        <v>-94852.105075399901</v>
      </c>
      <c r="AA243" s="2">
        <f t="shared" ca="1" si="100"/>
        <v>-96028.176654144205</v>
      </c>
      <c r="AB243" s="2">
        <f t="shared" ref="AB243" ca="1" si="101">IF(V243=0,0,IF($G$15&gt;(AA243/V243)^(1/5)-1+2%,AA243*(AA243/V243)^(1/5)/($G$15-((AA243/V243)^(1/5)-1)),AA243*(1+$G$14)/$G$16))</f>
        <v>40386.272937528156</v>
      </c>
    </row>
    <row r="244" spans="3:28" customFormat="1" x14ac:dyDescent="0.25">
      <c r="E244" t="s">
        <v>23</v>
      </c>
      <c r="F244" t="s">
        <v>7</v>
      </c>
      <c r="G244" s="2">
        <f>SUM(G234:G243)</f>
        <v>-1266460.5314850661</v>
      </c>
      <c r="H244" s="2">
        <f t="shared" ref="H244:AB244" ca="1" si="102">SUM(H234:H243)</f>
        <v>-476401.24323317397</v>
      </c>
      <c r="I244" s="2">
        <f t="shared" ca="1" si="102"/>
        <v>-673248.57257124269</v>
      </c>
      <c r="J244" s="2">
        <f t="shared" ca="1" si="102"/>
        <v>-370605.09474344162</v>
      </c>
      <c r="K244" s="2">
        <f t="shared" ca="1" si="102"/>
        <v>-379731.32168188418</v>
      </c>
      <c r="L244" s="2">
        <f t="shared" ca="1" si="102"/>
        <v>-388040.02801402559</v>
      </c>
      <c r="M244" s="2">
        <f t="shared" ca="1" si="102"/>
        <v>-396619.16979763343</v>
      </c>
      <c r="N244" s="2">
        <f t="shared" ca="1" si="102"/>
        <v>-404899.93204641709</v>
      </c>
      <c r="O244" s="2">
        <f t="shared" ca="1" si="102"/>
        <v>-413159.03574549383</v>
      </c>
      <c r="P244" s="2">
        <f t="shared" ca="1" si="102"/>
        <v>-453562.49276416213</v>
      </c>
      <c r="Q244" s="2">
        <f t="shared" ca="1" si="102"/>
        <v>-497537.91700183618</v>
      </c>
      <c r="R244" s="2">
        <f t="shared" ca="1" si="102"/>
        <v>-545313.39385593368</v>
      </c>
      <c r="S244" s="2">
        <f t="shared" ca="1" si="102"/>
        <v>-597460.63683927665</v>
      </c>
      <c r="T244" s="2">
        <f t="shared" ca="1" si="102"/>
        <v>-653925.56407835311</v>
      </c>
      <c r="U244" s="2">
        <f t="shared" ca="1" si="102"/>
        <v>-683789.75746906712</v>
      </c>
      <c r="V244" s="2">
        <f t="shared" ca="1" si="102"/>
        <v>-714190.55657377583</v>
      </c>
      <c r="W244" s="2">
        <f t="shared" ca="1" si="102"/>
        <v>-259321.95921850164</v>
      </c>
      <c r="X244" s="2">
        <f t="shared" ca="1" si="102"/>
        <v>-265583.54298992926</v>
      </c>
      <c r="Y244" s="2">
        <f t="shared" ca="1" si="102"/>
        <v>-271976.62002055685</v>
      </c>
      <c r="Z244" s="2">
        <f t="shared" ca="1" si="102"/>
        <v>-278503.95166882745</v>
      </c>
      <c r="AA244" s="2">
        <f t="shared" ca="1" si="102"/>
        <v>-285168.35728171188</v>
      </c>
      <c r="AB244" s="2">
        <f t="shared" ca="1" si="102"/>
        <v>-12746937.404132754</v>
      </c>
    </row>
    <row r="245" spans="3:28" customFormat="1" x14ac:dyDescent="0.25">
      <c r="E245" t="s">
        <v>31</v>
      </c>
      <c r="F245" t="s">
        <v>7</v>
      </c>
      <c r="G245" s="2">
        <f ca="1">NPV($G$15,H244:AB244)+G244</f>
        <v>-11334243.586374173</v>
      </c>
    </row>
    <row r="247" spans="3:28" customFormat="1" x14ac:dyDescent="0.25">
      <c r="E247" t="s">
        <v>13</v>
      </c>
      <c r="F247" t="s">
        <v>7</v>
      </c>
      <c r="H247" s="2">
        <f t="shared" ref="H247:AA247" ca="1" si="103">H219</f>
        <v>996353.55615049379</v>
      </c>
      <c r="I247" s="2">
        <f t="shared" ca="1" si="103"/>
        <v>1014005.9937530315</v>
      </c>
      <c r="J247" s="2">
        <f t="shared" ca="1" si="103"/>
        <v>1051163.5891966959</v>
      </c>
      <c r="K247" s="2">
        <f t="shared" ca="1" si="103"/>
        <v>1034877.6503794831</v>
      </c>
      <c r="L247" s="2">
        <f t="shared" ca="1" si="103"/>
        <v>1015703.4304536299</v>
      </c>
      <c r="M247" s="2">
        <f t="shared" ca="1" si="103"/>
        <v>997044.77566180052</v>
      </c>
      <c r="N247" s="2">
        <f t="shared" ca="1" si="103"/>
        <v>977154.53215588408</v>
      </c>
      <c r="O247" s="2">
        <f t="shared" ca="1" si="103"/>
        <v>956915.54780230799</v>
      </c>
      <c r="P247" s="2">
        <f t="shared" ca="1" si="103"/>
        <v>1033758.7379638229</v>
      </c>
      <c r="Q247" s="2">
        <f t="shared" ca="1" si="103"/>
        <v>1117269.987081839</v>
      </c>
      <c r="R247" s="2">
        <f t="shared" ca="1" si="103"/>
        <v>1207776.5813249203</v>
      </c>
      <c r="S247" s="2">
        <f t="shared" ca="1" si="103"/>
        <v>1306624.9605008173</v>
      </c>
      <c r="T247" s="2">
        <f t="shared" ca="1" si="103"/>
        <v>1413203.4795247186</v>
      </c>
      <c r="U247" s="2">
        <f t="shared" ca="1" si="103"/>
        <v>1433436.4422141174</v>
      </c>
      <c r="V247" s="2">
        <f t="shared" ca="1" si="103"/>
        <v>1452824.5620577103</v>
      </c>
      <c r="W247" s="2">
        <f t="shared" ca="1" si="103"/>
        <v>0</v>
      </c>
      <c r="X247" s="2">
        <f t="shared" ca="1" si="103"/>
        <v>0</v>
      </c>
      <c r="Y247" s="2">
        <f t="shared" ca="1" si="103"/>
        <v>0</v>
      </c>
      <c r="Z247" s="2">
        <f t="shared" ca="1" si="103"/>
        <v>0</v>
      </c>
      <c r="AA247" s="2">
        <f t="shared" ca="1" si="103"/>
        <v>0</v>
      </c>
    </row>
    <row r="248" spans="3:28" customFormat="1" x14ac:dyDescent="0.25">
      <c r="E248" t="s">
        <v>24</v>
      </c>
      <c r="F248" t="s">
        <v>7</v>
      </c>
      <c r="G248" s="2">
        <f ca="1">NPV($G$15,H247:AA247)+G247</f>
        <v>11334243.586374182</v>
      </c>
    </row>
    <row r="249" spans="3:28" customFormat="1" x14ac:dyDescent="0.25">
      <c r="E249" s="3" t="s">
        <v>34</v>
      </c>
      <c r="F249" s="3"/>
      <c r="G249" s="4" t="str">
        <f ca="1">IF(G245&gt;0,"N/A",IF(ABS(G245+G248)&gt;1,"Error","OK"))</f>
        <v>OK</v>
      </c>
    </row>
    <row r="251" spans="3:28" customFormat="1" x14ac:dyDescent="0.25">
      <c r="C251" s="1" t="s">
        <v>35</v>
      </c>
      <c r="D251" s="1"/>
    </row>
    <row r="252" spans="3:28" customFormat="1" x14ac:dyDescent="0.25">
      <c r="C252" s="1"/>
      <c r="D252" s="1"/>
    </row>
    <row r="253" spans="3:28" customFormat="1" x14ac:dyDescent="0.25">
      <c r="C253" s="1"/>
      <c r="D253" t="s">
        <v>35</v>
      </c>
      <c r="F253" t="s">
        <v>7</v>
      </c>
      <c r="G253" s="8">
        <f ca="1">MAX(0,-G279)</f>
        <v>11335959.640160237</v>
      </c>
    </row>
    <row r="255" spans="3:28" customFormat="1" x14ac:dyDescent="0.25">
      <c r="D255" t="s">
        <v>9</v>
      </c>
    </row>
    <row r="256" spans="3:28" customFormat="1" x14ac:dyDescent="0.25">
      <c r="E256" t="s">
        <v>107</v>
      </c>
      <c r="F256" t="s">
        <v>7</v>
      </c>
      <c r="G256" s="2">
        <f t="shared" ref="G256:AA261" si="104">G222</f>
        <v>0</v>
      </c>
      <c r="H256" s="2">
        <f t="shared" si="104"/>
        <v>1111358.4999999998</v>
      </c>
      <c r="I256" s="2">
        <f t="shared" si="104"/>
        <v>1131048.4849999996</v>
      </c>
      <c r="J256" s="2">
        <f t="shared" si="104"/>
        <v>1172495.0270241247</v>
      </c>
      <c r="K256" s="2">
        <f t="shared" si="104"/>
        <v>1154329.2700764416</v>
      </c>
      <c r="L256" s="2">
        <f t="shared" si="104"/>
        <v>1132941.8497536825</v>
      </c>
      <c r="M256" s="2">
        <f t="shared" si="104"/>
        <v>1112129.5041024233</v>
      </c>
      <c r="N256" s="2">
        <f t="shared" si="104"/>
        <v>1089943.4125780698</v>
      </c>
      <c r="O256" s="2">
        <f t="shared" si="104"/>
        <v>1067368.3265015802</v>
      </c>
      <c r="P256" s="2">
        <f t="shared" si="104"/>
        <v>1153081.2062579067</v>
      </c>
      <c r="Q256" s="2">
        <f t="shared" si="104"/>
        <v>1246231.8112615247</v>
      </c>
      <c r="R256" s="2">
        <f t="shared" si="104"/>
        <v>1347185.2049611674</v>
      </c>
      <c r="S256" s="2">
        <f t="shared" si="104"/>
        <v>1457443.2411072867</v>
      </c>
      <c r="T256" s="2">
        <f t="shared" si="104"/>
        <v>1576323.6749687917</v>
      </c>
      <c r="U256" s="2">
        <f t="shared" si="104"/>
        <v>1598892.0443254721</v>
      </c>
      <c r="V256" s="2">
        <f t="shared" si="104"/>
        <v>1620518.0541431566</v>
      </c>
      <c r="W256" s="2">
        <f t="shared" si="104"/>
        <v>0</v>
      </c>
      <c r="X256" s="2">
        <f t="shared" si="104"/>
        <v>0</v>
      </c>
      <c r="Y256" s="2">
        <f t="shared" si="104"/>
        <v>0</v>
      </c>
      <c r="Z256" s="2">
        <f t="shared" si="104"/>
        <v>0</v>
      </c>
      <c r="AA256" s="2">
        <f t="shared" si="104"/>
        <v>0</v>
      </c>
    </row>
    <row r="257" spans="4:28" customFormat="1" x14ac:dyDescent="0.25">
      <c r="E257" t="s">
        <v>11</v>
      </c>
      <c r="F257" t="s">
        <v>7</v>
      </c>
      <c r="G257" s="2">
        <f t="shared" si="104"/>
        <v>0</v>
      </c>
      <c r="H257" s="2">
        <f t="shared" si="104"/>
        <v>21153.032898388468</v>
      </c>
      <c r="I257" s="2">
        <f t="shared" si="104"/>
        <v>41943.422322547645</v>
      </c>
      <c r="J257" s="2">
        <f t="shared" si="104"/>
        <v>64529.4317947323</v>
      </c>
      <c r="K257" s="2">
        <f t="shared" si="104"/>
        <v>87253.463443233821</v>
      </c>
      <c r="L257" s="2">
        <f t="shared" si="104"/>
        <v>110058.77638471204</v>
      </c>
      <c r="M257" s="2">
        <f t="shared" si="104"/>
        <v>132957.7232937589</v>
      </c>
      <c r="N257" s="2">
        <f t="shared" si="104"/>
        <v>155926.8397356346</v>
      </c>
      <c r="O257" s="2">
        <f t="shared" si="104"/>
        <v>178960.39821344416</v>
      </c>
      <c r="P257" s="2">
        <f t="shared" si="104"/>
        <v>204064.37603162203</v>
      </c>
      <c r="Q257" s="2">
        <f t="shared" si="104"/>
        <v>231419.93897365185</v>
      </c>
      <c r="R257" s="2">
        <f t="shared" si="104"/>
        <v>261218.81534958782</v>
      </c>
      <c r="S257" s="2">
        <f t="shared" si="104"/>
        <v>293684.56204176502</v>
      </c>
      <c r="T257" s="2">
        <f t="shared" si="104"/>
        <v>329032.80093023781</v>
      </c>
      <c r="U257" s="2">
        <f t="shared" si="104"/>
        <v>365541.13790497073</v>
      </c>
      <c r="V257" s="2">
        <f t="shared" si="104"/>
        <v>403216.49009037175</v>
      </c>
      <c r="W257" s="2">
        <f t="shared" si="104"/>
        <v>411684.03638226952</v>
      </c>
      <c r="X257" s="2">
        <f t="shared" si="104"/>
        <v>420329.40114629711</v>
      </c>
      <c r="Y257" s="2">
        <f t="shared" si="104"/>
        <v>429156.31857036927</v>
      </c>
      <c r="Z257" s="2">
        <f t="shared" si="104"/>
        <v>438168.601260347</v>
      </c>
      <c r="AA257" s="2">
        <f t="shared" si="104"/>
        <v>447370.14188681426</v>
      </c>
    </row>
    <row r="258" spans="4:28" customFormat="1" x14ac:dyDescent="0.25">
      <c r="E258" t="s">
        <v>57</v>
      </c>
      <c r="F258" t="s">
        <v>7</v>
      </c>
      <c r="G258" s="2">
        <f t="shared" si="104"/>
        <v>0</v>
      </c>
      <c r="H258" s="2">
        <f t="shared" si="104"/>
        <v>0</v>
      </c>
      <c r="I258" s="2">
        <f t="shared" si="104"/>
        <v>0</v>
      </c>
      <c r="J258" s="2">
        <f t="shared" si="104"/>
        <v>0</v>
      </c>
      <c r="K258" s="2">
        <f t="shared" si="104"/>
        <v>0</v>
      </c>
      <c r="L258" s="2">
        <f t="shared" si="104"/>
        <v>0</v>
      </c>
      <c r="M258" s="2">
        <f t="shared" si="104"/>
        <v>0</v>
      </c>
      <c r="N258" s="2">
        <f t="shared" si="104"/>
        <v>0</v>
      </c>
      <c r="O258" s="2">
        <f t="shared" si="104"/>
        <v>0</v>
      </c>
      <c r="P258" s="2">
        <f t="shared" si="104"/>
        <v>0</v>
      </c>
      <c r="Q258" s="2">
        <f t="shared" si="104"/>
        <v>0</v>
      </c>
      <c r="R258" s="2">
        <f t="shared" si="104"/>
        <v>0</v>
      </c>
      <c r="S258" s="2">
        <f t="shared" si="104"/>
        <v>0</v>
      </c>
      <c r="T258" s="2">
        <f t="shared" si="104"/>
        <v>0</v>
      </c>
      <c r="U258" s="2">
        <f t="shared" si="104"/>
        <v>0</v>
      </c>
      <c r="V258" s="2">
        <f t="shared" si="104"/>
        <v>0</v>
      </c>
      <c r="W258" s="2">
        <f t="shared" si="104"/>
        <v>0</v>
      </c>
      <c r="X258" s="2">
        <f t="shared" si="104"/>
        <v>0</v>
      </c>
      <c r="Y258" s="2">
        <f t="shared" si="104"/>
        <v>0</v>
      </c>
      <c r="Z258" s="2">
        <f t="shared" si="104"/>
        <v>0</v>
      </c>
      <c r="AA258" s="2">
        <f t="shared" si="104"/>
        <v>0</v>
      </c>
    </row>
    <row r="259" spans="4:28" customFormat="1" x14ac:dyDescent="0.25">
      <c r="E259" t="s">
        <v>10</v>
      </c>
      <c r="F259" t="s">
        <v>7</v>
      </c>
      <c r="G259" s="2">
        <f t="shared" si="104"/>
        <v>0</v>
      </c>
      <c r="H259" s="2">
        <f t="shared" si="104"/>
        <v>-38103.719999999994</v>
      </c>
      <c r="I259" s="2">
        <f t="shared" si="104"/>
        <v>-77682.703319999971</v>
      </c>
      <c r="J259" s="2">
        <f t="shared" si="104"/>
        <v>-119513.86958768996</v>
      </c>
      <c r="K259" s="2">
        <f t="shared" si="104"/>
        <v>-161600.66439450945</v>
      </c>
      <c r="L259" s="2">
        <f t="shared" si="104"/>
        <v>-203837.99890977755</v>
      </c>
      <c r="M259" s="2">
        <f t="shared" si="104"/>
        <v>-246248.75131325165</v>
      </c>
      <c r="N259" s="2">
        <f t="shared" si="104"/>
        <v>-288789.463522078</v>
      </c>
      <c r="O259" s="2">
        <f t="shared" si="104"/>
        <v>-331449.52773609583</v>
      </c>
      <c r="P259" s="2">
        <f t="shared" si="104"/>
        <v>-377944.18060453917</v>
      </c>
      <c r="Q259" s="2">
        <f t="shared" si="104"/>
        <v>-428608.9562119153</v>
      </c>
      <c r="R259" s="2">
        <f t="shared" si="104"/>
        <v>-483798.95131960552</v>
      </c>
      <c r="S259" s="2">
        <f t="shared" si="104"/>
        <v>-543928.21184956701</v>
      </c>
      <c r="T259" s="2">
        <f t="shared" si="104"/>
        <v>-609396.08744019503</v>
      </c>
      <c r="U259" s="2">
        <f t="shared" si="104"/>
        <v>-677012.56108188385</v>
      </c>
      <c r="V259" s="2">
        <f t="shared" si="104"/>
        <v>-746790.44386379735</v>
      </c>
      <c r="W259" s="2">
        <f t="shared" si="104"/>
        <v>-762473.04318493709</v>
      </c>
      <c r="X259" s="2">
        <f t="shared" si="104"/>
        <v>-778484.97709182068</v>
      </c>
      <c r="Y259" s="2">
        <f t="shared" si="104"/>
        <v>-794833.16161074885</v>
      </c>
      <c r="Z259" s="2">
        <f t="shared" si="104"/>
        <v>-811524.65800457436</v>
      </c>
      <c r="AA259" s="2">
        <f t="shared" si="104"/>
        <v>-828566.67582267034</v>
      </c>
    </row>
    <row r="260" spans="4:28" customFormat="1" x14ac:dyDescent="0.25">
      <c r="E260" t="s">
        <v>12</v>
      </c>
      <c r="F260" t="s">
        <v>7</v>
      </c>
      <c r="G260" s="2">
        <f t="shared" si="104"/>
        <v>-15860.495071822996</v>
      </c>
      <c r="H260" s="2">
        <f t="shared" si="104"/>
        <v>-31634.745854978955</v>
      </c>
      <c r="I260" s="2">
        <f t="shared" si="104"/>
        <v>-49880.277586834934</v>
      </c>
      <c r="J260" s="2">
        <f t="shared" si="104"/>
        <v>-64536.465424636495</v>
      </c>
      <c r="K260" s="2">
        <f t="shared" si="104"/>
        <v>-78965.581300592021</v>
      </c>
      <c r="L260" s="2">
        <f t="shared" si="104"/>
        <v>-93127.354422513046</v>
      </c>
      <c r="M260" s="2">
        <f t="shared" si="104"/>
        <v>-107028.97322379332</v>
      </c>
      <c r="N260" s="2">
        <f t="shared" si="104"/>
        <v>-120653.26588101921</v>
      </c>
      <c r="O260" s="2">
        <f t="shared" si="104"/>
        <v>-133995.36996228894</v>
      </c>
      <c r="P260" s="2">
        <f t="shared" si="104"/>
        <v>-148408.88504051277</v>
      </c>
      <c r="Q260" s="2">
        <f t="shared" si="104"/>
        <v>-163986.78268128185</v>
      </c>
      <c r="R260" s="2">
        <f t="shared" si="104"/>
        <v>-180826.59774329644</v>
      </c>
      <c r="S260" s="2">
        <f t="shared" si="104"/>
        <v>-199044.63825713753</v>
      </c>
      <c r="T260" s="2">
        <f t="shared" si="104"/>
        <v>-218748.68419424741</v>
      </c>
      <c r="U260" s="2">
        <f t="shared" si="104"/>
        <v>-238734.83474831583</v>
      </c>
      <c r="V260" s="2">
        <f t="shared" si="104"/>
        <v>-258991.3104251053</v>
      </c>
      <c r="W260" s="2">
        <f t="shared" si="104"/>
        <v>-258991.3104251053</v>
      </c>
      <c r="X260" s="2">
        <f t="shared" si="104"/>
        <v>-258991.3104251053</v>
      </c>
      <c r="Y260" s="2">
        <f t="shared" si="104"/>
        <v>-258991.3104251053</v>
      </c>
      <c r="Z260" s="2">
        <f t="shared" si="104"/>
        <v>-258991.3104251053</v>
      </c>
      <c r="AA260" s="2">
        <f t="shared" si="104"/>
        <v>-258991.3104251053</v>
      </c>
    </row>
    <row r="261" spans="4:28" customFormat="1" x14ac:dyDescent="0.25">
      <c r="E261" t="s">
        <v>48</v>
      </c>
      <c r="F261" t="s">
        <v>7</v>
      </c>
      <c r="G261" s="2">
        <f t="shared" si="104"/>
        <v>0</v>
      </c>
      <c r="H261" s="2">
        <f t="shared" si="104"/>
        <v>0</v>
      </c>
      <c r="I261" s="2">
        <f t="shared" si="104"/>
        <v>0</v>
      </c>
      <c r="J261" s="2">
        <f t="shared" si="104"/>
        <v>0</v>
      </c>
      <c r="K261" s="2">
        <f t="shared" si="104"/>
        <v>0</v>
      </c>
      <c r="L261" s="2">
        <f t="shared" si="104"/>
        <v>0</v>
      </c>
      <c r="M261" s="2">
        <f t="shared" si="104"/>
        <v>0</v>
      </c>
      <c r="N261" s="2">
        <f t="shared" si="104"/>
        <v>0</v>
      </c>
      <c r="O261" s="2">
        <f t="shared" si="104"/>
        <v>0</v>
      </c>
      <c r="P261" s="2">
        <f t="shared" si="104"/>
        <v>0</v>
      </c>
      <c r="Q261" s="2">
        <f t="shared" si="104"/>
        <v>0</v>
      </c>
      <c r="R261" s="2">
        <f t="shared" si="104"/>
        <v>0</v>
      </c>
      <c r="S261" s="2">
        <f t="shared" si="104"/>
        <v>0</v>
      </c>
      <c r="T261" s="2">
        <f t="shared" si="104"/>
        <v>0</v>
      </c>
      <c r="U261" s="2">
        <f t="shared" si="104"/>
        <v>0</v>
      </c>
      <c r="V261" s="2">
        <f t="shared" si="104"/>
        <v>0</v>
      </c>
      <c r="W261" s="2">
        <f t="shared" si="104"/>
        <v>0</v>
      </c>
      <c r="X261" s="2">
        <f t="shared" si="104"/>
        <v>0</v>
      </c>
      <c r="Y261" s="2">
        <f t="shared" si="104"/>
        <v>0</v>
      </c>
      <c r="Z261" s="2">
        <f t="shared" si="104"/>
        <v>0</v>
      </c>
      <c r="AA261" s="2">
        <f t="shared" si="104"/>
        <v>0</v>
      </c>
    </row>
    <row r="262" spans="4:28" customFormat="1" x14ac:dyDescent="0.25">
      <c r="E262" t="s">
        <v>13</v>
      </c>
      <c r="F262" t="s">
        <v>7</v>
      </c>
      <c r="G262" s="2">
        <f ca="1">G253</f>
        <v>11335959.640160237</v>
      </c>
      <c r="H262" s="2"/>
      <c r="I262" s="2"/>
      <c r="J262" s="2"/>
      <c r="K262" s="2"/>
      <c r="L262" s="2"/>
      <c r="M262" s="2"/>
      <c r="N262" s="2"/>
      <c r="O262" s="2"/>
      <c r="P262" s="2"/>
      <c r="Q262" s="2"/>
      <c r="R262" s="2"/>
      <c r="S262" s="2"/>
      <c r="T262" s="2"/>
      <c r="U262" s="2"/>
      <c r="V262" s="2"/>
      <c r="W262" s="2"/>
      <c r="X262" s="2"/>
      <c r="Y262" s="2"/>
      <c r="Z262" s="2"/>
      <c r="AA262" s="2"/>
    </row>
    <row r="263" spans="4:28" customFormat="1" x14ac:dyDescent="0.25"/>
    <row r="264" spans="4:28" customFormat="1" x14ac:dyDescent="0.25">
      <c r="E264" t="s">
        <v>14</v>
      </c>
      <c r="F264" t="s">
        <v>7</v>
      </c>
      <c r="G264" s="2">
        <f t="shared" ref="G264:AA264" ca="1" si="105">SUM(G256:G262)</f>
        <v>11320099.145088414</v>
      </c>
      <c r="H264" s="2">
        <f t="shared" si="105"/>
        <v>1062773.0670434094</v>
      </c>
      <c r="I264" s="2">
        <f t="shared" si="105"/>
        <v>1045428.9264157126</v>
      </c>
      <c r="J264" s="2">
        <f t="shared" si="105"/>
        <v>1052974.1238065306</v>
      </c>
      <c r="K264" s="2">
        <f t="shared" si="105"/>
        <v>1001016.4878245739</v>
      </c>
      <c r="L264" s="2">
        <f t="shared" si="105"/>
        <v>946035.27280610392</v>
      </c>
      <c r="M264" s="2">
        <f t="shared" si="105"/>
        <v>891809.50285913725</v>
      </c>
      <c r="N264" s="2">
        <f t="shared" si="105"/>
        <v>836427.52291060728</v>
      </c>
      <c r="O264" s="2">
        <f t="shared" si="105"/>
        <v>780883.82701663952</v>
      </c>
      <c r="P264" s="2">
        <f t="shared" si="105"/>
        <v>830792.51664447691</v>
      </c>
      <c r="Q264" s="2">
        <f t="shared" si="105"/>
        <v>885056.01134197949</v>
      </c>
      <c r="R264" s="2">
        <f t="shared" si="105"/>
        <v>943778.47124785336</v>
      </c>
      <c r="S264" s="2">
        <f t="shared" si="105"/>
        <v>1008154.9530423472</v>
      </c>
      <c r="T264" s="2">
        <f t="shared" si="105"/>
        <v>1077211.704264587</v>
      </c>
      <c r="U264" s="2">
        <f t="shared" si="105"/>
        <v>1048685.7864002429</v>
      </c>
      <c r="V264" s="2">
        <f t="shared" si="105"/>
        <v>1017952.7899446257</v>
      </c>
      <c r="W264" s="2">
        <f t="shared" si="105"/>
        <v>-609780.3172277729</v>
      </c>
      <c r="X264" s="2">
        <f t="shared" si="105"/>
        <v>-617146.88637062884</v>
      </c>
      <c r="Y264" s="2">
        <f t="shared" si="105"/>
        <v>-624668.15346548485</v>
      </c>
      <c r="Z264" s="2">
        <f t="shared" si="105"/>
        <v>-632347.36716933269</v>
      </c>
      <c r="AA264" s="2">
        <f t="shared" si="105"/>
        <v>-640187.84436096135</v>
      </c>
    </row>
    <row r="265" spans="4:28" customFormat="1" x14ac:dyDescent="0.25">
      <c r="E265" t="s">
        <v>15</v>
      </c>
      <c r="F265" t="s">
        <v>7</v>
      </c>
      <c r="G265" s="2">
        <f ca="1">-G264*G$18</f>
        <v>-3396029.7435265239</v>
      </c>
      <c r="H265" s="2">
        <f t="shared" ref="H265:AA265" si="106">-H264*H$18</f>
        <v>-318831.92011302285</v>
      </c>
      <c r="I265" s="2">
        <f t="shared" si="106"/>
        <v>-313628.67792471376</v>
      </c>
      <c r="J265" s="2">
        <f t="shared" si="106"/>
        <v>-315892.23714195919</v>
      </c>
      <c r="K265" s="2">
        <f t="shared" si="106"/>
        <v>-300304.94634737214</v>
      </c>
      <c r="L265" s="2">
        <f t="shared" si="106"/>
        <v>-283810.58184183115</v>
      </c>
      <c r="M265" s="2">
        <f t="shared" si="106"/>
        <v>-267542.85085774114</v>
      </c>
      <c r="N265" s="2">
        <f t="shared" si="106"/>
        <v>-250928.25687318217</v>
      </c>
      <c r="O265" s="2">
        <f t="shared" si="106"/>
        <v>-234265.14810499185</v>
      </c>
      <c r="P265" s="2">
        <f t="shared" si="106"/>
        <v>-249237.75499334306</v>
      </c>
      <c r="Q265" s="2">
        <f t="shared" si="106"/>
        <v>-265516.80340259383</v>
      </c>
      <c r="R265" s="2">
        <f t="shared" si="106"/>
        <v>-283133.54137435602</v>
      </c>
      <c r="S265" s="2">
        <f t="shared" si="106"/>
        <v>-302446.48591270414</v>
      </c>
      <c r="T265" s="2">
        <f t="shared" si="106"/>
        <v>-323163.51127937611</v>
      </c>
      <c r="U265" s="2">
        <f t="shared" si="106"/>
        <v>-314605.73592007288</v>
      </c>
      <c r="V265" s="2">
        <f t="shared" si="106"/>
        <v>-305385.83698338771</v>
      </c>
      <c r="W265" s="2">
        <f t="shared" si="106"/>
        <v>182934.09516833187</v>
      </c>
      <c r="X265" s="2">
        <f t="shared" si="106"/>
        <v>185144.06591118863</v>
      </c>
      <c r="Y265" s="2">
        <f t="shared" si="106"/>
        <v>187400.44603964544</v>
      </c>
      <c r="Z265" s="2">
        <f t="shared" si="106"/>
        <v>189704.2101507998</v>
      </c>
      <c r="AA265" s="2">
        <f t="shared" si="106"/>
        <v>192056.35330828841</v>
      </c>
    </row>
    <row r="266" spans="4:28" customFormat="1" x14ac:dyDescent="0.25"/>
    <row r="267" spans="4:28" customFormat="1" x14ac:dyDescent="0.25">
      <c r="D267" t="s">
        <v>28</v>
      </c>
    </row>
    <row r="268" spans="4:28" customFormat="1" x14ac:dyDescent="0.25">
      <c r="E268" t="s">
        <v>1</v>
      </c>
      <c r="F268" t="s">
        <v>7</v>
      </c>
      <c r="G268" s="2">
        <f t="shared" ref="G268:AA275" si="107">G234</f>
        <v>-1268839.6057458397</v>
      </c>
      <c r="H268" s="2">
        <f t="shared" si="107"/>
        <v>-150581.56265247698</v>
      </c>
      <c r="I268" s="2">
        <f t="shared" si="107"/>
        <v>-328594.05354847881</v>
      </c>
      <c r="J268" s="2">
        <f t="shared" si="107"/>
        <v>0</v>
      </c>
      <c r="K268" s="2">
        <f t="shared" si="107"/>
        <v>0</v>
      </c>
      <c r="L268" s="2">
        <f t="shared" si="107"/>
        <v>0</v>
      </c>
      <c r="M268" s="2">
        <f t="shared" si="107"/>
        <v>0</v>
      </c>
      <c r="N268" s="2">
        <f t="shared" si="107"/>
        <v>0</v>
      </c>
      <c r="O268" s="2">
        <f t="shared" si="107"/>
        <v>0</v>
      </c>
      <c r="P268" s="2">
        <f t="shared" si="107"/>
        <v>0</v>
      </c>
      <c r="Q268" s="2">
        <f t="shared" si="107"/>
        <v>0</v>
      </c>
      <c r="R268" s="2">
        <f t="shared" si="107"/>
        <v>0</v>
      </c>
      <c r="S268" s="2">
        <f t="shared" si="107"/>
        <v>0</v>
      </c>
      <c r="T268" s="2">
        <f t="shared" si="107"/>
        <v>0</v>
      </c>
      <c r="U268" s="2">
        <f t="shared" si="107"/>
        <v>0</v>
      </c>
      <c r="V268" s="2">
        <f t="shared" si="107"/>
        <v>0</v>
      </c>
      <c r="W268" s="2">
        <f t="shared" si="107"/>
        <v>0</v>
      </c>
      <c r="X268" s="2">
        <f t="shared" si="107"/>
        <v>0</v>
      </c>
      <c r="Y268" s="2">
        <f t="shared" si="107"/>
        <v>0</v>
      </c>
      <c r="Z268" s="2">
        <f t="shared" si="107"/>
        <v>0</v>
      </c>
      <c r="AA268" s="2">
        <f t="shared" si="107"/>
        <v>0</v>
      </c>
    </row>
    <row r="269" spans="4:28" customFormat="1" x14ac:dyDescent="0.25">
      <c r="E269" t="s">
        <v>19</v>
      </c>
      <c r="F269" t="s">
        <v>7</v>
      </c>
      <c r="G269" s="2">
        <f t="shared" si="107"/>
        <v>0</v>
      </c>
      <c r="H269" s="2">
        <f t="shared" si="107"/>
        <v>0</v>
      </c>
      <c r="I269" s="2">
        <f t="shared" si="107"/>
        <v>0</v>
      </c>
      <c r="J269" s="2">
        <f t="shared" si="107"/>
        <v>0</v>
      </c>
      <c r="K269" s="2">
        <f t="shared" si="107"/>
        <v>0</v>
      </c>
      <c r="L269" s="2">
        <f t="shared" si="107"/>
        <v>0</v>
      </c>
      <c r="M269" s="2">
        <f t="shared" si="107"/>
        <v>0</v>
      </c>
      <c r="N269" s="2">
        <f t="shared" si="107"/>
        <v>0</v>
      </c>
      <c r="O269" s="2">
        <f t="shared" si="107"/>
        <v>0</v>
      </c>
      <c r="P269" s="2">
        <f t="shared" si="107"/>
        <v>0</v>
      </c>
      <c r="Q269" s="2">
        <f t="shared" si="107"/>
        <v>0</v>
      </c>
      <c r="R269" s="2">
        <f t="shared" si="107"/>
        <v>0</v>
      </c>
      <c r="S269" s="2">
        <f t="shared" si="107"/>
        <v>0</v>
      </c>
      <c r="T269" s="2">
        <f t="shared" si="107"/>
        <v>0</v>
      </c>
      <c r="U269" s="2">
        <f t="shared" si="107"/>
        <v>0</v>
      </c>
      <c r="V269" s="2">
        <f t="shared" si="107"/>
        <v>0</v>
      </c>
      <c r="W269" s="2">
        <f t="shared" si="107"/>
        <v>0</v>
      </c>
      <c r="X269" s="2">
        <f t="shared" si="107"/>
        <v>0</v>
      </c>
      <c r="Y269" s="2">
        <f t="shared" si="107"/>
        <v>0</v>
      </c>
      <c r="Z269" s="2">
        <f t="shared" si="107"/>
        <v>0</v>
      </c>
      <c r="AA269" s="2">
        <f t="shared" si="107"/>
        <v>0</v>
      </c>
    </row>
    <row r="270" spans="4:28" customFormat="1" x14ac:dyDescent="0.25">
      <c r="E270" t="s">
        <v>109</v>
      </c>
      <c r="F270" t="s">
        <v>7</v>
      </c>
      <c r="G270" s="2">
        <f t="shared" si="107"/>
        <v>0</v>
      </c>
      <c r="H270" s="2">
        <f t="shared" si="107"/>
        <v>0</v>
      </c>
      <c r="I270" s="2">
        <f t="shared" si="107"/>
        <v>0</v>
      </c>
      <c r="J270" s="2">
        <f t="shared" si="107"/>
        <v>0</v>
      </c>
      <c r="K270" s="2">
        <f t="shared" si="107"/>
        <v>0</v>
      </c>
      <c r="L270" s="2">
        <f t="shared" si="107"/>
        <v>0</v>
      </c>
      <c r="M270" s="2">
        <f t="shared" si="107"/>
        <v>0</v>
      </c>
      <c r="N270" s="2">
        <f t="shared" si="107"/>
        <v>0</v>
      </c>
      <c r="O270" s="2">
        <f t="shared" si="107"/>
        <v>0</v>
      </c>
      <c r="P270" s="2">
        <f t="shared" si="107"/>
        <v>0</v>
      </c>
      <c r="Q270" s="2">
        <f t="shared" si="107"/>
        <v>0</v>
      </c>
      <c r="R270" s="2">
        <f t="shared" si="107"/>
        <v>0</v>
      </c>
      <c r="S270" s="2">
        <f t="shared" si="107"/>
        <v>0</v>
      </c>
      <c r="T270" s="2">
        <f t="shared" si="107"/>
        <v>0</v>
      </c>
      <c r="U270" s="2">
        <f t="shared" si="107"/>
        <v>0</v>
      </c>
      <c r="V270" s="2">
        <f t="shared" si="107"/>
        <v>0</v>
      </c>
      <c r="W270" s="2">
        <f t="shared" si="107"/>
        <v>0</v>
      </c>
      <c r="X270" s="2">
        <f t="shared" si="107"/>
        <v>0</v>
      </c>
      <c r="Y270" s="2">
        <f t="shared" si="107"/>
        <v>0</v>
      </c>
      <c r="Z270" s="2">
        <f t="shared" si="107"/>
        <v>0</v>
      </c>
      <c r="AA270" s="2">
        <f t="shared" si="107"/>
        <v>0</v>
      </c>
    </row>
    <row r="271" spans="4:28" customFormat="1" x14ac:dyDescent="0.25">
      <c r="E271" t="s">
        <v>11</v>
      </c>
      <c r="F271" t="s">
        <v>7</v>
      </c>
      <c r="G271" s="2">
        <f t="shared" si="107"/>
        <v>0</v>
      </c>
      <c r="H271" s="2">
        <f t="shared" si="107"/>
        <v>21153.032898388468</v>
      </c>
      <c r="I271" s="2">
        <f t="shared" si="107"/>
        <v>41943.422322547645</v>
      </c>
      <c r="J271" s="2">
        <f t="shared" si="107"/>
        <v>64529.4317947323</v>
      </c>
      <c r="K271" s="2">
        <f t="shared" si="107"/>
        <v>87253.463443233821</v>
      </c>
      <c r="L271" s="2">
        <f t="shared" si="107"/>
        <v>110058.77638471204</v>
      </c>
      <c r="M271" s="2">
        <f t="shared" si="107"/>
        <v>132957.7232937589</v>
      </c>
      <c r="N271" s="2">
        <f t="shared" si="107"/>
        <v>155926.8397356346</v>
      </c>
      <c r="O271" s="2">
        <f t="shared" si="107"/>
        <v>178960.39821344416</v>
      </c>
      <c r="P271" s="2">
        <f t="shared" si="107"/>
        <v>204064.37603162203</v>
      </c>
      <c r="Q271" s="2">
        <f t="shared" si="107"/>
        <v>231419.93897365185</v>
      </c>
      <c r="R271" s="2">
        <f t="shared" si="107"/>
        <v>261218.81534958782</v>
      </c>
      <c r="S271" s="2">
        <f t="shared" si="107"/>
        <v>293684.56204176502</v>
      </c>
      <c r="T271" s="2">
        <f t="shared" si="107"/>
        <v>329032.80093023781</v>
      </c>
      <c r="U271" s="2">
        <f t="shared" si="107"/>
        <v>365541.13790497073</v>
      </c>
      <c r="V271" s="2">
        <f t="shared" si="107"/>
        <v>403216.49009037175</v>
      </c>
      <c r="W271" s="2">
        <f t="shared" si="107"/>
        <v>411684.03638226952</v>
      </c>
      <c r="X271" s="2">
        <f t="shared" si="107"/>
        <v>420329.40114629711</v>
      </c>
      <c r="Y271" s="2">
        <f t="shared" si="107"/>
        <v>429156.31857036927</v>
      </c>
      <c r="Z271" s="2">
        <f t="shared" si="107"/>
        <v>438168.601260347</v>
      </c>
      <c r="AA271" s="2">
        <f t="shared" si="107"/>
        <v>447370.14188681426</v>
      </c>
      <c r="AB271" s="2">
        <f t="shared" ref="AB271:AB275" si="108">IF(V271=0,0,IF($G$15&gt;(AA271/V271)^(1/5)-1+2%,AA271*(AA271/V271)^(1/5)/($G$15-((AA271/V271)^(1/5)-1)),AA271*(1+$G$14)/$G$16))</f>
        <v>14912338.06289384</v>
      </c>
    </row>
    <row r="272" spans="4:28" customFormat="1" x14ac:dyDescent="0.25">
      <c r="E272" t="s">
        <v>57</v>
      </c>
      <c r="F272" t="s">
        <v>7</v>
      </c>
      <c r="G272" s="2">
        <f t="shared" si="107"/>
        <v>0</v>
      </c>
      <c r="H272" s="2">
        <f t="shared" si="107"/>
        <v>0</v>
      </c>
      <c r="I272" s="2">
        <f t="shared" si="107"/>
        <v>0</v>
      </c>
      <c r="J272" s="2">
        <f t="shared" si="107"/>
        <v>0</v>
      </c>
      <c r="K272" s="2">
        <f t="shared" si="107"/>
        <v>0</v>
      </c>
      <c r="L272" s="2">
        <f t="shared" si="107"/>
        <v>0</v>
      </c>
      <c r="M272" s="2">
        <f t="shared" si="107"/>
        <v>0</v>
      </c>
      <c r="N272" s="2">
        <f t="shared" si="107"/>
        <v>0</v>
      </c>
      <c r="O272" s="2">
        <f t="shared" si="107"/>
        <v>0</v>
      </c>
      <c r="P272" s="2">
        <f t="shared" si="107"/>
        <v>0</v>
      </c>
      <c r="Q272" s="2">
        <f t="shared" si="107"/>
        <v>0</v>
      </c>
      <c r="R272" s="2">
        <f t="shared" si="107"/>
        <v>0</v>
      </c>
      <c r="S272" s="2">
        <f t="shared" si="107"/>
        <v>0</v>
      </c>
      <c r="T272" s="2">
        <f t="shared" si="107"/>
        <v>0</v>
      </c>
      <c r="U272" s="2">
        <f t="shared" si="107"/>
        <v>0</v>
      </c>
      <c r="V272" s="2">
        <f t="shared" si="107"/>
        <v>0</v>
      </c>
      <c r="W272" s="2">
        <f t="shared" si="107"/>
        <v>0</v>
      </c>
      <c r="X272" s="2">
        <f t="shared" si="107"/>
        <v>0</v>
      </c>
      <c r="Y272" s="2">
        <f t="shared" si="107"/>
        <v>0</v>
      </c>
      <c r="Z272" s="2">
        <f t="shared" si="107"/>
        <v>0</v>
      </c>
      <c r="AA272" s="2">
        <f t="shared" si="107"/>
        <v>0</v>
      </c>
      <c r="AB272" s="2">
        <f t="shared" si="108"/>
        <v>0</v>
      </c>
    </row>
    <row r="273" spans="1:28" x14ac:dyDescent="0.25">
      <c r="E273" t="s">
        <v>10</v>
      </c>
      <c r="F273" t="s">
        <v>7</v>
      </c>
      <c r="G273" s="2">
        <f t="shared" si="107"/>
        <v>0</v>
      </c>
      <c r="H273" s="2">
        <f t="shared" si="107"/>
        <v>-38103.719999999994</v>
      </c>
      <c r="I273" s="2">
        <f t="shared" si="107"/>
        <v>-77682.703319999971</v>
      </c>
      <c r="J273" s="2">
        <f t="shared" si="107"/>
        <v>-119513.86958768996</v>
      </c>
      <c r="K273" s="2">
        <f t="shared" si="107"/>
        <v>-161600.66439450945</v>
      </c>
      <c r="L273" s="2">
        <f t="shared" si="107"/>
        <v>-203837.99890977755</v>
      </c>
      <c r="M273" s="2">
        <f t="shared" si="107"/>
        <v>-246248.75131325165</v>
      </c>
      <c r="N273" s="2">
        <f t="shared" si="107"/>
        <v>-288789.463522078</v>
      </c>
      <c r="O273" s="2">
        <f t="shared" si="107"/>
        <v>-331449.52773609583</v>
      </c>
      <c r="P273" s="2">
        <f t="shared" si="107"/>
        <v>-377944.18060453917</v>
      </c>
      <c r="Q273" s="2">
        <f t="shared" si="107"/>
        <v>-428608.9562119153</v>
      </c>
      <c r="R273" s="2">
        <f t="shared" si="107"/>
        <v>-483798.95131960552</v>
      </c>
      <c r="S273" s="2">
        <f t="shared" si="107"/>
        <v>-543928.21184956701</v>
      </c>
      <c r="T273" s="2">
        <f t="shared" si="107"/>
        <v>-609396.08744019503</v>
      </c>
      <c r="U273" s="2">
        <f t="shared" si="107"/>
        <v>-677012.56108188385</v>
      </c>
      <c r="V273" s="2">
        <f t="shared" si="107"/>
        <v>-746790.44386379735</v>
      </c>
      <c r="W273" s="2">
        <f t="shared" si="107"/>
        <v>-762473.04318493709</v>
      </c>
      <c r="X273" s="2">
        <f t="shared" si="107"/>
        <v>-778484.97709182068</v>
      </c>
      <c r="Y273" s="2">
        <f t="shared" si="107"/>
        <v>-794833.16161074885</v>
      </c>
      <c r="Z273" s="2">
        <f t="shared" si="107"/>
        <v>-811524.65800457436</v>
      </c>
      <c r="AA273" s="2">
        <f t="shared" si="107"/>
        <v>-828566.67582267034</v>
      </c>
      <c r="AB273" s="2">
        <f t="shared" si="108"/>
        <v>-27618889.194089066</v>
      </c>
    </row>
    <row r="274" spans="1:28" x14ac:dyDescent="0.25">
      <c r="E274" t="s">
        <v>48</v>
      </c>
      <c r="F274" t="s">
        <v>7</v>
      </c>
      <c r="G274" s="2">
        <f t="shared" si="107"/>
        <v>0</v>
      </c>
      <c r="H274" s="2">
        <f t="shared" si="107"/>
        <v>0</v>
      </c>
      <c r="I274" s="2">
        <f t="shared" si="107"/>
        <v>0</v>
      </c>
      <c r="J274" s="2">
        <f t="shared" si="107"/>
        <v>0</v>
      </c>
      <c r="K274" s="2">
        <f t="shared" si="107"/>
        <v>0</v>
      </c>
      <c r="L274" s="2">
        <f t="shared" si="107"/>
        <v>0</v>
      </c>
      <c r="M274" s="2">
        <f t="shared" si="107"/>
        <v>0</v>
      </c>
      <c r="N274" s="2">
        <f t="shared" si="107"/>
        <v>0</v>
      </c>
      <c r="O274" s="2">
        <f t="shared" si="107"/>
        <v>0</v>
      </c>
      <c r="P274" s="2">
        <f t="shared" si="107"/>
        <v>0</v>
      </c>
      <c r="Q274" s="2">
        <f t="shared" si="107"/>
        <v>0</v>
      </c>
      <c r="R274" s="2">
        <f t="shared" si="107"/>
        <v>0</v>
      </c>
      <c r="S274" s="2">
        <f t="shared" si="107"/>
        <v>0</v>
      </c>
      <c r="T274" s="2">
        <f t="shared" si="107"/>
        <v>0</v>
      </c>
      <c r="U274" s="2">
        <f t="shared" si="107"/>
        <v>0</v>
      </c>
      <c r="V274" s="2">
        <f t="shared" si="107"/>
        <v>0</v>
      </c>
      <c r="W274" s="2">
        <f t="shared" si="107"/>
        <v>0</v>
      </c>
      <c r="X274" s="2">
        <f t="shared" si="107"/>
        <v>0</v>
      </c>
      <c r="Y274" s="2">
        <f t="shared" si="107"/>
        <v>0</v>
      </c>
      <c r="Z274" s="2">
        <f t="shared" si="107"/>
        <v>0</v>
      </c>
      <c r="AA274" s="2">
        <f t="shared" si="107"/>
        <v>0</v>
      </c>
      <c r="AB274" s="2">
        <f t="shared" si="108"/>
        <v>0</v>
      </c>
    </row>
    <row r="275" spans="1:28" x14ac:dyDescent="0.25">
      <c r="E275" t="s">
        <v>49</v>
      </c>
      <c r="F275" t="s">
        <v>7</v>
      </c>
      <c r="G275" s="2">
        <f t="shared" si="107"/>
        <v>0</v>
      </c>
      <c r="H275" s="2">
        <f t="shared" si="107"/>
        <v>0</v>
      </c>
      <c r="I275" s="2">
        <f t="shared" si="107"/>
        <v>0</v>
      </c>
      <c r="J275" s="2">
        <f t="shared" si="107"/>
        <v>0</v>
      </c>
      <c r="K275" s="2">
        <f t="shared" si="107"/>
        <v>0</v>
      </c>
      <c r="L275" s="2">
        <f t="shared" si="107"/>
        <v>0</v>
      </c>
      <c r="M275" s="2">
        <f t="shared" si="107"/>
        <v>0</v>
      </c>
      <c r="N275" s="2">
        <f t="shared" si="107"/>
        <v>0</v>
      </c>
      <c r="O275" s="2">
        <f t="shared" si="107"/>
        <v>0</v>
      </c>
      <c r="P275" s="2">
        <f t="shared" si="107"/>
        <v>0</v>
      </c>
      <c r="Q275" s="2">
        <f t="shared" si="107"/>
        <v>0</v>
      </c>
      <c r="R275" s="2">
        <f t="shared" si="107"/>
        <v>0</v>
      </c>
      <c r="S275" s="2">
        <f t="shared" si="107"/>
        <v>0</v>
      </c>
      <c r="T275" s="2">
        <f t="shared" si="107"/>
        <v>0</v>
      </c>
      <c r="U275" s="2">
        <f t="shared" si="107"/>
        <v>0</v>
      </c>
      <c r="V275" s="2">
        <f t="shared" si="107"/>
        <v>0</v>
      </c>
      <c r="W275" s="2">
        <f t="shared" si="107"/>
        <v>0</v>
      </c>
      <c r="X275" s="2">
        <f t="shared" si="107"/>
        <v>0</v>
      </c>
      <c r="Y275" s="2">
        <f t="shared" si="107"/>
        <v>0</v>
      </c>
      <c r="Z275" s="2">
        <f t="shared" si="107"/>
        <v>0</v>
      </c>
      <c r="AA275" s="2">
        <f t="shared" si="107"/>
        <v>0</v>
      </c>
      <c r="AB275" s="2">
        <f t="shared" si="108"/>
        <v>0</v>
      </c>
    </row>
    <row r="276" spans="1:28" x14ac:dyDescent="0.25">
      <c r="E276" t="s">
        <v>20</v>
      </c>
      <c r="F276" t="s">
        <v>7</v>
      </c>
      <c r="G276" s="2">
        <f t="shared" ref="G276:AA276" ca="1" si="109">G265</f>
        <v>-3396029.7435265239</v>
      </c>
      <c r="H276" s="2">
        <f t="shared" si="109"/>
        <v>-318831.92011302285</v>
      </c>
      <c r="I276" s="2">
        <f t="shared" si="109"/>
        <v>-313628.67792471376</v>
      </c>
      <c r="J276" s="2">
        <f t="shared" si="109"/>
        <v>-315892.23714195919</v>
      </c>
      <c r="K276" s="2">
        <f t="shared" si="109"/>
        <v>-300304.94634737214</v>
      </c>
      <c r="L276" s="2">
        <f t="shared" si="109"/>
        <v>-283810.58184183115</v>
      </c>
      <c r="M276" s="2">
        <f t="shared" si="109"/>
        <v>-267542.85085774114</v>
      </c>
      <c r="N276" s="2">
        <f t="shared" si="109"/>
        <v>-250928.25687318217</v>
      </c>
      <c r="O276" s="2">
        <f t="shared" si="109"/>
        <v>-234265.14810499185</v>
      </c>
      <c r="P276" s="2">
        <f t="shared" si="109"/>
        <v>-249237.75499334306</v>
      </c>
      <c r="Q276" s="2">
        <f t="shared" si="109"/>
        <v>-265516.80340259383</v>
      </c>
      <c r="R276" s="2">
        <f t="shared" si="109"/>
        <v>-283133.54137435602</v>
      </c>
      <c r="S276" s="2">
        <f t="shared" si="109"/>
        <v>-302446.48591270414</v>
      </c>
      <c r="T276" s="2">
        <f t="shared" si="109"/>
        <v>-323163.51127937611</v>
      </c>
      <c r="U276" s="2">
        <f t="shared" si="109"/>
        <v>-314605.73592007288</v>
      </c>
      <c r="V276" s="2">
        <f t="shared" si="109"/>
        <v>-305385.83698338771</v>
      </c>
      <c r="W276" s="2">
        <f t="shared" si="109"/>
        <v>182934.09516833187</v>
      </c>
      <c r="X276" s="2">
        <f t="shared" si="109"/>
        <v>185144.06591118863</v>
      </c>
      <c r="Y276" s="2">
        <f t="shared" si="109"/>
        <v>187400.44603964544</v>
      </c>
      <c r="Z276" s="2">
        <f t="shared" si="109"/>
        <v>189704.2101507998</v>
      </c>
      <c r="AA276" s="2">
        <f t="shared" si="109"/>
        <v>192056.35330828841</v>
      </c>
      <c r="AB276" s="2">
        <f>IF(V276=0,0,IF($G$15&gt;(AA276/V276)^(1/5)-1+2%,AA276*(AA276/V276)^(1/5)/($G$15-((AA276/V276)^(1/5)-1)),AA276*(1+$G$14)/$G$16))</f>
        <v>-89169.119874162076</v>
      </c>
    </row>
    <row r="277" spans="1:28" x14ac:dyDescent="0.25">
      <c r="E277" t="s">
        <v>173</v>
      </c>
      <c r="F277" t="s">
        <v>7</v>
      </c>
      <c r="G277" s="2">
        <f ca="1">-$G$17*G276</f>
        <v>1698014.871763262</v>
      </c>
      <c r="H277" s="2">
        <f t="shared" ref="H277:AA277" si="110">-$G$17*H276</f>
        <v>159415.96005651142</v>
      </c>
      <c r="I277" s="2">
        <f t="shared" si="110"/>
        <v>156814.33896235688</v>
      </c>
      <c r="J277" s="2">
        <f t="shared" si="110"/>
        <v>157946.1185709796</v>
      </c>
      <c r="K277" s="2">
        <f t="shared" si="110"/>
        <v>150152.47317368607</v>
      </c>
      <c r="L277" s="2">
        <f t="shared" si="110"/>
        <v>141905.29092091558</v>
      </c>
      <c r="M277" s="2">
        <f t="shared" si="110"/>
        <v>133771.42542887057</v>
      </c>
      <c r="N277" s="2">
        <f t="shared" si="110"/>
        <v>125464.12843659108</v>
      </c>
      <c r="O277" s="2">
        <f t="shared" si="110"/>
        <v>117132.57405249593</v>
      </c>
      <c r="P277" s="2">
        <f t="shared" si="110"/>
        <v>124618.87749667153</v>
      </c>
      <c r="Q277" s="2">
        <f t="shared" si="110"/>
        <v>132758.40170129691</v>
      </c>
      <c r="R277" s="2">
        <f t="shared" si="110"/>
        <v>141566.77068717801</v>
      </c>
      <c r="S277" s="2">
        <f t="shared" si="110"/>
        <v>151223.24295635207</v>
      </c>
      <c r="T277" s="2">
        <f t="shared" si="110"/>
        <v>161581.75563968805</v>
      </c>
      <c r="U277" s="2">
        <f t="shared" si="110"/>
        <v>157302.86796003644</v>
      </c>
      <c r="V277" s="2">
        <f t="shared" si="110"/>
        <v>152692.91849169385</v>
      </c>
      <c r="W277" s="2">
        <f t="shared" si="110"/>
        <v>-91467.047584165935</v>
      </c>
      <c r="X277" s="2">
        <f t="shared" si="110"/>
        <v>-92572.032955594317</v>
      </c>
      <c r="Y277" s="2">
        <f t="shared" si="110"/>
        <v>-93700.223019822719</v>
      </c>
      <c r="Z277" s="2">
        <f t="shared" si="110"/>
        <v>-94852.105075399901</v>
      </c>
      <c r="AA277" s="2">
        <f t="shared" si="110"/>
        <v>-96028.176654144205</v>
      </c>
      <c r="AB277" s="2">
        <f t="shared" ref="AB277" si="111">IF(V277=0,0,IF($G$15&gt;(AA277/V277)^(1/5)-1+2%,AA277*(AA277/V277)^(1/5)/($G$15-((AA277/V277)^(1/5)-1)),AA277*(1+$G$14)/$G$16))</f>
        <v>44584.559937081038</v>
      </c>
    </row>
    <row r="278" spans="1:28" x14ac:dyDescent="0.25">
      <c r="E278" t="s">
        <v>23</v>
      </c>
      <c r="F278" t="s">
        <v>7</v>
      </c>
      <c r="G278" s="2">
        <f t="shared" ref="G278:AB278" ca="1" si="112">SUM(G268:G277)</f>
        <v>-2966854.4775091019</v>
      </c>
      <c r="H278" s="2">
        <f t="shared" si="112"/>
        <v>-326948.20981059992</v>
      </c>
      <c r="I278" s="2">
        <f t="shared" si="112"/>
        <v>-521147.67350828799</v>
      </c>
      <c r="J278" s="2">
        <f t="shared" si="112"/>
        <v>-212930.55636393724</v>
      </c>
      <c r="K278" s="2">
        <f t="shared" si="112"/>
        <v>-224499.67412496172</v>
      </c>
      <c r="L278" s="2">
        <f t="shared" si="112"/>
        <v>-235684.51344598111</v>
      </c>
      <c r="M278" s="2">
        <f t="shared" si="112"/>
        <v>-247062.45344836332</v>
      </c>
      <c r="N278" s="2">
        <f t="shared" si="112"/>
        <v>-258326.75222303451</v>
      </c>
      <c r="O278" s="2">
        <f t="shared" si="112"/>
        <v>-269621.70357514761</v>
      </c>
      <c r="P278" s="2">
        <f t="shared" si="112"/>
        <v>-298498.68206958869</v>
      </c>
      <c r="Q278" s="2">
        <f t="shared" si="112"/>
        <v>-329947.41893956036</v>
      </c>
      <c r="R278" s="2">
        <f t="shared" si="112"/>
        <v>-364146.90665719571</v>
      </c>
      <c r="S278" s="2">
        <f t="shared" si="112"/>
        <v>-401466.89276415401</v>
      </c>
      <c r="T278" s="2">
        <f t="shared" si="112"/>
        <v>-441945.04214964533</v>
      </c>
      <c r="U278" s="2">
        <f t="shared" si="112"/>
        <v>-468774.29113694961</v>
      </c>
      <c r="V278" s="2">
        <f t="shared" si="112"/>
        <v>-496266.8722651194</v>
      </c>
      <c r="W278" s="2">
        <f t="shared" si="112"/>
        <v>-259321.95921850164</v>
      </c>
      <c r="X278" s="2">
        <f t="shared" si="112"/>
        <v>-265583.54298992926</v>
      </c>
      <c r="Y278" s="2">
        <f t="shared" si="112"/>
        <v>-271976.62002055685</v>
      </c>
      <c r="Z278" s="2">
        <f t="shared" si="112"/>
        <v>-278503.95166882745</v>
      </c>
      <c r="AA278" s="2">
        <f t="shared" si="112"/>
        <v>-285168.35728171188</v>
      </c>
      <c r="AB278" s="2">
        <f t="shared" si="112"/>
        <v>-12751135.691132309</v>
      </c>
    </row>
    <row r="279" spans="1:28" x14ac:dyDescent="0.25">
      <c r="E279" t="s">
        <v>31</v>
      </c>
      <c r="F279" t="s">
        <v>7</v>
      </c>
      <c r="G279" s="2">
        <f ca="1">NPV($G$15,H278:AB278)+G278</f>
        <v>-11335959.640160237</v>
      </c>
    </row>
    <row r="280" spans="1:28" x14ac:dyDescent="0.25">
      <c r="E280" s="3" t="s">
        <v>34</v>
      </c>
      <c r="F280" s="3"/>
      <c r="G280" s="4" t="str">
        <f ca="1">IF(G279&gt;0,"N/A",IF(ABS(G279+G253)&gt;1,"Error","OK"))</f>
        <v>OK</v>
      </c>
    </row>
    <row r="282" spans="1:28" x14ac:dyDescent="0.25">
      <c r="C282" s="1" t="s">
        <v>36</v>
      </c>
      <c r="D282" s="1"/>
    </row>
    <row r="283" spans="1:28" x14ac:dyDescent="0.25">
      <c r="A283" s="14">
        <f>'Notes &amp; Assumptions'!A67</f>
        <v>54</v>
      </c>
      <c r="C283" s="1"/>
      <c r="D283" s="1"/>
      <c r="E283" t="s">
        <v>42</v>
      </c>
      <c r="F283" t="s">
        <v>3</v>
      </c>
      <c r="G283" s="10"/>
      <c r="H283" s="10">
        <v>1</v>
      </c>
      <c r="I283" s="10">
        <v>1</v>
      </c>
      <c r="J283" s="10">
        <v>1</v>
      </c>
      <c r="K283" s="10">
        <v>1</v>
      </c>
      <c r="L283" s="10">
        <v>1</v>
      </c>
      <c r="M283" s="10">
        <v>1</v>
      </c>
      <c r="N283" s="10">
        <v>1</v>
      </c>
      <c r="O283" s="10">
        <v>1</v>
      </c>
      <c r="P283" s="10">
        <v>1</v>
      </c>
      <c r="Q283" s="10">
        <v>1</v>
      </c>
      <c r="R283" s="10">
        <v>1</v>
      </c>
      <c r="S283" s="10">
        <v>1</v>
      </c>
      <c r="T283" s="10">
        <v>1</v>
      </c>
      <c r="U283" s="10">
        <v>1</v>
      </c>
      <c r="V283" s="10">
        <v>1</v>
      </c>
      <c r="W283" s="10">
        <v>0</v>
      </c>
      <c r="X283" s="10">
        <v>0</v>
      </c>
      <c r="Y283" s="10">
        <v>0</v>
      </c>
      <c r="Z283" s="10">
        <v>0</v>
      </c>
      <c r="AA283" s="10">
        <v>0</v>
      </c>
    </row>
    <row r="284" spans="1:28" x14ac:dyDescent="0.25">
      <c r="E284" t="s">
        <v>37</v>
      </c>
      <c r="F284" t="s">
        <v>38</v>
      </c>
      <c r="G284" s="8">
        <f ca="1">MAX(0,-G311/(NPV($G$16,H283:AA283)+G283))</f>
        <v>949441.29499795113</v>
      </c>
      <c r="H284" s="2">
        <f t="shared" ref="H284:AA284" ca="1" si="113">G284*(1+$G$14)</f>
        <v>969379.56219290802</v>
      </c>
      <c r="I284" s="2">
        <f t="shared" ca="1" si="113"/>
        <v>989736.53299895895</v>
      </c>
      <c r="J284" s="2">
        <f t="shared" ca="1" si="113"/>
        <v>1010521.000191937</v>
      </c>
      <c r="K284" s="2">
        <f t="shared" ca="1" si="113"/>
        <v>1031741.9411959676</v>
      </c>
      <c r="L284" s="2">
        <f t="shared" ca="1" si="113"/>
        <v>1053408.5219610829</v>
      </c>
      <c r="M284" s="2">
        <f t="shared" ca="1" si="113"/>
        <v>1075530.1009222656</v>
      </c>
      <c r="N284" s="2">
        <f t="shared" ca="1" si="113"/>
        <v>1098116.2330416329</v>
      </c>
      <c r="O284" s="2">
        <f t="shared" ca="1" si="113"/>
        <v>1121176.6739355072</v>
      </c>
      <c r="P284" s="2">
        <f t="shared" ca="1" si="113"/>
        <v>1144721.3840881528</v>
      </c>
      <c r="Q284" s="2">
        <f t="shared" ca="1" si="113"/>
        <v>1168760.5331540038</v>
      </c>
      <c r="R284" s="2">
        <f t="shared" ca="1" si="113"/>
        <v>1193304.5043502378</v>
      </c>
      <c r="S284" s="2">
        <f t="shared" ca="1" si="113"/>
        <v>1218363.8989415928</v>
      </c>
      <c r="T284" s="2">
        <f t="shared" ca="1" si="113"/>
        <v>1243949.5408193662</v>
      </c>
      <c r="U284" s="2">
        <f t="shared" ca="1" si="113"/>
        <v>1270072.4811765729</v>
      </c>
      <c r="V284" s="2">
        <f t="shared" ca="1" si="113"/>
        <v>1296744.0032812809</v>
      </c>
      <c r="W284" s="2">
        <f t="shared" ca="1" si="113"/>
        <v>1323975.6273501876</v>
      </c>
      <c r="X284" s="2">
        <f t="shared" ca="1" si="113"/>
        <v>1351779.1155245414</v>
      </c>
      <c r="Y284" s="2">
        <f t="shared" ca="1" si="113"/>
        <v>1380166.4769505565</v>
      </c>
      <c r="Z284" s="2">
        <f t="shared" ca="1" si="113"/>
        <v>1409149.972966518</v>
      </c>
      <c r="AA284" s="2">
        <f t="shared" ca="1" si="113"/>
        <v>1438742.1223988147</v>
      </c>
    </row>
    <row r="285" spans="1:28" x14ac:dyDescent="0.25">
      <c r="E285" t="s">
        <v>21</v>
      </c>
      <c r="F285" t="s">
        <v>7</v>
      </c>
      <c r="G285" s="2">
        <f ca="1">G283*G284</f>
        <v>0</v>
      </c>
      <c r="H285" s="2">
        <f t="shared" ref="H285:AA285" ca="1" si="114">H283*H284</f>
        <v>969379.56219290802</v>
      </c>
      <c r="I285" s="2">
        <f t="shared" ca="1" si="114"/>
        <v>989736.53299895895</v>
      </c>
      <c r="J285" s="2">
        <f t="shared" ca="1" si="114"/>
        <v>1010521.000191937</v>
      </c>
      <c r="K285" s="2">
        <f t="shared" ca="1" si="114"/>
        <v>1031741.9411959676</v>
      </c>
      <c r="L285" s="2">
        <f t="shared" ca="1" si="114"/>
        <v>1053408.5219610829</v>
      </c>
      <c r="M285" s="2">
        <f t="shared" ca="1" si="114"/>
        <v>1075530.1009222656</v>
      </c>
      <c r="N285" s="2">
        <f t="shared" ca="1" si="114"/>
        <v>1098116.2330416329</v>
      </c>
      <c r="O285" s="2">
        <f t="shared" ca="1" si="114"/>
        <v>1121176.6739355072</v>
      </c>
      <c r="P285" s="2">
        <f t="shared" ca="1" si="114"/>
        <v>1144721.3840881528</v>
      </c>
      <c r="Q285" s="2">
        <f t="shared" ca="1" si="114"/>
        <v>1168760.5331540038</v>
      </c>
      <c r="R285" s="2">
        <f t="shared" ca="1" si="114"/>
        <v>1193304.5043502378</v>
      </c>
      <c r="S285" s="2">
        <f t="shared" ca="1" si="114"/>
        <v>1218363.8989415928</v>
      </c>
      <c r="T285" s="2">
        <f t="shared" ca="1" si="114"/>
        <v>1243949.5408193662</v>
      </c>
      <c r="U285" s="2">
        <f t="shared" ca="1" si="114"/>
        <v>1270072.4811765729</v>
      </c>
      <c r="V285" s="2">
        <f t="shared" ca="1" si="114"/>
        <v>1296744.0032812809</v>
      </c>
      <c r="W285" s="2">
        <f t="shared" ca="1" si="114"/>
        <v>0</v>
      </c>
      <c r="X285" s="2">
        <f t="shared" ca="1" si="114"/>
        <v>0</v>
      </c>
      <c r="Y285" s="2">
        <f t="shared" ca="1" si="114"/>
        <v>0</v>
      </c>
      <c r="Z285" s="2">
        <f t="shared" ca="1" si="114"/>
        <v>0</v>
      </c>
      <c r="AA285" s="2">
        <f t="shared" ca="1" si="114"/>
        <v>0</v>
      </c>
    </row>
    <row r="286" spans="1:28" x14ac:dyDescent="0.25">
      <c r="G286" s="8">
        <f ca="1">-G311/(NPV($G$16,H283:AA283)+G283)</f>
        <v>949441.29499795113</v>
      </c>
    </row>
    <row r="287" spans="1:28" x14ac:dyDescent="0.25">
      <c r="D287" t="s">
        <v>9</v>
      </c>
    </row>
    <row r="288" spans="1:28" x14ac:dyDescent="0.25">
      <c r="E288" t="s">
        <v>107</v>
      </c>
      <c r="F288" t="s">
        <v>7</v>
      </c>
      <c r="G288" s="2">
        <f t="shared" ref="G288:AA293" si="115">G222</f>
        <v>0</v>
      </c>
      <c r="H288" s="2">
        <f t="shared" si="115"/>
        <v>1111358.4999999998</v>
      </c>
      <c r="I288" s="2">
        <f t="shared" si="115"/>
        <v>1131048.4849999996</v>
      </c>
      <c r="J288" s="2">
        <f t="shared" si="115"/>
        <v>1172495.0270241247</v>
      </c>
      <c r="K288" s="2">
        <f t="shared" si="115"/>
        <v>1154329.2700764416</v>
      </c>
      <c r="L288" s="2">
        <f t="shared" si="115"/>
        <v>1132941.8497536825</v>
      </c>
      <c r="M288" s="2">
        <f t="shared" si="115"/>
        <v>1112129.5041024233</v>
      </c>
      <c r="N288" s="2">
        <f t="shared" si="115"/>
        <v>1089943.4125780698</v>
      </c>
      <c r="O288" s="2">
        <f t="shared" si="115"/>
        <v>1067368.3265015802</v>
      </c>
      <c r="P288" s="2">
        <f t="shared" si="115"/>
        <v>1153081.2062579067</v>
      </c>
      <c r="Q288" s="2">
        <f t="shared" si="115"/>
        <v>1246231.8112615247</v>
      </c>
      <c r="R288" s="2">
        <f t="shared" si="115"/>
        <v>1347185.2049611674</v>
      </c>
      <c r="S288" s="2">
        <f t="shared" si="115"/>
        <v>1457443.2411072867</v>
      </c>
      <c r="T288" s="2">
        <f t="shared" si="115"/>
        <v>1576323.6749687917</v>
      </c>
      <c r="U288" s="2">
        <f t="shared" si="115"/>
        <v>1598892.0443254721</v>
      </c>
      <c r="V288" s="2">
        <f t="shared" si="115"/>
        <v>1620518.0541431566</v>
      </c>
      <c r="W288" s="2">
        <f t="shared" si="115"/>
        <v>0</v>
      </c>
      <c r="X288" s="2">
        <f t="shared" si="115"/>
        <v>0</v>
      </c>
      <c r="Y288" s="2">
        <f t="shared" si="115"/>
        <v>0</v>
      </c>
      <c r="Z288" s="2">
        <f t="shared" si="115"/>
        <v>0</v>
      </c>
      <c r="AA288" s="2">
        <f t="shared" si="115"/>
        <v>0</v>
      </c>
    </row>
    <row r="289" spans="4:28" customFormat="1" x14ac:dyDescent="0.25">
      <c r="E289" t="s">
        <v>11</v>
      </c>
      <c r="F289" t="s">
        <v>7</v>
      </c>
      <c r="G289" s="2">
        <f t="shared" si="115"/>
        <v>0</v>
      </c>
      <c r="H289" s="2">
        <f t="shared" si="115"/>
        <v>21153.032898388468</v>
      </c>
      <c r="I289" s="2">
        <f t="shared" si="115"/>
        <v>41943.422322547645</v>
      </c>
      <c r="J289" s="2">
        <f t="shared" si="115"/>
        <v>64529.4317947323</v>
      </c>
      <c r="K289" s="2">
        <f t="shared" si="115"/>
        <v>87253.463443233821</v>
      </c>
      <c r="L289" s="2">
        <f t="shared" si="115"/>
        <v>110058.77638471204</v>
      </c>
      <c r="M289" s="2">
        <f t="shared" si="115"/>
        <v>132957.7232937589</v>
      </c>
      <c r="N289" s="2">
        <f t="shared" si="115"/>
        <v>155926.8397356346</v>
      </c>
      <c r="O289" s="2">
        <f t="shared" si="115"/>
        <v>178960.39821344416</v>
      </c>
      <c r="P289" s="2">
        <f t="shared" si="115"/>
        <v>204064.37603162203</v>
      </c>
      <c r="Q289" s="2">
        <f t="shared" si="115"/>
        <v>231419.93897365185</v>
      </c>
      <c r="R289" s="2">
        <f t="shared" si="115"/>
        <v>261218.81534958782</v>
      </c>
      <c r="S289" s="2">
        <f t="shared" si="115"/>
        <v>293684.56204176502</v>
      </c>
      <c r="T289" s="2">
        <f t="shared" si="115"/>
        <v>329032.80093023781</v>
      </c>
      <c r="U289" s="2">
        <f t="shared" si="115"/>
        <v>365541.13790497073</v>
      </c>
      <c r="V289" s="2">
        <f t="shared" si="115"/>
        <v>403216.49009037175</v>
      </c>
      <c r="W289" s="2">
        <f t="shared" si="115"/>
        <v>411684.03638226952</v>
      </c>
      <c r="X289" s="2">
        <f t="shared" si="115"/>
        <v>420329.40114629711</v>
      </c>
      <c r="Y289" s="2">
        <f t="shared" si="115"/>
        <v>429156.31857036927</v>
      </c>
      <c r="Z289" s="2">
        <f t="shared" si="115"/>
        <v>438168.601260347</v>
      </c>
      <c r="AA289" s="2">
        <f t="shared" si="115"/>
        <v>447370.14188681426</v>
      </c>
    </row>
    <row r="290" spans="4:28" customFormat="1" x14ac:dyDescent="0.25">
      <c r="E290" t="s">
        <v>57</v>
      </c>
      <c r="F290" t="s">
        <v>7</v>
      </c>
      <c r="G290" s="2">
        <f t="shared" si="115"/>
        <v>0</v>
      </c>
      <c r="H290" s="2">
        <f t="shared" si="115"/>
        <v>0</v>
      </c>
      <c r="I290" s="2">
        <f t="shared" si="115"/>
        <v>0</v>
      </c>
      <c r="J290" s="2">
        <f t="shared" si="115"/>
        <v>0</v>
      </c>
      <c r="K290" s="2">
        <f t="shared" si="115"/>
        <v>0</v>
      </c>
      <c r="L290" s="2">
        <f t="shared" si="115"/>
        <v>0</v>
      </c>
      <c r="M290" s="2">
        <f t="shared" si="115"/>
        <v>0</v>
      </c>
      <c r="N290" s="2">
        <f t="shared" si="115"/>
        <v>0</v>
      </c>
      <c r="O290" s="2">
        <f t="shared" si="115"/>
        <v>0</v>
      </c>
      <c r="P290" s="2">
        <f t="shared" si="115"/>
        <v>0</v>
      </c>
      <c r="Q290" s="2">
        <f t="shared" si="115"/>
        <v>0</v>
      </c>
      <c r="R290" s="2">
        <f t="shared" si="115"/>
        <v>0</v>
      </c>
      <c r="S290" s="2">
        <f t="shared" si="115"/>
        <v>0</v>
      </c>
      <c r="T290" s="2">
        <f t="shared" si="115"/>
        <v>0</v>
      </c>
      <c r="U290" s="2">
        <f t="shared" si="115"/>
        <v>0</v>
      </c>
      <c r="V290" s="2">
        <f t="shared" si="115"/>
        <v>0</v>
      </c>
      <c r="W290" s="2">
        <f t="shared" si="115"/>
        <v>0</v>
      </c>
      <c r="X290" s="2">
        <f t="shared" si="115"/>
        <v>0</v>
      </c>
      <c r="Y290" s="2">
        <f t="shared" si="115"/>
        <v>0</v>
      </c>
      <c r="Z290" s="2">
        <f t="shared" si="115"/>
        <v>0</v>
      </c>
      <c r="AA290" s="2">
        <f t="shared" si="115"/>
        <v>0</v>
      </c>
    </row>
    <row r="291" spans="4:28" customFormat="1" x14ac:dyDescent="0.25">
      <c r="E291" t="s">
        <v>10</v>
      </c>
      <c r="F291" t="s">
        <v>7</v>
      </c>
      <c r="G291" s="2">
        <f t="shared" si="115"/>
        <v>0</v>
      </c>
      <c r="H291" s="2">
        <f t="shared" si="115"/>
        <v>-38103.719999999994</v>
      </c>
      <c r="I291" s="2">
        <f t="shared" si="115"/>
        <v>-77682.703319999971</v>
      </c>
      <c r="J291" s="2">
        <f t="shared" si="115"/>
        <v>-119513.86958768996</v>
      </c>
      <c r="K291" s="2">
        <f t="shared" si="115"/>
        <v>-161600.66439450945</v>
      </c>
      <c r="L291" s="2">
        <f t="shared" si="115"/>
        <v>-203837.99890977755</v>
      </c>
      <c r="M291" s="2">
        <f t="shared" si="115"/>
        <v>-246248.75131325165</v>
      </c>
      <c r="N291" s="2">
        <f t="shared" si="115"/>
        <v>-288789.463522078</v>
      </c>
      <c r="O291" s="2">
        <f t="shared" si="115"/>
        <v>-331449.52773609583</v>
      </c>
      <c r="P291" s="2">
        <f t="shared" si="115"/>
        <v>-377944.18060453917</v>
      </c>
      <c r="Q291" s="2">
        <f t="shared" si="115"/>
        <v>-428608.9562119153</v>
      </c>
      <c r="R291" s="2">
        <f t="shared" si="115"/>
        <v>-483798.95131960552</v>
      </c>
      <c r="S291" s="2">
        <f t="shared" si="115"/>
        <v>-543928.21184956701</v>
      </c>
      <c r="T291" s="2">
        <f t="shared" si="115"/>
        <v>-609396.08744019503</v>
      </c>
      <c r="U291" s="2">
        <f t="shared" si="115"/>
        <v>-677012.56108188385</v>
      </c>
      <c r="V291" s="2">
        <f t="shared" si="115"/>
        <v>-746790.44386379735</v>
      </c>
      <c r="W291" s="2">
        <f t="shared" si="115"/>
        <v>-762473.04318493709</v>
      </c>
      <c r="X291" s="2">
        <f t="shared" si="115"/>
        <v>-778484.97709182068</v>
      </c>
      <c r="Y291" s="2">
        <f t="shared" si="115"/>
        <v>-794833.16161074885</v>
      </c>
      <c r="Z291" s="2">
        <f t="shared" si="115"/>
        <v>-811524.65800457436</v>
      </c>
      <c r="AA291" s="2">
        <f t="shared" si="115"/>
        <v>-828566.67582267034</v>
      </c>
    </row>
    <row r="292" spans="4:28" customFormat="1" x14ac:dyDescent="0.25">
      <c r="E292" t="s">
        <v>12</v>
      </c>
      <c r="F292" t="s">
        <v>7</v>
      </c>
      <c r="G292" s="2">
        <f t="shared" si="115"/>
        <v>-15860.495071822996</v>
      </c>
      <c r="H292" s="2">
        <f t="shared" si="115"/>
        <v>-31634.745854978955</v>
      </c>
      <c r="I292" s="2">
        <f t="shared" si="115"/>
        <v>-49880.277586834934</v>
      </c>
      <c r="J292" s="2">
        <f t="shared" si="115"/>
        <v>-64536.465424636495</v>
      </c>
      <c r="K292" s="2">
        <f t="shared" si="115"/>
        <v>-78965.581300592021</v>
      </c>
      <c r="L292" s="2">
        <f t="shared" si="115"/>
        <v>-93127.354422513046</v>
      </c>
      <c r="M292" s="2">
        <f t="shared" si="115"/>
        <v>-107028.97322379332</v>
      </c>
      <c r="N292" s="2">
        <f t="shared" si="115"/>
        <v>-120653.26588101921</v>
      </c>
      <c r="O292" s="2">
        <f t="shared" si="115"/>
        <v>-133995.36996228894</v>
      </c>
      <c r="P292" s="2">
        <f t="shared" si="115"/>
        <v>-148408.88504051277</v>
      </c>
      <c r="Q292" s="2">
        <f t="shared" si="115"/>
        <v>-163986.78268128185</v>
      </c>
      <c r="R292" s="2">
        <f t="shared" si="115"/>
        <v>-180826.59774329644</v>
      </c>
      <c r="S292" s="2">
        <f t="shared" si="115"/>
        <v>-199044.63825713753</v>
      </c>
      <c r="T292" s="2">
        <f t="shared" si="115"/>
        <v>-218748.68419424741</v>
      </c>
      <c r="U292" s="2">
        <f t="shared" si="115"/>
        <v>-238734.83474831583</v>
      </c>
      <c r="V292" s="2">
        <f t="shared" si="115"/>
        <v>-258991.3104251053</v>
      </c>
      <c r="W292" s="2">
        <f t="shared" si="115"/>
        <v>-258991.3104251053</v>
      </c>
      <c r="X292" s="2">
        <f t="shared" si="115"/>
        <v>-258991.3104251053</v>
      </c>
      <c r="Y292" s="2">
        <f t="shared" si="115"/>
        <v>-258991.3104251053</v>
      </c>
      <c r="Z292" s="2">
        <f t="shared" si="115"/>
        <v>-258991.3104251053</v>
      </c>
      <c r="AA292" s="2">
        <f t="shared" si="115"/>
        <v>-258991.3104251053</v>
      </c>
    </row>
    <row r="293" spans="4:28" customFormat="1" x14ac:dyDescent="0.25">
      <c r="E293" t="s">
        <v>48</v>
      </c>
      <c r="F293" t="s">
        <v>7</v>
      </c>
      <c r="G293" s="2">
        <f t="shared" si="115"/>
        <v>0</v>
      </c>
      <c r="H293" s="2">
        <f t="shared" si="115"/>
        <v>0</v>
      </c>
      <c r="I293" s="2">
        <f t="shared" si="115"/>
        <v>0</v>
      </c>
      <c r="J293" s="2">
        <f t="shared" si="115"/>
        <v>0</v>
      </c>
      <c r="K293" s="2">
        <f t="shared" si="115"/>
        <v>0</v>
      </c>
      <c r="L293" s="2">
        <f t="shared" si="115"/>
        <v>0</v>
      </c>
      <c r="M293" s="2">
        <f t="shared" si="115"/>
        <v>0</v>
      </c>
      <c r="N293" s="2">
        <f t="shared" si="115"/>
        <v>0</v>
      </c>
      <c r="O293" s="2">
        <f t="shared" si="115"/>
        <v>0</v>
      </c>
      <c r="P293" s="2">
        <f t="shared" si="115"/>
        <v>0</v>
      </c>
      <c r="Q293" s="2">
        <f t="shared" si="115"/>
        <v>0</v>
      </c>
      <c r="R293" s="2">
        <f t="shared" si="115"/>
        <v>0</v>
      </c>
      <c r="S293" s="2">
        <f t="shared" si="115"/>
        <v>0</v>
      </c>
      <c r="T293" s="2">
        <f t="shared" si="115"/>
        <v>0</v>
      </c>
      <c r="U293" s="2">
        <f t="shared" si="115"/>
        <v>0</v>
      </c>
      <c r="V293" s="2">
        <f t="shared" si="115"/>
        <v>0</v>
      </c>
      <c r="W293" s="2">
        <f t="shared" si="115"/>
        <v>0</v>
      </c>
      <c r="X293" s="2">
        <f t="shared" si="115"/>
        <v>0</v>
      </c>
      <c r="Y293" s="2">
        <f t="shared" si="115"/>
        <v>0</v>
      </c>
      <c r="Z293" s="2">
        <f t="shared" si="115"/>
        <v>0</v>
      </c>
      <c r="AA293" s="2">
        <f t="shared" si="115"/>
        <v>0</v>
      </c>
    </row>
    <row r="294" spans="4:28" customFormat="1" x14ac:dyDescent="0.25">
      <c r="E294" t="s">
        <v>13</v>
      </c>
      <c r="F294" t="s">
        <v>7</v>
      </c>
      <c r="G294" s="2">
        <f t="shared" ref="G294:AA294" ca="1" si="116">G285</f>
        <v>0</v>
      </c>
      <c r="H294" s="2">
        <f t="shared" ca="1" si="116"/>
        <v>969379.56219290802</v>
      </c>
      <c r="I294" s="2">
        <f t="shared" ca="1" si="116"/>
        <v>989736.53299895895</v>
      </c>
      <c r="J294" s="2">
        <f t="shared" ca="1" si="116"/>
        <v>1010521.000191937</v>
      </c>
      <c r="K294" s="2">
        <f t="shared" ca="1" si="116"/>
        <v>1031741.9411959676</v>
      </c>
      <c r="L294" s="2">
        <f t="shared" ca="1" si="116"/>
        <v>1053408.5219610829</v>
      </c>
      <c r="M294" s="2">
        <f t="shared" ca="1" si="116"/>
        <v>1075530.1009222656</v>
      </c>
      <c r="N294" s="2">
        <f t="shared" ca="1" si="116"/>
        <v>1098116.2330416329</v>
      </c>
      <c r="O294" s="2">
        <f t="shared" ca="1" si="116"/>
        <v>1121176.6739355072</v>
      </c>
      <c r="P294" s="2">
        <f t="shared" ca="1" si="116"/>
        <v>1144721.3840881528</v>
      </c>
      <c r="Q294" s="2">
        <f t="shared" ca="1" si="116"/>
        <v>1168760.5331540038</v>
      </c>
      <c r="R294" s="2">
        <f t="shared" ca="1" si="116"/>
        <v>1193304.5043502378</v>
      </c>
      <c r="S294" s="2">
        <f t="shared" ca="1" si="116"/>
        <v>1218363.8989415928</v>
      </c>
      <c r="T294" s="2">
        <f t="shared" ca="1" si="116"/>
        <v>1243949.5408193662</v>
      </c>
      <c r="U294" s="2">
        <f t="shared" ca="1" si="116"/>
        <v>1270072.4811765729</v>
      </c>
      <c r="V294" s="2">
        <f t="shared" ca="1" si="116"/>
        <v>1296744.0032812809</v>
      </c>
      <c r="W294" s="2">
        <f t="shared" ca="1" si="116"/>
        <v>0</v>
      </c>
      <c r="X294" s="2">
        <f t="shared" ca="1" si="116"/>
        <v>0</v>
      </c>
      <c r="Y294" s="2">
        <f t="shared" ca="1" si="116"/>
        <v>0</v>
      </c>
      <c r="Z294" s="2">
        <f t="shared" ca="1" si="116"/>
        <v>0</v>
      </c>
      <c r="AA294" s="2">
        <f t="shared" ca="1" si="116"/>
        <v>0</v>
      </c>
    </row>
    <row r="295" spans="4:28" customFormat="1" x14ac:dyDescent="0.25"/>
    <row r="296" spans="4:28" customFormat="1" x14ac:dyDescent="0.25">
      <c r="E296" t="s">
        <v>14</v>
      </c>
      <c r="F296" t="s">
        <v>7</v>
      </c>
      <c r="G296" s="2">
        <f t="shared" ref="G296:AA296" ca="1" si="117">SUM(G288:G294)</f>
        <v>-15860.495071822996</v>
      </c>
      <c r="H296" s="2">
        <f t="shared" ca="1" si="117"/>
        <v>2032152.6292363175</v>
      </c>
      <c r="I296" s="2">
        <f t="shared" ca="1" si="117"/>
        <v>2035165.4594146716</v>
      </c>
      <c r="J296" s="2">
        <f t="shared" ca="1" si="117"/>
        <v>2063495.1239984676</v>
      </c>
      <c r="K296" s="2">
        <f t="shared" ca="1" si="117"/>
        <v>2032758.4290205415</v>
      </c>
      <c r="L296" s="2">
        <f t="shared" ca="1" si="117"/>
        <v>1999443.794767187</v>
      </c>
      <c r="M296" s="2">
        <f t="shared" ca="1" si="117"/>
        <v>1967339.6037814028</v>
      </c>
      <c r="N296" s="2">
        <f t="shared" ca="1" si="117"/>
        <v>1934543.7559522402</v>
      </c>
      <c r="O296" s="2">
        <f t="shared" ca="1" si="117"/>
        <v>1902060.5009521467</v>
      </c>
      <c r="P296" s="2">
        <f t="shared" ca="1" si="117"/>
        <v>1975513.9007326297</v>
      </c>
      <c r="Q296" s="2">
        <f t="shared" ca="1" si="117"/>
        <v>2053816.5444959833</v>
      </c>
      <c r="R296" s="2">
        <f t="shared" ca="1" si="117"/>
        <v>2137082.9755980913</v>
      </c>
      <c r="S296" s="2">
        <f t="shared" ca="1" si="117"/>
        <v>2226518.8519839402</v>
      </c>
      <c r="T296" s="2">
        <f t="shared" ca="1" si="117"/>
        <v>2321161.2450839533</v>
      </c>
      <c r="U296" s="2">
        <f t="shared" ca="1" si="117"/>
        <v>2318758.2675768156</v>
      </c>
      <c r="V296" s="2">
        <f t="shared" ca="1" si="117"/>
        <v>2314696.7932259068</v>
      </c>
      <c r="W296" s="2">
        <f t="shared" ca="1" si="117"/>
        <v>-609780.3172277729</v>
      </c>
      <c r="X296" s="2">
        <f t="shared" ca="1" si="117"/>
        <v>-617146.88637062884</v>
      </c>
      <c r="Y296" s="2">
        <f t="shared" ca="1" si="117"/>
        <v>-624668.15346548485</v>
      </c>
      <c r="Z296" s="2">
        <f t="shared" ca="1" si="117"/>
        <v>-632347.36716933269</v>
      </c>
      <c r="AA296" s="2">
        <f t="shared" ca="1" si="117"/>
        <v>-640187.84436096135</v>
      </c>
    </row>
    <row r="297" spans="4:28" customFormat="1" x14ac:dyDescent="0.25">
      <c r="E297" t="s">
        <v>15</v>
      </c>
      <c r="F297" t="s">
        <v>7</v>
      </c>
      <c r="G297" s="2">
        <f t="shared" ref="G297:AA297" ca="1" si="118">-G296*G$18</f>
        <v>4758.1485215468983</v>
      </c>
      <c r="H297" s="2">
        <f t="shared" ca="1" si="118"/>
        <v>-609645.78877089522</v>
      </c>
      <c r="I297" s="2">
        <f t="shared" ca="1" si="118"/>
        <v>-610549.63782440149</v>
      </c>
      <c r="J297" s="2">
        <f t="shared" ca="1" si="118"/>
        <v>-619048.5371995403</v>
      </c>
      <c r="K297" s="2">
        <f t="shared" ca="1" si="118"/>
        <v>-609827.52870616247</v>
      </c>
      <c r="L297" s="2">
        <f t="shared" ca="1" si="118"/>
        <v>-599833.13843015605</v>
      </c>
      <c r="M297" s="2">
        <f t="shared" ca="1" si="118"/>
        <v>-590201.88113442087</v>
      </c>
      <c r="N297" s="2">
        <f t="shared" ca="1" si="118"/>
        <v>-580363.12678567204</v>
      </c>
      <c r="O297" s="2">
        <f t="shared" ca="1" si="118"/>
        <v>-570618.15028564399</v>
      </c>
      <c r="P297" s="2">
        <f t="shared" ca="1" si="118"/>
        <v>-592654.17021978891</v>
      </c>
      <c r="Q297" s="2">
        <f t="shared" ca="1" si="118"/>
        <v>-616144.96334879496</v>
      </c>
      <c r="R297" s="2">
        <f t="shared" ca="1" si="118"/>
        <v>-641124.8926794274</v>
      </c>
      <c r="S297" s="2">
        <f t="shared" ca="1" si="118"/>
        <v>-667955.65559518209</v>
      </c>
      <c r="T297" s="2">
        <f t="shared" ca="1" si="118"/>
        <v>-696348.37352518598</v>
      </c>
      <c r="U297" s="2">
        <f t="shared" ca="1" si="118"/>
        <v>-695627.48027304467</v>
      </c>
      <c r="V297" s="2">
        <f t="shared" ca="1" si="118"/>
        <v>-694409.03796777199</v>
      </c>
      <c r="W297" s="2">
        <f t="shared" ca="1" si="118"/>
        <v>182934.09516833187</v>
      </c>
      <c r="X297" s="2">
        <f t="shared" ca="1" si="118"/>
        <v>185144.06591118863</v>
      </c>
      <c r="Y297" s="2">
        <f t="shared" ca="1" si="118"/>
        <v>187400.44603964544</v>
      </c>
      <c r="Z297" s="2">
        <f t="shared" ca="1" si="118"/>
        <v>189704.2101507998</v>
      </c>
      <c r="AA297" s="2">
        <f t="shared" ca="1" si="118"/>
        <v>192056.35330828841</v>
      </c>
    </row>
    <row r="298" spans="4:28" customFormat="1" x14ac:dyDescent="0.25"/>
    <row r="299" spans="4:28" customFormat="1" x14ac:dyDescent="0.25">
      <c r="D299" t="s">
        <v>28</v>
      </c>
    </row>
    <row r="300" spans="4:28" customFormat="1" x14ac:dyDescent="0.25">
      <c r="E300" t="s">
        <v>1</v>
      </c>
      <c r="F300" t="s">
        <v>7</v>
      </c>
      <c r="G300" s="2">
        <f t="shared" ref="G300:AA307" si="119">G234</f>
        <v>-1268839.6057458397</v>
      </c>
      <c r="H300" s="2">
        <f t="shared" si="119"/>
        <v>-150581.56265247698</v>
      </c>
      <c r="I300" s="2">
        <f t="shared" si="119"/>
        <v>-328594.05354847881</v>
      </c>
      <c r="J300" s="2">
        <f t="shared" si="119"/>
        <v>0</v>
      </c>
      <c r="K300" s="2">
        <f t="shared" si="119"/>
        <v>0</v>
      </c>
      <c r="L300" s="2">
        <f t="shared" si="119"/>
        <v>0</v>
      </c>
      <c r="M300" s="2">
        <f t="shared" si="119"/>
        <v>0</v>
      </c>
      <c r="N300" s="2">
        <f t="shared" si="119"/>
        <v>0</v>
      </c>
      <c r="O300" s="2">
        <f t="shared" si="119"/>
        <v>0</v>
      </c>
      <c r="P300" s="2">
        <f t="shared" si="119"/>
        <v>0</v>
      </c>
      <c r="Q300" s="2">
        <f t="shared" si="119"/>
        <v>0</v>
      </c>
      <c r="R300" s="2">
        <f t="shared" si="119"/>
        <v>0</v>
      </c>
      <c r="S300" s="2">
        <f t="shared" si="119"/>
        <v>0</v>
      </c>
      <c r="T300" s="2">
        <f t="shared" si="119"/>
        <v>0</v>
      </c>
      <c r="U300" s="2">
        <f t="shared" si="119"/>
        <v>0</v>
      </c>
      <c r="V300" s="2">
        <f t="shared" si="119"/>
        <v>0</v>
      </c>
      <c r="W300" s="2">
        <f t="shared" si="119"/>
        <v>0</v>
      </c>
      <c r="X300" s="2">
        <f t="shared" si="119"/>
        <v>0</v>
      </c>
      <c r="Y300" s="2">
        <f t="shared" si="119"/>
        <v>0</v>
      </c>
      <c r="Z300" s="2">
        <f t="shared" si="119"/>
        <v>0</v>
      </c>
      <c r="AA300" s="2">
        <f t="shared" si="119"/>
        <v>0</v>
      </c>
    </row>
    <row r="301" spans="4:28" customFormat="1" x14ac:dyDescent="0.25">
      <c r="E301" t="s">
        <v>19</v>
      </c>
      <c r="F301" t="s">
        <v>7</v>
      </c>
      <c r="G301" s="2">
        <f t="shared" si="119"/>
        <v>0</v>
      </c>
      <c r="H301" s="2">
        <f t="shared" si="119"/>
        <v>0</v>
      </c>
      <c r="I301" s="2">
        <f t="shared" si="119"/>
        <v>0</v>
      </c>
      <c r="J301" s="2">
        <f t="shared" si="119"/>
        <v>0</v>
      </c>
      <c r="K301" s="2">
        <f t="shared" si="119"/>
        <v>0</v>
      </c>
      <c r="L301" s="2">
        <f t="shared" si="119"/>
        <v>0</v>
      </c>
      <c r="M301" s="2">
        <f t="shared" si="119"/>
        <v>0</v>
      </c>
      <c r="N301" s="2">
        <f t="shared" si="119"/>
        <v>0</v>
      </c>
      <c r="O301" s="2">
        <f t="shared" si="119"/>
        <v>0</v>
      </c>
      <c r="P301" s="2">
        <f t="shared" si="119"/>
        <v>0</v>
      </c>
      <c r="Q301" s="2">
        <f t="shared" si="119"/>
        <v>0</v>
      </c>
      <c r="R301" s="2">
        <f t="shared" si="119"/>
        <v>0</v>
      </c>
      <c r="S301" s="2">
        <f t="shared" si="119"/>
        <v>0</v>
      </c>
      <c r="T301" s="2">
        <f t="shared" si="119"/>
        <v>0</v>
      </c>
      <c r="U301" s="2">
        <f t="shared" si="119"/>
        <v>0</v>
      </c>
      <c r="V301" s="2">
        <f t="shared" si="119"/>
        <v>0</v>
      </c>
      <c r="W301" s="2">
        <f t="shared" si="119"/>
        <v>0</v>
      </c>
      <c r="X301" s="2">
        <f t="shared" si="119"/>
        <v>0</v>
      </c>
      <c r="Y301" s="2">
        <f t="shared" si="119"/>
        <v>0</v>
      </c>
      <c r="Z301" s="2">
        <f t="shared" si="119"/>
        <v>0</v>
      </c>
      <c r="AA301" s="2">
        <f t="shared" si="119"/>
        <v>0</v>
      </c>
    </row>
    <row r="302" spans="4:28" customFormat="1" x14ac:dyDescent="0.25">
      <c r="E302" t="s">
        <v>109</v>
      </c>
      <c r="F302" t="s">
        <v>7</v>
      </c>
      <c r="G302" s="2">
        <f t="shared" si="119"/>
        <v>0</v>
      </c>
      <c r="H302" s="2">
        <f t="shared" si="119"/>
        <v>0</v>
      </c>
      <c r="I302" s="2">
        <f t="shared" si="119"/>
        <v>0</v>
      </c>
      <c r="J302" s="2">
        <f t="shared" si="119"/>
        <v>0</v>
      </c>
      <c r="K302" s="2">
        <f t="shared" si="119"/>
        <v>0</v>
      </c>
      <c r="L302" s="2">
        <f t="shared" si="119"/>
        <v>0</v>
      </c>
      <c r="M302" s="2">
        <f t="shared" si="119"/>
        <v>0</v>
      </c>
      <c r="N302" s="2">
        <f t="shared" si="119"/>
        <v>0</v>
      </c>
      <c r="O302" s="2">
        <f t="shared" si="119"/>
        <v>0</v>
      </c>
      <c r="P302" s="2">
        <f t="shared" si="119"/>
        <v>0</v>
      </c>
      <c r="Q302" s="2">
        <f t="shared" si="119"/>
        <v>0</v>
      </c>
      <c r="R302" s="2">
        <f t="shared" si="119"/>
        <v>0</v>
      </c>
      <c r="S302" s="2">
        <f t="shared" si="119"/>
        <v>0</v>
      </c>
      <c r="T302" s="2">
        <f t="shared" si="119"/>
        <v>0</v>
      </c>
      <c r="U302" s="2">
        <f t="shared" si="119"/>
        <v>0</v>
      </c>
      <c r="V302" s="2">
        <f t="shared" si="119"/>
        <v>0</v>
      </c>
      <c r="W302" s="2">
        <f t="shared" si="119"/>
        <v>0</v>
      </c>
      <c r="X302" s="2">
        <f t="shared" si="119"/>
        <v>0</v>
      </c>
      <c r="Y302" s="2">
        <f t="shared" si="119"/>
        <v>0</v>
      </c>
      <c r="Z302" s="2">
        <f t="shared" si="119"/>
        <v>0</v>
      </c>
      <c r="AA302" s="2">
        <f t="shared" si="119"/>
        <v>0</v>
      </c>
    </row>
    <row r="303" spans="4:28" customFormat="1" x14ac:dyDescent="0.25">
      <c r="E303" t="s">
        <v>11</v>
      </c>
      <c r="F303" t="s">
        <v>7</v>
      </c>
      <c r="G303" s="2">
        <f t="shared" si="119"/>
        <v>0</v>
      </c>
      <c r="H303" s="2">
        <f t="shared" si="119"/>
        <v>21153.032898388468</v>
      </c>
      <c r="I303" s="2">
        <f t="shared" si="119"/>
        <v>41943.422322547645</v>
      </c>
      <c r="J303" s="2">
        <f t="shared" si="119"/>
        <v>64529.4317947323</v>
      </c>
      <c r="K303" s="2">
        <f t="shared" si="119"/>
        <v>87253.463443233821</v>
      </c>
      <c r="L303" s="2">
        <f t="shared" si="119"/>
        <v>110058.77638471204</v>
      </c>
      <c r="M303" s="2">
        <f t="shared" si="119"/>
        <v>132957.7232937589</v>
      </c>
      <c r="N303" s="2">
        <f t="shared" si="119"/>
        <v>155926.8397356346</v>
      </c>
      <c r="O303" s="2">
        <f t="shared" si="119"/>
        <v>178960.39821344416</v>
      </c>
      <c r="P303" s="2">
        <f t="shared" si="119"/>
        <v>204064.37603162203</v>
      </c>
      <c r="Q303" s="2">
        <f t="shared" si="119"/>
        <v>231419.93897365185</v>
      </c>
      <c r="R303" s="2">
        <f t="shared" si="119"/>
        <v>261218.81534958782</v>
      </c>
      <c r="S303" s="2">
        <f t="shared" si="119"/>
        <v>293684.56204176502</v>
      </c>
      <c r="T303" s="2">
        <f t="shared" si="119"/>
        <v>329032.80093023781</v>
      </c>
      <c r="U303" s="2">
        <f t="shared" si="119"/>
        <v>365541.13790497073</v>
      </c>
      <c r="V303" s="2">
        <f t="shared" si="119"/>
        <v>403216.49009037175</v>
      </c>
      <c r="W303" s="2">
        <f t="shared" si="119"/>
        <v>411684.03638226952</v>
      </c>
      <c r="X303" s="2">
        <f t="shared" si="119"/>
        <v>420329.40114629711</v>
      </c>
      <c r="Y303" s="2">
        <f t="shared" si="119"/>
        <v>429156.31857036927</v>
      </c>
      <c r="Z303" s="2">
        <f t="shared" si="119"/>
        <v>438168.601260347</v>
      </c>
      <c r="AA303" s="2">
        <f t="shared" si="119"/>
        <v>447370.14188681426</v>
      </c>
      <c r="AB303" s="2">
        <f t="shared" ref="AB303:AB307" si="120">IF(V303=0,0,IF($G$15&gt;(AA303/V303)^(1/5)-1+2%,AA303*(AA303/V303)^(1/5)/($G$15-((AA303/V303)^(1/5)-1)),AA303*(1+$G$14)/$G$16))</f>
        <v>14912338.06289384</v>
      </c>
    </row>
    <row r="304" spans="4:28" customFormat="1" x14ac:dyDescent="0.25">
      <c r="E304" t="s">
        <v>57</v>
      </c>
      <c r="F304" t="s">
        <v>7</v>
      </c>
      <c r="G304" s="2">
        <f t="shared" si="119"/>
        <v>0</v>
      </c>
      <c r="H304" s="2">
        <f t="shared" si="119"/>
        <v>0</v>
      </c>
      <c r="I304" s="2">
        <f t="shared" si="119"/>
        <v>0</v>
      </c>
      <c r="J304" s="2">
        <f t="shared" si="119"/>
        <v>0</v>
      </c>
      <c r="K304" s="2">
        <f t="shared" si="119"/>
        <v>0</v>
      </c>
      <c r="L304" s="2">
        <f t="shared" si="119"/>
        <v>0</v>
      </c>
      <c r="M304" s="2">
        <f t="shared" si="119"/>
        <v>0</v>
      </c>
      <c r="N304" s="2">
        <f t="shared" si="119"/>
        <v>0</v>
      </c>
      <c r="O304" s="2">
        <f t="shared" si="119"/>
        <v>0</v>
      </c>
      <c r="P304" s="2">
        <f t="shared" si="119"/>
        <v>0</v>
      </c>
      <c r="Q304" s="2">
        <f t="shared" si="119"/>
        <v>0</v>
      </c>
      <c r="R304" s="2">
        <f t="shared" si="119"/>
        <v>0</v>
      </c>
      <c r="S304" s="2">
        <f t="shared" si="119"/>
        <v>0</v>
      </c>
      <c r="T304" s="2">
        <f t="shared" si="119"/>
        <v>0</v>
      </c>
      <c r="U304" s="2">
        <f t="shared" si="119"/>
        <v>0</v>
      </c>
      <c r="V304" s="2">
        <f t="shared" si="119"/>
        <v>0</v>
      </c>
      <c r="W304" s="2">
        <f t="shared" si="119"/>
        <v>0</v>
      </c>
      <c r="X304" s="2">
        <f t="shared" si="119"/>
        <v>0</v>
      </c>
      <c r="Y304" s="2">
        <f t="shared" si="119"/>
        <v>0</v>
      </c>
      <c r="Z304" s="2">
        <f t="shared" si="119"/>
        <v>0</v>
      </c>
      <c r="AA304" s="2">
        <f t="shared" si="119"/>
        <v>0</v>
      </c>
      <c r="AB304" s="2">
        <f t="shared" si="120"/>
        <v>0</v>
      </c>
    </row>
    <row r="305" spans="1:28" x14ac:dyDescent="0.25">
      <c r="E305" t="s">
        <v>10</v>
      </c>
      <c r="F305" t="s">
        <v>7</v>
      </c>
      <c r="G305" s="2">
        <f t="shared" si="119"/>
        <v>0</v>
      </c>
      <c r="H305" s="2">
        <f t="shared" si="119"/>
        <v>-38103.719999999994</v>
      </c>
      <c r="I305" s="2">
        <f t="shared" si="119"/>
        <v>-77682.703319999971</v>
      </c>
      <c r="J305" s="2">
        <f t="shared" si="119"/>
        <v>-119513.86958768996</v>
      </c>
      <c r="K305" s="2">
        <f t="shared" si="119"/>
        <v>-161600.66439450945</v>
      </c>
      <c r="L305" s="2">
        <f t="shared" si="119"/>
        <v>-203837.99890977755</v>
      </c>
      <c r="M305" s="2">
        <f t="shared" si="119"/>
        <v>-246248.75131325165</v>
      </c>
      <c r="N305" s="2">
        <f t="shared" si="119"/>
        <v>-288789.463522078</v>
      </c>
      <c r="O305" s="2">
        <f t="shared" si="119"/>
        <v>-331449.52773609583</v>
      </c>
      <c r="P305" s="2">
        <f t="shared" si="119"/>
        <v>-377944.18060453917</v>
      </c>
      <c r="Q305" s="2">
        <f t="shared" si="119"/>
        <v>-428608.9562119153</v>
      </c>
      <c r="R305" s="2">
        <f t="shared" si="119"/>
        <v>-483798.95131960552</v>
      </c>
      <c r="S305" s="2">
        <f t="shared" si="119"/>
        <v>-543928.21184956701</v>
      </c>
      <c r="T305" s="2">
        <f t="shared" si="119"/>
        <v>-609396.08744019503</v>
      </c>
      <c r="U305" s="2">
        <f t="shared" si="119"/>
        <v>-677012.56108188385</v>
      </c>
      <c r="V305" s="2">
        <f t="shared" si="119"/>
        <v>-746790.44386379735</v>
      </c>
      <c r="W305" s="2">
        <f t="shared" si="119"/>
        <v>-762473.04318493709</v>
      </c>
      <c r="X305" s="2">
        <f t="shared" si="119"/>
        <v>-778484.97709182068</v>
      </c>
      <c r="Y305" s="2">
        <f t="shared" si="119"/>
        <v>-794833.16161074885</v>
      </c>
      <c r="Z305" s="2">
        <f t="shared" si="119"/>
        <v>-811524.65800457436</v>
      </c>
      <c r="AA305" s="2">
        <f t="shared" si="119"/>
        <v>-828566.67582267034</v>
      </c>
      <c r="AB305" s="2">
        <f t="shared" si="120"/>
        <v>-27618889.194089066</v>
      </c>
    </row>
    <row r="306" spans="1:28" x14ac:dyDescent="0.25">
      <c r="E306" t="s">
        <v>48</v>
      </c>
      <c r="F306" t="s">
        <v>7</v>
      </c>
      <c r="G306" s="2">
        <f t="shared" si="119"/>
        <v>0</v>
      </c>
      <c r="H306" s="2">
        <f t="shared" si="119"/>
        <v>0</v>
      </c>
      <c r="I306" s="2">
        <f t="shared" si="119"/>
        <v>0</v>
      </c>
      <c r="J306" s="2">
        <f t="shared" si="119"/>
        <v>0</v>
      </c>
      <c r="K306" s="2">
        <f t="shared" si="119"/>
        <v>0</v>
      </c>
      <c r="L306" s="2">
        <f t="shared" si="119"/>
        <v>0</v>
      </c>
      <c r="M306" s="2">
        <f t="shared" si="119"/>
        <v>0</v>
      </c>
      <c r="N306" s="2">
        <f t="shared" si="119"/>
        <v>0</v>
      </c>
      <c r="O306" s="2">
        <f t="shared" si="119"/>
        <v>0</v>
      </c>
      <c r="P306" s="2">
        <f t="shared" si="119"/>
        <v>0</v>
      </c>
      <c r="Q306" s="2">
        <f t="shared" si="119"/>
        <v>0</v>
      </c>
      <c r="R306" s="2">
        <f t="shared" si="119"/>
        <v>0</v>
      </c>
      <c r="S306" s="2">
        <f t="shared" si="119"/>
        <v>0</v>
      </c>
      <c r="T306" s="2">
        <f t="shared" si="119"/>
        <v>0</v>
      </c>
      <c r="U306" s="2">
        <f t="shared" si="119"/>
        <v>0</v>
      </c>
      <c r="V306" s="2">
        <f t="shared" si="119"/>
        <v>0</v>
      </c>
      <c r="W306" s="2">
        <f t="shared" si="119"/>
        <v>0</v>
      </c>
      <c r="X306" s="2">
        <f t="shared" si="119"/>
        <v>0</v>
      </c>
      <c r="Y306" s="2">
        <f t="shared" si="119"/>
        <v>0</v>
      </c>
      <c r="Z306" s="2">
        <f t="shared" si="119"/>
        <v>0</v>
      </c>
      <c r="AA306" s="2">
        <f t="shared" si="119"/>
        <v>0</v>
      </c>
      <c r="AB306" s="2">
        <f t="shared" si="120"/>
        <v>0</v>
      </c>
    </row>
    <row r="307" spans="1:28" x14ac:dyDescent="0.25">
      <c r="E307" t="s">
        <v>49</v>
      </c>
      <c r="F307" t="s">
        <v>7</v>
      </c>
      <c r="G307" s="2">
        <f t="shared" si="119"/>
        <v>0</v>
      </c>
      <c r="H307" s="2">
        <f t="shared" si="119"/>
        <v>0</v>
      </c>
      <c r="I307" s="2">
        <f t="shared" si="119"/>
        <v>0</v>
      </c>
      <c r="J307" s="2">
        <f t="shared" si="119"/>
        <v>0</v>
      </c>
      <c r="K307" s="2">
        <f t="shared" si="119"/>
        <v>0</v>
      </c>
      <c r="L307" s="2">
        <f t="shared" si="119"/>
        <v>0</v>
      </c>
      <c r="M307" s="2">
        <f t="shared" si="119"/>
        <v>0</v>
      </c>
      <c r="N307" s="2">
        <f t="shared" si="119"/>
        <v>0</v>
      </c>
      <c r="O307" s="2">
        <f t="shared" si="119"/>
        <v>0</v>
      </c>
      <c r="P307" s="2">
        <f t="shared" si="119"/>
        <v>0</v>
      </c>
      <c r="Q307" s="2">
        <f t="shared" si="119"/>
        <v>0</v>
      </c>
      <c r="R307" s="2">
        <f t="shared" si="119"/>
        <v>0</v>
      </c>
      <c r="S307" s="2">
        <f t="shared" si="119"/>
        <v>0</v>
      </c>
      <c r="T307" s="2">
        <f t="shared" si="119"/>
        <v>0</v>
      </c>
      <c r="U307" s="2">
        <f t="shared" si="119"/>
        <v>0</v>
      </c>
      <c r="V307" s="2">
        <f t="shared" si="119"/>
        <v>0</v>
      </c>
      <c r="W307" s="2">
        <f t="shared" si="119"/>
        <v>0</v>
      </c>
      <c r="X307" s="2">
        <f t="shared" si="119"/>
        <v>0</v>
      </c>
      <c r="Y307" s="2">
        <f t="shared" si="119"/>
        <v>0</v>
      </c>
      <c r="Z307" s="2">
        <f t="shared" si="119"/>
        <v>0</v>
      </c>
      <c r="AA307" s="2">
        <f t="shared" si="119"/>
        <v>0</v>
      </c>
      <c r="AB307" s="2">
        <f t="shared" si="120"/>
        <v>0</v>
      </c>
    </row>
    <row r="308" spans="1:28" x14ac:dyDescent="0.25">
      <c r="E308" t="s">
        <v>20</v>
      </c>
      <c r="F308" t="s">
        <v>7</v>
      </c>
      <c r="G308" s="2">
        <f t="shared" ref="G308:AA308" ca="1" si="121">G297</f>
        <v>4758.1485215468983</v>
      </c>
      <c r="H308" s="2">
        <f t="shared" ca="1" si="121"/>
        <v>-609645.78877089522</v>
      </c>
      <c r="I308" s="2">
        <f t="shared" ca="1" si="121"/>
        <v>-610549.63782440149</v>
      </c>
      <c r="J308" s="2">
        <f t="shared" ca="1" si="121"/>
        <v>-619048.5371995403</v>
      </c>
      <c r="K308" s="2">
        <f t="shared" ca="1" si="121"/>
        <v>-609827.52870616247</v>
      </c>
      <c r="L308" s="2">
        <f t="shared" ca="1" si="121"/>
        <v>-599833.13843015605</v>
      </c>
      <c r="M308" s="2">
        <f t="shared" ca="1" si="121"/>
        <v>-590201.88113442087</v>
      </c>
      <c r="N308" s="2">
        <f t="shared" ca="1" si="121"/>
        <v>-580363.12678567204</v>
      </c>
      <c r="O308" s="2">
        <f t="shared" ca="1" si="121"/>
        <v>-570618.15028564399</v>
      </c>
      <c r="P308" s="2">
        <f t="shared" ca="1" si="121"/>
        <v>-592654.17021978891</v>
      </c>
      <c r="Q308" s="2">
        <f t="shared" ca="1" si="121"/>
        <v>-616144.96334879496</v>
      </c>
      <c r="R308" s="2">
        <f t="shared" ca="1" si="121"/>
        <v>-641124.8926794274</v>
      </c>
      <c r="S308" s="2">
        <f t="shared" ca="1" si="121"/>
        <v>-667955.65559518209</v>
      </c>
      <c r="T308" s="2">
        <f t="shared" ca="1" si="121"/>
        <v>-696348.37352518598</v>
      </c>
      <c r="U308" s="2">
        <f t="shared" ca="1" si="121"/>
        <v>-695627.48027304467</v>
      </c>
      <c r="V308" s="2">
        <f t="shared" ca="1" si="121"/>
        <v>-694409.03796777199</v>
      </c>
      <c r="W308" s="2">
        <f t="shared" ca="1" si="121"/>
        <v>182934.09516833187</v>
      </c>
      <c r="X308" s="2">
        <f t="shared" ca="1" si="121"/>
        <v>185144.06591118863</v>
      </c>
      <c r="Y308" s="2">
        <f t="shared" ca="1" si="121"/>
        <v>187400.44603964544</v>
      </c>
      <c r="Z308" s="2">
        <f t="shared" ca="1" si="121"/>
        <v>189704.2101507998</v>
      </c>
      <c r="AA308" s="2">
        <f t="shared" ca="1" si="121"/>
        <v>192056.35330828841</v>
      </c>
      <c r="AB308" s="2">
        <f ca="1">IF(V308=0,0,IF($G$15&gt;(AA308/V308)^(1/5)-1+2%,AA308*(AA308/V308)^(1/5)/($G$15-((AA308/V308)^(1/5)-1)),AA308*(1+$G$14)/$G$16))</f>
        <v>-81383.979399361502</v>
      </c>
    </row>
    <row r="309" spans="1:28" x14ac:dyDescent="0.25">
      <c r="E309" t="s">
        <v>173</v>
      </c>
      <c r="F309" t="s">
        <v>7</v>
      </c>
      <c r="G309" s="2">
        <f ca="1">-$G$17*G308</f>
        <v>-2379.0742607734492</v>
      </c>
      <c r="H309" s="2">
        <f t="shared" ref="H309:AA309" ca="1" si="122">-$G$17*H308</f>
        <v>304822.89438544761</v>
      </c>
      <c r="I309" s="2">
        <f t="shared" ca="1" si="122"/>
        <v>305274.81891220075</v>
      </c>
      <c r="J309" s="2">
        <f t="shared" ca="1" si="122"/>
        <v>309524.26859977015</v>
      </c>
      <c r="K309" s="2">
        <f t="shared" ca="1" si="122"/>
        <v>304913.76435308123</v>
      </c>
      <c r="L309" s="2">
        <f t="shared" ca="1" si="122"/>
        <v>299916.56921507802</v>
      </c>
      <c r="M309" s="2">
        <f t="shared" ca="1" si="122"/>
        <v>295100.94056721043</v>
      </c>
      <c r="N309" s="2">
        <f t="shared" ca="1" si="122"/>
        <v>290181.56339283602</v>
      </c>
      <c r="O309" s="2">
        <f t="shared" ca="1" si="122"/>
        <v>285309.075142822</v>
      </c>
      <c r="P309" s="2">
        <f t="shared" ca="1" si="122"/>
        <v>296327.08510989445</v>
      </c>
      <c r="Q309" s="2">
        <f t="shared" ca="1" si="122"/>
        <v>308072.48167439748</v>
      </c>
      <c r="R309" s="2">
        <f t="shared" ca="1" si="122"/>
        <v>320562.4463397137</v>
      </c>
      <c r="S309" s="2">
        <f t="shared" ca="1" si="122"/>
        <v>333977.82779759105</v>
      </c>
      <c r="T309" s="2">
        <f t="shared" ca="1" si="122"/>
        <v>348174.18676259299</v>
      </c>
      <c r="U309" s="2">
        <f t="shared" ca="1" si="122"/>
        <v>347813.74013652233</v>
      </c>
      <c r="V309" s="2">
        <f t="shared" ca="1" si="122"/>
        <v>347204.518983886</v>
      </c>
      <c r="W309" s="2">
        <f t="shared" ca="1" si="122"/>
        <v>-91467.047584165935</v>
      </c>
      <c r="X309" s="2">
        <f t="shared" ca="1" si="122"/>
        <v>-92572.032955594317</v>
      </c>
      <c r="Y309" s="2">
        <f t="shared" ca="1" si="122"/>
        <v>-93700.223019822719</v>
      </c>
      <c r="Z309" s="2">
        <f t="shared" ca="1" si="122"/>
        <v>-94852.105075399901</v>
      </c>
      <c r="AA309" s="2">
        <f t="shared" ca="1" si="122"/>
        <v>-96028.176654144205</v>
      </c>
      <c r="AB309" s="2">
        <f t="shared" ref="AB309" ca="1" si="123">IF(V309=0,0,IF($G$15&gt;(AA309/V309)^(1/5)-1+2%,AA309*(AA309/V309)^(1/5)/($G$15-((AA309/V309)^(1/5)-1)),AA309*(1+$G$14)/$G$16))</f>
        <v>40691.989699680751</v>
      </c>
    </row>
    <row r="310" spans="1:28" x14ac:dyDescent="0.25">
      <c r="E310" t="s">
        <v>23</v>
      </c>
      <c r="F310" t="s">
        <v>7</v>
      </c>
      <c r="G310" s="2">
        <f t="shared" ref="G310:AB310" ca="1" si="124">SUM(G300:G309)</f>
        <v>-1266460.5314850661</v>
      </c>
      <c r="H310" s="2">
        <f t="shared" ca="1" si="124"/>
        <v>-472355.14413953607</v>
      </c>
      <c r="I310" s="2">
        <f t="shared" ca="1" si="124"/>
        <v>-669608.15345813183</v>
      </c>
      <c r="J310" s="2">
        <f t="shared" ca="1" si="124"/>
        <v>-364508.70639272779</v>
      </c>
      <c r="K310" s="2">
        <f t="shared" ca="1" si="124"/>
        <v>-379260.96530435688</v>
      </c>
      <c r="L310" s="2">
        <f t="shared" ca="1" si="124"/>
        <v>-393695.79174014356</v>
      </c>
      <c r="M310" s="2">
        <f t="shared" ca="1" si="124"/>
        <v>-408391.96858670318</v>
      </c>
      <c r="N310" s="2">
        <f t="shared" ca="1" si="124"/>
        <v>-423044.1871792794</v>
      </c>
      <c r="O310" s="2">
        <f t="shared" ca="1" si="124"/>
        <v>-437798.20466547366</v>
      </c>
      <c r="P310" s="2">
        <f t="shared" ca="1" si="124"/>
        <v>-470206.88968281163</v>
      </c>
      <c r="Q310" s="2">
        <f t="shared" ca="1" si="124"/>
        <v>-505261.49891266099</v>
      </c>
      <c r="R310" s="2">
        <f t="shared" ca="1" si="124"/>
        <v>-543142.58230973152</v>
      </c>
      <c r="S310" s="2">
        <f t="shared" ca="1" si="124"/>
        <v>-584221.47760539316</v>
      </c>
      <c r="T310" s="2">
        <f t="shared" ca="1" si="124"/>
        <v>-628537.47327255015</v>
      </c>
      <c r="U310" s="2">
        <f t="shared" ca="1" si="124"/>
        <v>-659285.16331343539</v>
      </c>
      <c r="V310" s="2">
        <f t="shared" ca="1" si="124"/>
        <v>-690778.47275731165</v>
      </c>
      <c r="W310" s="2">
        <f t="shared" ca="1" si="124"/>
        <v>-259321.95921850164</v>
      </c>
      <c r="X310" s="2">
        <f t="shared" ca="1" si="124"/>
        <v>-265583.54298992926</v>
      </c>
      <c r="Y310" s="2">
        <f t="shared" ca="1" si="124"/>
        <v>-271976.62002055685</v>
      </c>
      <c r="Z310" s="2">
        <f t="shared" ca="1" si="124"/>
        <v>-278503.95166882745</v>
      </c>
      <c r="AA310" s="2">
        <f t="shared" ca="1" si="124"/>
        <v>-285168.35728171188</v>
      </c>
      <c r="AB310" s="2">
        <f t="shared" ca="1" si="124"/>
        <v>-12747243.120894907</v>
      </c>
    </row>
    <row r="311" spans="1:28" x14ac:dyDescent="0.25">
      <c r="E311" t="s">
        <v>31</v>
      </c>
      <c r="F311" t="s">
        <v>7</v>
      </c>
      <c r="G311" s="2">
        <f ca="1">NPV($G$15,H310:AB310)+G310</f>
        <v>-11334368.548390158</v>
      </c>
    </row>
    <row r="313" spans="1:28" x14ac:dyDescent="0.25">
      <c r="E313" t="s">
        <v>13</v>
      </c>
      <c r="F313" t="s">
        <v>7</v>
      </c>
      <c r="G313" s="2">
        <f t="shared" ref="G313:AA313" ca="1" si="125">G285</f>
        <v>0</v>
      </c>
      <c r="H313" s="2">
        <f t="shared" ca="1" si="125"/>
        <v>969379.56219290802</v>
      </c>
      <c r="I313" s="2">
        <f t="shared" ca="1" si="125"/>
        <v>989736.53299895895</v>
      </c>
      <c r="J313" s="2">
        <f t="shared" ca="1" si="125"/>
        <v>1010521.000191937</v>
      </c>
      <c r="K313" s="2">
        <f t="shared" ca="1" si="125"/>
        <v>1031741.9411959676</v>
      </c>
      <c r="L313" s="2">
        <f t="shared" ca="1" si="125"/>
        <v>1053408.5219610829</v>
      </c>
      <c r="M313" s="2">
        <f t="shared" ca="1" si="125"/>
        <v>1075530.1009222656</v>
      </c>
      <c r="N313" s="2">
        <f t="shared" ca="1" si="125"/>
        <v>1098116.2330416329</v>
      </c>
      <c r="O313" s="2">
        <f t="shared" ca="1" si="125"/>
        <v>1121176.6739355072</v>
      </c>
      <c r="P313" s="2">
        <f t="shared" ca="1" si="125"/>
        <v>1144721.3840881528</v>
      </c>
      <c r="Q313" s="2">
        <f t="shared" ca="1" si="125"/>
        <v>1168760.5331540038</v>
      </c>
      <c r="R313" s="2">
        <f t="shared" ca="1" si="125"/>
        <v>1193304.5043502378</v>
      </c>
      <c r="S313" s="2">
        <f t="shared" ca="1" si="125"/>
        <v>1218363.8989415928</v>
      </c>
      <c r="T313" s="2">
        <f t="shared" ca="1" si="125"/>
        <v>1243949.5408193662</v>
      </c>
      <c r="U313" s="2">
        <f t="shared" ca="1" si="125"/>
        <v>1270072.4811765729</v>
      </c>
      <c r="V313" s="2">
        <f t="shared" ca="1" si="125"/>
        <v>1296744.0032812809</v>
      </c>
      <c r="W313" s="2">
        <f t="shared" ca="1" si="125"/>
        <v>0</v>
      </c>
      <c r="X313" s="2">
        <f t="shared" ca="1" si="125"/>
        <v>0</v>
      </c>
      <c r="Y313" s="2">
        <f t="shared" ca="1" si="125"/>
        <v>0</v>
      </c>
      <c r="Z313" s="2">
        <f t="shared" ca="1" si="125"/>
        <v>0</v>
      </c>
      <c r="AA313" s="2">
        <f t="shared" ca="1" si="125"/>
        <v>0</v>
      </c>
    </row>
    <row r="314" spans="1:28" x14ac:dyDescent="0.25">
      <c r="E314" t="s">
        <v>24</v>
      </c>
      <c r="F314" t="s">
        <v>7</v>
      </c>
      <c r="G314" s="2">
        <f ca="1">NPV($G$15,H313:AA313)+G313</f>
        <v>11334368.548390165</v>
      </c>
    </row>
    <row r="315" spans="1:28" x14ac:dyDescent="0.25">
      <c r="E315" s="3" t="s">
        <v>34</v>
      </c>
      <c r="F315" s="3"/>
      <c r="G315" s="4" t="str">
        <f ca="1">IF(G311&gt;0,"N/A",IF(ABS(G311+G314)&gt;1,"Error","OK"))</f>
        <v>OK</v>
      </c>
    </row>
    <row r="318" spans="1:28" x14ac:dyDescent="0.25">
      <c r="C318" s="1" t="s">
        <v>110</v>
      </c>
    </row>
    <row r="319" spans="1:28" x14ac:dyDescent="0.25">
      <c r="E319" t="s">
        <v>116</v>
      </c>
      <c r="F319" t="s">
        <v>117</v>
      </c>
    </row>
    <row r="320" spans="1:28" x14ac:dyDescent="0.25">
      <c r="A320" s="14">
        <f>'Notes &amp; Assumptions'!A68</f>
        <v>55</v>
      </c>
      <c r="E320" s="19" t="s">
        <v>111</v>
      </c>
      <c r="F320" s="19" t="s">
        <v>119</v>
      </c>
    </row>
    <row r="321" spans="5:6" customFormat="1" x14ac:dyDescent="0.25">
      <c r="E321" s="19" t="s">
        <v>112</v>
      </c>
      <c r="F321" s="19" t="s">
        <v>120</v>
      </c>
    </row>
    <row r="322" spans="5:6" customFormat="1" x14ac:dyDescent="0.25">
      <c r="E322" s="19" t="s">
        <v>113</v>
      </c>
      <c r="F322" s="19" t="s">
        <v>121</v>
      </c>
    </row>
  </sheetData>
  <mergeCells count="1">
    <mergeCell ref="G4:H4"/>
  </mergeCells>
  <dataValidations count="1">
    <dataValidation type="list" showInputMessage="1" showErrorMessage="1" sqref="G4" xr:uid="{00000000-0002-0000-0900-000000000000}">
      <formula1>$E$320:$E$322</formula1>
    </dataValidation>
  </dataValidation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2:AC322"/>
  <sheetViews>
    <sheetView topLeftCell="A10" zoomScale="90" zoomScaleNormal="90" workbookViewId="0">
      <selection activeCell="G21" sqref="G21"/>
    </sheetView>
  </sheetViews>
  <sheetFormatPr defaultColWidth="11" defaultRowHeight="15.75" x14ac:dyDescent="0.25"/>
  <cols>
    <col min="1" max="1" width="7.625" style="14" customWidth="1"/>
    <col min="2" max="2" width="3.125" customWidth="1"/>
    <col min="3" max="3" width="3.375" customWidth="1"/>
    <col min="4" max="4" width="2.875" customWidth="1"/>
    <col min="5" max="5" width="36.5" bestFit="1" customWidth="1"/>
    <col min="6" max="6" width="17.5" customWidth="1"/>
    <col min="7" max="27" width="15.625" customWidth="1"/>
    <col min="28" max="28" width="11.125" customWidth="1"/>
  </cols>
  <sheetData>
    <row r="2" spans="1:27" x14ac:dyDescent="0.25">
      <c r="C2" s="1" t="s">
        <v>0</v>
      </c>
      <c r="D2" s="1"/>
      <c r="G2">
        <v>0</v>
      </c>
      <c r="H2">
        <v>1</v>
      </c>
      <c r="I2">
        <v>2</v>
      </c>
      <c r="J2">
        <v>3</v>
      </c>
      <c r="K2">
        <v>4</v>
      </c>
      <c r="L2">
        <v>5</v>
      </c>
      <c r="M2">
        <v>6</v>
      </c>
      <c r="N2">
        <v>7</v>
      </c>
      <c r="O2">
        <v>8</v>
      </c>
      <c r="P2">
        <v>9</v>
      </c>
      <c r="Q2">
        <v>10</v>
      </c>
      <c r="R2">
        <v>11</v>
      </c>
      <c r="S2">
        <v>12</v>
      </c>
      <c r="T2">
        <v>13</v>
      </c>
      <c r="U2">
        <v>14</v>
      </c>
      <c r="V2">
        <v>15</v>
      </c>
      <c r="W2">
        <v>16</v>
      </c>
      <c r="X2">
        <v>17</v>
      </c>
      <c r="Y2">
        <v>18</v>
      </c>
      <c r="Z2">
        <v>19</v>
      </c>
      <c r="AA2">
        <v>20</v>
      </c>
    </row>
    <row r="4" spans="1:27" x14ac:dyDescent="0.25">
      <c r="A4" s="14">
        <f>'Notes &amp; Assumptions'!A14</f>
        <v>1</v>
      </c>
      <c r="C4" s="1" t="s">
        <v>114</v>
      </c>
      <c r="F4" t="s">
        <v>115</v>
      </c>
      <c r="G4" s="368" t="s">
        <v>113</v>
      </c>
      <c r="H4" s="368"/>
    </row>
    <row r="6" spans="1:27" x14ac:dyDescent="0.25">
      <c r="C6" s="1" t="s">
        <v>126</v>
      </c>
    </row>
    <row r="7" spans="1:27" x14ac:dyDescent="0.25">
      <c r="A7" s="14">
        <f>'Notes &amp; Assumptions'!A15</f>
        <v>2</v>
      </c>
      <c r="E7" s="10" t="s">
        <v>128</v>
      </c>
      <c r="F7" t="s">
        <v>145</v>
      </c>
      <c r="G7" s="10">
        <v>80</v>
      </c>
    </row>
    <row r="8" spans="1:27" x14ac:dyDescent="0.25">
      <c r="A8" s="14">
        <f>'Notes &amp; Assumptions'!A16</f>
        <v>3</v>
      </c>
      <c r="E8" s="10" t="s">
        <v>129</v>
      </c>
      <c r="F8" t="s">
        <v>145</v>
      </c>
      <c r="G8" s="10">
        <v>25</v>
      </c>
    </row>
    <row r="9" spans="1:27" x14ac:dyDescent="0.25">
      <c r="A9" s="14">
        <f>'Notes &amp; Assumptions'!A17</f>
        <v>4</v>
      </c>
      <c r="E9" s="10" t="s">
        <v>130</v>
      </c>
      <c r="F9" t="s">
        <v>145</v>
      </c>
      <c r="G9" s="10">
        <v>30</v>
      </c>
    </row>
    <row r="10" spans="1:27" x14ac:dyDescent="0.25">
      <c r="A10" s="14">
        <f>'Notes &amp; Assumptions'!A18</f>
        <v>5</v>
      </c>
      <c r="E10" t="s">
        <v>127</v>
      </c>
      <c r="F10" t="s">
        <v>145</v>
      </c>
      <c r="G10" s="10">
        <v>5</v>
      </c>
    </row>
    <row r="13" spans="1:27" x14ac:dyDescent="0.25">
      <c r="C13" s="1" t="s">
        <v>92</v>
      </c>
    </row>
    <row r="14" spans="1:27" x14ac:dyDescent="0.25">
      <c r="A14" s="14">
        <f>'Notes &amp; Assumptions'!A19</f>
        <v>6</v>
      </c>
      <c r="E14" t="s">
        <v>5</v>
      </c>
      <c r="F14" t="s">
        <v>8</v>
      </c>
      <c r="G14" s="17">
        <f>'Key assumptions'!B9</f>
        <v>2.1000000000000001E-2</v>
      </c>
    </row>
    <row r="15" spans="1:27" x14ac:dyDescent="0.25">
      <c r="A15" s="14">
        <f>'Notes &amp; Assumptions'!A20</f>
        <v>7</v>
      </c>
      <c r="E15" t="s">
        <v>32</v>
      </c>
      <c r="F15" t="s">
        <v>8</v>
      </c>
      <c r="G15" s="17">
        <f>'Key assumptions'!B8</f>
        <v>5.1629999999999843E-2</v>
      </c>
    </row>
    <row r="16" spans="1:27" x14ac:dyDescent="0.25">
      <c r="E16" t="s">
        <v>30</v>
      </c>
      <c r="F16" t="s">
        <v>8</v>
      </c>
      <c r="G16" s="18">
        <f>(1+G15)/(1+G14)-1</f>
        <v>3.0000000000000027E-2</v>
      </c>
    </row>
    <row r="17" spans="1:27" x14ac:dyDescent="0.25">
      <c r="E17" t="s">
        <v>171</v>
      </c>
      <c r="F17" t="s">
        <v>8</v>
      </c>
      <c r="G17" s="11">
        <v>0.5</v>
      </c>
    </row>
    <row r="18" spans="1:27" x14ac:dyDescent="0.25">
      <c r="A18" s="14">
        <f>'Notes &amp; Assumptions'!A22</f>
        <v>9</v>
      </c>
      <c r="E18" t="s">
        <v>16</v>
      </c>
      <c r="F18" t="s">
        <v>8</v>
      </c>
      <c r="G18" s="11">
        <v>0.3</v>
      </c>
      <c r="H18" s="11">
        <v>0.3</v>
      </c>
      <c r="I18" s="11">
        <v>0.3</v>
      </c>
      <c r="J18" s="11">
        <v>0.3</v>
      </c>
      <c r="K18" s="11">
        <v>0.3</v>
      </c>
      <c r="L18" s="11">
        <v>0.3</v>
      </c>
      <c r="M18" s="11">
        <v>0.3</v>
      </c>
      <c r="N18" s="11">
        <v>0.3</v>
      </c>
      <c r="O18" s="11">
        <v>0.3</v>
      </c>
      <c r="P18" s="11">
        <v>0.3</v>
      </c>
      <c r="Q18" s="11">
        <v>0.3</v>
      </c>
      <c r="R18" s="11">
        <v>0.3</v>
      </c>
      <c r="S18" s="11">
        <v>0.3</v>
      </c>
      <c r="T18" s="11">
        <v>0.3</v>
      </c>
      <c r="U18" s="11">
        <v>0.3</v>
      </c>
      <c r="V18" s="11">
        <v>0.3</v>
      </c>
      <c r="W18" s="11">
        <v>0.3</v>
      </c>
      <c r="X18" s="11">
        <v>0.3</v>
      </c>
      <c r="Y18" s="11">
        <v>0.3</v>
      </c>
      <c r="Z18" s="11">
        <v>0.3</v>
      </c>
      <c r="AA18" s="11">
        <v>0.3</v>
      </c>
    </row>
    <row r="20" spans="1:27" x14ac:dyDescent="0.25">
      <c r="A20" s="14">
        <f>'Notes &amp; Assumptions'!A23</f>
        <v>10</v>
      </c>
      <c r="C20" s="1" t="s">
        <v>1</v>
      </c>
      <c r="D20" s="1"/>
    </row>
    <row r="21" spans="1:27" x14ac:dyDescent="0.25">
      <c r="E21" s="2" t="str">
        <f>E7</f>
        <v>Pipes</v>
      </c>
      <c r="F21" t="s">
        <v>7</v>
      </c>
      <c r="G21" s="43">
        <f>IF('Key assumptions'!B3="yes",SUM('Historical growth capex'!M94:V94),0)</f>
        <v>13950889.654371371</v>
      </c>
      <c r="H21" s="10">
        <f>'Forecast capex'!J100*1000*(1+$G$14)^H2</f>
        <v>87839.244880611586</v>
      </c>
      <c r="I21" s="10">
        <f>'Forecast capex'!K100*1000*(1+$G$14)^I2</f>
        <v>1182777.1787592263</v>
      </c>
      <c r="J21" s="10">
        <f>'Forecast capex'!L100*1000*(1+$G$14)^J2</f>
        <v>1112526.5769954645</v>
      </c>
      <c r="K21" s="10">
        <f>'Forecast capex'!M100*1000*(1+$G$14)^K2</f>
        <v>0</v>
      </c>
      <c r="L21" s="10">
        <f>'Forecast capex'!N100*1000*(1+$G$14)^L2</f>
        <v>0</v>
      </c>
      <c r="M21" s="10">
        <f>'Forecast capex'!O100*1000*(1+$G$14)^M2</f>
        <v>0</v>
      </c>
      <c r="N21" s="10">
        <f>'Forecast capex'!P100*1000*(1+$G$14)^N2</f>
        <v>0</v>
      </c>
      <c r="O21" s="10">
        <f>'Forecast capex'!Q100*1000*(1+$G$14)^O2</f>
        <v>0</v>
      </c>
      <c r="P21" s="10">
        <f>'Forecast capex'!R100*1000*(1+$G$14)^P2</f>
        <v>0</v>
      </c>
      <c r="Q21" s="10">
        <f>'Forecast capex'!S100*1000*(1+$G$14)^Q2</f>
        <v>0</v>
      </c>
      <c r="R21" s="10">
        <f>'[10]recycled water'!$X$159/5*(1+$G$14)^R2</f>
        <v>0</v>
      </c>
      <c r="S21" s="10">
        <f>'[10]recycled water'!$X$159/5*(1+$G$14)^S2</f>
        <v>0</v>
      </c>
      <c r="T21" s="10">
        <f>'[10]recycled water'!$X$159/5*(1+$G$14)^T2</f>
        <v>0</v>
      </c>
      <c r="U21" s="10">
        <f>'[10]recycled water'!$X$159/5*(1+$G$14)^U2</f>
        <v>0</v>
      </c>
      <c r="V21" s="10">
        <f>'[10]recycled water'!$X$159/5*(1+$G$14)^V2</f>
        <v>0</v>
      </c>
      <c r="W21" s="10"/>
      <c r="X21" s="10"/>
      <c r="Y21" s="10"/>
      <c r="Z21" s="10"/>
      <c r="AA21" s="10"/>
    </row>
    <row r="22" spans="1:27" x14ac:dyDescent="0.25">
      <c r="E22" s="2" t="str">
        <f>E8</f>
        <v>Pumps</v>
      </c>
      <c r="F22" t="s">
        <v>7</v>
      </c>
      <c r="G22" s="10"/>
      <c r="H22" s="10"/>
      <c r="I22" s="10"/>
      <c r="J22" s="10"/>
      <c r="K22" s="10"/>
      <c r="L22" s="10"/>
      <c r="M22" s="10"/>
      <c r="N22" s="10"/>
      <c r="O22" s="10"/>
      <c r="P22" s="10"/>
      <c r="Q22" s="10"/>
      <c r="R22" s="10"/>
      <c r="S22" s="10"/>
      <c r="T22" s="10"/>
      <c r="U22" s="10"/>
      <c r="V22" s="10"/>
      <c r="W22" s="10"/>
      <c r="X22" s="10"/>
      <c r="Y22" s="10"/>
      <c r="Z22" s="10"/>
      <c r="AA22" s="10"/>
    </row>
    <row r="23" spans="1:27" x14ac:dyDescent="0.25">
      <c r="E23" s="2" t="str">
        <f>E9</f>
        <v>Valves and Meters</v>
      </c>
      <c r="F23" t="s">
        <v>7</v>
      </c>
      <c r="G23" s="10"/>
      <c r="H23" s="10"/>
      <c r="I23" s="10"/>
      <c r="J23" s="10"/>
      <c r="K23" s="10"/>
      <c r="L23" s="10"/>
      <c r="M23" s="10"/>
      <c r="N23" s="10"/>
      <c r="O23" s="10"/>
      <c r="P23" s="10"/>
      <c r="Q23" s="10"/>
      <c r="R23" s="10"/>
      <c r="S23" s="10"/>
      <c r="T23" s="10"/>
      <c r="U23" s="10"/>
      <c r="V23" s="10"/>
      <c r="W23" s="10"/>
      <c r="X23" s="10"/>
      <c r="Y23" s="10"/>
      <c r="Z23" s="10"/>
      <c r="AA23" s="10"/>
    </row>
    <row r="24" spans="1:27" x14ac:dyDescent="0.25">
      <c r="E24" t="s">
        <v>127</v>
      </c>
      <c r="F24" t="s">
        <v>7</v>
      </c>
      <c r="G24" s="10"/>
      <c r="H24" s="10"/>
      <c r="I24" s="10"/>
      <c r="J24" s="10"/>
      <c r="K24" s="10"/>
      <c r="L24" s="10"/>
      <c r="M24" s="10"/>
      <c r="N24" s="10"/>
      <c r="O24" s="10"/>
      <c r="P24" s="10"/>
      <c r="Q24" s="10"/>
      <c r="R24" s="10"/>
      <c r="S24" s="10"/>
      <c r="T24" s="10"/>
      <c r="U24" s="10"/>
      <c r="V24" s="10"/>
      <c r="W24" s="10"/>
      <c r="X24" s="10"/>
      <c r="Y24" s="10"/>
      <c r="Z24" s="10"/>
      <c r="AA24" s="10"/>
    </row>
    <row r="25" spans="1:27" x14ac:dyDescent="0.25">
      <c r="E25" t="s">
        <v>131</v>
      </c>
      <c r="F25" t="s">
        <v>7</v>
      </c>
      <c r="G25" s="10"/>
      <c r="H25" s="10"/>
      <c r="I25" s="10"/>
      <c r="J25" s="10"/>
      <c r="K25" s="10"/>
      <c r="L25" s="10"/>
      <c r="M25" s="10"/>
      <c r="N25" s="10"/>
      <c r="O25" s="10"/>
      <c r="P25" s="10"/>
      <c r="Q25" s="10"/>
      <c r="R25" s="10"/>
      <c r="S25" s="10"/>
      <c r="T25" s="10"/>
      <c r="U25" s="10"/>
      <c r="V25" s="10"/>
      <c r="W25" s="10"/>
      <c r="X25" s="10"/>
      <c r="Y25" s="10"/>
      <c r="Z25" s="10"/>
      <c r="AA25" s="10"/>
    </row>
    <row r="26" spans="1:27" x14ac:dyDescent="0.25">
      <c r="G26" s="2">
        <f>SUM(G21:G25)</f>
        <v>13950889.654371371</v>
      </c>
      <c r="H26" s="2">
        <f t="shared" ref="H26:AA26" si="0">SUM(H21:H25)</f>
        <v>87839.244880611586</v>
      </c>
      <c r="I26" s="2">
        <f t="shared" si="0"/>
        <v>1182777.1787592263</v>
      </c>
      <c r="J26" s="2">
        <f t="shared" si="0"/>
        <v>1112526.5769954645</v>
      </c>
      <c r="K26" s="2">
        <f t="shared" si="0"/>
        <v>0</v>
      </c>
      <c r="L26" s="2">
        <f t="shared" si="0"/>
        <v>0</v>
      </c>
      <c r="M26" s="2">
        <f t="shared" si="0"/>
        <v>0</v>
      </c>
      <c r="N26" s="2">
        <f t="shared" si="0"/>
        <v>0</v>
      </c>
      <c r="O26" s="2">
        <f t="shared" si="0"/>
        <v>0</v>
      </c>
      <c r="P26" s="2">
        <f t="shared" si="0"/>
        <v>0</v>
      </c>
      <c r="Q26" s="2">
        <f t="shared" si="0"/>
        <v>0</v>
      </c>
      <c r="R26" s="2">
        <f t="shared" si="0"/>
        <v>0</v>
      </c>
      <c r="S26" s="2">
        <f t="shared" si="0"/>
        <v>0</v>
      </c>
      <c r="T26" s="2">
        <f t="shared" si="0"/>
        <v>0</v>
      </c>
      <c r="U26" s="2">
        <f t="shared" si="0"/>
        <v>0</v>
      </c>
      <c r="V26" s="2">
        <f t="shared" si="0"/>
        <v>0</v>
      </c>
      <c r="W26" s="2">
        <f t="shared" si="0"/>
        <v>0</v>
      </c>
      <c r="X26" s="2">
        <f t="shared" si="0"/>
        <v>0</v>
      </c>
      <c r="Y26" s="2">
        <f t="shared" si="0"/>
        <v>0</v>
      </c>
      <c r="Z26" s="2">
        <f t="shared" si="0"/>
        <v>0</v>
      </c>
      <c r="AA26" s="2">
        <f t="shared" si="0"/>
        <v>0</v>
      </c>
    </row>
    <row r="27" spans="1:27" x14ac:dyDescent="0.25">
      <c r="G27" s="2"/>
      <c r="H27" s="2"/>
      <c r="I27" s="2"/>
      <c r="J27" s="2"/>
      <c r="K27" s="2"/>
      <c r="L27" s="2"/>
      <c r="M27" s="2"/>
      <c r="N27" s="2"/>
      <c r="O27" s="2"/>
      <c r="P27" s="2"/>
      <c r="Q27" s="2"/>
    </row>
    <row r="28" spans="1:27" x14ac:dyDescent="0.25">
      <c r="D28" t="s">
        <v>132</v>
      </c>
      <c r="G28" s="2"/>
      <c r="H28" s="2"/>
      <c r="I28" s="2"/>
      <c r="J28" s="2"/>
      <c r="K28" s="2"/>
      <c r="L28" s="2"/>
      <c r="M28" s="2"/>
      <c r="N28" s="2"/>
      <c r="O28" s="2"/>
      <c r="P28" s="2"/>
      <c r="Q28" s="2"/>
    </row>
    <row r="29" spans="1:27" x14ac:dyDescent="0.25">
      <c r="E29" s="2" t="str">
        <f>E21</f>
        <v>Pipes</v>
      </c>
      <c r="F29" t="s">
        <v>7</v>
      </c>
      <c r="G29" s="2">
        <f t="shared" ref="G29:AA32" si="1">G21/$G7+IF((G$2-$G7+1)&gt;0,-INDEX($G21:$AA21,1,(G$2-$G7+1))/$G7,0)</f>
        <v>174386.12067964213</v>
      </c>
      <c r="H29" s="2">
        <f t="shared" si="1"/>
        <v>1097.9905610076448</v>
      </c>
      <c r="I29" s="2">
        <f t="shared" si="1"/>
        <v>14784.71473449033</v>
      </c>
      <c r="J29" s="2">
        <f t="shared" si="1"/>
        <v>13906.582212443307</v>
      </c>
      <c r="K29" s="2">
        <f t="shared" si="1"/>
        <v>0</v>
      </c>
      <c r="L29" s="2">
        <f t="shared" si="1"/>
        <v>0</v>
      </c>
      <c r="M29" s="2">
        <f t="shared" si="1"/>
        <v>0</v>
      </c>
      <c r="N29" s="2">
        <f t="shared" si="1"/>
        <v>0</v>
      </c>
      <c r="O29" s="2">
        <f t="shared" si="1"/>
        <v>0</v>
      </c>
      <c r="P29" s="2">
        <f t="shared" si="1"/>
        <v>0</v>
      </c>
      <c r="Q29" s="2">
        <f t="shared" si="1"/>
        <v>0</v>
      </c>
      <c r="R29" s="2">
        <f t="shared" si="1"/>
        <v>0</v>
      </c>
      <c r="S29" s="2">
        <f t="shared" si="1"/>
        <v>0</v>
      </c>
      <c r="T29" s="2">
        <f t="shared" si="1"/>
        <v>0</v>
      </c>
      <c r="U29" s="2">
        <f t="shared" si="1"/>
        <v>0</v>
      </c>
      <c r="V29" s="2">
        <f t="shared" si="1"/>
        <v>0</v>
      </c>
      <c r="W29" s="2">
        <f t="shared" si="1"/>
        <v>0</v>
      </c>
      <c r="X29" s="2">
        <f t="shared" si="1"/>
        <v>0</v>
      </c>
      <c r="Y29" s="2">
        <f t="shared" si="1"/>
        <v>0</v>
      </c>
      <c r="Z29" s="2">
        <f t="shared" si="1"/>
        <v>0</v>
      </c>
      <c r="AA29" s="2">
        <f t="shared" si="1"/>
        <v>0</v>
      </c>
    </row>
    <row r="30" spans="1:27" x14ac:dyDescent="0.25">
      <c r="E30" s="2" t="str">
        <f t="shared" ref="E30:E32" si="2">E22</f>
        <v>Pumps</v>
      </c>
      <c r="F30" t="s">
        <v>7</v>
      </c>
      <c r="G30" s="2">
        <f t="shared" si="1"/>
        <v>0</v>
      </c>
      <c r="H30" s="2">
        <f t="shared" si="1"/>
        <v>0</v>
      </c>
      <c r="I30" s="2">
        <f t="shared" si="1"/>
        <v>0</v>
      </c>
      <c r="J30" s="2">
        <f t="shared" si="1"/>
        <v>0</v>
      </c>
      <c r="K30" s="2">
        <f t="shared" si="1"/>
        <v>0</v>
      </c>
      <c r="L30" s="2">
        <f t="shared" si="1"/>
        <v>0</v>
      </c>
      <c r="M30" s="2">
        <f t="shared" si="1"/>
        <v>0</v>
      </c>
      <c r="N30" s="2">
        <f t="shared" si="1"/>
        <v>0</v>
      </c>
      <c r="O30" s="2">
        <f t="shared" si="1"/>
        <v>0</v>
      </c>
      <c r="P30" s="2">
        <f t="shared" si="1"/>
        <v>0</v>
      </c>
      <c r="Q30" s="2">
        <f t="shared" si="1"/>
        <v>0</v>
      </c>
      <c r="R30" s="2">
        <f t="shared" si="1"/>
        <v>0</v>
      </c>
      <c r="S30" s="2">
        <f t="shared" si="1"/>
        <v>0</v>
      </c>
      <c r="T30" s="2">
        <f t="shared" si="1"/>
        <v>0</v>
      </c>
      <c r="U30" s="2">
        <f t="shared" si="1"/>
        <v>0</v>
      </c>
      <c r="V30" s="2">
        <f t="shared" si="1"/>
        <v>0</v>
      </c>
      <c r="W30" s="2">
        <f t="shared" si="1"/>
        <v>0</v>
      </c>
      <c r="X30" s="2">
        <f t="shared" si="1"/>
        <v>0</v>
      </c>
      <c r="Y30" s="2">
        <f t="shared" si="1"/>
        <v>0</v>
      </c>
      <c r="Z30" s="2">
        <f t="shared" si="1"/>
        <v>0</v>
      </c>
      <c r="AA30" s="2">
        <f t="shared" si="1"/>
        <v>0</v>
      </c>
    </row>
    <row r="31" spans="1:27" x14ac:dyDescent="0.25">
      <c r="E31" s="2" t="str">
        <f t="shared" si="2"/>
        <v>Valves and Meters</v>
      </c>
      <c r="F31" t="s">
        <v>7</v>
      </c>
      <c r="G31" s="2">
        <f t="shared" si="1"/>
        <v>0</v>
      </c>
      <c r="H31" s="2">
        <f t="shared" si="1"/>
        <v>0</v>
      </c>
      <c r="I31" s="2">
        <f t="shared" si="1"/>
        <v>0</v>
      </c>
      <c r="J31" s="2">
        <f t="shared" si="1"/>
        <v>0</v>
      </c>
      <c r="K31" s="2">
        <f t="shared" si="1"/>
        <v>0</v>
      </c>
      <c r="L31" s="2">
        <f t="shared" si="1"/>
        <v>0</v>
      </c>
      <c r="M31" s="2">
        <f t="shared" si="1"/>
        <v>0</v>
      </c>
      <c r="N31" s="2">
        <f t="shared" si="1"/>
        <v>0</v>
      </c>
      <c r="O31" s="2">
        <f t="shared" si="1"/>
        <v>0</v>
      </c>
      <c r="P31" s="2">
        <f t="shared" si="1"/>
        <v>0</v>
      </c>
      <c r="Q31" s="2">
        <f t="shared" si="1"/>
        <v>0</v>
      </c>
      <c r="R31" s="2">
        <f t="shared" si="1"/>
        <v>0</v>
      </c>
      <c r="S31" s="2">
        <f t="shared" si="1"/>
        <v>0</v>
      </c>
      <c r="T31" s="2">
        <f t="shared" si="1"/>
        <v>0</v>
      </c>
      <c r="U31" s="2">
        <f t="shared" si="1"/>
        <v>0</v>
      </c>
      <c r="V31" s="2">
        <f t="shared" si="1"/>
        <v>0</v>
      </c>
      <c r="W31" s="2">
        <f t="shared" si="1"/>
        <v>0</v>
      </c>
      <c r="X31" s="2">
        <f t="shared" si="1"/>
        <v>0</v>
      </c>
      <c r="Y31" s="2">
        <f t="shared" si="1"/>
        <v>0</v>
      </c>
      <c r="Z31" s="2">
        <f t="shared" si="1"/>
        <v>0</v>
      </c>
      <c r="AA31" s="2">
        <f t="shared" si="1"/>
        <v>0</v>
      </c>
    </row>
    <row r="32" spans="1:27" x14ac:dyDescent="0.25">
      <c r="E32" s="2" t="str">
        <f t="shared" si="2"/>
        <v>Temporary Assets</v>
      </c>
      <c r="F32" t="s">
        <v>7</v>
      </c>
      <c r="G32" s="2">
        <f t="shared" si="1"/>
        <v>0</v>
      </c>
      <c r="H32" s="2">
        <f t="shared" si="1"/>
        <v>0</v>
      </c>
      <c r="I32" s="2">
        <f t="shared" si="1"/>
        <v>0</v>
      </c>
      <c r="J32" s="2">
        <f t="shared" si="1"/>
        <v>0</v>
      </c>
      <c r="K32" s="2">
        <f t="shared" si="1"/>
        <v>0</v>
      </c>
      <c r="L32" s="2">
        <f t="shared" si="1"/>
        <v>0</v>
      </c>
      <c r="M32" s="2">
        <f t="shared" si="1"/>
        <v>0</v>
      </c>
      <c r="N32" s="2">
        <f t="shared" si="1"/>
        <v>0</v>
      </c>
      <c r="O32" s="2">
        <f t="shared" si="1"/>
        <v>0</v>
      </c>
      <c r="P32" s="2">
        <f t="shared" si="1"/>
        <v>0</v>
      </c>
      <c r="Q32" s="2">
        <f t="shared" si="1"/>
        <v>0</v>
      </c>
      <c r="R32" s="2">
        <f t="shared" si="1"/>
        <v>0</v>
      </c>
      <c r="S32" s="2">
        <f t="shared" si="1"/>
        <v>0</v>
      </c>
      <c r="T32" s="2">
        <f t="shared" si="1"/>
        <v>0</v>
      </c>
      <c r="U32" s="2">
        <f t="shared" si="1"/>
        <v>0</v>
      </c>
      <c r="V32" s="2">
        <f t="shared" si="1"/>
        <v>0</v>
      </c>
      <c r="W32" s="2">
        <f t="shared" si="1"/>
        <v>0</v>
      </c>
      <c r="X32" s="2">
        <f t="shared" si="1"/>
        <v>0</v>
      </c>
      <c r="Y32" s="2">
        <f t="shared" si="1"/>
        <v>0</v>
      </c>
      <c r="Z32" s="2">
        <f t="shared" si="1"/>
        <v>0</v>
      </c>
      <c r="AA32" s="2">
        <f t="shared" si="1"/>
        <v>0</v>
      </c>
    </row>
    <row r="33" spans="1:27" x14ac:dyDescent="0.25">
      <c r="G33" s="2"/>
      <c r="H33" s="2"/>
      <c r="I33" s="2"/>
      <c r="J33" s="2"/>
      <c r="K33" s="2"/>
      <c r="L33" s="2"/>
      <c r="M33" s="2"/>
      <c r="N33" s="2"/>
      <c r="O33" s="2"/>
      <c r="P33" s="2"/>
      <c r="Q33" s="2"/>
    </row>
    <row r="34" spans="1:27" x14ac:dyDescent="0.25">
      <c r="D34" t="s">
        <v>133</v>
      </c>
      <c r="F34" t="s">
        <v>7</v>
      </c>
      <c r="G34" s="2">
        <f>SUM($G$29:G32)</f>
        <v>174386.12067964213</v>
      </c>
      <c r="H34" s="2">
        <f>SUM($G$29:H32)</f>
        <v>175484.11124064977</v>
      </c>
      <c r="I34" s="2">
        <f>SUM($G$29:I32)</f>
        <v>190268.82597514009</v>
      </c>
      <c r="J34" s="2">
        <f>SUM($G$29:J32)</f>
        <v>204175.40818758341</v>
      </c>
      <c r="K34" s="2">
        <f>SUM($G$29:K32)</f>
        <v>204175.40818758341</v>
      </c>
      <c r="L34" s="2">
        <f>SUM($G$29:L32)</f>
        <v>204175.40818758341</v>
      </c>
      <c r="M34" s="2">
        <f>SUM($G$29:M32)</f>
        <v>204175.40818758341</v>
      </c>
      <c r="N34" s="2">
        <f>SUM($G$29:N32)</f>
        <v>204175.40818758341</v>
      </c>
      <c r="O34" s="2">
        <f>SUM($G$29:O32)</f>
        <v>204175.40818758341</v>
      </c>
      <c r="P34" s="2">
        <f>SUM($G$29:P32)</f>
        <v>204175.40818758341</v>
      </c>
      <c r="Q34" s="2">
        <f>SUM($G$29:Q32)</f>
        <v>204175.40818758341</v>
      </c>
      <c r="R34" s="2">
        <f>SUM($G$29:R32)</f>
        <v>204175.40818758341</v>
      </c>
      <c r="S34" s="2">
        <f>SUM($G$29:S32)</f>
        <v>204175.40818758341</v>
      </c>
      <c r="T34" s="2">
        <f>SUM($G$29:T32)</f>
        <v>204175.40818758341</v>
      </c>
      <c r="U34" s="2">
        <f>SUM($G$29:U32)</f>
        <v>204175.40818758341</v>
      </c>
      <c r="V34" s="2">
        <f>SUM($G$29:V32)</f>
        <v>204175.40818758341</v>
      </c>
      <c r="W34" s="2">
        <f>SUM($G$29:W32)</f>
        <v>204175.40818758341</v>
      </c>
      <c r="X34" s="2">
        <f>SUM($G$29:X32)</f>
        <v>204175.40818758341</v>
      </c>
      <c r="Y34" s="2">
        <f>SUM($G$29:Y32)</f>
        <v>204175.40818758341</v>
      </c>
      <c r="Z34" s="2">
        <f>SUM($G$29:Z32)</f>
        <v>204175.40818758341</v>
      </c>
      <c r="AA34" s="2">
        <f>SUM($G$29:AA32)</f>
        <v>204175.40818758341</v>
      </c>
    </row>
    <row r="35" spans="1:27" x14ac:dyDescent="0.25">
      <c r="G35" s="2"/>
      <c r="H35" s="2"/>
      <c r="I35" s="2"/>
      <c r="J35" s="2"/>
      <c r="K35" s="2"/>
      <c r="L35" s="2"/>
      <c r="M35" s="2"/>
      <c r="N35" s="2"/>
      <c r="O35" s="2"/>
      <c r="P35" s="2"/>
      <c r="Q35" s="2"/>
      <c r="R35" s="2"/>
      <c r="S35" s="2"/>
      <c r="T35" s="2"/>
      <c r="U35" s="2"/>
      <c r="V35" s="2"/>
      <c r="W35" s="2"/>
      <c r="X35" s="2"/>
      <c r="Y35" s="2"/>
      <c r="Z35" s="2"/>
      <c r="AA35" s="2"/>
    </row>
    <row r="36" spans="1:27" x14ac:dyDescent="0.25">
      <c r="A36" s="14">
        <f>'Notes &amp; Assumptions'!A24</f>
        <v>11</v>
      </c>
      <c r="C36" s="1" t="s">
        <v>107</v>
      </c>
      <c r="D36" s="1"/>
    </row>
    <row r="37" spans="1:27" x14ac:dyDescent="0.25">
      <c r="E37" s="2" t="str">
        <f>E7</f>
        <v>Pipes</v>
      </c>
      <c r="F37" t="s">
        <v>7</v>
      </c>
      <c r="G37" s="10"/>
      <c r="H37" s="10">
        <f>'Key assumptions'!$B33*(1+$G$14)^H2*(H90+H111+H132+H153)</f>
        <v>2222716.9999999995</v>
      </c>
      <c r="I37" s="10">
        <f>'Key assumptions'!$B33*(1+$G$14)^I2*(I90+I111+I132+I153)</f>
        <v>2262096.9699999993</v>
      </c>
      <c r="J37" s="10">
        <f>'Key assumptions'!$B33*(1+$G$14)^J2*(J90+J111+J132+J153)</f>
        <v>2344990.0540482495</v>
      </c>
      <c r="K37" s="10">
        <f>'Key assumptions'!$B33*(1+$G$14)^K2*(K90+K111+K132+K153)</f>
        <v>2308658.5401528832</v>
      </c>
      <c r="L37" s="10">
        <f>'Key assumptions'!$B33*(1+$G$14)^L2*(L90+L111+L132+L153)</f>
        <v>2265883.699507365</v>
      </c>
      <c r="M37" s="10">
        <f>'Key assumptions'!$B33*(1+$G$14)^M2*(M90+M111+M132+M153)</f>
        <v>2224259.0082048466</v>
      </c>
      <c r="N37" s="10">
        <f>'Key assumptions'!$B33*(1+$G$14)^N2*(N90+N111+N132+N153)</f>
        <v>2179886.8251561397</v>
      </c>
      <c r="O37" s="10">
        <f>'Key assumptions'!$B33*(1+$G$14)^O2*(O90+O111+O132+O153)</f>
        <v>2134736.6530031604</v>
      </c>
      <c r="P37" s="10">
        <f>'Key assumptions'!$B33*(1+$G$14)^P2*(P90+P111+P132+P153)</f>
        <v>2306162.4125158135</v>
      </c>
      <c r="Q37" s="10">
        <f>'Key assumptions'!$B33*(1+$G$14)^Q2*(Q90+Q111+Q132+Q153)</f>
        <v>2492463.6225230494</v>
      </c>
      <c r="R37" s="10">
        <f>'Key assumptions'!$B33*(1+$G$14)^R2*(R90+R111+R132+R153)</f>
        <v>2694370.4099223348</v>
      </c>
      <c r="S37" s="10">
        <f>'Key assumptions'!$B33*(1+$G$14)^S2*(S90+S111+S132+S153)</f>
        <v>2914886.4822145733</v>
      </c>
      <c r="T37" s="10">
        <f>'Key assumptions'!$B33*(1+$G$14)^T2*(T90+T111+T132+T153)</f>
        <v>3152647.3499375833</v>
      </c>
      <c r="U37" s="10">
        <f>'Key assumptions'!$B33*(1+$G$14)^U2*(U90+U111+U132+U153)</f>
        <v>3197784.0886509442</v>
      </c>
      <c r="V37" s="10">
        <f>'Key assumptions'!$B33*(1+$G$14)^V2*(V90+V111+V132+V153)</f>
        <v>3241036.1082863132</v>
      </c>
      <c r="W37" s="10"/>
      <c r="X37" s="10"/>
      <c r="Y37" s="10"/>
      <c r="Z37" s="10"/>
      <c r="AA37" s="10"/>
    </row>
    <row r="38" spans="1:27" x14ac:dyDescent="0.25">
      <c r="E38" s="2" t="str">
        <f>E8</f>
        <v>Pumps</v>
      </c>
      <c r="F38" t="s">
        <v>7</v>
      </c>
      <c r="G38" s="10"/>
      <c r="H38" s="10"/>
      <c r="I38" s="10"/>
      <c r="J38" s="10"/>
      <c r="K38" s="10"/>
      <c r="L38" s="10"/>
      <c r="M38" s="10"/>
      <c r="N38" s="10"/>
      <c r="O38" s="10"/>
      <c r="P38" s="10"/>
      <c r="Q38" s="10"/>
      <c r="R38" s="10"/>
      <c r="S38" s="10"/>
      <c r="T38" s="10"/>
      <c r="U38" s="10"/>
      <c r="V38" s="10"/>
      <c r="W38" s="10"/>
      <c r="X38" s="10"/>
      <c r="Y38" s="10"/>
      <c r="Z38" s="10"/>
      <c r="AA38" s="10"/>
    </row>
    <row r="39" spans="1:27" x14ac:dyDescent="0.25">
      <c r="E39" s="2" t="str">
        <f>E9</f>
        <v>Valves and Meters</v>
      </c>
      <c r="F39" t="s">
        <v>7</v>
      </c>
      <c r="G39" s="10"/>
      <c r="H39" s="10"/>
      <c r="I39" s="10"/>
      <c r="J39" s="10"/>
      <c r="K39" s="10"/>
      <c r="L39" s="10"/>
      <c r="M39" s="10"/>
      <c r="N39" s="10"/>
      <c r="O39" s="10"/>
      <c r="P39" s="10"/>
      <c r="Q39" s="10"/>
      <c r="R39" s="10"/>
      <c r="S39" s="10"/>
      <c r="T39" s="10"/>
      <c r="U39" s="10"/>
      <c r="V39" s="10"/>
      <c r="W39" s="10"/>
      <c r="X39" s="10"/>
      <c r="Y39" s="10"/>
      <c r="Z39" s="10"/>
      <c r="AA39" s="10"/>
    </row>
    <row r="40" spans="1:27" x14ac:dyDescent="0.25">
      <c r="E40" s="2" t="str">
        <f>E10</f>
        <v>Temporary Assets</v>
      </c>
      <c r="F40" t="s">
        <v>7</v>
      </c>
      <c r="G40" s="10"/>
      <c r="H40" s="10"/>
      <c r="I40" s="10"/>
      <c r="J40" s="10"/>
      <c r="K40" s="10"/>
      <c r="L40" s="10"/>
      <c r="M40" s="10"/>
      <c r="N40" s="10"/>
      <c r="O40" s="10"/>
      <c r="P40" s="10"/>
      <c r="Q40" s="10"/>
      <c r="R40" s="10"/>
      <c r="S40" s="10"/>
      <c r="T40" s="10"/>
      <c r="U40" s="10"/>
      <c r="V40" s="10"/>
      <c r="W40" s="10"/>
      <c r="X40" s="10"/>
      <c r="Y40" s="10"/>
      <c r="Z40" s="10"/>
      <c r="AA40" s="10"/>
    </row>
    <row r="41" spans="1:27" x14ac:dyDescent="0.25">
      <c r="E41" t="s">
        <v>131</v>
      </c>
      <c r="F41" t="s">
        <v>7</v>
      </c>
      <c r="G41" s="10"/>
      <c r="H41" s="10"/>
      <c r="I41" s="10"/>
      <c r="J41" s="10"/>
      <c r="K41" s="10"/>
      <c r="L41" s="10"/>
      <c r="M41" s="10"/>
      <c r="N41" s="10"/>
      <c r="O41" s="10"/>
      <c r="P41" s="10"/>
      <c r="Q41" s="10"/>
      <c r="R41" s="10"/>
      <c r="S41" s="10"/>
      <c r="T41" s="10"/>
      <c r="U41" s="10"/>
      <c r="V41" s="10"/>
      <c r="W41" s="10"/>
      <c r="X41" s="10"/>
      <c r="Y41" s="10"/>
      <c r="Z41" s="10"/>
      <c r="AA41" s="10"/>
    </row>
    <row r="42" spans="1:27" x14ac:dyDescent="0.25">
      <c r="G42" s="2">
        <f>SUM(G37:G41)</f>
        <v>0</v>
      </c>
      <c r="H42" s="2">
        <f t="shared" ref="H42:AA42" si="3">SUM(H37:H41)</f>
        <v>2222716.9999999995</v>
      </c>
      <c r="I42" s="2">
        <f t="shared" si="3"/>
        <v>2262096.9699999993</v>
      </c>
      <c r="J42" s="2">
        <f t="shared" si="3"/>
        <v>2344990.0540482495</v>
      </c>
      <c r="K42" s="2">
        <f t="shared" si="3"/>
        <v>2308658.5401528832</v>
      </c>
      <c r="L42" s="2">
        <f t="shared" si="3"/>
        <v>2265883.699507365</v>
      </c>
      <c r="M42" s="2">
        <f t="shared" si="3"/>
        <v>2224259.0082048466</v>
      </c>
      <c r="N42" s="2">
        <f t="shared" si="3"/>
        <v>2179886.8251561397</v>
      </c>
      <c r="O42" s="2">
        <f t="shared" si="3"/>
        <v>2134736.6530031604</v>
      </c>
      <c r="P42" s="2">
        <f t="shared" si="3"/>
        <v>2306162.4125158135</v>
      </c>
      <c r="Q42" s="2">
        <f t="shared" si="3"/>
        <v>2492463.6225230494</v>
      </c>
      <c r="R42" s="2">
        <f t="shared" si="3"/>
        <v>2694370.4099223348</v>
      </c>
      <c r="S42" s="2">
        <f t="shared" si="3"/>
        <v>2914886.4822145733</v>
      </c>
      <c r="T42" s="2">
        <f t="shared" si="3"/>
        <v>3152647.3499375833</v>
      </c>
      <c r="U42" s="2">
        <f t="shared" si="3"/>
        <v>3197784.0886509442</v>
      </c>
      <c r="V42" s="2">
        <f t="shared" si="3"/>
        <v>3241036.1082863132</v>
      </c>
      <c r="W42" s="2">
        <f t="shared" si="3"/>
        <v>0</v>
      </c>
      <c r="X42" s="2">
        <f t="shared" si="3"/>
        <v>0</v>
      </c>
      <c r="Y42" s="2">
        <f t="shared" si="3"/>
        <v>0</v>
      </c>
      <c r="Z42" s="2">
        <f t="shared" si="3"/>
        <v>0</v>
      </c>
      <c r="AA42" s="2">
        <f t="shared" si="3"/>
        <v>0</v>
      </c>
    </row>
    <row r="43" spans="1:27" x14ac:dyDescent="0.25">
      <c r="G43" s="2"/>
      <c r="H43" s="2"/>
      <c r="I43" s="2"/>
      <c r="J43" s="2"/>
      <c r="K43" s="2"/>
      <c r="L43" s="2"/>
      <c r="M43" s="2"/>
      <c r="N43" s="2"/>
      <c r="O43" s="2"/>
      <c r="P43" s="2"/>
      <c r="Q43" s="2"/>
    </row>
    <row r="44" spans="1:27" x14ac:dyDescent="0.25">
      <c r="D44" t="s">
        <v>134</v>
      </c>
      <c r="G44" s="2"/>
      <c r="H44" s="2"/>
      <c r="I44" s="2"/>
      <c r="J44" s="2"/>
      <c r="K44" s="2"/>
      <c r="L44" s="2"/>
      <c r="M44" s="2"/>
      <c r="N44" s="2"/>
      <c r="O44" s="2"/>
      <c r="P44" s="2"/>
      <c r="Q44" s="2"/>
    </row>
    <row r="45" spans="1:27" x14ac:dyDescent="0.25">
      <c r="E45" s="2" t="str">
        <f>E37</f>
        <v>Pipes</v>
      </c>
      <c r="F45" t="s">
        <v>7</v>
      </c>
      <c r="G45" s="2">
        <f t="shared" ref="G45:AA48" si="4">G37/$G7+IF((G$2-$G7+1)&gt;0,-INDEX($G37:$AA37,1,(G$2-$G7+1))/$G7,0)</f>
        <v>0</v>
      </c>
      <c r="H45" s="2">
        <f t="shared" si="4"/>
        <v>27783.962499999994</v>
      </c>
      <c r="I45" s="2">
        <f t="shared" si="4"/>
        <v>28276.212124999991</v>
      </c>
      <c r="J45" s="2">
        <f t="shared" si="4"/>
        <v>29312.375675603118</v>
      </c>
      <c r="K45" s="2">
        <f t="shared" si="4"/>
        <v>28858.23175191104</v>
      </c>
      <c r="L45" s="2">
        <f t="shared" si="4"/>
        <v>28323.546243842062</v>
      </c>
      <c r="M45" s="2">
        <f t="shared" si="4"/>
        <v>27803.237602560584</v>
      </c>
      <c r="N45" s="2">
        <f t="shared" si="4"/>
        <v>27248.585314451746</v>
      </c>
      <c r="O45" s="2">
        <f t="shared" si="4"/>
        <v>26684.208162539504</v>
      </c>
      <c r="P45" s="2">
        <f t="shared" si="4"/>
        <v>28827.030156447669</v>
      </c>
      <c r="Q45" s="2">
        <f t="shared" si="4"/>
        <v>31155.795281538118</v>
      </c>
      <c r="R45" s="2">
        <f t="shared" si="4"/>
        <v>33679.630124029187</v>
      </c>
      <c r="S45" s="2">
        <f t="shared" si="4"/>
        <v>36436.081027682165</v>
      </c>
      <c r="T45" s="2">
        <f t="shared" si="4"/>
        <v>39408.09187421979</v>
      </c>
      <c r="U45" s="2">
        <f t="shared" si="4"/>
        <v>39972.301108136802</v>
      </c>
      <c r="V45" s="2">
        <f t="shared" si="4"/>
        <v>40512.951353578916</v>
      </c>
      <c r="W45" s="2">
        <f t="shared" si="4"/>
        <v>0</v>
      </c>
      <c r="X45" s="2">
        <f t="shared" si="4"/>
        <v>0</v>
      </c>
      <c r="Y45" s="2">
        <f t="shared" si="4"/>
        <v>0</v>
      </c>
      <c r="Z45" s="2">
        <f t="shared" si="4"/>
        <v>0</v>
      </c>
      <c r="AA45" s="2">
        <f t="shared" si="4"/>
        <v>0</v>
      </c>
    </row>
    <row r="46" spans="1:27" x14ac:dyDescent="0.25">
      <c r="E46" s="2" t="str">
        <f t="shared" ref="E46:E48" si="5">E38</f>
        <v>Pumps</v>
      </c>
      <c r="F46" t="s">
        <v>7</v>
      </c>
      <c r="G46" s="2">
        <f t="shared" si="4"/>
        <v>0</v>
      </c>
      <c r="H46" s="2">
        <f t="shared" si="4"/>
        <v>0</v>
      </c>
      <c r="I46" s="2">
        <f t="shared" si="4"/>
        <v>0</v>
      </c>
      <c r="J46" s="2">
        <f t="shared" si="4"/>
        <v>0</v>
      </c>
      <c r="K46" s="2">
        <f t="shared" si="4"/>
        <v>0</v>
      </c>
      <c r="L46" s="2">
        <f t="shared" si="4"/>
        <v>0</v>
      </c>
      <c r="M46" s="2">
        <f t="shared" si="4"/>
        <v>0</v>
      </c>
      <c r="N46" s="2">
        <f t="shared" si="4"/>
        <v>0</v>
      </c>
      <c r="O46" s="2">
        <f t="shared" si="4"/>
        <v>0</v>
      </c>
      <c r="P46" s="2">
        <f t="shared" si="4"/>
        <v>0</v>
      </c>
      <c r="Q46" s="2">
        <f t="shared" si="4"/>
        <v>0</v>
      </c>
      <c r="R46" s="2">
        <f t="shared" si="4"/>
        <v>0</v>
      </c>
      <c r="S46" s="2">
        <f t="shared" si="4"/>
        <v>0</v>
      </c>
      <c r="T46" s="2">
        <f t="shared" si="4"/>
        <v>0</v>
      </c>
      <c r="U46" s="2">
        <f t="shared" si="4"/>
        <v>0</v>
      </c>
      <c r="V46" s="2">
        <f t="shared" si="4"/>
        <v>0</v>
      </c>
      <c r="W46" s="2">
        <f t="shared" si="4"/>
        <v>0</v>
      </c>
      <c r="X46" s="2">
        <f t="shared" si="4"/>
        <v>0</v>
      </c>
      <c r="Y46" s="2">
        <f t="shared" si="4"/>
        <v>0</v>
      </c>
      <c r="Z46" s="2">
        <f t="shared" si="4"/>
        <v>0</v>
      </c>
      <c r="AA46" s="2">
        <f t="shared" si="4"/>
        <v>0</v>
      </c>
    </row>
    <row r="47" spans="1:27" x14ac:dyDescent="0.25">
      <c r="E47" s="2" t="str">
        <f t="shared" si="5"/>
        <v>Valves and Meters</v>
      </c>
      <c r="F47" t="s">
        <v>7</v>
      </c>
      <c r="G47" s="2">
        <f t="shared" si="4"/>
        <v>0</v>
      </c>
      <c r="H47" s="2">
        <f t="shared" si="4"/>
        <v>0</v>
      </c>
      <c r="I47" s="2">
        <f t="shared" si="4"/>
        <v>0</v>
      </c>
      <c r="J47" s="2">
        <f t="shared" si="4"/>
        <v>0</v>
      </c>
      <c r="K47" s="2">
        <f t="shared" si="4"/>
        <v>0</v>
      </c>
      <c r="L47" s="2">
        <f t="shared" si="4"/>
        <v>0</v>
      </c>
      <c r="M47" s="2">
        <f t="shared" si="4"/>
        <v>0</v>
      </c>
      <c r="N47" s="2">
        <f t="shared" si="4"/>
        <v>0</v>
      </c>
      <c r="O47" s="2">
        <f t="shared" si="4"/>
        <v>0</v>
      </c>
      <c r="P47" s="2">
        <f t="shared" si="4"/>
        <v>0</v>
      </c>
      <c r="Q47" s="2">
        <f t="shared" si="4"/>
        <v>0</v>
      </c>
      <c r="R47" s="2">
        <f t="shared" si="4"/>
        <v>0</v>
      </c>
      <c r="S47" s="2">
        <f t="shared" si="4"/>
        <v>0</v>
      </c>
      <c r="T47" s="2">
        <f t="shared" si="4"/>
        <v>0</v>
      </c>
      <c r="U47" s="2">
        <f t="shared" si="4"/>
        <v>0</v>
      </c>
      <c r="V47" s="2">
        <f t="shared" si="4"/>
        <v>0</v>
      </c>
      <c r="W47" s="2">
        <f t="shared" si="4"/>
        <v>0</v>
      </c>
      <c r="X47" s="2">
        <f t="shared" si="4"/>
        <v>0</v>
      </c>
      <c r="Y47" s="2">
        <f t="shared" si="4"/>
        <v>0</v>
      </c>
      <c r="Z47" s="2">
        <f t="shared" si="4"/>
        <v>0</v>
      </c>
      <c r="AA47" s="2">
        <f t="shared" si="4"/>
        <v>0</v>
      </c>
    </row>
    <row r="48" spans="1:27" x14ac:dyDescent="0.25">
      <c r="E48" s="2" t="str">
        <f t="shared" si="5"/>
        <v>Temporary Assets</v>
      </c>
      <c r="F48" t="s">
        <v>7</v>
      </c>
      <c r="G48" s="2">
        <f t="shared" si="4"/>
        <v>0</v>
      </c>
      <c r="H48" s="2">
        <f t="shared" si="4"/>
        <v>0</v>
      </c>
      <c r="I48" s="2">
        <f t="shared" si="4"/>
        <v>0</v>
      </c>
      <c r="J48" s="2">
        <f t="shared" si="4"/>
        <v>0</v>
      </c>
      <c r="K48" s="2">
        <f t="shared" si="4"/>
        <v>0</v>
      </c>
      <c r="L48" s="2">
        <f t="shared" si="4"/>
        <v>0</v>
      </c>
      <c r="M48" s="2">
        <f t="shared" si="4"/>
        <v>0</v>
      </c>
      <c r="N48" s="2">
        <f t="shared" si="4"/>
        <v>0</v>
      </c>
      <c r="O48" s="2">
        <f t="shared" si="4"/>
        <v>0</v>
      </c>
      <c r="P48" s="2">
        <f t="shared" si="4"/>
        <v>0</v>
      </c>
      <c r="Q48" s="2">
        <f t="shared" si="4"/>
        <v>0</v>
      </c>
      <c r="R48" s="2">
        <f t="shared" si="4"/>
        <v>0</v>
      </c>
      <c r="S48" s="2">
        <f t="shared" si="4"/>
        <v>0</v>
      </c>
      <c r="T48" s="2">
        <f t="shared" si="4"/>
        <v>0</v>
      </c>
      <c r="U48" s="2">
        <f t="shared" si="4"/>
        <v>0</v>
      </c>
      <c r="V48" s="2">
        <f t="shared" si="4"/>
        <v>0</v>
      </c>
      <c r="W48" s="2">
        <f t="shared" si="4"/>
        <v>0</v>
      </c>
      <c r="X48" s="2">
        <f t="shared" si="4"/>
        <v>0</v>
      </c>
      <c r="Y48" s="2">
        <f t="shared" si="4"/>
        <v>0</v>
      </c>
      <c r="Z48" s="2">
        <f t="shared" si="4"/>
        <v>0</v>
      </c>
      <c r="AA48" s="2">
        <f t="shared" si="4"/>
        <v>0</v>
      </c>
    </row>
    <row r="49" spans="1:27" x14ac:dyDescent="0.25">
      <c r="G49" s="2"/>
      <c r="H49" s="2"/>
      <c r="I49" s="2"/>
      <c r="J49" s="2"/>
      <c r="K49" s="2"/>
      <c r="L49" s="2"/>
      <c r="M49" s="2"/>
      <c r="N49" s="2"/>
      <c r="O49" s="2"/>
      <c r="P49" s="2"/>
      <c r="Q49" s="2"/>
    </row>
    <row r="50" spans="1:27" x14ac:dyDescent="0.25">
      <c r="D50" t="s">
        <v>135</v>
      </c>
      <c r="F50" t="s">
        <v>7</v>
      </c>
      <c r="G50" s="2">
        <f>SUM($G$45:G48)</f>
        <v>0</v>
      </c>
      <c r="H50" s="2">
        <f>SUM($G$45:H48)</f>
        <v>27783.962499999994</v>
      </c>
      <c r="I50" s="2">
        <f>SUM($G$45:I48)</f>
        <v>56060.174624999985</v>
      </c>
      <c r="J50" s="2">
        <f>SUM($G$45:J48)</f>
        <v>85372.550300603107</v>
      </c>
      <c r="K50" s="2">
        <f>SUM($G$45:K48)</f>
        <v>114230.78205251414</v>
      </c>
      <c r="L50" s="2">
        <f>SUM($G$45:L48)</f>
        <v>142554.32829635619</v>
      </c>
      <c r="M50" s="2">
        <f>SUM($G$45:M48)</f>
        <v>170357.56589891677</v>
      </c>
      <c r="N50" s="2">
        <f>SUM($G$45:N48)</f>
        <v>197606.15121336852</v>
      </c>
      <c r="O50" s="2">
        <f>SUM($G$45:O48)</f>
        <v>224290.35937590801</v>
      </c>
      <c r="P50" s="2">
        <f>SUM($G$45:P48)</f>
        <v>253117.38953235568</v>
      </c>
      <c r="Q50" s="2">
        <f>SUM($G$45:Q48)</f>
        <v>284273.18481389381</v>
      </c>
      <c r="R50" s="2">
        <f>SUM($G$45:R48)</f>
        <v>317952.81493792299</v>
      </c>
      <c r="S50" s="2">
        <f>SUM($G$45:S48)</f>
        <v>354388.89596560516</v>
      </c>
      <c r="T50" s="2">
        <f>SUM($G$45:T48)</f>
        <v>393796.98783982493</v>
      </c>
      <c r="U50" s="2">
        <f>SUM($G$45:U48)</f>
        <v>433769.28894796176</v>
      </c>
      <c r="V50" s="2">
        <f>SUM($G$45:V48)</f>
        <v>474282.2403015407</v>
      </c>
      <c r="W50" s="2">
        <f>SUM($G$45:W48)</f>
        <v>474282.2403015407</v>
      </c>
      <c r="X50" s="2">
        <f>SUM($G$45:X48)</f>
        <v>474282.2403015407</v>
      </c>
      <c r="Y50" s="2">
        <f>SUM($G$45:Y48)</f>
        <v>474282.2403015407</v>
      </c>
      <c r="Z50" s="2">
        <f>SUM($G$45:Z48)</f>
        <v>474282.2403015407</v>
      </c>
      <c r="AA50" s="2">
        <f>SUM($G$45:AA48)</f>
        <v>474282.2403015407</v>
      </c>
    </row>
    <row r="51" spans="1:27" x14ac:dyDescent="0.25">
      <c r="G51" s="2"/>
      <c r="H51" s="2"/>
      <c r="I51" s="2"/>
      <c r="J51" s="2"/>
      <c r="K51" s="2"/>
      <c r="L51" s="2"/>
      <c r="M51" s="2"/>
      <c r="N51" s="2"/>
      <c r="O51" s="2"/>
      <c r="P51" s="2"/>
      <c r="Q51" s="2"/>
      <c r="R51" s="2"/>
      <c r="S51" s="2"/>
      <c r="T51" s="2"/>
      <c r="U51" s="2"/>
      <c r="V51" s="2"/>
      <c r="W51" s="2"/>
      <c r="X51" s="2"/>
      <c r="Y51" s="2"/>
      <c r="Z51" s="2"/>
      <c r="AA51" s="2"/>
    </row>
    <row r="52" spans="1:27" x14ac:dyDescent="0.25">
      <c r="A52" s="14">
        <f>'Notes &amp; Assumptions'!A25</f>
        <v>12</v>
      </c>
      <c r="C52" s="1" t="s">
        <v>109</v>
      </c>
      <c r="G52" s="2"/>
      <c r="H52" s="2"/>
      <c r="I52" s="2"/>
      <c r="J52" s="2"/>
      <c r="K52" s="2"/>
      <c r="L52" s="2"/>
      <c r="M52" s="2"/>
      <c r="N52" s="2"/>
      <c r="O52" s="2"/>
      <c r="P52" s="2"/>
      <c r="Q52" s="2"/>
      <c r="R52" s="2"/>
      <c r="S52" s="2"/>
      <c r="T52" s="2"/>
      <c r="U52" s="2"/>
      <c r="V52" s="2"/>
      <c r="W52" s="2"/>
      <c r="X52" s="2"/>
      <c r="Y52" s="2"/>
      <c r="Z52" s="2"/>
      <c r="AA52" s="2"/>
    </row>
    <row r="53" spans="1:27" x14ac:dyDescent="0.25">
      <c r="E53" t="s">
        <v>109</v>
      </c>
      <c r="F53" t="s">
        <v>7</v>
      </c>
      <c r="G53" s="10"/>
      <c r="H53" s="10"/>
      <c r="I53" s="10"/>
      <c r="J53" s="10"/>
      <c r="K53" s="10"/>
      <c r="L53" s="10"/>
      <c r="M53" s="10"/>
      <c r="N53" s="10"/>
      <c r="O53" s="10"/>
      <c r="P53" s="10"/>
      <c r="Q53" s="10"/>
      <c r="R53" s="10"/>
      <c r="S53" s="10"/>
      <c r="T53" s="10"/>
      <c r="U53" s="10"/>
      <c r="V53" s="10"/>
      <c r="W53" s="10"/>
      <c r="X53" s="10"/>
      <c r="Y53" s="10"/>
      <c r="Z53" s="10"/>
      <c r="AA53" s="10"/>
    </row>
    <row r="55" spans="1:27" x14ac:dyDescent="0.25">
      <c r="C55" s="1" t="s">
        <v>25</v>
      </c>
      <c r="D55" s="1"/>
    </row>
    <row r="56" spans="1:27" x14ac:dyDescent="0.25">
      <c r="A56" s="14">
        <f>'Notes &amp; Assumptions'!A26</f>
        <v>13</v>
      </c>
      <c r="D56" t="s">
        <v>2</v>
      </c>
    </row>
    <row r="57" spans="1:27" x14ac:dyDescent="0.25">
      <c r="E57" s="2" t="str">
        <f>E7</f>
        <v>Pipes</v>
      </c>
      <c r="F57" t="s">
        <v>7</v>
      </c>
      <c r="G57" s="10"/>
      <c r="H57" s="10"/>
      <c r="I57" s="10"/>
      <c r="J57" s="10"/>
      <c r="K57" s="10"/>
      <c r="L57" s="10"/>
      <c r="M57" s="10"/>
      <c r="N57" s="10"/>
      <c r="O57" s="10"/>
      <c r="P57" s="10"/>
      <c r="Q57" s="10"/>
      <c r="R57" s="10"/>
      <c r="S57" s="10"/>
      <c r="T57" s="10"/>
      <c r="U57" s="10"/>
      <c r="V57" s="10"/>
      <c r="W57" s="10"/>
      <c r="X57" s="10"/>
      <c r="Y57" s="10"/>
      <c r="Z57" s="10"/>
      <c r="AA57" s="10"/>
    </row>
    <row r="58" spans="1:27" x14ac:dyDescent="0.25">
      <c r="E58" s="2" t="str">
        <f>E8</f>
        <v>Pumps</v>
      </c>
      <c r="F58" t="s">
        <v>7</v>
      </c>
      <c r="G58" s="10"/>
      <c r="H58" s="10"/>
      <c r="I58" s="10"/>
      <c r="J58" s="10"/>
      <c r="K58" s="10"/>
      <c r="L58" s="10"/>
      <c r="M58" s="10"/>
      <c r="N58" s="10"/>
      <c r="O58" s="10"/>
      <c r="P58" s="10"/>
      <c r="Q58" s="10"/>
      <c r="R58" s="10"/>
      <c r="S58" s="10"/>
      <c r="T58" s="10"/>
      <c r="U58" s="10"/>
      <c r="V58" s="10"/>
      <c r="W58" s="10"/>
      <c r="X58" s="10"/>
      <c r="Y58" s="10"/>
      <c r="Z58" s="10"/>
      <c r="AA58" s="10"/>
    </row>
    <row r="59" spans="1:27" x14ac:dyDescent="0.25">
      <c r="E59" s="2" t="str">
        <f>E9</f>
        <v>Valves and Meters</v>
      </c>
      <c r="F59" t="s">
        <v>7</v>
      </c>
      <c r="G59" s="10"/>
      <c r="H59" s="10"/>
      <c r="I59" s="10"/>
      <c r="J59" s="10"/>
      <c r="K59" s="10"/>
      <c r="L59" s="10"/>
      <c r="M59" s="10"/>
      <c r="N59" s="10"/>
      <c r="O59" s="10"/>
      <c r="P59" s="10"/>
      <c r="Q59" s="10"/>
      <c r="R59" s="10"/>
      <c r="S59" s="10"/>
      <c r="T59" s="10"/>
      <c r="U59" s="10"/>
      <c r="V59" s="10"/>
      <c r="W59" s="10"/>
      <c r="X59" s="10"/>
      <c r="Y59" s="10"/>
      <c r="Z59" s="10"/>
      <c r="AA59" s="10"/>
    </row>
    <row r="60" spans="1:27" x14ac:dyDescent="0.25">
      <c r="E60" t="s">
        <v>131</v>
      </c>
      <c r="F60" t="s">
        <v>7</v>
      </c>
      <c r="G60" s="10"/>
      <c r="H60" s="10"/>
      <c r="I60" s="10"/>
      <c r="J60" s="10"/>
      <c r="K60" s="10"/>
      <c r="L60" s="10"/>
      <c r="M60" s="10"/>
      <c r="N60" s="10"/>
      <c r="O60" s="10"/>
      <c r="P60" s="10"/>
      <c r="Q60" s="10"/>
      <c r="R60" s="10"/>
      <c r="S60" s="10"/>
      <c r="T60" s="10"/>
      <c r="U60" s="10"/>
      <c r="V60" s="10"/>
      <c r="W60" s="10"/>
      <c r="X60" s="10"/>
      <c r="Y60" s="10"/>
      <c r="Z60" s="10"/>
      <c r="AA60" s="10"/>
    </row>
    <row r="61" spans="1:27" x14ac:dyDescent="0.25">
      <c r="G61" s="2">
        <f>SUM(G57:G60)</f>
        <v>0</v>
      </c>
      <c r="H61" s="2">
        <f t="shared" ref="H61:AA61" si="6">SUM(H57:H60)</f>
        <v>0</v>
      </c>
      <c r="I61" s="2">
        <f t="shared" si="6"/>
        <v>0</v>
      </c>
      <c r="J61" s="2">
        <f t="shared" si="6"/>
        <v>0</v>
      </c>
      <c r="K61" s="2">
        <f t="shared" si="6"/>
        <v>0</v>
      </c>
      <c r="L61" s="2">
        <f t="shared" si="6"/>
        <v>0</v>
      </c>
      <c r="M61" s="2">
        <f t="shared" si="6"/>
        <v>0</v>
      </c>
      <c r="N61" s="2">
        <f t="shared" si="6"/>
        <v>0</v>
      </c>
      <c r="O61" s="2">
        <f t="shared" si="6"/>
        <v>0</v>
      </c>
      <c r="P61" s="2">
        <f t="shared" si="6"/>
        <v>0</v>
      </c>
      <c r="Q61" s="2">
        <f t="shared" si="6"/>
        <v>0</v>
      </c>
      <c r="R61" s="2">
        <f t="shared" si="6"/>
        <v>0</v>
      </c>
      <c r="S61" s="2">
        <f t="shared" si="6"/>
        <v>0</v>
      </c>
      <c r="T61" s="2">
        <f t="shared" si="6"/>
        <v>0</v>
      </c>
      <c r="U61" s="2">
        <f t="shared" si="6"/>
        <v>0</v>
      </c>
      <c r="V61" s="2">
        <f t="shared" si="6"/>
        <v>0</v>
      </c>
      <c r="W61" s="2">
        <f t="shared" si="6"/>
        <v>0</v>
      </c>
      <c r="X61" s="2">
        <f t="shared" si="6"/>
        <v>0</v>
      </c>
      <c r="Y61" s="2">
        <f t="shared" si="6"/>
        <v>0</v>
      </c>
      <c r="Z61" s="2">
        <f t="shared" si="6"/>
        <v>0</v>
      </c>
      <c r="AA61" s="2">
        <f t="shared" si="6"/>
        <v>0</v>
      </c>
    </row>
    <row r="63" spans="1:27" x14ac:dyDescent="0.25">
      <c r="D63" t="s">
        <v>136</v>
      </c>
      <c r="G63" s="2"/>
      <c r="H63" s="2"/>
      <c r="I63" s="2"/>
      <c r="J63" s="2"/>
      <c r="K63" s="2"/>
      <c r="L63" s="2"/>
      <c r="M63" s="2"/>
      <c r="N63" s="2"/>
      <c r="O63" s="2"/>
      <c r="P63" s="2"/>
      <c r="Q63" s="2"/>
    </row>
    <row r="64" spans="1:27" x14ac:dyDescent="0.25">
      <c r="E64" s="2" t="str">
        <f>E57</f>
        <v>Pipes</v>
      </c>
      <c r="F64" t="s">
        <v>7</v>
      </c>
      <c r="G64" s="2">
        <f t="shared" ref="G64:AA66" si="7">G57/$G7+IF((G$2-$G7+1)&gt;0,-INDEX($G57:$AA57,1,(G$2-$G7+1))/$G7,0)</f>
        <v>0</v>
      </c>
      <c r="H64" s="2">
        <f t="shared" si="7"/>
        <v>0</v>
      </c>
      <c r="I64" s="2">
        <f t="shared" si="7"/>
        <v>0</v>
      </c>
      <c r="J64" s="2">
        <f t="shared" si="7"/>
        <v>0</v>
      </c>
      <c r="K64" s="2">
        <f t="shared" si="7"/>
        <v>0</v>
      </c>
      <c r="L64" s="2">
        <f t="shared" si="7"/>
        <v>0</v>
      </c>
      <c r="M64" s="2">
        <f t="shared" si="7"/>
        <v>0</v>
      </c>
      <c r="N64" s="2">
        <f t="shared" si="7"/>
        <v>0</v>
      </c>
      <c r="O64" s="2">
        <f t="shared" si="7"/>
        <v>0</v>
      </c>
      <c r="P64" s="2">
        <f t="shared" si="7"/>
        <v>0</v>
      </c>
      <c r="Q64" s="2">
        <f t="shared" si="7"/>
        <v>0</v>
      </c>
      <c r="R64" s="2">
        <f t="shared" si="7"/>
        <v>0</v>
      </c>
      <c r="S64" s="2">
        <f t="shared" si="7"/>
        <v>0</v>
      </c>
      <c r="T64" s="2">
        <f t="shared" si="7"/>
        <v>0</v>
      </c>
      <c r="U64" s="2">
        <f t="shared" si="7"/>
        <v>0</v>
      </c>
      <c r="V64" s="2">
        <f t="shared" si="7"/>
        <v>0</v>
      </c>
      <c r="W64" s="2">
        <f t="shared" si="7"/>
        <v>0</v>
      </c>
      <c r="X64" s="2">
        <f t="shared" si="7"/>
        <v>0</v>
      </c>
      <c r="Y64" s="2">
        <f t="shared" si="7"/>
        <v>0</v>
      </c>
      <c r="Z64" s="2">
        <f t="shared" si="7"/>
        <v>0</v>
      </c>
      <c r="AA64" s="2">
        <f t="shared" si="7"/>
        <v>0</v>
      </c>
    </row>
    <row r="65" spans="1:27" x14ac:dyDescent="0.25">
      <c r="E65" s="2" t="str">
        <f t="shared" ref="E65:E66" si="8">E58</f>
        <v>Pumps</v>
      </c>
      <c r="F65" t="s">
        <v>7</v>
      </c>
      <c r="G65" s="2">
        <f t="shared" si="7"/>
        <v>0</v>
      </c>
      <c r="H65" s="2">
        <f t="shared" si="7"/>
        <v>0</v>
      </c>
      <c r="I65" s="2">
        <f t="shared" si="7"/>
        <v>0</v>
      </c>
      <c r="J65" s="2">
        <f t="shared" si="7"/>
        <v>0</v>
      </c>
      <c r="K65" s="2">
        <f t="shared" si="7"/>
        <v>0</v>
      </c>
      <c r="L65" s="2">
        <f t="shared" si="7"/>
        <v>0</v>
      </c>
      <c r="M65" s="2">
        <f t="shared" si="7"/>
        <v>0</v>
      </c>
      <c r="N65" s="2">
        <f t="shared" si="7"/>
        <v>0</v>
      </c>
      <c r="O65" s="2">
        <f t="shared" si="7"/>
        <v>0</v>
      </c>
      <c r="P65" s="2">
        <f t="shared" si="7"/>
        <v>0</v>
      </c>
      <c r="Q65" s="2">
        <f t="shared" si="7"/>
        <v>0</v>
      </c>
      <c r="R65" s="2">
        <f t="shared" si="7"/>
        <v>0</v>
      </c>
      <c r="S65" s="2">
        <f t="shared" si="7"/>
        <v>0</v>
      </c>
      <c r="T65" s="2">
        <f t="shared" si="7"/>
        <v>0</v>
      </c>
      <c r="U65" s="2">
        <f t="shared" si="7"/>
        <v>0</v>
      </c>
      <c r="V65" s="2">
        <f t="shared" si="7"/>
        <v>0</v>
      </c>
      <c r="W65" s="2">
        <f t="shared" si="7"/>
        <v>0</v>
      </c>
      <c r="X65" s="2">
        <f t="shared" si="7"/>
        <v>0</v>
      </c>
      <c r="Y65" s="2">
        <f t="shared" si="7"/>
        <v>0</v>
      </c>
      <c r="Z65" s="2">
        <f t="shared" si="7"/>
        <v>0</v>
      </c>
      <c r="AA65" s="2">
        <f t="shared" si="7"/>
        <v>0</v>
      </c>
    </row>
    <row r="66" spans="1:27" x14ac:dyDescent="0.25">
      <c r="E66" s="2" t="str">
        <f t="shared" si="8"/>
        <v>Valves and Meters</v>
      </c>
      <c r="F66" t="s">
        <v>7</v>
      </c>
      <c r="G66" s="2">
        <f t="shared" si="7"/>
        <v>0</v>
      </c>
      <c r="H66" s="2">
        <f t="shared" si="7"/>
        <v>0</v>
      </c>
      <c r="I66" s="2">
        <f t="shared" si="7"/>
        <v>0</v>
      </c>
      <c r="J66" s="2">
        <f t="shared" si="7"/>
        <v>0</v>
      </c>
      <c r="K66" s="2">
        <f t="shared" si="7"/>
        <v>0</v>
      </c>
      <c r="L66" s="2">
        <f t="shared" si="7"/>
        <v>0</v>
      </c>
      <c r="M66" s="2">
        <f t="shared" si="7"/>
        <v>0</v>
      </c>
      <c r="N66" s="2">
        <f t="shared" si="7"/>
        <v>0</v>
      </c>
      <c r="O66" s="2">
        <f t="shared" si="7"/>
        <v>0</v>
      </c>
      <c r="P66" s="2">
        <f t="shared" si="7"/>
        <v>0</v>
      </c>
      <c r="Q66" s="2">
        <f t="shared" si="7"/>
        <v>0</v>
      </c>
      <c r="R66" s="2">
        <f t="shared" si="7"/>
        <v>0</v>
      </c>
      <c r="S66" s="2">
        <f t="shared" si="7"/>
        <v>0</v>
      </c>
      <c r="T66" s="2">
        <f t="shared" si="7"/>
        <v>0</v>
      </c>
      <c r="U66" s="2">
        <f t="shared" si="7"/>
        <v>0</v>
      </c>
      <c r="V66" s="2">
        <f t="shared" si="7"/>
        <v>0</v>
      </c>
      <c r="W66" s="2">
        <f t="shared" si="7"/>
        <v>0</v>
      </c>
      <c r="X66" s="2">
        <f t="shared" si="7"/>
        <v>0</v>
      </c>
      <c r="Y66" s="2">
        <f t="shared" si="7"/>
        <v>0</v>
      </c>
      <c r="Z66" s="2">
        <f t="shared" si="7"/>
        <v>0</v>
      </c>
      <c r="AA66" s="2">
        <f t="shared" si="7"/>
        <v>0</v>
      </c>
    </row>
    <row r="68" spans="1:27" x14ac:dyDescent="0.25">
      <c r="D68" t="s">
        <v>137</v>
      </c>
      <c r="F68" t="s">
        <v>7</v>
      </c>
      <c r="G68" s="2">
        <f>SUM($G$64:G66)</f>
        <v>0</v>
      </c>
      <c r="H68" s="2">
        <f>SUM($G$64:H66)</f>
        <v>0</v>
      </c>
      <c r="I68" s="2">
        <f>SUM($G$64:I66)</f>
        <v>0</v>
      </c>
      <c r="J68" s="2">
        <f>SUM($G$64:J66)</f>
        <v>0</v>
      </c>
      <c r="K68" s="2">
        <f>SUM($G$64:K66)</f>
        <v>0</v>
      </c>
      <c r="L68" s="2">
        <f>SUM($G$64:L66)</f>
        <v>0</v>
      </c>
      <c r="M68" s="2">
        <f>SUM($G$64:M66)</f>
        <v>0</v>
      </c>
      <c r="N68" s="2">
        <f>SUM($G$64:N66)</f>
        <v>0</v>
      </c>
      <c r="O68" s="2">
        <f>SUM($G$64:O66)</f>
        <v>0</v>
      </c>
      <c r="P68" s="2">
        <f>SUM($G$64:P66)</f>
        <v>0</v>
      </c>
      <c r="Q68" s="2">
        <f>SUM($G$64:Q66)</f>
        <v>0</v>
      </c>
      <c r="R68" s="2">
        <f>SUM($G$64:R66)</f>
        <v>0</v>
      </c>
      <c r="S68" s="2">
        <f>SUM($G$64:S66)</f>
        <v>0</v>
      </c>
      <c r="T68" s="2">
        <f>SUM($G$64:T66)</f>
        <v>0</v>
      </c>
      <c r="U68" s="2">
        <f>SUM($G$64:U66)</f>
        <v>0</v>
      </c>
      <c r="V68" s="2">
        <f>SUM($G$64:V66)</f>
        <v>0</v>
      </c>
      <c r="W68" s="2">
        <f>SUM($G$64:W66)</f>
        <v>0</v>
      </c>
      <c r="X68" s="2">
        <f>SUM($G$64:X66)</f>
        <v>0</v>
      </c>
      <c r="Y68" s="2">
        <f>SUM($G$64:Y66)</f>
        <v>0</v>
      </c>
      <c r="Z68" s="2">
        <f>SUM($G$64:Z66)</f>
        <v>0</v>
      </c>
      <c r="AA68" s="2">
        <f>SUM($G$64:AA66)</f>
        <v>0</v>
      </c>
    </row>
    <row r="70" spans="1:27" x14ac:dyDescent="0.25">
      <c r="A70" s="14">
        <f>'Notes &amp; Assumptions'!A27</f>
        <v>14</v>
      </c>
      <c r="D70" t="s">
        <v>6</v>
      </c>
    </row>
    <row r="71" spans="1:27" x14ac:dyDescent="0.25">
      <c r="E71" s="2" t="str">
        <f>E7</f>
        <v>Pipes</v>
      </c>
      <c r="F71" t="s">
        <v>7</v>
      </c>
      <c r="G71" s="10"/>
      <c r="H71" s="10"/>
      <c r="I71" s="10"/>
      <c r="J71" s="10"/>
      <c r="K71" s="10"/>
      <c r="L71" s="10"/>
      <c r="M71" s="10"/>
      <c r="N71" s="10"/>
      <c r="O71" s="10"/>
      <c r="P71" s="10"/>
      <c r="Q71" s="10"/>
      <c r="R71" s="10"/>
      <c r="S71" s="10"/>
      <c r="T71" s="10"/>
      <c r="U71" s="10"/>
      <c r="V71" s="10"/>
      <c r="W71" s="10"/>
      <c r="X71" s="10"/>
      <c r="Y71" s="10"/>
      <c r="Z71" s="10"/>
      <c r="AA71" s="10"/>
    </row>
    <row r="72" spans="1:27" x14ac:dyDescent="0.25">
      <c r="E72" s="2" t="str">
        <f>E8</f>
        <v>Pumps</v>
      </c>
      <c r="F72" t="s">
        <v>7</v>
      </c>
      <c r="G72" s="10"/>
      <c r="H72" s="10"/>
      <c r="I72" s="10"/>
      <c r="J72" s="10"/>
      <c r="K72" s="10"/>
      <c r="L72" s="10"/>
      <c r="M72" s="10"/>
      <c r="N72" s="10"/>
      <c r="O72" s="10"/>
      <c r="P72" s="10"/>
      <c r="Q72" s="10"/>
      <c r="R72" s="10"/>
      <c r="S72" s="10"/>
      <c r="T72" s="10"/>
      <c r="U72" s="10"/>
      <c r="V72" s="10"/>
      <c r="W72" s="10"/>
      <c r="X72" s="10"/>
      <c r="Y72" s="10"/>
      <c r="Z72" s="10"/>
      <c r="AA72" s="10"/>
    </row>
    <row r="73" spans="1:27" x14ac:dyDescent="0.25">
      <c r="E73" s="2" t="str">
        <f>E9</f>
        <v>Valves and Meters</v>
      </c>
      <c r="F73" t="s">
        <v>7</v>
      </c>
      <c r="G73" s="10"/>
      <c r="H73" s="10"/>
      <c r="I73" s="10"/>
      <c r="J73" s="10"/>
      <c r="K73" s="10"/>
      <c r="L73" s="10"/>
      <c r="M73" s="10"/>
      <c r="N73" s="10"/>
      <c r="O73" s="10"/>
      <c r="P73" s="10"/>
      <c r="Q73" s="10"/>
      <c r="R73" s="10"/>
      <c r="S73" s="10"/>
      <c r="T73" s="10"/>
      <c r="U73" s="10"/>
      <c r="V73" s="10"/>
      <c r="W73" s="10"/>
      <c r="X73" s="10"/>
      <c r="Y73" s="10"/>
      <c r="Z73" s="10"/>
      <c r="AA73" s="10"/>
    </row>
    <row r="74" spans="1:27" x14ac:dyDescent="0.25">
      <c r="E74" t="s">
        <v>131</v>
      </c>
      <c r="F74" t="s">
        <v>7</v>
      </c>
      <c r="G74" s="10"/>
      <c r="H74" s="10"/>
      <c r="I74" s="10"/>
      <c r="J74" s="10"/>
      <c r="K74" s="10"/>
      <c r="L74" s="10"/>
      <c r="M74" s="10"/>
      <c r="N74" s="10"/>
      <c r="O74" s="10"/>
      <c r="P74" s="10"/>
      <c r="Q74" s="10"/>
      <c r="R74" s="10"/>
      <c r="S74" s="10"/>
      <c r="T74" s="10"/>
      <c r="U74" s="10"/>
      <c r="V74" s="10"/>
      <c r="W74" s="10"/>
      <c r="X74" s="10"/>
      <c r="Y74" s="10"/>
      <c r="Z74" s="10"/>
      <c r="AA74" s="10"/>
    </row>
    <row r="75" spans="1:27" x14ac:dyDescent="0.25">
      <c r="G75" s="2">
        <f>SUM(G71:G74)</f>
        <v>0</v>
      </c>
      <c r="H75" s="2">
        <f t="shared" ref="H75:AA75" si="9">SUM(H71:H74)</f>
        <v>0</v>
      </c>
      <c r="I75" s="2">
        <f t="shared" si="9"/>
        <v>0</v>
      </c>
      <c r="J75" s="2">
        <f t="shared" si="9"/>
        <v>0</v>
      </c>
      <c r="K75" s="2">
        <f t="shared" si="9"/>
        <v>0</v>
      </c>
      <c r="L75" s="2">
        <f t="shared" si="9"/>
        <v>0</v>
      </c>
      <c r="M75" s="2">
        <f t="shared" si="9"/>
        <v>0</v>
      </c>
      <c r="N75" s="2">
        <f t="shared" si="9"/>
        <v>0</v>
      </c>
      <c r="O75" s="2">
        <f t="shared" si="9"/>
        <v>0</v>
      </c>
      <c r="P75" s="2">
        <f t="shared" si="9"/>
        <v>0</v>
      </c>
      <c r="Q75" s="2">
        <f t="shared" si="9"/>
        <v>0</v>
      </c>
      <c r="R75" s="2">
        <f t="shared" si="9"/>
        <v>0</v>
      </c>
      <c r="S75" s="2">
        <f t="shared" si="9"/>
        <v>0</v>
      </c>
      <c r="T75" s="2">
        <f t="shared" si="9"/>
        <v>0</v>
      </c>
      <c r="U75" s="2">
        <f t="shared" si="9"/>
        <v>0</v>
      </c>
      <c r="V75" s="2">
        <f t="shared" si="9"/>
        <v>0</v>
      </c>
      <c r="W75" s="2">
        <f t="shared" si="9"/>
        <v>0</v>
      </c>
      <c r="X75" s="2">
        <f t="shared" si="9"/>
        <v>0</v>
      </c>
      <c r="Y75" s="2">
        <f t="shared" si="9"/>
        <v>0</v>
      </c>
      <c r="Z75" s="2">
        <f t="shared" si="9"/>
        <v>0</v>
      </c>
      <c r="AA75" s="2">
        <f t="shared" si="9"/>
        <v>0</v>
      </c>
    </row>
    <row r="76" spans="1:27" x14ac:dyDescent="0.25">
      <c r="G76" s="2"/>
      <c r="H76" s="2"/>
      <c r="I76" s="2"/>
      <c r="J76" s="2"/>
      <c r="K76" s="2"/>
      <c r="L76" s="2"/>
      <c r="M76" s="2"/>
      <c r="N76" s="2"/>
      <c r="O76" s="2"/>
      <c r="P76" s="2"/>
      <c r="Q76" s="2"/>
      <c r="R76" s="2"/>
      <c r="S76" s="2"/>
      <c r="T76" s="2"/>
      <c r="U76" s="2"/>
      <c r="V76" s="2"/>
      <c r="W76" s="2"/>
      <c r="X76" s="2"/>
      <c r="Y76" s="2"/>
      <c r="Z76" s="2"/>
      <c r="AA76" s="2"/>
    </row>
    <row r="77" spans="1:27" x14ac:dyDescent="0.25">
      <c r="D77" t="s">
        <v>136</v>
      </c>
      <c r="G77" s="2"/>
      <c r="H77" s="2"/>
      <c r="I77" s="2"/>
      <c r="J77" s="2"/>
      <c r="K77" s="2"/>
      <c r="L77" s="2"/>
      <c r="M77" s="2"/>
      <c r="N77" s="2"/>
      <c r="O77" s="2"/>
      <c r="P77" s="2"/>
      <c r="Q77" s="2"/>
    </row>
    <row r="78" spans="1:27" x14ac:dyDescent="0.25">
      <c r="E78" s="2" t="str">
        <f>E71</f>
        <v>Pipes</v>
      </c>
      <c r="F78" t="s">
        <v>7</v>
      </c>
      <c r="G78" s="2">
        <f t="shared" ref="G78:AA80" si="10">G71/$G7+IF((G$2-$G7+1)&gt;0,-INDEX($G71:$AA71,1,(G$2-$G7+1))/$G7,0)</f>
        <v>0</v>
      </c>
      <c r="H78" s="2">
        <f t="shared" si="10"/>
        <v>0</v>
      </c>
      <c r="I78" s="2">
        <f t="shared" si="10"/>
        <v>0</v>
      </c>
      <c r="J78" s="2">
        <f t="shared" si="10"/>
        <v>0</v>
      </c>
      <c r="K78" s="2">
        <f t="shared" si="10"/>
        <v>0</v>
      </c>
      <c r="L78" s="2">
        <f t="shared" si="10"/>
        <v>0</v>
      </c>
      <c r="M78" s="2">
        <f t="shared" si="10"/>
        <v>0</v>
      </c>
      <c r="N78" s="2">
        <f t="shared" si="10"/>
        <v>0</v>
      </c>
      <c r="O78" s="2">
        <f t="shared" si="10"/>
        <v>0</v>
      </c>
      <c r="P78" s="2">
        <f t="shared" si="10"/>
        <v>0</v>
      </c>
      <c r="Q78" s="2">
        <f t="shared" si="10"/>
        <v>0</v>
      </c>
      <c r="R78" s="2">
        <f t="shared" si="10"/>
        <v>0</v>
      </c>
      <c r="S78" s="2">
        <f t="shared" si="10"/>
        <v>0</v>
      </c>
      <c r="T78" s="2">
        <f t="shared" si="10"/>
        <v>0</v>
      </c>
      <c r="U78" s="2">
        <f t="shared" si="10"/>
        <v>0</v>
      </c>
      <c r="V78" s="2">
        <f t="shared" si="10"/>
        <v>0</v>
      </c>
      <c r="W78" s="2">
        <f t="shared" si="10"/>
        <v>0</v>
      </c>
      <c r="X78" s="2">
        <f t="shared" si="10"/>
        <v>0</v>
      </c>
      <c r="Y78" s="2">
        <f t="shared" si="10"/>
        <v>0</v>
      </c>
      <c r="Z78" s="2">
        <f t="shared" si="10"/>
        <v>0</v>
      </c>
      <c r="AA78" s="2">
        <f t="shared" si="10"/>
        <v>0</v>
      </c>
    </row>
    <row r="79" spans="1:27" x14ac:dyDescent="0.25">
      <c r="E79" s="2" t="str">
        <f t="shared" ref="E79:E80" si="11">E72</f>
        <v>Pumps</v>
      </c>
      <c r="F79" t="s">
        <v>7</v>
      </c>
      <c r="G79" s="2">
        <f t="shared" si="10"/>
        <v>0</v>
      </c>
      <c r="H79" s="2">
        <f t="shared" si="10"/>
        <v>0</v>
      </c>
      <c r="I79" s="2">
        <f t="shared" si="10"/>
        <v>0</v>
      </c>
      <c r="J79" s="2">
        <f t="shared" si="10"/>
        <v>0</v>
      </c>
      <c r="K79" s="2">
        <f t="shared" si="10"/>
        <v>0</v>
      </c>
      <c r="L79" s="2">
        <f t="shared" si="10"/>
        <v>0</v>
      </c>
      <c r="M79" s="2">
        <f t="shared" si="10"/>
        <v>0</v>
      </c>
      <c r="N79" s="2">
        <f t="shared" si="10"/>
        <v>0</v>
      </c>
      <c r="O79" s="2">
        <f t="shared" si="10"/>
        <v>0</v>
      </c>
      <c r="P79" s="2">
        <f t="shared" si="10"/>
        <v>0</v>
      </c>
      <c r="Q79" s="2">
        <f t="shared" si="10"/>
        <v>0</v>
      </c>
      <c r="R79" s="2">
        <f t="shared" si="10"/>
        <v>0</v>
      </c>
      <c r="S79" s="2">
        <f t="shared" si="10"/>
        <v>0</v>
      </c>
      <c r="T79" s="2">
        <f t="shared" si="10"/>
        <v>0</v>
      </c>
      <c r="U79" s="2">
        <f t="shared" si="10"/>
        <v>0</v>
      </c>
      <c r="V79" s="2">
        <f t="shared" si="10"/>
        <v>0</v>
      </c>
      <c r="W79" s="2">
        <f t="shared" si="10"/>
        <v>0</v>
      </c>
      <c r="X79" s="2">
        <f t="shared" si="10"/>
        <v>0</v>
      </c>
      <c r="Y79" s="2">
        <f t="shared" si="10"/>
        <v>0</v>
      </c>
      <c r="Z79" s="2">
        <f t="shared" si="10"/>
        <v>0</v>
      </c>
      <c r="AA79" s="2">
        <f t="shared" si="10"/>
        <v>0</v>
      </c>
    </row>
    <row r="80" spans="1:27" x14ac:dyDescent="0.25">
      <c r="E80" s="2" t="str">
        <f t="shared" si="11"/>
        <v>Valves and Meters</v>
      </c>
      <c r="F80" t="s">
        <v>7</v>
      </c>
      <c r="G80" s="2">
        <f t="shared" si="10"/>
        <v>0</v>
      </c>
      <c r="H80" s="2">
        <f t="shared" si="10"/>
        <v>0</v>
      </c>
      <c r="I80" s="2">
        <f t="shared" si="10"/>
        <v>0</v>
      </c>
      <c r="J80" s="2">
        <f t="shared" si="10"/>
        <v>0</v>
      </c>
      <c r="K80" s="2">
        <f t="shared" si="10"/>
        <v>0</v>
      </c>
      <c r="L80" s="2">
        <f t="shared" si="10"/>
        <v>0</v>
      </c>
      <c r="M80" s="2">
        <f t="shared" si="10"/>
        <v>0</v>
      </c>
      <c r="N80" s="2">
        <f t="shared" si="10"/>
        <v>0</v>
      </c>
      <c r="O80" s="2">
        <f t="shared" si="10"/>
        <v>0</v>
      </c>
      <c r="P80" s="2">
        <f t="shared" si="10"/>
        <v>0</v>
      </c>
      <c r="Q80" s="2">
        <f t="shared" si="10"/>
        <v>0</v>
      </c>
      <c r="R80" s="2">
        <f t="shared" si="10"/>
        <v>0</v>
      </c>
      <c r="S80" s="2">
        <f t="shared" si="10"/>
        <v>0</v>
      </c>
      <c r="T80" s="2">
        <f t="shared" si="10"/>
        <v>0</v>
      </c>
      <c r="U80" s="2">
        <f t="shared" si="10"/>
        <v>0</v>
      </c>
      <c r="V80" s="2">
        <f t="shared" si="10"/>
        <v>0</v>
      </c>
      <c r="W80" s="2">
        <f t="shared" si="10"/>
        <v>0</v>
      </c>
      <c r="X80" s="2">
        <f t="shared" si="10"/>
        <v>0</v>
      </c>
      <c r="Y80" s="2">
        <f t="shared" si="10"/>
        <v>0</v>
      </c>
      <c r="Z80" s="2">
        <f t="shared" si="10"/>
        <v>0</v>
      </c>
      <c r="AA80" s="2">
        <f t="shared" si="10"/>
        <v>0</v>
      </c>
    </row>
    <row r="82" spans="1:27" x14ac:dyDescent="0.25">
      <c r="D82" t="s">
        <v>137</v>
      </c>
      <c r="F82" t="s">
        <v>7</v>
      </c>
      <c r="G82" s="2">
        <f>SUM($G$77:G80)</f>
        <v>0</v>
      </c>
      <c r="H82" s="2">
        <f>SUM($G$77:H80)</f>
        <v>0</v>
      </c>
      <c r="I82" s="2">
        <f>SUM($G$77:I80)</f>
        <v>0</v>
      </c>
      <c r="J82" s="2">
        <f>SUM($G$77:J80)</f>
        <v>0</v>
      </c>
      <c r="K82" s="2">
        <f>SUM($G$77:K80)</f>
        <v>0</v>
      </c>
      <c r="L82" s="2">
        <f>SUM($G$77:L80)</f>
        <v>0</v>
      </c>
      <c r="M82" s="2">
        <f>SUM($G$77:M80)</f>
        <v>0</v>
      </c>
      <c r="N82" s="2">
        <f>SUM($G$77:N80)</f>
        <v>0</v>
      </c>
      <c r="O82" s="2">
        <f>SUM($G$77:O80)</f>
        <v>0</v>
      </c>
      <c r="P82" s="2">
        <f>SUM($G$77:P80)</f>
        <v>0</v>
      </c>
      <c r="Q82" s="2">
        <f>SUM($G$77:Q80)</f>
        <v>0</v>
      </c>
      <c r="R82" s="2">
        <f>SUM($G$77:R80)</f>
        <v>0</v>
      </c>
      <c r="S82" s="2">
        <f>SUM($G$77:S80)</f>
        <v>0</v>
      </c>
      <c r="T82" s="2">
        <f>SUM($G$77:T80)</f>
        <v>0</v>
      </c>
      <c r="U82" s="2">
        <f>SUM($G$77:U80)</f>
        <v>0</v>
      </c>
      <c r="V82" s="2">
        <f>SUM($G$77:V80)</f>
        <v>0</v>
      </c>
      <c r="W82" s="2">
        <f>SUM($G$77:W80)</f>
        <v>0</v>
      </c>
      <c r="X82" s="2">
        <f>SUM($G$77:X80)</f>
        <v>0</v>
      </c>
      <c r="Y82" s="2">
        <f>SUM($G$77:Y80)</f>
        <v>0</v>
      </c>
      <c r="Z82" s="2">
        <f>SUM($G$77:Z80)</f>
        <v>0</v>
      </c>
      <c r="AA82" s="2">
        <f>SUM($G$77:AA80)</f>
        <v>0</v>
      </c>
    </row>
    <row r="83" spans="1:27" x14ac:dyDescent="0.25">
      <c r="G83" s="2"/>
      <c r="H83" s="2"/>
      <c r="I83" s="2"/>
      <c r="J83" s="2"/>
      <c r="K83" s="2"/>
      <c r="L83" s="2"/>
      <c r="M83" s="2"/>
      <c r="N83" s="2"/>
      <c r="O83" s="2"/>
      <c r="P83" s="2"/>
      <c r="Q83" s="2"/>
      <c r="R83" s="2"/>
      <c r="S83" s="2"/>
      <c r="T83" s="2"/>
      <c r="U83" s="2"/>
      <c r="V83" s="2"/>
      <c r="W83" s="2"/>
      <c r="X83" s="2"/>
      <c r="Y83" s="2"/>
      <c r="Z83" s="2"/>
      <c r="AA83" s="2"/>
    </row>
    <row r="84" spans="1:27" x14ac:dyDescent="0.25">
      <c r="D84" t="s">
        <v>138</v>
      </c>
      <c r="F84" t="s">
        <v>7</v>
      </c>
      <c r="G84" s="2">
        <f t="shared" ref="G84:AA84" si="12">G61-G75</f>
        <v>0</v>
      </c>
      <c r="H84" s="2">
        <f t="shared" si="12"/>
        <v>0</v>
      </c>
      <c r="I84" s="2">
        <f t="shared" si="12"/>
        <v>0</v>
      </c>
      <c r="J84" s="2">
        <f t="shared" si="12"/>
        <v>0</v>
      </c>
      <c r="K84" s="2">
        <f t="shared" si="12"/>
        <v>0</v>
      </c>
      <c r="L84" s="2">
        <f t="shared" si="12"/>
        <v>0</v>
      </c>
      <c r="M84" s="2">
        <f t="shared" si="12"/>
        <v>0</v>
      </c>
      <c r="N84" s="2">
        <f t="shared" si="12"/>
        <v>0</v>
      </c>
      <c r="O84" s="2">
        <f t="shared" si="12"/>
        <v>0</v>
      </c>
      <c r="P84" s="2">
        <f t="shared" si="12"/>
        <v>0</v>
      </c>
      <c r="Q84" s="2">
        <f t="shared" si="12"/>
        <v>0</v>
      </c>
      <c r="R84" s="2">
        <f t="shared" si="12"/>
        <v>0</v>
      </c>
      <c r="S84" s="2">
        <f t="shared" si="12"/>
        <v>0</v>
      </c>
      <c r="T84" s="2">
        <f t="shared" si="12"/>
        <v>0</v>
      </c>
      <c r="U84" s="2">
        <f t="shared" si="12"/>
        <v>0</v>
      </c>
      <c r="V84" s="2">
        <f t="shared" si="12"/>
        <v>0</v>
      </c>
      <c r="W84" s="2">
        <f t="shared" si="12"/>
        <v>0</v>
      </c>
      <c r="X84" s="2">
        <f t="shared" si="12"/>
        <v>0</v>
      </c>
      <c r="Y84" s="2">
        <f t="shared" si="12"/>
        <v>0</v>
      </c>
      <c r="Z84" s="2">
        <f t="shared" si="12"/>
        <v>0</v>
      </c>
      <c r="AA84" s="2">
        <f t="shared" si="12"/>
        <v>0</v>
      </c>
    </row>
    <row r="85" spans="1:27" x14ac:dyDescent="0.25">
      <c r="D85" t="s">
        <v>139</v>
      </c>
      <c r="F85" t="s">
        <v>7</v>
      </c>
      <c r="G85" s="2">
        <f t="shared" ref="G85:AA85" si="13">-G68+G82</f>
        <v>0</v>
      </c>
      <c r="H85" s="2">
        <f t="shared" si="13"/>
        <v>0</v>
      </c>
      <c r="I85" s="2">
        <f t="shared" si="13"/>
        <v>0</v>
      </c>
      <c r="J85" s="2">
        <f t="shared" si="13"/>
        <v>0</v>
      </c>
      <c r="K85" s="2">
        <f t="shared" si="13"/>
        <v>0</v>
      </c>
      <c r="L85" s="2">
        <f t="shared" si="13"/>
        <v>0</v>
      </c>
      <c r="M85" s="2">
        <f t="shared" si="13"/>
        <v>0</v>
      </c>
      <c r="N85" s="2">
        <f t="shared" si="13"/>
        <v>0</v>
      </c>
      <c r="O85" s="2">
        <f t="shared" si="13"/>
        <v>0</v>
      </c>
      <c r="P85" s="2">
        <f t="shared" si="13"/>
        <v>0</v>
      </c>
      <c r="Q85" s="2">
        <f t="shared" si="13"/>
        <v>0</v>
      </c>
      <c r="R85" s="2">
        <f t="shared" si="13"/>
        <v>0</v>
      </c>
      <c r="S85" s="2">
        <f t="shared" si="13"/>
        <v>0</v>
      </c>
      <c r="T85" s="2">
        <f t="shared" si="13"/>
        <v>0</v>
      </c>
      <c r="U85" s="2">
        <f t="shared" si="13"/>
        <v>0</v>
      </c>
      <c r="V85" s="2">
        <f t="shared" si="13"/>
        <v>0</v>
      </c>
      <c r="W85" s="2">
        <f t="shared" si="13"/>
        <v>0</v>
      </c>
      <c r="X85" s="2">
        <f t="shared" si="13"/>
        <v>0</v>
      </c>
      <c r="Y85" s="2">
        <f t="shared" si="13"/>
        <v>0</v>
      </c>
      <c r="Z85" s="2">
        <f t="shared" si="13"/>
        <v>0</v>
      </c>
      <c r="AA85" s="2">
        <f t="shared" si="13"/>
        <v>0</v>
      </c>
    </row>
    <row r="87" spans="1:27" x14ac:dyDescent="0.25">
      <c r="C87" s="1" t="str">
        <f>"Incremental "&amp;G4&amp;" Service Revenue"</f>
        <v>Incremental Recycled Water Service Revenue</v>
      </c>
      <c r="D87" s="1"/>
    </row>
    <row r="88" spans="1:27" x14ac:dyDescent="0.25">
      <c r="C88" s="1"/>
      <c r="D88" s="1"/>
    </row>
    <row r="89" spans="1:27" x14ac:dyDescent="0.25">
      <c r="C89" s="1"/>
      <c r="D89" t="s">
        <v>59</v>
      </c>
    </row>
    <row r="90" spans="1:27" x14ac:dyDescent="0.25">
      <c r="A90" s="14">
        <f>'Notes &amp; Assumptions'!A28</f>
        <v>15</v>
      </c>
      <c r="C90" s="1"/>
      <c r="D90" s="1"/>
      <c r="E90" t="s">
        <v>87</v>
      </c>
      <c r="F90" t="s">
        <v>3</v>
      </c>
      <c r="H90" s="10">
        <f>'Customer numbers'!P63</f>
        <v>622</v>
      </c>
      <c r="I90" s="10">
        <f>'Customer numbers'!Q63</f>
        <v>620</v>
      </c>
      <c r="J90" s="10">
        <f>'Customer numbers'!R63</f>
        <v>629.5</v>
      </c>
      <c r="K90" s="10">
        <f>'Customer numbers'!S63</f>
        <v>607</v>
      </c>
      <c r="L90" s="10">
        <f>'Customer numbers'!T63</f>
        <v>583.5</v>
      </c>
      <c r="M90" s="10">
        <f>'Customer numbers'!U63</f>
        <v>561</v>
      </c>
      <c r="N90" s="10">
        <f>'Customer numbers'!V63</f>
        <v>538.5</v>
      </c>
      <c r="O90" s="10">
        <f>'Customer numbers'!W63</f>
        <v>516.5</v>
      </c>
      <c r="P90" s="10">
        <f>'Customer numbers'!X63</f>
        <v>546.5</v>
      </c>
      <c r="Q90" s="10">
        <f>'Customer numbers'!Y63</f>
        <v>578.5</v>
      </c>
      <c r="R90" s="10">
        <f>'Customer numbers'!Z63</f>
        <v>612.5</v>
      </c>
      <c r="S90" s="10">
        <f>'Customer numbers'!AA63</f>
        <v>649</v>
      </c>
      <c r="T90" s="10">
        <f>'Customer numbers'!AB63</f>
        <v>687.5</v>
      </c>
      <c r="U90" s="10">
        <f>'Customer numbers'!AC63</f>
        <v>683</v>
      </c>
      <c r="V90" s="10">
        <f>'Customer numbers'!AD63</f>
        <v>678</v>
      </c>
    </row>
    <row r="91" spans="1:27" x14ac:dyDescent="0.25">
      <c r="C91" s="1"/>
      <c r="D91" s="1"/>
      <c r="E91" t="s">
        <v>60</v>
      </c>
      <c r="F91" t="s">
        <v>3</v>
      </c>
      <c r="H91" s="2">
        <f>G91+H90</f>
        <v>622</v>
      </c>
      <c r="I91" s="2">
        <f t="shared" ref="I91:AA91" si="14">H91+I90</f>
        <v>1242</v>
      </c>
      <c r="J91" s="2">
        <f t="shared" si="14"/>
        <v>1871.5</v>
      </c>
      <c r="K91" s="2">
        <f t="shared" si="14"/>
        <v>2478.5</v>
      </c>
      <c r="L91" s="2">
        <f t="shared" si="14"/>
        <v>3062</v>
      </c>
      <c r="M91" s="2">
        <f t="shared" si="14"/>
        <v>3623</v>
      </c>
      <c r="N91" s="2">
        <f t="shared" si="14"/>
        <v>4161.5</v>
      </c>
      <c r="O91" s="2">
        <f t="shared" si="14"/>
        <v>4678</v>
      </c>
      <c r="P91" s="2">
        <f t="shared" si="14"/>
        <v>5224.5</v>
      </c>
      <c r="Q91" s="2">
        <f t="shared" si="14"/>
        <v>5803</v>
      </c>
      <c r="R91" s="2">
        <f t="shared" si="14"/>
        <v>6415.5</v>
      </c>
      <c r="S91" s="2">
        <f t="shared" si="14"/>
        <v>7064.5</v>
      </c>
      <c r="T91" s="2">
        <f t="shared" si="14"/>
        <v>7752</v>
      </c>
      <c r="U91" s="2">
        <f t="shared" si="14"/>
        <v>8435</v>
      </c>
      <c r="V91" s="2">
        <f t="shared" si="14"/>
        <v>9113</v>
      </c>
      <c r="W91" s="2">
        <f t="shared" si="14"/>
        <v>9113</v>
      </c>
      <c r="X91" s="2">
        <f t="shared" si="14"/>
        <v>9113</v>
      </c>
      <c r="Y91" s="2">
        <f t="shared" si="14"/>
        <v>9113</v>
      </c>
      <c r="Z91" s="2">
        <f t="shared" si="14"/>
        <v>9113</v>
      </c>
      <c r="AA91" s="2">
        <f t="shared" si="14"/>
        <v>9113</v>
      </c>
    </row>
    <row r="92" spans="1:27" x14ac:dyDescent="0.25">
      <c r="A92" s="14">
        <f>'Notes &amp; Assumptions'!A29</f>
        <v>16</v>
      </c>
      <c r="C92" s="1"/>
      <c r="D92" s="1"/>
      <c r="E92" t="s">
        <v>61</v>
      </c>
      <c r="F92" t="s">
        <v>3</v>
      </c>
      <c r="G92" s="10">
        <v>1</v>
      </c>
    </row>
    <row r="93" spans="1:27" x14ac:dyDescent="0.25">
      <c r="C93" s="1"/>
      <c r="D93" s="1"/>
      <c r="E93" t="s">
        <v>88</v>
      </c>
      <c r="F93" t="s">
        <v>3</v>
      </c>
      <c r="H93">
        <f>H90*$G92</f>
        <v>622</v>
      </c>
      <c r="I93">
        <f t="shared" ref="I93:AA93" si="15">I90*$G92</f>
        <v>620</v>
      </c>
      <c r="J93">
        <f t="shared" si="15"/>
        <v>629.5</v>
      </c>
      <c r="K93">
        <f t="shared" si="15"/>
        <v>607</v>
      </c>
      <c r="L93">
        <f t="shared" si="15"/>
        <v>583.5</v>
      </c>
      <c r="M93">
        <f t="shared" si="15"/>
        <v>561</v>
      </c>
      <c r="N93">
        <f t="shared" si="15"/>
        <v>538.5</v>
      </c>
      <c r="O93">
        <f t="shared" si="15"/>
        <v>516.5</v>
      </c>
      <c r="P93">
        <f t="shared" si="15"/>
        <v>546.5</v>
      </c>
      <c r="Q93">
        <f t="shared" si="15"/>
        <v>578.5</v>
      </c>
      <c r="R93">
        <f t="shared" si="15"/>
        <v>612.5</v>
      </c>
      <c r="S93">
        <f t="shared" si="15"/>
        <v>649</v>
      </c>
      <c r="T93">
        <f t="shared" si="15"/>
        <v>687.5</v>
      </c>
      <c r="U93">
        <f t="shared" si="15"/>
        <v>683</v>
      </c>
      <c r="V93">
        <f t="shared" si="15"/>
        <v>678</v>
      </c>
      <c r="W93">
        <f t="shared" si="15"/>
        <v>0</v>
      </c>
      <c r="X93">
        <f t="shared" si="15"/>
        <v>0</v>
      </c>
      <c r="Y93">
        <f t="shared" si="15"/>
        <v>0</v>
      </c>
      <c r="Z93">
        <f t="shared" si="15"/>
        <v>0</v>
      </c>
      <c r="AA93">
        <f t="shared" si="15"/>
        <v>0</v>
      </c>
    </row>
    <row r="94" spans="1:27" x14ac:dyDescent="0.25">
      <c r="C94" s="1"/>
      <c r="D94" s="1"/>
      <c r="E94" t="s">
        <v>89</v>
      </c>
      <c r="F94" t="s">
        <v>3</v>
      </c>
      <c r="H94">
        <f>H91*$G92</f>
        <v>622</v>
      </c>
      <c r="I94">
        <f t="shared" ref="I94:AA94" si="16">I91*$G92</f>
        <v>1242</v>
      </c>
      <c r="J94">
        <f t="shared" si="16"/>
        <v>1871.5</v>
      </c>
      <c r="K94">
        <f t="shared" si="16"/>
        <v>2478.5</v>
      </c>
      <c r="L94">
        <f t="shared" si="16"/>
        <v>3062</v>
      </c>
      <c r="M94">
        <f t="shared" si="16"/>
        <v>3623</v>
      </c>
      <c r="N94">
        <f t="shared" si="16"/>
        <v>4161.5</v>
      </c>
      <c r="O94">
        <f t="shared" si="16"/>
        <v>4678</v>
      </c>
      <c r="P94">
        <f t="shared" si="16"/>
        <v>5224.5</v>
      </c>
      <c r="Q94">
        <f t="shared" si="16"/>
        <v>5803</v>
      </c>
      <c r="R94">
        <f t="shared" si="16"/>
        <v>6415.5</v>
      </c>
      <c r="S94">
        <f t="shared" si="16"/>
        <v>7064.5</v>
      </c>
      <c r="T94">
        <f t="shared" si="16"/>
        <v>7752</v>
      </c>
      <c r="U94">
        <f t="shared" si="16"/>
        <v>8435</v>
      </c>
      <c r="V94">
        <f t="shared" si="16"/>
        <v>9113</v>
      </c>
      <c r="W94">
        <f t="shared" si="16"/>
        <v>9113</v>
      </c>
      <c r="X94">
        <f t="shared" si="16"/>
        <v>9113</v>
      </c>
      <c r="Y94">
        <f t="shared" si="16"/>
        <v>9113</v>
      </c>
      <c r="Z94">
        <f t="shared" si="16"/>
        <v>9113</v>
      </c>
      <c r="AA94">
        <f t="shared" si="16"/>
        <v>9113</v>
      </c>
    </row>
    <row r="95" spans="1:27" x14ac:dyDescent="0.25">
      <c r="A95" s="14">
        <f>'Notes &amp; Assumptions'!A30</f>
        <v>17</v>
      </c>
      <c r="C95" s="1"/>
      <c r="D95" s="1"/>
      <c r="E95" t="s">
        <v>62</v>
      </c>
      <c r="F95" t="s">
        <v>43</v>
      </c>
      <c r="H95" s="10">
        <f>'Key assumptions'!B24</f>
        <v>40</v>
      </c>
      <c r="I95" s="10">
        <f>H95</f>
        <v>40</v>
      </c>
      <c r="J95" s="10">
        <f t="shared" ref="J95:AA95" si="17">I95</f>
        <v>40</v>
      </c>
      <c r="K95" s="10">
        <f t="shared" si="17"/>
        <v>40</v>
      </c>
      <c r="L95" s="10">
        <f t="shared" si="17"/>
        <v>40</v>
      </c>
      <c r="M95" s="10">
        <f t="shared" si="17"/>
        <v>40</v>
      </c>
      <c r="N95" s="10">
        <f t="shared" si="17"/>
        <v>40</v>
      </c>
      <c r="O95" s="10">
        <f t="shared" si="17"/>
        <v>40</v>
      </c>
      <c r="P95" s="10">
        <f t="shared" si="17"/>
        <v>40</v>
      </c>
      <c r="Q95" s="10">
        <f t="shared" si="17"/>
        <v>40</v>
      </c>
      <c r="R95" s="10">
        <f t="shared" si="17"/>
        <v>40</v>
      </c>
      <c r="S95" s="10">
        <f t="shared" si="17"/>
        <v>40</v>
      </c>
      <c r="T95" s="10">
        <f t="shared" si="17"/>
        <v>40</v>
      </c>
      <c r="U95" s="10">
        <f t="shared" si="17"/>
        <v>40</v>
      </c>
      <c r="V95" s="10">
        <f t="shared" si="17"/>
        <v>40</v>
      </c>
      <c r="W95" s="10">
        <f t="shared" si="17"/>
        <v>40</v>
      </c>
      <c r="X95" s="10">
        <f t="shared" si="17"/>
        <v>40</v>
      </c>
      <c r="Y95" s="10">
        <f t="shared" si="17"/>
        <v>40</v>
      </c>
      <c r="Z95" s="10">
        <f t="shared" si="17"/>
        <v>40</v>
      </c>
      <c r="AA95" s="10">
        <f t="shared" si="17"/>
        <v>40</v>
      </c>
    </row>
    <row r="96" spans="1:27" x14ac:dyDescent="0.25">
      <c r="C96" s="1"/>
      <c r="D96" s="1"/>
      <c r="E96" t="s">
        <v>63</v>
      </c>
      <c r="F96" t="s">
        <v>43</v>
      </c>
      <c r="H96" s="10"/>
      <c r="I96" s="10"/>
      <c r="J96" s="10"/>
      <c r="K96" s="10"/>
      <c r="L96" s="10"/>
      <c r="M96" s="10"/>
      <c r="N96" s="10"/>
      <c r="O96" s="10"/>
      <c r="P96" s="10"/>
      <c r="Q96" s="10"/>
      <c r="R96" s="10"/>
      <c r="S96" s="10"/>
      <c r="T96" s="10"/>
      <c r="U96" s="10"/>
      <c r="V96" s="10"/>
      <c r="W96" s="10"/>
      <c r="X96" s="10"/>
      <c r="Y96" s="10"/>
      <c r="Z96" s="10"/>
      <c r="AA96" s="10"/>
    </row>
    <row r="97" spans="1:27" x14ac:dyDescent="0.25">
      <c r="C97" s="1"/>
      <c r="D97" s="1"/>
      <c r="E97" t="s">
        <v>140</v>
      </c>
      <c r="F97" t="s">
        <v>43</v>
      </c>
      <c r="H97" s="10"/>
      <c r="I97" s="10"/>
      <c r="J97" s="10"/>
      <c r="K97" s="10"/>
      <c r="L97" s="10"/>
      <c r="M97" s="10"/>
      <c r="N97" s="10"/>
      <c r="O97" s="10"/>
      <c r="P97" s="10"/>
      <c r="Q97" s="10"/>
      <c r="R97" s="10"/>
      <c r="S97" s="10"/>
      <c r="T97" s="10"/>
      <c r="U97" s="10"/>
      <c r="V97" s="10"/>
      <c r="W97" s="10"/>
      <c r="X97" s="10"/>
      <c r="Y97" s="10"/>
      <c r="Z97" s="10"/>
      <c r="AA97" s="10"/>
    </row>
    <row r="98" spans="1:27" x14ac:dyDescent="0.25">
      <c r="C98" s="1"/>
      <c r="D98" s="1"/>
      <c r="E98" t="s">
        <v>64</v>
      </c>
      <c r="F98" t="s">
        <v>144</v>
      </c>
      <c r="H98" s="2">
        <f>H91*H95</f>
        <v>24880</v>
      </c>
      <c r="I98" s="2">
        <f t="shared" ref="I98:AA98" si="18">I91*I95</f>
        <v>49680</v>
      </c>
      <c r="J98" s="2">
        <f t="shared" si="18"/>
        <v>74860</v>
      </c>
      <c r="K98" s="2">
        <f t="shared" si="18"/>
        <v>99140</v>
      </c>
      <c r="L98" s="2">
        <f t="shared" si="18"/>
        <v>122480</v>
      </c>
      <c r="M98" s="2">
        <f t="shared" si="18"/>
        <v>144920</v>
      </c>
      <c r="N98" s="2">
        <f t="shared" si="18"/>
        <v>166460</v>
      </c>
      <c r="O98" s="2">
        <f t="shared" si="18"/>
        <v>187120</v>
      </c>
      <c r="P98" s="2">
        <f t="shared" si="18"/>
        <v>208980</v>
      </c>
      <c r="Q98" s="2">
        <f t="shared" si="18"/>
        <v>232120</v>
      </c>
      <c r="R98" s="2">
        <f t="shared" si="18"/>
        <v>256620</v>
      </c>
      <c r="S98" s="2">
        <f t="shared" si="18"/>
        <v>282580</v>
      </c>
      <c r="T98" s="2">
        <f t="shared" si="18"/>
        <v>310080</v>
      </c>
      <c r="U98" s="2">
        <f t="shared" si="18"/>
        <v>337400</v>
      </c>
      <c r="V98" s="2">
        <f t="shared" si="18"/>
        <v>364520</v>
      </c>
      <c r="W98" s="2">
        <f t="shared" si="18"/>
        <v>364520</v>
      </c>
      <c r="X98" s="2">
        <f t="shared" si="18"/>
        <v>364520</v>
      </c>
      <c r="Y98" s="2">
        <f t="shared" si="18"/>
        <v>364520</v>
      </c>
      <c r="Z98" s="2">
        <f t="shared" si="18"/>
        <v>364520</v>
      </c>
      <c r="AA98" s="2">
        <f t="shared" si="18"/>
        <v>364520</v>
      </c>
    </row>
    <row r="99" spans="1:27" x14ac:dyDescent="0.25">
      <c r="C99" s="1"/>
      <c r="D99" s="1"/>
      <c r="E99" t="s">
        <v>65</v>
      </c>
      <c r="F99" t="s">
        <v>144</v>
      </c>
      <c r="H99" s="2">
        <f>H91*H96</f>
        <v>0</v>
      </c>
      <c r="I99" s="2">
        <f t="shared" ref="I99:AA99" si="19">I91*I96</f>
        <v>0</v>
      </c>
      <c r="J99" s="2">
        <f t="shared" si="19"/>
        <v>0</v>
      </c>
      <c r="K99" s="2">
        <f t="shared" si="19"/>
        <v>0</v>
      </c>
      <c r="L99" s="2">
        <f t="shared" si="19"/>
        <v>0</v>
      </c>
      <c r="M99" s="2">
        <f t="shared" si="19"/>
        <v>0</v>
      </c>
      <c r="N99" s="2">
        <f t="shared" si="19"/>
        <v>0</v>
      </c>
      <c r="O99" s="2">
        <f t="shared" si="19"/>
        <v>0</v>
      </c>
      <c r="P99" s="2">
        <f t="shared" si="19"/>
        <v>0</v>
      </c>
      <c r="Q99" s="2">
        <f t="shared" si="19"/>
        <v>0</v>
      </c>
      <c r="R99" s="2">
        <f t="shared" si="19"/>
        <v>0</v>
      </c>
      <c r="S99" s="2">
        <f t="shared" si="19"/>
        <v>0</v>
      </c>
      <c r="T99" s="2">
        <f t="shared" si="19"/>
        <v>0</v>
      </c>
      <c r="U99" s="2">
        <f t="shared" si="19"/>
        <v>0</v>
      </c>
      <c r="V99" s="2">
        <f t="shared" si="19"/>
        <v>0</v>
      </c>
      <c r="W99" s="2">
        <f t="shared" si="19"/>
        <v>0</v>
      </c>
      <c r="X99" s="2">
        <f t="shared" si="19"/>
        <v>0</v>
      </c>
      <c r="Y99" s="2">
        <f t="shared" si="19"/>
        <v>0</v>
      </c>
      <c r="Z99" s="2">
        <f t="shared" si="19"/>
        <v>0</v>
      </c>
      <c r="AA99" s="2">
        <f t="shared" si="19"/>
        <v>0</v>
      </c>
    </row>
    <row r="100" spans="1:27" x14ac:dyDescent="0.25">
      <c r="C100" s="1"/>
      <c r="D100" s="1"/>
      <c r="E100" t="s">
        <v>141</v>
      </c>
      <c r="F100" t="s">
        <v>144</v>
      </c>
      <c r="H100" s="2">
        <f>H91*H97</f>
        <v>0</v>
      </c>
      <c r="I100" s="2">
        <f t="shared" ref="I100:AA100" si="20">I91*I97</f>
        <v>0</v>
      </c>
      <c r="J100" s="2">
        <f t="shared" si="20"/>
        <v>0</v>
      </c>
      <c r="K100" s="2">
        <f t="shared" si="20"/>
        <v>0</v>
      </c>
      <c r="L100" s="2">
        <f t="shared" si="20"/>
        <v>0</v>
      </c>
      <c r="M100" s="2">
        <f t="shared" si="20"/>
        <v>0</v>
      </c>
      <c r="N100" s="2">
        <f t="shared" si="20"/>
        <v>0</v>
      </c>
      <c r="O100" s="2">
        <f t="shared" si="20"/>
        <v>0</v>
      </c>
      <c r="P100" s="2">
        <f t="shared" si="20"/>
        <v>0</v>
      </c>
      <c r="Q100" s="2">
        <f t="shared" si="20"/>
        <v>0</v>
      </c>
      <c r="R100" s="2">
        <f t="shared" si="20"/>
        <v>0</v>
      </c>
      <c r="S100" s="2">
        <f t="shared" si="20"/>
        <v>0</v>
      </c>
      <c r="T100" s="2">
        <f t="shared" si="20"/>
        <v>0</v>
      </c>
      <c r="U100" s="2">
        <f t="shared" si="20"/>
        <v>0</v>
      </c>
      <c r="V100" s="2">
        <f t="shared" si="20"/>
        <v>0</v>
      </c>
      <c r="W100" s="2">
        <f t="shared" si="20"/>
        <v>0</v>
      </c>
      <c r="X100" s="2">
        <f t="shared" si="20"/>
        <v>0</v>
      </c>
      <c r="Y100" s="2">
        <f t="shared" si="20"/>
        <v>0</v>
      </c>
      <c r="Z100" s="2">
        <f t="shared" si="20"/>
        <v>0</v>
      </c>
      <c r="AA100" s="2">
        <f t="shared" si="20"/>
        <v>0</v>
      </c>
    </row>
    <row r="101" spans="1:27" x14ac:dyDescent="0.25">
      <c r="A101" s="14">
        <f>'Notes &amp; Assumptions'!A31</f>
        <v>18</v>
      </c>
      <c r="C101" s="1"/>
      <c r="D101" s="1"/>
      <c r="E101" t="s">
        <v>66</v>
      </c>
      <c r="F101" t="s">
        <v>8</v>
      </c>
      <c r="H101" s="11">
        <f>'YVW tariffs'!D32</f>
        <v>-4.24E-2</v>
      </c>
      <c r="I101" s="11">
        <f>'YVW tariffs'!E32</f>
        <v>-2.7400000000000001E-2</v>
      </c>
      <c r="J101" s="11">
        <f>'YVW tariffs'!F32</f>
        <v>0</v>
      </c>
      <c r="K101" s="11">
        <f>'YVW tariffs'!G32</f>
        <v>0</v>
      </c>
      <c r="L101" s="11">
        <f>'YVW tariffs'!H32</f>
        <v>0</v>
      </c>
      <c r="M101" s="11">
        <v>0</v>
      </c>
      <c r="N101" s="11">
        <v>0</v>
      </c>
      <c r="O101" s="11">
        <v>0</v>
      </c>
      <c r="P101" s="11">
        <v>0</v>
      </c>
      <c r="Q101" s="11">
        <v>0</v>
      </c>
      <c r="R101" s="11">
        <v>0</v>
      </c>
      <c r="S101" s="11">
        <v>0</v>
      </c>
      <c r="T101" s="11">
        <v>0</v>
      </c>
      <c r="U101" s="11">
        <v>0</v>
      </c>
      <c r="V101" s="11">
        <v>0</v>
      </c>
      <c r="W101" s="11">
        <v>0</v>
      </c>
      <c r="X101" s="11">
        <v>0</v>
      </c>
      <c r="Y101" s="11">
        <v>0</v>
      </c>
      <c r="Z101" s="11">
        <v>0</v>
      </c>
      <c r="AA101" s="11">
        <v>0</v>
      </c>
    </row>
    <row r="102" spans="1:27" x14ac:dyDescent="0.25">
      <c r="A102" s="14">
        <f>'Notes &amp; Assumptions'!A32</f>
        <v>19</v>
      </c>
      <c r="C102" s="1"/>
      <c r="D102" s="1"/>
      <c r="E102" t="s">
        <v>40</v>
      </c>
      <c r="F102" t="s">
        <v>41</v>
      </c>
      <c r="G102" s="43"/>
      <c r="H102" s="2">
        <f>G102*(1+$G$14)*(1+H101)</f>
        <v>0</v>
      </c>
      <c r="I102" s="2">
        <f t="shared" ref="I102:AA102" si="21">H102*(1+$G$14)*(1+I101)</f>
        <v>0</v>
      </c>
      <c r="J102" s="2">
        <f t="shared" si="21"/>
        <v>0</v>
      </c>
      <c r="K102" s="2">
        <f t="shared" si="21"/>
        <v>0</v>
      </c>
      <c r="L102" s="2">
        <f t="shared" si="21"/>
        <v>0</v>
      </c>
      <c r="M102" s="2">
        <f t="shared" si="21"/>
        <v>0</v>
      </c>
      <c r="N102" s="2">
        <f t="shared" si="21"/>
        <v>0</v>
      </c>
      <c r="O102" s="2">
        <f t="shared" si="21"/>
        <v>0</v>
      </c>
      <c r="P102" s="2">
        <f t="shared" si="21"/>
        <v>0</v>
      </c>
      <c r="Q102" s="2">
        <f t="shared" si="21"/>
        <v>0</v>
      </c>
      <c r="R102" s="2">
        <f t="shared" si="21"/>
        <v>0</v>
      </c>
      <c r="S102" s="2">
        <f t="shared" si="21"/>
        <v>0</v>
      </c>
      <c r="T102" s="2">
        <f t="shared" si="21"/>
        <v>0</v>
      </c>
      <c r="U102" s="2">
        <f t="shared" si="21"/>
        <v>0</v>
      </c>
      <c r="V102" s="2">
        <f t="shared" si="21"/>
        <v>0</v>
      </c>
      <c r="W102" s="2">
        <f t="shared" si="21"/>
        <v>0</v>
      </c>
      <c r="X102" s="2">
        <f t="shared" si="21"/>
        <v>0</v>
      </c>
      <c r="Y102" s="2">
        <f t="shared" si="21"/>
        <v>0</v>
      </c>
      <c r="Z102" s="2">
        <f t="shared" si="21"/>
        <v>0</v>
      </c>
      <c r="AA102" s="2">
        <f t="shared" si="21"/>
        <v>0</v>
      </c>
    </row>
    <row r="103" spans="1:27" x14ac:dyDescent="0.25">
      <c r="C103" s="1"/>
      <c r="D103" s="1"/>
      <c r="E103" t="s">
        <v>67</v>
      </c>
      <c r="F103" t="s">
        <v>143</v>
      </c>
      <c r="G103" s="20">
        <f>'YVW tariffs'!E22</f>
        <v>1.7391713999999998</v>
      </c>
      <c r="H103" s="21">
        <f>G103*(1+$G$14)*(1+H101)</f>
        <v>1.7004045738254396</v>
      </c>
      <c r="I103" s="21">
        <f t="shared" ref="I103:AA103" si="22">H103*(1+$G$14)*(1+I101)</f>
        <v>1.6885435717611774</v>
      </c>
      <c r="J103" s="21">
        <f t="shared" si="22"/>
        <v>1.7240029867681619</v>
      </c>
      <c r="K103" s="21">
        <f t="shared" si="22"/>
        <v>1.7602070494902931</v>
      </c>
      <c r="L103" s="21">
        <f t="shared" si="22"/>
        <v>1.7971713975295891</v>
      </c>
      <c r="M103" s="21">
        <f t="shared" si="22"/>
        <v>1.8349119968777103</v>
      </c>
      <c r="N103" s="21">
        <f t="shared" si="22"/>
        <v>1.8734451488121422</v>
      </c>
      <c r="O103" s="21">
        <f t="shared" si="22"/>
        <v>1.912787496937197</v>
      </c>
      <c r="P103" s="21">
        <f t="shared" si="22"/>
        <v>1.952956034372878</v>
      </c>
      <c r="Q103" s="21">
        <f t="shared" si="22"/>
        <v>1.9939681110947083</v>
      </c>
      <c r="R103" s="21">
        <f t="shared" si="22"/>
        <v>2.0358414414276971</v>
      </c>
      <c r="S103" s="21">
        <f t="shared" si="22"/>
        <v>2.0785941116976785</v>
      </c>
      <c r="T103" s="21">
        <f t="shared" si="22"/>
        <v>2.1222445880433294</v>
      </c>
      <c r="U103" s="21">
        <f t="shared" si="22"/>
        <v>2.1668117243922391</v>
      </c>
      <c r="V103" s="21">
        <f t="shared" si="22"/>
        <v>2.2123147706044759</v>
      </c>
      <c r="W103" s="21">
        <f t="shared" si="22"/>
        <v>2.2587733807871695</v>
      </c>
      <c r="X103" s="21">
        <f t="shared" si="22"/>
        <v>2.3062076217836998</v>
      </c>
      <c r="Y103" s="21">
        <f t="shared" si="22"/>
        <v>2.3546379818411571</v>
      </c>
      <c r="Z103" s="21">
        <f t="shared" si="22"/>
        <v>2.4040853794598211</v>
      </c>
      <c r="AA103" s="21">
        <f t="shared" si="22"/>
        <v>2.4545711724284773</v>
      </c>
    </row>
    <row r="104" spans="1:27" x14ac:dyDescent="0.25">
      <c r="C104" s="1"/>
      <c r="D104" s="1"/>
      <c r="E104" t="s">
        <v>68</v>
      </c>
      <c r="F104" t="s">
        <v>143</v>
      </c>
      <c r="G104" s="20"/>
      <c r="H104" s="21">
        <f>G104*(1+$G$14)*(1+H101)</f>
        <v>0</v>
      </c>
      <c r="I104" s="21">
        <f t="shared" ref="I104:AA104" si="23">H104*(1+$G$14)*(1+I101)</f>
        <v>0</v>
      </c>
      <c r="J104" s="21">
        <f t="shared" si="23"/>
        <v>0</v>
      </c>
      <c r="K104" s="21">
        <f t="shared" si="23"/>
        <v>0</v>
      </c>
      <c r="L104" s="21">
        <f t="shared" si="23"/>
        <v>0</v>
      </c>
      <c r="M104" s="21">
        <f t="shared" si="23"/>
        <v>0</v>
      </c>
      <c r="N104" s="21">
        <f t="shared" si="23"/>
        <v>0</v>
      </c>
      <c r="O104" s="21">
        <f t="shared" si="23"/>
        <v>0</v>
      </c>
      <c r="P104" s="21">
        <f t="shared" si="23"/>
        <v>0</v>
      </c>
      <c r="Q104" s="21">
        <f t="shared" si="23"/>
        <v>0</v>
      </c>
      <c r="R104" s="21">
        <f t="shared" si="23"/>
        <v>0</v>
      </c>
      <c r="S104" s="21">
        <f t="shared" si="23"/>
        <v>0</v>
      </c>
      <c r="T104" s="21">
        <f t="shared" si="23"/>
        <v>0</v>
      </c>
      <c r="U104" s="21">
        <f t="shared" si="23"/>
        <v>0</v>
      </c>
      <c r="V104" s="21">
        <f t="shared" si="23"/>
        <v>0</v>
      </c>
      <c r="W104" s="21">
        <f t="shared" si="23"/>
        <v>0</v>
      </c>
      <c r="X104" s="21">
        <f t="shared" si="23"/>
        <v>0</v>
      </c>
      <c r="Y104" s="21">
        <f t="shared" si="23"/>
        <v>0</v>
      </c>
      <c r="Z104" s="21">
        <f t="shared" si="23"/>
        <v>0</v>
      </c>
      <c r="AA104" s="21">
        <f t="shared" si="23"/>
        <v>0</v>
      </c>
    </row>
    <row r="105" spans="1:27" x14ac:dyDescent="0.25">
      <c r="C105" s="1"/>
      <c r="D105" s="1"/>
      <c r="E105" t="s">
        <v>142</v>
      </c>
      <c r="F105" t="s">
        <v>143</v>
      </c>
      <c r="G105" s="20"/>
      <c r="H105" s="21">
        <f>G105*(1+$G$14)*(1+H101)</f>
        <v>0</v>
      </c>
      <c r="I105" s="21">
        <f t="shared" ref="I105:AA105" si="24">H105*(1+$G$14)*(1+I101)</f>
        <v>0</v>
      </c>
      <c r="J105" s="21">
        <f t="shared" si="24"/>
        <v>0</v>
      </c>
      <c r="K105" s="21">
        <f t="shared" si="24"/>
        <v>0</v>
      </c>
      <c r="L105" s="21">
        <f t="shared" si="24"/>
        <v>0</v>
      </c>
      <c r="M105" s="21">
        <f t="shared" si="24"/>
        <v>0</v>
      </c>
      <c r="N105" s="21">
        <f t="shared" si="24"/>
        <v>0</v>
      </c>
      <c r="O105" s="21">
        <f t="shared" si="24"/>
        <v>0</v>
      </c>
      <c r="P105" s="21">
        <f t="shared" si="24"/>
        <v>0</v>
      </c>
      <c r="Q105" s="21">
        <f t="shared" si="24"/>
        <v>0</v>
      </c>
      <c r="R105" s="21">
        <f t="shared" si="24"/>
        <v>0</v>
      </c>
      <c r="S105" s="21">
        <f t="shared" si="24"/>
        <v>0</v>
      </c>
      <c r="T105" s="21">
        <f t="shared" si="24"/>
        <v>0</v>
      </c>
      <c r="U105" s="21">
        <f t="shared" si="24"/>
        <v>0</v>
      </c>
      <c r="V105" s="21">
        <f t="shared" si="24"/>
        <v>0</v>
      </c>
      <c r="W105" s="21">
        <f t="shared" si="24"/>
        <v>0</v>
      </c>
      <c r="X105" s="21">
        <f t="shared" si="24"/>
        <v>0</v>
      </c>
      <c r="Y105" s="21">
        <f t="shared" si="24"/>
        <v>0</v>
      </c>
      <c r="Z105" s="21">
        <f t="shared" si="24"/>
        <v>0</v>
      </c>
      <c r="AA105" s="21">
        <f t="shared" si="24"/>
        <v>0</v>
      </c>
    </row>
    <row r="106" spans="1:27" x14ac:dyDescent="0.25">
      <c r="C106" s="1"/>
      <c r="D106" s="1"/>
    </row>
    <row r="107" spans="1:27" x14ac:dyDescent="0.25">
      <c r="C107" s="1"/>
      <c r="D107" s="1"/>
      <c r="E107" t="s">
        <v>69</v>
      </c>
      <c r="F107" t="s">
        <v>58</v>
      </c>
      <c r="H107" s="2">
        <f>SUM(H98:H100)/1000</f>
        <v>24.88</v>
      </c>
      <c r="I107" s="2">
        <f t="shared" ref="I107:AA107" si="25">SUM(I98:I100)/1000</f>
        <v>49.68</v>
      </c>
      <c r="J107" s="2">
        <f t="shared" si="25"/>
        <v>74.86</v>
      </c>
      <c r="K107" s="2">
        <f t="shared" si="25"/>
        <v>99.14</v>
      </c>
      <c r="L107" s="2">
        <f t="shared" si="25"/>
        <v>122.48</v>
      </c>
      <c r="M107" s="2">
        <f t="shared" si="25"/>
        <v>144.91999999999999</v>
      </c>
      <c r="N107" s="2">
        <f t="shared" si="25"/>
        <v>166.46</v>
      </c>
      <c r="O107" s="2">
        <f t="shared" si="25"/>
        <v>187.12</v>
      </c>
      <c r="P107" s="2">
        <f t="shared" si="25"/>
        <v>208.98</v>
      </c>
      <c r="Q107" s="2">
        <f t="shared" si="25"/>
        <v>232.12</v>
      </c>
      <c r="R107" s="2">
        <f t="shared" si="25"/>
        <v>256.62</v>
      </c>
      <c r="S107" s="2">
        <f t="shared" si="25"/>
        <v>282.58</v>
      </c>
      <c r="T107" s="2">
        <f t="shared" si="25"/>
        <v>310.08</v>
      </c>
      <c r="U107" s="2">
        <f t="shared" si="25"/>
        <v>337.4</v>
      </c>
      <c r="V107" s="2">
        <f t="shared" si="25"/>
        <v>364.52</v>
      </c>
      <c r="W107" s="2">
        <f t="shared" si="25"/>
        <v>364.52</v>
      </c>
      <c r="X107" s="2">
        <f t="shared" si="25"/>
        <v>364.52</v>
      </c>
      <c r="Y107" s="2">
        <f t="shared" si="25"/>
        <v>364.52</v>
      </c>
      <c r="Z107" s="2">
        <f t="shared" si="25"/>
        <v>364.52</v>
      </c>
      <c r="AA107" s="2">
        <f t="shared" si="25"/>
        <v>364.52</v>
      </c>
    </row>
    <row r="108" spans="1:27" x14ac:dyDescent="0.25">
      <c r="C108" s="1"/>
      <c r="D108" s="1"/>
      <c r="E108" t="s">
        <v>70</v>
      </c>
      <c r="F108" t="s">
        <v>7</v>
      </c>
      <c r="H108" s="2">
        <f>H91*H102+H98*H103+H99*H104+H100*H105</f>
        <v>42306.065796776937</v>
      </c>
      <c r="I108" s="2">
        <f t="shared" ref="I108:AA108" si="26">I91*I102+I98*I103+I99*I104+I100*I105</f>
        <v>83886.844645095291</v>
      </c>
      <c r="J108" s="2">
        <f t="shared" si="26"/>
        <v>129058.8635894646</v>
      </c>
      <c r="K108" s="2">
        <f t="shared" si="26"/>
        <v>174506.92688646764</v>
      </c>
      <c r="L108" s="2">
        <f t="shared" si="26"/>
        <v>220117.55276942407</v>
      </c>
      <c r="M108" s="2">
        <f t="shared" si="26"/>
        <v>265915.4465875178</v>
      </c>
      <c r="N108" s="2">
        <f t="shared" si="26"/>
        <v>311853.67947126919</v>
      </c>
      <c r="O108" s="2">
        <f t="shared" si="26"/>
        <v>357920.79642688832</v>
      </c>
      <c r="P108" s="2">
        <f t="shared" si="26"/>
        <v>408128.75206324406</v>
      </c>
      <c r="Q108" s="2">
        <f t="shared" si="26"/>
        <v>462839.8779473037</v>
      </c>
      <c r="R108" s="2">
        <f t="shared" si="26"/>
        <v>522437.63069917564</v>
      </c>
      <c r="S108" s="2">
        <f t="shared" si="26"/>
        <v>587369.12408353004</v>
      </c>
      <c r="T108" s="2">
        <f t="shared" si="26"/>
        <v>658065.60186047561</v>
      </c>
      <c r="U108" s="2">
        <f t="shared" si="26"/>
        <v>731082.27580994146</v>
      </c>
      <c r="V108" s="2">
        <f t="shared" si="26"/>
        <v>806432.9801807435</v>
      </c>
      <c r="W108" s="2">
        <f t="shared" si="26"/>
        <v>823368.07276453904</v>
      </c>
      <c r="X108" s="2">
        <f t="shared" si="26"/>
        <v>840658.80229259422</v>
      </c>
      <c r="Y108" s="2">
        <f t="shared" si="26"/>
        <v>858312.63714073854</v>
      </c>
      <c r="Z108" s="2">
        <f t="shared" si="26"/>
        <v>876337.202520694</v>
      </c>
      <c r="AA108" s="2">
        <f t="shared" si="26"/>
        <v>894740.28377362853</v>
      </c>
    </row>
    <row r="109" spans="1:27" x14ac:dyDescent="0.25">
      <c r="C109" s="1"/>
      <c r="D109" s="1"/>
    </row>
    <row r="110" spans="1:27" x14ac:dyDescent="0.25">
      <c r="C110" s="1"/>
      <c r="D110" t="s">
        <v>71</v>
      </c>
    </row>
    <row r="111" spans="1:27" x14ac:dyDescent="0.25">
      <c r="A111" s="14">
        <f>'Notes &amp; Assumptions'!A33</f>
        <v>20</v>
      </c>
      <c r="C111" s="1"/>
      <c r="D111" s="1"/>
      <c r="E111" t="s">
        <v>87</v>
      </c>
      <c r="F111" t="s">
        <v>3</v>
      </c>
      <c r="H111" s="10"/>
      <c r="I111" s="10"/>
      <c r="J111" s="10"/>
      <c r="K111" s="10"/>
      <c r="L111" s="10"/>
      <c r="M111" s="10"/>
      <c r="N111" s="10"/>
      <c r="O111" s="10"/>
      <c r="P111" s="10"/>
      <c r="Q111" s="10"/>
      <c r="R111" s="10"/>
      <c r="S111" s="10"/>
      <c r="T111" s="10"/>
      <c r="U111" s="10"/>
      <c r="V111" s="10"/>
    </row>
    <row r="112" spans="1:27" x14ac:dyDescent="0.25">
      <c r="C112" s="1"/>
      <c r="D112" s="1"/>
      <c r="E112" t="s">
        <v>60</v>
      </c>
      <c r="F112" t="s">
        <v>3</v>
      </c>
      <c r="H112" s="2">
        <f>G112+H111</f>
        <v>0</v>
      </c>
      <c r="I112" s="2">
        <f t="shared" ref="I112:AA112" si="27">H112+I111</f>
        <v>0</v>
      </c>
      <c r="J112" s="2">
        <f t="shared" si="27"/>
        <v>0</v>
      </c>
      <c r="K112" s="2">
        <f t="shared" si="27"/>
        <v>0</v>
      </c>
      <c r="L112" s="2">
        <f t="shared" si="27"/>
        <v>0</v>
      </c>
      <c r="M112" s="2">
        <f t="shared" si="27"/>
        <v>0</v>
      </c>
      <c r="N112" s="2">
        <f t="shared" si="27"/>
        <v>0</v>
      </c>
      <c r="O112" s="2">
        <f t="shared" si="27"/>
        <v>0</v>
      </c>
      <c r="P112" s="2">
        <f t="shared" si="27"/>
        <v>0</v>
      </c>
      <c r="Q112" s="2">
        <f t="shared" si="27"/>
        <v>0</v>
      </c>
      <c r="R112" s="2">
        <f t="shared" si="27"/>
        <v>0</v>
      </c>
      <c r="S112" s="2">
        <f t="shared" si="27"/>
        <v>0</v>
      </c>
      <c r="T112" s="2">
        <f t="shared" si="27"/>
        <v>0</v>
      </c>
      <c r="U112" s="2">
        <f t="shared" si="27"/>
        <v>0</v>
      </c>
      <c r="V112" s="2">
        <f t="shared" si="27"/>
        <v>0</v>
      </c>
      <c r="W112" s="2">
        <f t="shared" si="27"/>
        <v>0</v>
      </c>
      <c r="X112" s="2">
        <f t="shared" si="27"/>
        <v>0</v>
      </c>
      <c r="Y112" s="2">
        <f t="shared" si="27"/>
        <v>0</v>
      </c>
      <c r="Z112" s="2">
        <f t="shared" si="27"/>
        <v>0</v>
      </c>
      <c r="AA112" s="2">
        <f t="shared" si="27"/>
        <v>0</v>
      </c>
    </row>
    <row r="113" spans="1:27" x14ac:dyDescent="0.25">
      <c r="A113" s="14">
        <f>'Notes &amp; Assumptions'!A34</f>
        <v>21</v>
      </c>
      <c r="C113" s="1"/>
      <c r="D113" s="1"/>
      <c r="E113" t="s">
        <v>61</v>
      </c>
      <c r="F113" t="s">
        <v>3</v>
      </c>
      <c r="G113" s="10">
        <v>1</v>
      </c>
    </row>
    <row r="114" spans="1:27" x14ac:dyDescent="0.25">
      <c r="C114" s="1"/>
      <c r="D114" s="1"/>
      <c r="E114" t="s">
        <v>88</v>
      </c>
      <c r="F114" t="s">
        <v>3</v>
      </c>
      <c r="H114">
        <f>H111*$G113</f>
        <v>0</v>
      </c>
      <c r="I114">
        <f t="shared" ref="I114:AA114" si="28">I111*$G113</f>
        <v>0</v>
      </c>
      <c r="J114">
        <f t="shared" si="28"/>
        <v>0</v>
      </c>
      <c r="K114">
        <f t="shared" si="28"/>
        <v>0</v>
      </c>
      <c r="L114">
        <f t="shared" si="28"/>
        <v>0</v>
      </c>
      <c r="M114">
        <f t="shared" si="28"/>
        <v>0</v>
      </c>
      <c r="N114">
        <f t="shared" si="28"/>
        <v>0</v>
      </c>
      <c r="O114">
        <f t="shared" si="28"/>
        <v>0</v>
      </c>
      <c r="P114">
        <f t="shared" si="28"/>
        <v>0</v>
      </c>
      <c r="Q114">
        <f t="shared" si="28"/>
        <v>0</v>
      </c>
      <c r="R114">
        <f t="shared" si="28"/>
        <v>0</v>
      </c>
      <c r="S114">
        <f t="shared" si="28"/>
        <v>0</v>
      </c>
      <c r="T114">
        <f t="shared" si="28"/>
        <v>0</v>
      </c>
      <c r="U114">
        <f t="shared" si="28"/>
        <v>0</v>
      </c>
      <c r="V114">
        <f t="shared" si="28"/>
        <v>0</v>
      </c>
      <c r="W114">
        <f t="shared" si="28"/>
        <v>0</v>
      </c>
      <c r="X114">
        <f t="shared" si="28"/>
        <v>0</v>
      </c>
      <c r="Y114">
        <f t="shared" si="28"/>
        <v>0</v>
      </c>
      <c r="Z114">
        <f t="shared" si="28"/>
        <v>0</v>
      </c>
      <c r="AA114">
        <f t="shared" si="28"/>
        <v>0</v>
      </c>
    </row>
    <row r="115" spans="1:27" x14ac:dyDescent="0.25">
      <c r="C115" s="1"/>
      <c r="D115" s="1"/>
      <c r="E115" t="s">
        <v>89</v>
      </c>
      <c r="F115" t="s">
        <v>3</v>
      </c>
      <c r="H115">
        <f>H112*$G113</f>
        <v>0</v>
      </c>
      <c r="I115">
        <f t="shared" ref="I115:AA115" si="29">I112*$G113</f>
        <v>0</v>
      </c>
      <c r="J115">
        <f t="shared" si="29"/>
        <v>0</v>
      </c>
      <c r="K115">
        <f t="shared" si="29"/>
        <v>0</v>
      </c>
      <c r="L115">
        <f t="shared" si="29"/>
        <v>0</v>
      </c>
      <c r="M115">
        <f t="shared" si="29"/>
        <v>0</v>
      </c>
      <c r="N115">
        <f t="shared" si="29"/>
        <v>0</v>
      </c>
      <c r="O115">
        <f t="shared" si="29"/>
        <v>0</v>
      </c>
      <c r="P115">
        <f t="shared" si="29"/>
        <v>0</v>
      </c>
      <c r="Q115">
        <f t="shared" si="29"/>
        <v>0</v>
      </c>
      <c r="R115">
        <f t="shared" si="29"/>
        <v>0</v>
      </c>
      <c r="S115">
        <f t="shared" si="29"/>
        <v>0</v>
      </c>
      <c r="T115">
        <f t="shared" si="29"/>
        <v>0</v>
      </c>
      <c r="U115">
        <f t="shared" si="29"/>
        <v>0</v>
      </c>
      <c r="V115">
        <f t="shared" si="29"/>
        <v>0</v>
      </c>
      <c r="W115">
        <f t="shared" si="29"/>
        <v>0</v>
      </c>
      <c r="X115">
        <f t="shared" si="29"/>
        <v>0</v>
      </c>
      <c r="Y115">
        <f t="shared" si="29"/>
        <v>0</v>
      </c>
      <c r="Z115">
        <f t="shared" si="29"/>
        <v>0</v>
      </c>
      <c r="AA115">
        <f t="shared" si="29"/>
        <v>0</v>
      </c>
    </row>
    <row r="116" spans="1:27" x14ac:dyDescent="0.25">
      <c r="A116" s="14">
        <f>'Notes &amp; Assumptions'!A35</f>
        <v>22</v>
      </c>
      <c r="C116" s="1"/>
      <c r="D116" s="1"/>
      <c r="E116" t="s">
        <v>62</v>
      </c>
      <c r="F116" t="s">
        <v>43</v>
      </c>
      <c r="H116" s="10">
        <f>'Key assumptions'!B28</f>
        <v>2873</v>
      </c>
      <c r="I116" s="10">
        <f>H116</f>
        <v>2873</v>
      </c>
      <c r="J116" s="10">
        <f t="shared" ref="J116:AA116" si="30">I116</f>
        <v>2873</v>
      </c>
      <c r="K116" s="10">
        <f t="shared" si="30"/>
        <v>2873</v>
      </c>
      <c r="L116" s="10">
        <f t="shared" si="30"/>
        <v>2873</v>
      </c>
      <c r="M116" s="10">
        <f t="shared" si="30"/>
        <v>2873</v>
      </c>
      <c r="N116" s="10">
        <f t="shared" si="30"/>
        <v>2873</v>
      </c>
      <c r="O116" s="10">
        <f t="shared" si="30"/>
        <v>2873</v>
      </c>
      <c r="P116" s="10">
        <f t="shared" si="30"/>
        <v>2873</v>
      </c>
      <c r="Q116" s="10">
        <f t="shared" si="30"/>
        <v>2873</v>
      </c>
      <c r="R116" s="10">
        <f t="shared" si="30"/>
        <v>2873</v>
      </c>
      <c r="S116" s="10">
        <f t="shared" si="30"/>
        <v>2873</v>
      </c>
      <c r="T116" s="10">
        <f t="shared" si="30"/>
        <v>2873</v>
      </c>
      <c r="U116" s="10">
        <f t="shared" si="30"/>
        <v>2873</v>
      </c>
      <c r="V116" s="10">
        <f t="shared" si="30"/>
        <v>2873</v>
      </c>
      <c r="W116" s="10">
        <f t="shared" si="30"/>
        <v>2873</v>
      </c>
      <c r="X116" s="10">
        <f t="shared" si="30"/>
        <v>2873</v>
      </c>
      <c r="Y116" s="10">
        <f t="shared" si="30"/>
        <v>2873</v>
      </c>
      <c r="Z116" s="10">
        <f t="shared" si="30"/>
        <v>2873</v>
      </c>
      <c r="AA116" s="10">
        <f t="shared" si="30"/>
        <v>2873</v>
      </c>
    </row>
    <row r="117" spans="1:27" x14ac:dyDescent="0.25">
      <c r="C117" s="1"/>
      <c r="D117" s="1"/>
      <c r="E117" t="s">
        <v>63</v>
      </c>
      <c r="F117" t="s">
        <v>43</v>
      </c>
      <c r="H117" s="10"/>
      <c r="I117" s="10"/>
      <c r="J117" s="10"/>
      <c r="K117" s="10"/>
      <c r="L117" s="10"/>
      <c r="M117" s="10"/>
      <c r="N117" s="10"/>
      <c r="O117" s="10"/>
      <c r="P117" s="10"/>
      <c r="Q117" s="10"/>
      <c r="R117" s="10"/>
      <c r="S117" s="10"/>
      <c r="T117" s="10"/>
      <c r="U117" s="10"/>
      <c r="V117" s="10"/>
      <c r="W117" s="10"/>
      <c r="X117" s="10"/>
      <c r="Y117" s="10"/>
      <c r="Z117" s="10"/>
      <c r="AA117" s="10"/>
    </row>
    <row r="118" spans="1:27" x14ac:dyDescent="0.25">
      <c r="C118" s="1"/>
      <c r="D118" s="1"/>
      <c r="E118" t="s">
        <v>140</v>
      </c>
      <c r="F118" t="s">
        <v>43</v>
      </c>
      <c r="H118" s="10"/>
      <c r="I118" s="10"/>
      <c r="J118" s="10"/>
      <c r="K118" s="10"/>
      <c r="L118" s="10"/>
      <c r="M118" s="10"/>
      <c r="N118" s="10"/>
      <c r="O118" s="10"/>
      <c r="P118" s="10"/>
      <c r="Q118" s="10"/>
      <c r="R118" s="10"/>
      <c r="S118" s="10"/>
      <c r="T118" s="10"/>
      <c r="U118" s="10"/>
      <c r="V118" s="10"/>
      <c r="W118" s="10"/>
      <c r="X118" s="10"/>
      <c r="Y118" s="10"/>
      <c r="Z118" s="10"/>
      <c r="AA118" s="10"/>
    </row>
    <row r="119" spans="1:27" x14ac:dyDescent="0.25">
      <c r="C119" s="1"/>
      <c r="D119" s="1"/>
      <c r="E119" t="s">
        <v>64</v>
      </c>
      <c r="F119" t="s">
        <v>144</v>
      </c>
      <c r="H119" s="2">
        <f>H112*H116</f>
        <v>0</v>
      </c>
      <c r="I119" s="2">
        <f t="shared" ref="I119:AA119" si="31">I112*I116</f>
        <v>0</v>
      </c>
      <c r="J119" s="2">
        <f t="shared" si="31"/>
        <v>0</v>
      </c>
      <c r="K119" s="2">
        <f t="shared" si="31"/>
        <v>0</v>
      </c>
      <c r="L119" s="2">
        <f t="shared" si="31"/>
        <v>0</v>
      </c>
      <c r="M119" s="2">
        <f t="shared" si="31"/>
        <v>0</v>
      </c>
      <c r="N119" s="2">
        <f t="shared" si="31"/>
        <v>0</v>
      </c>
      <c r="O119" s="2">
        <f t="shared" si="31"/>
        <v>0</v>
      </c>
      <c r="P119" s="2">
        <f t="shared" si="31"/>
        <v>0</v>
      </c>
      <c r="Q119" s="2">
        <f t="shared" si="31"/>
        <v>0</v>
      </c>
      <c r="R119" s="2">
        <f t="shared" si="31"/>
        <v>0</v>
      </c>
      <c r="S119" s="2">
        <f t="shared" si="31"/>
        <v>0</v>
      </c>
      <c r="T119" s="2">
        <f t="shared" si="31"/>
        <v>0</v>
      </c>
      <c r="U119" s="2">
        <f t="shared" si="31"/>
        <v>0</v>
      </c>
      <c r="V119" s="2">
        <f t="shared" si="31"/>
        <v>0</v>
      </c>
      <c r="W119" s="2">
        <f t="shared" si="31"/>
        <v>0</v>
      </c>
      <c r="X119" s="2">
        <f t="shared" si="31"/>
        <v>0</v>
      </c>
      <c r="Y119" s="2">
        <f t="shared" si="31"/>
        <v>0</v>
      </c>
      <c r="Z119" s="2">
        <f t="shared" si="31"/>
        <v>0</v>
      </c>
      <c r="AA119" s="2">
        <f t="shared" si="31"/>
        <v>0</v>
      </c>
    </row>
    <row r="120" spans="1:27" x14ac:dyDescent="0.25">
      <c r="C120" s="1"/>
      <c r="D120" s="1"/>
      <c r="E120" t="s">
        <v>65</v>
      </c>
      <c r="F120" t="s">
        <v>144</v>
      </c>
      <c r="H120" s="2">
        <f>H112*H117</f>
        <v>0</v>
      </c>
      <c r="I120" s="2">
        <f t="shared" ref="I120:AA120" si="32">I112*I117</f>
        <v>0</v>
      </c>
      <c r="J120" s="2">
        <f t="shared" si="32"/>
        <v>0</v>
      </c>
      <c r="K120" s="2">
        <f t="shared" si="32"/>
        <v>0</v>
      </c>
      <c r="L120" s="2">
        <f t="shared" si="32"/>
        <v>0</v>
      </c>
      <c r="M120" s="2">
        <f t="shared" si="32"/>
        <v>0</v>
      </c>
      <c r="N120" s="2">
        <f t="shared" si="32"/>
        <v>0</v>
      </c>
      <c r="O120" s="2">
        <f t="shared" si="32"/>
        <v>0</v>
      </c>
      <c r="P120" s="2">
        <f t="shared" si="32"/>
        <v>0</v>
      </c>
      <c r="Q120" s="2">
        <f t="shared" si="32"/>
        <v>0</v>
      </c>
      <c r="R120" s="2">
        <f t="shared" si="32"/>
        <v>0</v>
      </c>
      <c r="S120" s="2">
        <f t="shared" si="32"/>
        <v>0</v>
      </c>
      <c r="T120" s="2">
        <f t="shared" si="32"/>
        <v>0</v>
      </c>
      <c r="U120" s="2">
        <f t="shared" si="32"/>
        <v>0</v>
      </c>
      <c r="V120" s="2">
        <f t="shared" si="32"/>
        <v>0</v>
      </c>
      <c r="W120" s="2">
        <f t="shared" si="32"/>
        <v>0</v>
      </c>
      <c r="X120" s="2">
        <f t="shared" si="32"/>
        <v>0</v>
      </c>
      <c r="Y120" s="2">
        <f t="shared" si="32"/>
        <v>0</v>
      </c>
      <c r="Z120" s="2">
        <f t="shared" si="32"/>
        <v>0</v>
      </c>
      <c r="AA120" s="2">
        <f t="shared" si="32"/>
        <v>0</v>
      </c>
    </row>
    <row r="121" spans="1:27" x14ac:dyDescent="0.25">
      <c r="C121" s="1"/>
      <c r="D121" s="1"/>
      <c r="E121" t="s">
        <v>141</v>
      </c>
      <c r="F121" t="s">
        <v>144</v>
      </c>
      <c r="H121" s="2"/>
      <c r="I121" s="2">
        <f t="shared" ref="I121:AA121" si="33">I112*I118</f>
        <v>0</v>
      </c>
      <c r="J121" s="2">
        <f t="shared" si="33"/>
        <v>0</v>
      </c>
      <c r="K121" s="2">
        <f t="shared" si="33"/>
        <v>0</v>
      </c>
      <c r="L121" s="2">
        <f t="shared" si="33"/>
        <v>0</v>
      </c>
      <c r="M121" s="2">
        <f t="shared" si="33"/>
        <v>0</v>
      </c>
      <c r="N121" s="2">
        <f t="shared" si="33"/>
        <v>0</v>
      </c>
      <c r="O121" s="2">
        <f t="shared" si="33"/>
        <v>0</v>
      </c>
      <c r="P121" s="2">
        <f t="shared" si="33"/>
        <v>0</v>
      </c>
      <c r="Q121" s="2">
        <f t="shared" si="33"/>
        <v>0</v>
      </c>
      <c r="R121" s="2">
        <f t="shared" si="33"/>
        <v>0</v>
      </c>
      <c r="S121" s="2">
        <f t="shared" si="33"/>
        <v>0</v>
      </c>
      <c r="T121" s="2">
        <f t="shared" si="33"/>
        <v>0</v>
      </c>
      <c r="U121" s="2">
        <f t="shared" si="33"/>
        <v>0</v>
      </c>
      <c r="V121" s="2">
        <f t="shared" si="33"/>
        <v>0</v>
      </c>
      <c r="W121" s="2">
        <f t="shared" si="33"/>
        <v>0</v>
      </c>
      <c r="X121" s="2">
        <f t="shared" si="33"/>
        <v>0</v>
      </c>
      <c r="Y121" s="2">
        <f t="shared" si="33"/>
        <v>0</v>
      </c>
      <c r="Z121" s="2">
        <f t="shared" si="33"/>
        <v>0</v>
      </c>
      <c r="AA121" s="2">
        <f t="shared" si="33"/>
        <v>0</v>
      </c>
    </row>
    <row r="122" spans="1:27" x14ac:dyDescent="0.25">
      <c r="A122" s="14">
        <f>'Notes &amp; Assumptions'!A36</f>
        <v>23</v>
      </c>
      <c r="C122" s="1"/>
      <c r="D122" s="1"/>
      <c r="E122" t="s">
        <v>66</v>
      </c>
      <c r="F122" t="s">
        <v>8</v>
      </c>
      <c r="H122" s="11">
        <f>'YVW tariffs'!D39</f>
        <v>-4.24E-2</v>
      </c>
      <c r="I122" s="11">
        <f>'YVW tariffs'!E39</f>
        <v>-2.7400000000000001E-2</v>
      </c>
      <c r="J122" s="11">
        <f>'YVW tariffs'!F39</f>
        <v>0</v>
      </c>
      <c r="K122" s="11">
        <f>'YVW tariffs'!G39</f>
        <v>0</v>
      </c>
      <c r="L122" s="11">
        <f>'YVW tariffs'!H39</f>
        <v>0</v>
      </c>
      <c r="M122" s="11"/>
      <c r="N122" s="11"/>
      <c r="O122" s="11"/>
      <c r="P122" s="11"/>
      <c r="Q122" s="11"/>
      <c r="R122" s="11"/>
      <c r="S122" s="11"/>
      <c r="T122" s="11"/>
      <c r="U122" s="11"/>
      <c r="V122" s="11"/>
      <c r="W122" s="11"/>
      <c r="X122" s="11"/>
      <c r="Y122" s="11"/>
      <c r="Z122" s="11"/>
      <c r="AA122" s="11"/>
    </row>
    <row r="123" spans="1:27" x14ac:dyDescent="0.25">
      <c r="A123" s="14">
        <f>'Notes &amp; Assumptions'!A37</f>
        <v>24</v>
      </c>
      <c r="C123" s="1"/>
      <c r="D123" s="1"/>
      <c r="E123" t="s">
        <v>40</v>
      </c>
      <c r="F123" t="s">
        <v>41</v>
      </c>
      <c r="G123" s="43"/>
      <c r="H123" s="2">
        <f>G123*(1+$G$14)*(1+H122)</f>
        <v>0</v>
      </c>
      <c r="I123" s="2">
        <f t="shared" ref="I123:AA123" si="34">H123*(1+$G$14)*(1+I122)</f>
        <v>0</v>
      </c>
      <c r="J123" s="2">
        <f t="shared" si="34"/>
        <v>0</v>
      </c>
      <c r="K123" s="2">
        <f t="shared" si="34"/>
        <v>0</v>
      </c>
      <c r="L123" s="2">
        <f t="shared" si="34"/>
        <v>0</v>
      </c>
      <c r="M123" s="2">
        <f t="shared" si="34"/>
        <v>0</v>
      </c>
      <c r="N123" s="2">
        <f t="shared" si="34"/>
        <v>0</v>
      </c>
      <c r="O123" s="2">
        <f t="shared" si="34"/>
        <v>0</v>
      </c>
      <c r="P123" s="2">
        <f t="shared" si="34"/>
        <v>0</v>
      </c>
      <c r="Q123" s="2">
        <f t="shared" si="34"/>
        <v>0</v>
      </c>
      <c r="R123" s="2">
        <f t="shared" si="34"/>
        <v>0</v>
      </c>
      <c r="S123" s="2">
        <f t="shared" si="34"/>
        <v>0</v>
      </c>
      <c r="T123" s="2">
        <f t="shared" si="34"/>
        <v>0</v>
      </c>
      <c r="U123" s="2">
        <f t="shared" si="34"/>
        <v>0</v>
      </c>
      <c r="V123" s="2">
        <f t="shared" si="34"/>
        <v>0</v>
      </c>
      <c r="W123" s="2">
        <f t="shared" si="34"/>
        <v>0</v>
      </c>
      <c r="X123" s="2">
        <f t="shared" si="34"/>
        <v>0</v>
      </c>
      <c r="Y123" s="2">
        <f t="shared" si="34"/>
        <v>0</v>
      </c>
      <c r="Z123" s="2">
        <f t="shared" si="34"/>
        <v>0</v>
      </c>
      <c r="AA123" s="2">
        <f t="shared" si="34"/>
        <v>0</v>
      </c>
    </row>
    <row r="124" spans="1:27" x14ac:dyDescent="0.25">
      <c r="C124" s="1"/>
      <c r="D124" s="1"/>
      <c r="E124" t="s">
        <v>67</v>
      </c>
      <c r="F124" t="s">
        <v>143</v>
      </c>
      <c r="G124" s="20">
        <f>G103</f>
        <v>1.7391713999999998</v>
      </c>
      <c r="H124" s="21">
        <f>G124*(1+$G$14)*(1+H122)</f>
        <v>1.7004045738254396</v>
      </c>
      <c r="I124" s="21">
        <f t="shared" ref="I124:AA124" si="35">H124*(1+$G$14)*(1+I122)</f>
        <v>1.6885435717611774</v>
      </c>
      <c r="J124" s="21">
        <f t="shared" si="35"/>
        <v>1.7240029867681619</v>
      </c>
      <c r="K124" s="21">
        <f t="shared" si="35"/>
        <v>1.7602070494902931</v>
      </c>
      <c r="L124" s="21">
        <f t="shared" si="35"/>
        <v>1.7971713975295891</v>
      </c>
      <c r="M124" s="21">
        <f t="shared" si="35"/>
        <v>1.8349119968777103</v>
      </c>
      <c r="N124" s="21">
        <f t="shared" si="35"/>
        <v>1.8734451488121422</v>
      </c>
      <c r="O124" s="21">
        <f t="shared" si="35"/>
        <v>1.912787496937197</v>
      </c>
      <c r="P124" s="21">
        <f t="shared" si="35"/>
        <v>1.952956034372878</v>
      </c>
      <c r="Q124" s="21">
        <f t="shared" si="35"/>
        <v>1.9939681110947083</v>
      </c>
      <c r="R124" s="21">
        <f t="shared" si="35"/>
        <v>2.0358414414276971</v>
      </c>
      <c r="S124" s="21">
        <f t="shared" si="35"/>
        <v>2.0785941116976785</v>
      </c>
      <c r="T124" s="21">
        <f t="shared" si="35"/>
        <v>2.1222445880433294</v>
      </c>
      <c r="U124" s="21">
        <f t="shared" si="35"/>
        <v>2.1668117243922391</v>
      </c>
      <c r="V124" s="21">
        <f t="shared" si="35"/>
        <v>2.2123147706044759</v>
      </c>
      <c r="W124" s="21">
        <f t="shared" si="35"/>
        <v>2.2587733807871695</v>
      </c>
      <c r="X124" s="21">
        <f t="shared" si="35"/>
        <v>2.3062076217836998</v>
      </c>
      <c r="Y124" s="21">
        <f t="shared" si="35"/>
        <v>2.3546379818411571</v>
      </c>
      <c r="Z124" s="21">
        <f t="shared" si="35"/>
        <v>2.4040853794598211</v>
      </c>
      <c r="AA124" s="21">
        <f t="shared" si="35"/>
        <v>2.4545711724284773</v>
      </c>
    </row>
    <row r="125" spans="1:27" x14ac:dyDescent="0.25">
      <c r="C125" s="1"/>
      <c r="D125" s="1"/>
      <c r="E125" t="s">
        <v>68</v>
      </c>
      <c r="F125" t="s">
        <v>143</v>
      </c>
      <c r="G125" s="20"/>
      <c r="H125" s="21">
        <f>G125*(1+$G$14)*(1+H122)</f>
        <v>0</v>
      </c>
      <c r="I125" s="21">
        <f t="shared" ref="I125:AA125" si="36">H125*(1+$G$14)*(1+I122)</f>
        <v>0</v>
      </c>
      <c r="J125" s="21">
        <f t="shared" si="36"/>
        <v>0</v>
      </c>
      <c r="K125" s="21">
        <f t="shared" si="36"/>
        <v>0</v>
      </c>
      <c r="L125" s="21">
        <f t="shared" si="36"/>
        <v>0</v>
      </c>
      <c r="M125" s="21">
        <f t="shared" si="36"/>
        <v>0</v>
      </c>
      <c r="N125" s="21">
        <f t="shared" si="36"/>
        <v>0</v>
      </c>
      <c r="O125" s="21">
        <f t="shared" si="36"/>
        <v>0</v>
      </c>
      <c r="P125" s="21">
        <f t="shared" si="36"/>
        <v>0</v>
      </c>
      <c r="Q125" s="21">
        <f t="shared" si="36"/>
        <v>0</v>
      </c>
      <c r="R125" s="21">
        <f t="shared" si="36"/>
        <v>0</v>
      </c>
      <c r="S125" s="21">
        <f t="shared" si="36"/>
        <v>0</v>
      </c>
      <c r="T125" s="21">
        <f t="shared" si="36"/>
        <v>0</v>
      </c>
      <c r="U125" s="21">
        <f t="shared" si="36"/>
        <v>0</v>
      </c>
      <c r="V125" s="21">
        <f t="shared" si="36"/>
        <v>0</v>
      </c>
      <c r="W125" s="21">
        <f t="shared" si="36"/>
        <v>0</v>
      </c>
      <c r="X125" s="21">
        <f t="shared" si="36"/>
        <v>0</v>
      </c>
      <c r="Y125" s="21">
        <f t="shared" si="36"/>
        <v>0</v>
      </c>
      <c r="Z125" s="21">
        <f t="shared" si="36"/>
        <v>0</v>
      </c>
      <c r="AA125" s="21">
        <f t="shared" si="36"/>
        <v>0</v>
      </c>
    </row>
    <row r="126" spans="1:27" x14ac:dyDescent="0.25">
      <c r="C126" s="1"/>
      <c r="D126" s="1"/>
      <c r="E126" t="s">
        <v>142</v>
      </c>
      <c r="F126" t="s">
        <v>143</v>
      </c>
      <c r="G126" s="20"/>
      <c r="H126" s="21">
        <f>G126*(1+$G$14)*(1+H122)</f>
        <v>0</v>
      </c>
      <c r="I126" s="21">
        <f t="shared" ref="I126:AA126" si="37">H126*(1+$G$14)*(1+I122)</f>
        <v>0</v>
      </c>
      <c r="J126" s="21">
        <f t="shared" si="37"/>
        <v>0</v>
      </c>
      <c r="K126" s="21">
        <f t="shared" si="37"/>
        <v>0</v>
      </c>
      <c r="L126" s="21">
        <f t="shared" si="37"/>
        <v>0</v>
      </c>
      <c r="M126" s="21">
        <f t="shared" si="37"/>
        <v>0</v>
      </c>
      <c r="N126" s="21">
        <f t="shared" si="37"/>
        <v>0</v>
      </c>
      <c r="O126" s="21">
        <f t="shared" si="37"/>
        <v>0</v>
      </c>
      <c r="P126" s="21">
        <f t="shared" si="37"/>
        <v>0</v>
      </c>
      <c r="Q126" s="21">
        <f t="shared" si="37"/>
        <v>0</v>
      </c>
      <c r="R126" s="21">
        <f t="shared" si="37"/>
        <v>0</v>
      </c>
      <c r="S126" s="21">
        <f t="shared" si="37"/>
        <v>0</v>
      </c>
      <c r="T126" s="21">
        <f t="shared" si="37"/>
        <v>0</v>
      </c>
      <c r="U126" s="21">
        <f t="shared" si="37"/>
        <v>0</v>
      </c>
      <c r="V126" s="21">
        <f t="shared" si="37"/>
        <v>0</v>
      </c>
      <c r="W126" s="21">
        <f t="shared" si="37"/>
        <v>0</v>
      </c>
      <c r="X126" s="21">
        <f t="shared" si="37"/>
        <v>0</v>
      </c>
      <c r="Y126" s="21">
        <f t="shared" si="37"/>
        <v>0</v>
      </c>
      <c r="Z126" s="21">
        <f t="shared" si="37"/>
        <v>0</v>
      </c>
      <c r="AA126" s="21">
        <f t="shared" si="37"/>
        <v>0</v>
      </c>
    </row>
    <row r="127" spans="1:27" x14ac:dyDescent="0.25">
      <c r="C127" s="1"/>
      <c r="D127" s="1"/>
    </row>
    <row r="128" spans="1:27" x14ac:dyDescent="0.25">
      <c r="C128" s="1"/>
      <c r="D128" s="1"/>
      <c r="E128" t="s">
        <v>72</v>
      </c>
      <c r="F128" t="s">
        <v>58</v>
      </c>
      <c r="H128" s="2">
        <f>SUM(H119:H121)/1000</f>
        <v>0</v>
      </c>
      <c r="I128" s="2">
        <f t="shared" ref="I128:AA128" si="38">SUM(I119:I121)/1000</f>
        <v>0</v>
      </c>
      <c r="J128" s="2">
        <f t="shared" si="38"/>
        <v>0</v>
      </c>
      <c r="K128" s="2">
        <f t="shared" si="38"/>
        <v>0</v>
      </c>
      <c r="L128" s="2">
        <f t="shared" si="38"/>
        <v>0</v>
      </c>
      <c r="M128" s="2">
        <f t="shared" si="38"/>
        <v>0</v>
      </c>
      <c r="N128" s="2">
        <f t="shared" si="38"/>
        <v>0</v>
      </c>
      <c r="O128" s="2">
        <f t="shared" si="38"/>
        <v>0</v>
      </c>
      <c r="P128" s="2">
        <f t="shared" si="38"/>
        <v>0</v>
      </c>
      <c r="Q128" s="2">
        <f t="shared" si="38"/>
        <v>0</v>
      </c>
      <c r="R128" s="2">
        <f t="shared" si="38"/>
        <v>0</v>
      </c>
      <c r="S128" s="2">
        <f t="shared" si="38"/>
        <v>0</v>
      </c>
      <c r="T128" s="2">
        <f t="shared" si="38"/>
        <v>0</v>
      </c>
      <c r="U128" s="2">
        <f t="shared" si="38"/>
        <v>0</v>
      </c>
      <c r="V128" s="2">
        <f t="shared" si="38"/>
        <v>0</v>
      </c>
      <c r="W128" s="2">
        <f t="shared" si="38"/>
        <v>0</v>
      </c>
      <c r="X128" s="2">
        <f t="shared" si="38"/>
        <v>0</v>
      </c>
      <c r="Y128" s="2">
        <f t="shared" si="38"/>
        <v>0</v>
      </c>
      <c r="Z128" s="2">
        <f t="shared" si="38"/>
        <v>0</v>
      </c>
      <c r="AA128" s="2">
        <f t="shared" si="38"/>
        <v>0</v>
      </c>
    </row>
    <row r="129" spans="1:27" x14ac:dyDescent="0.25">
      <c r="C129" s="1"/>
      <c r="D129" s="1"/>
      <c r="E129" t="s">
        <v>73</v>
      </c>
      <c r="F129" t="s">
        <v>7</v>
      </c>
      <c r="H129" s="2">
        <f>H112*H123+H119*H124+H120*H125+H121*H126</f>
        <v>0</v>
      </c>
      <c r="I129" s="2">
        <f t="shared" ref="I129:AA129" si="39">I112*I123+I119*I124+I120*I125+I121*I126</f>
        <v>0</v>
      </c>
      <c r="J129" s="2">
        <f t="shared" si="39"/>
        <v>0</v>
      </c>
      <c r="K129" s="2">
        <f t="shared" si="39"/>
        <v>0</v>
      </c>
      <c r="L129" s="2">
        <f t="shared" si="39"/>
        <v>0</v>
      </c>
      <c r="M129" s="2">
        <f t="shared" si="39"/>
        <v>0</v>
      </c>
      <c r="N129" s="2">
        <f t="shared" si="39"/>
        <v>0</v>
      </c>
      <c r="O129" s="2">
        <f t="shared" si="39"/>
        <v>0</v>
      </c>
      <c r="P129" s="2">
        <f t="shared" si="39"/>
        <v>0</v>
      </c>
      <c r="Q129" s="2">
        <f t="shared" si="39"/>
        <v>0</v>
      </c>
      <c r="R129" s="2">
        <f t="shared" si="39"/>
        <v>0</v>
      </c>
      <c r="S129" s="2">
        <f t="shared" si="39"/>
        <v>0</v>
      </c>
      <c r="T129" s="2">
        <f t="shared" si="39"/>
        <v>0</v>
      </c>
      <c r="U129" s="2">
        <f t="shared" si="39"/>
        <v>0</v>
      </c>
      <c r="V129" s="2">
        <f t="shared" si="39"/>
        <v>0</v>
      </c>
      <c r="W129" s="2">
        <f t="shared" si="39"/>
        <v>0</v>
      </c>
      <c r="X129" s="2">
        <f t="shared" si="39"/>
        <v>0</v>
      </c>
      <c r="Y129" s="2">
        <f t="shared" si="39"/>
        <v>0</v>
      </c>
      <c r="Z129" s="2">
        <f t="shared" si="39"/>
        <v>0</v>
      </c>
      <c r="AA129" s="2">
        <f t="shared" si="39"/>
        <v>0</v>
      </c>
    </row>
    <row r="130" spans="1:27" x14ac:dyDescent="0.25">
      <c r="C130" s="1"/>
      <c r="D130" s="1"/>
    </row>
    <row r="131" spans="1:27" x14ac:dyDescent="0.25">
      <c r="C131" s="1"/>
      <c r="D131" t="s">
        <v>74</v>
      </c>
    </row>
    <row r="132" spans="1:27" x14ac:dyDescent="0.25">
      <c r="A132" s="14">
        <f>'Notes &amp; Assumptions'!A38</f>
        <v>25</v>
      </c>
      <c r="C132" s="1"/>
      <c r="D132" s="1"/>
      <c r="E132" t="s">
        <v>87</v>
      </c>
      <c r="F132" t="s">
        <v>3</v>
      </c>
      <c r="H132" s="10">
        <v>0</v>
      </c>
      <c r="I132" s="10">
        <v>0</v>
      </c>
      <c r="J132" s="10">
        <v>0</v>
      </c>
      <c r="K132" s="10">
        <v>0</v>
      </c>
      <c r="L132" s="10">
        <v>0</v>
      </c>
      <c r="M132" s="10">
        <v>0</v>
      </c>
      <c r="N132" s="10">
        <v>0</v>
      </c>
      <c r="O132" s="10">
        <v>0</v>
      </c>
      <c r="P132" s="10">
        <v>0</v>
      </c>
      <c r="Q132" s="10">
        <v>0</v>
      </c>
      <c r="R132" s="10">
        <f>AVERAGE($O132:$Q132)</f>
        <v>0</v>
      </c>
      <c r="S132" s="10">
        <f t="shared" ref="S132:V132" si="40">AVERAGE($O132:$Q132)</f>
        <v>0</v>
      </c>
      <c r="T132" s="10">
        <f t="shared" si="40"/>
        <v>0</v>
      </c>
      <c r="U132" s="10">
        <f t="shared" si="40"/>
        <v>0</v>
      </c>
      <c r="V132" s="10">
        <f t="shared" si="40"/>
        <v>0</v>
      </c>
    </row>
    <row r="133" spans="1:27" x14ac:dyDescent="0.25">
      <c r="C133" s="1"/>
      <c r="D133" s="1"/>
      <c r="E133" t="s">
        <v>60</v>
      </c>
      <c r="F133" t="s">
        <v>3</v>
      </c>
      <c r="H133" s="2">
        <f>G133+H132</f>
        <v>0</v>
      </c>
      <c r="I133" s="2">
        <f t="shared" ref="I133:AA133" si="41">H133+I132</f>
        <v>0</v>
      </c>
      <c r="J133" s="2">
        <f t="shared" si="41"/>
        <v>0</v>
      </c>
      <c r="K133" s="2">
        <f t="shared" si="41"/>
        <v>0</v>
      </c>
      <c r="L133" s="2">
        <f t="shared" si="41"/>
        <v>0</v>
      </c>
      <c r="M133" s="2">
        <f t="shared" si="41"/>
        <v>0</v>
      </c>
      <c r="N133" s="2">
        <f t="shared" si="41"/>
        <v>0</v>
      </c>
      <c r="O133" s="2">
        <f t="shared" si="41"/>
        <v>0</v>
      </c>
      <c r="P133" s="2">
        <f t="shared" si="41"/>
        <v>0</v>
      </c>
      <c r="Q133" s="2">
        <f t="shared" si="41"/>
        <v>0</v>
      </c>
      <c r="R133" s="2">
        <f t="shared" si="41"/>
        <v>0</v>
      </c>
      <c r="S133" s="2">
        <f t="shared" si="41"/>
        <v>0</v>
      </c>
      <c r="T133" s="2">
        <f t="shared" si="41"/>
        <v>0</v>
      </c>
      <c r="U133" s="2">
        <f t="shared" si="41"/>
        <v>0</v>
      </c>
      <c r="V133" s="2">
        <f t="shared" si="41"/>
        <v>0</v>
      </c>
      <c r="W133" s="2">
        <f t="shared" si="41"/>
        <v>0</v>
      </c>
      <c r="X133" s="2">
        <f t="shared" si="41"/>
        <v>0</v>
      </c>
      <c r="Y133" s="2">
        <f t="shared" si="41"/>
        <v>0</v>
      </c>
      <c r="Z133" s="2">
        <f t="shared" si="41"/>
        <v>0</v>
      </c>
      <c r="AA133" s="2">
        <f t="shared" si="41"/>
        <v>0</v>
      </c>
    </row>
    <row r="134" spans="1:27" x14ac:dyDescent="0.25">
      <c r="A134" s="14">
        <f>'Notes &amp; Assumptions'!A39</f>
        <v>26</v>
      </c>
      <c r="C134" s="1"/>
      <c r="D134" s="1"/>
      <c r="E134" t="s">
        <v>61</v>
      </c>
      <c r="F134" t="s">
        <v>3</v>
      </c>
      <c r="G134" s="10">
        <v>1</v>
      </c>
    </row>
    <row r="135" spans="1:27" x14ac:dyDescent="0.25">
      <c r="C135" s="1"/>
      <c r="D135" s="1"/>
      <c r="E135" t="s">
        <v>88</v>
      </c>
      <c r="F135" t="s">
        <v>3</v>
      </c>
      <c r="H135">
        <f>H132*$G134</f>
        <v>0</v>
      </c>
      <c r="I135">
        <f t="shared" ref="I135:AA135" si="42">I132*$G134</f>
        <v>0</v>
      </c>
      <c r="J135">
        <f t="shared" si="42"/>
        <v>0</v>
      </c>
      <c r="K135">
        <f t="shared" si="42"/>
        <v>0</v>
      </c>
      <c r="L135">
        <f t="shared" si="42"/>
        <v>0</v>
      </c>
      <c r="M135">
        <f t="shared" si="42"/>
        <v>0</v>
      </c>
      <c r="N135">
        <f t="shared" si="42"/>
        <v>0</v>
      </c>
      <c r="O135">
        <f t="shared" si="42"/>
        <v>0</v>
      </c>
      <c r="P135">
        <f t="shared" si="42"/>
        <v>0</v>
      </c>
      <c r="Q135">
        <f t="shared" si="42"/>
        <v>0</v>
      </c>
      <c r="R135">
        <f t="shared" si="42"/>
        <v>0</v>
      </c>
      <c r="S135">
        <f t="shared" si="42"/>
        <v>0</v>
      </c>
      <c r="T135">
        <f t="shared" si="42"/>
        <v>0</v>
      </c>
      <c r="U135">
        <f t="shared" si="42"/>
        <v>0</v>
      </c>
      <c r="V135">
        <f t="shared" si="42"/>
        <v>0</v>
      </c>
      <c r="W135">
        <f t="shared" si="42"/>
        <v>0</v>
      </c>
      <c r="X135">
        <f t="shared" si="42"/>
        <v>0</v>
      </c>
      <c r="Y135">
        <f t="shared" si="42"/>
        <v>0</v>
      </c>
      <c r="Z135">
        <f t="shared" si="42"/>
        <v>0</v>
      </c>
      <c r="AA135">
        <f t="shared" si="42"/>
        <v>0</v>
      </c>
    </row>
    <row r="136" spans="1:27" x14ac:dyDescent="0.25">
      <c r="C136" s="1"/>
      <c r="D136" s="1"/>
      <c r="E136" t="s">
        <v>89</v>
      </c>
      <c r="F136" t="s">
        <v>3</v>
      </c>
      <c r="H136">
        <f>H133*$G134</f>
        <v>0</v>
      </c>
      <c r="I136">
        <f t="shared" ref="I136:AA136" si="43">I133*$G134</f>
        <v>0</v>
      </c>
      <c r="J136">
        <f t="shared" si="43"/>
        <v>0</v>
      </c>
      <c r="K136">
        <f t="shared" si="43"/>
        <v>0</v>
      </c>
      <c r="L136">
        <f t="shared" si="43"/>
        <v>0</v>
      </c>
      <c r="M136">
        <f t="shared" si="43"/>
        <v>0</v>
      </c>
      <c r="N136">
        <f t="shared" si="43"/>
        <v>0</v>
      </c>
      <c r="O136">
        <f t="shared" si="43"/>
        <v>0</v>
      </c>
      <c r="P136">
        <f t="shared" si="43"/>
        <v>0</v>
      </c>
      <c r="Q136">
        <f t="shared" si="43"/>
        <v>0</v>
      </c>
      <c r="R136">
        <f t="shared" si="43"/>
        <v>0</v>
      </c>
      <c r="S136">
        <f t="shared" si="43"/>
        <v>0</v>
      </c>
      <c r="T136">
        <f t="shared" si="43"/>
        <v>0</v>
      </c>
      <c r="U136">
        <f t="shared" si="43"/>
        <v>0</v>
      </c>
      <c r="V136">
        <f t="shared" si="43"/>
        <v>0</v>
      </c>
      <c r="W136">
        <f t="shared" si="43"/>
        <v>0</v>
      </c>
      <c r="X136">
        <f t="shared" si="43"/>
        <v>0</v>
      </c>
      <c r="Y136">
        <f t="shared" si="43"/>
        <v>0</v>
      </c>
      <c r="Z136">
        <f t="shared" si="43"/>
        <v>0</v>
      </c>
      <c r="AA136">
        <f t="shared" si="43"/>
        <v>0</v>
      </c>
    </row>
    <row r="137" spans="1:27" x14ac:dyDescent="0.25">
      <c r="A137" s="14">
        <f>'Notes &amp; Assumptions'!A40</f>
        <v>27</v>
      </c>
      <c r="C137" s="1"/>
      <c r="D137" s="1"/>
      <c r="E137" t="s">
        <v>62</v>
      </c>
      <c r="F137" t="s">
        <v>43</v>
      </c>
      <c r="H137" s="10"/>
      <c r="I137" s="10"/>
      <c r="J137" s="10"/>
      <c r="K137" s="10"/>
      <c r="L137" s="10"/>
      <c r="M137" s="10"/>
      <c r="N137" s="10"/>
      <c r="O137" s="10"/>
      <c r="P137" s="10"/>
      <c r="Q137" s="10"/>
      <c r="R137" s="10"/>
      <c r="S137" s="10"/>
      <c r="T137" s="10"/>
      <c r="U137" s="10"/>
      <c r="V137" s="10"/>
      <c r="W137" s="10"/>
      <c r="X137" s="10"/>
      <c r="Y137" s="10"/>
      <c r="Z137" s="10"/>
      <c r="AA137" s="10"/>
    </row>
    <row r="138" spans="1:27" x14ac:dyDescent="0.25">
      <c r="C138" s="1"/>
      <c r="D138" s="1"/>
      <c r="E138" t="s">
        <v>63</v>
      </c>
      <c r="F138" t="s">
        <v>43</v>
      </c>
      <c r="H138" s="10"/>
      <c r="I138" s="10"/>
      <c r="J138" s="10"/>
      <c r="K138" s="10"/>
      <c r="L138" s="10"/>
      <c r="M138" s="10"/>
      <c r="N138" s="10"/>
      <c r="O138" s="10"/>
      <c r="P138" s="10"/>
      <c r="Q138" s="10"/>
      <c r="R138" s="10"/>
      <c r="S138" s="10"/>
      <c r="T138" s="10"/>
      <c r="U138" s="10"/>
      <c r="V138" s="10"/>
      <c r="W138" s="10"/>
      <c r="X138" s="10"/>
      <c r="Y138" s="10"/>
      <c r="Z138" s="10"/>
      <c r="AA138" s="10"/>
    </row>
    <row r="139" spans="1:27" x14ac:dyDescent="0.25">
      <c r="A139" s="14">
        <f>'Notes &amp; Assumptions'!A41</f>
        <v>28</v>
      </c>
      <c r="C139" s="1"/>
      <c r="D139" s="1"/>
      <c r="E139" t="s">
        <v>140</v>
      </c>
      <c r="F139" t="s">
        <v>43</v>
      </c>
      <c r="H139" s="10"/>
      <c r="I139" s="10"/>
      <c r="J139" s="10"/>
      <c r="K139" s="10"/>
      <c r="L139" s="10"/>
      <c r="M139" s="10"/>
      <c r="N139" s="10"/>
      <c r="O139" s="10"/>
      <c r="P139" s="10"/>
      <c r="Q139" s="10"/>
      <c r="R139" s="10"/>
      <c r="S139" s="10"/>
      <c r="T139" s="10"/>
      <c r="U139" s="10"/>
      <c r="V139" s="10"/>
      <c r="W139" s="10"/>
      <c r="X139" s="10"/>
      <c r="Y139" s="10"/>
      <c r="Z139" s="10"/>
      <c r="AA139" s="10"/>
    </row>
    <row r="140" spans="1:27" x14ac:dyDescent="0.25">
      <c r="C140" s="1"/>
      <c r="D140" s="1"/>
      <c r="E140" t="s">
        <v>64</v>
      </c>
      <c r="F140" t="s">
        <v>144</v>
      </c>
      <c r="H140" s="2">
        <f>H133*H137</f>
        <v>0</v>
      </c>
      <c r="I140" s="2">
        <f t="shared" ref="I140:AA140" si="44">I133*I137</f>
        <v>0</v>
      </c>
      <c r="J140" s="2">
        <f t="shared" si="44"/>
        <v>0</v>
      </c>
      <c r="K140" s="2">
        <f t="shared" si="44"/>
        <v>0</v>
      </c>
      <c r="L140" s="2">
        <f t="shared" si="44"/>
        <v>0</v>
      </c>
      <c r="M140" s="2">
        <f t="shared" si="44"/>
        <v>0</v>
      </c>
      <c r="N140" s="2">
        <f t="shared" si="44"/>
        <v>0</v>
      </c>
      <c r="O140" s="2">
        <f t="shared" si="44"/>
        <v>0</v>
      </c>
      <c r="P140" s="2">
        <f t="shared" si="44"/>
        <v>0</v>
      </c>
      <c r="Q140" s="2">
        <f t="shared" si="44"/>
        <v>0</v>
      </c>
      <c r="R140" s="2">
        <f t="shared" si="44"/>
        <v>0</v>
      </c>
      <c r="S140" s="2">
        <f t="shared" si="44"/>
        <v>0</v>
      </c>
      <c r="T140" s="2">
        <f t="shared" si="44"/>
        <v>0</v>
      </c>
      <c r="U140" s="2">
        <f t="shared" si="44"/>
        <v>0</v>
      </c>
      <c r="V140" s="2">
        <f t="shared" si="44"/>
        <v>0</v>
      </c>
      <c r="W140" s="2">
        <f t="shared" si="44"/>
        <v>0</v>
      </c>
      <c r="X140" s="2">
        <f t="shared" si="44"/>
        <v>0</v>
      </c>
      <c r="Y140" s="2">
        <f t="shared" si="44"/>
        <v>0</v>
      </c>
      <c r="Z140" s="2">
        <f t="shared" si="44"/>
        <v>0</v>
      </c>
      <c r="AA140" s="2">
        <f t="shared" si="44"/>
        <v>0</v>
      </c>
    </row>
    <row r="141" spans="1:27" x14ac:dyDescent="0.25">
      <c r="C141" s="1"/>
      <c r="D141" s="1"/>
      <c r="E141" t="s">
        <v>65</v>
      </c>
      <c r="F141" t="s">
        <v>144</v>
      </c>
      <c r="H141" s="2">
        <f>H133*H138</f>
        <v>0</v>
      </c>
      <c r="I141" s="2">
        <f t="shared" ref="I141:AA141" si="45">I133*I138</f>
        <v>0</v>
      </c>
      <c r="J141" s="2">
        <f t="shared" si="45"/>
        <v>0</v>
      </c>
      <c r="K141" s="2">
        <f t="shared" si="45"/>
        <v>0</v>
      </c>
      <c r="L141" s="2">
        <f t="shared" si="45"/>
        <v>0</v>
      </c>
      <c r="M141" s="2">
        <f t="shared" si="45"/>
        <v>0</v>
      </c>
      <c r="N141" s="2">
        <f t="shared" si="45"/>
        <v>0</v>
      </c>
      <c r="O141" s="2">
        <f t="shared" si="45"/>
        <v>0</v>
      </c>
      <c r="P141" s="2">
        <f t="shared" si="45"/>
        <v>0</v>
      </c>
      <c r="Q141" s="2">
        <f t="shared" si="45"/>
        <v>0</v>
      </c>
      <c r="R141" s="2">
        <f t="shared" si="45"/>
        <v>0</v>
      </c>
      <c r="S141" s="2">
        <f t="shared" si="45"/>
        <v>0</v>
      </c>
      <c r="T141" s="2">
        <f t="shared" si="45"/>
        <v>0</v>
      </c>
      <c r="U141" s="2">
        <f t="shared" si="45"/>
        <v>0</v>
      </c>
      <c r="V141" s="2">
        <f t="shared" si="45"/>
        <v>0</v>
      </c>
      <c r="W141" s="2">
        <f t="shared" si="45"/>
        <v>0</v>
      </c>
      <c r="X141" s="2">
        <f t="shared" si="45"/>
        <v>0</v>
      </c>
      <c r="Y141" s="2">
        <f t="shared" si="45"/>
        <v>0</v>
      </c>
      <c r="Z141" s="2">
        <f t="shared" si="45"/>
        <v>0</v>
      </c>
      <c r="AA141" s="2">
        <f t="shared" si="45"/>
        <v>0</v>
      </c>
    </row>
    <row r="142" spans="1:27" x14ac:dyDescent="0.25">
      <c r="C142" s="1"/>
      <c r="D142" s="1"/>
      <c r="E142" t="s">
        <v>141</v>
      </c>
      <c r="F142" t="s">
        <v>144</v>
      </c>
      <c r="H142" s="2">
        <f>H133*H139</f>
        <v>0</v>
      </c>
      <c r="I142" s="2">
        <f t="shared" ref="I142:AA142" si="46">I133*I139</f>
        <v>0</v>
      </c>
      <c r="J142" s="2">
        <f t="shared" si="46"/>
        <v>0</v>
      </c>
      <c r="K142" s="2">
        <f t="shared" si="46"/>
        <v>0</v>
      </c>
      <c r="L142" s="2">
        <f t="shared" si="46"/>
        <v>0</v>
      </c>
      <c r="M142" s="2">
        <f t="shared" si="46"/>
        <v>0</v>
      </c>
      <c r="N142" s="2">
        <f t="shared" si="46"/>
        <v>0</v>
      </c>
      <c r="O142" s="2">
        <f t="shared" si="46"/>
        <v>0</v>
      </c>
      <c r="P142" s="2">
        <f t="shared" si="46"/>
        <v>0</v>
      </c>
      <c r="Q142" s="2">
        <f t="shared" si="46"/>
        <v>0</v>
      </c>
      <c r="R142" s="2">
        <f t="shared" si="46"/>
        <v>0</v>
      </c>
      <c r="S142" s="2">
        <f t="shared" si="46"/>
        <v>0</v>
      </c>
      <c r="T142" s="2">
        <f t="shared" si="46"/>
        <v>0</v>
      </c>
      <c r="U142" s="2">
        <f t="shared" si="46"/>
        <v>0</v>
      </c>
      <c r="V142" s="2">
        <f t="shared" si="46"/>
        <v>0</v>
      </c>
      <c r="W142" s="2">
        <f t="shared" si="46"/>
        <v>0</v>
      </c>
      <c r="X142" s="2">
        <f t="shared" si="46"/>
        <v>0</v>
      </c>
      <c r="Y142" s="2">
        <f t="shared" si="46"/>
        <v>0</v>
      </c>
      <c r="Z142" s="2">
        <f t="shared" si="46"/>
        <v>0</v>
      </c>
      <c r="AA142" s="2">
        <f t="shared" si="46"/>
        <v>0</v>
      </c>
    </row>
    <row r="143" spans="1:27" x14ac:dyDescent="0.25">
      <c r="A143" s="14">
        <f>'Notes &amp; Assumptions'!A42</f>
        <v>29</v>
      </c>
      <c r="C143" s="1"/>
      <c r="D143" s="1"/>
      <c r="E143" t="s">
        <v>66</v>
      </c>
      <c r="F143" t="s">
        <v>8</v>
      </c>
      <c r="H143" s="11"/>
      <c r="I143" s="11"/>
      <c r="J143" s="11"/>
      <c r="K143" s="11"/>
      <c r="L143" s="11"/>
      <c r="M143" s="11"/>
      <c r="N143" s="11"/>
      <c r="O143" s="11"/>
      <c r="P143" s="11"/>
      <c r="Q143" s="11"/>
      <c r="R143" s="11"/>
      <c r="S143" s="11"/>
      <c r="T143" s="11"/>
      <c r="U143" s="11"/>
      <c r="V143" s="11"/>
      <c r="W143" s="11"/>
      <c r="X143" s="11"/>
      <c r="Y143" s="11"/>
      <c r="Z143" s="11"/>
      <c r="AA143" s="11"/>
    </row>
    <row r="144" spans="1:27" x14ac:dyDescent="0.25">
      <c r="A144" s="14">
        <f>'Notes &amp; Assumptions'!A43</f>
        <v>30</v>
      </c>
      <c r="C144" s="1"/>
      <c r="D144" s="1"/>
      <c r="E144" t="s">
        <v>40</v>
      </c>
      <c r="F144" t="s">
        <v>41</v>
      </c>
      <c r="G144" s="10"/>
      <c r="H144" s="2">
        <f>G144*(1+$G$14)*(1+H143)</f>
        <v>0</v>
      </c>
      <c r="I144" s="2">
        <f t="shared" ref="I144:AA144" si="47">H144*(1+$G$14)*(1+I143)</f>
        <v>0</v>
      </c>
      <c r="J144" s="2">
        <f t="shared" si="47"/>
        <v>0</v>
      </c>
      <c r="K144" s="2">
        <f t="shared" si="47"/>
        <v>0</v>
      </c>
      <c r="L144" s="2">
        <f t="shared" si="47"/>
        <v>0</v>
      </c>
      <c r="M144" s="2">
        <f t="shared" si="47"/>
        <v>0</v>
      </c>
      <c r="N144" s="2">
        <f t="shared" si="47"/>
        <v>0</v>
      </c>
      <c r="O144" s="2">
        <f t="shared" si="47"/>
        <v>0</v>
      </c>
      <c r="P144" s="2">
        <f t="shared" si="47"/>
        <v>0</v>
      </c>
      <c r="Q144" s="2">
        <f t="shared" si="47"/>
        <v>0</v>
      </c>
      <c r="R144" s="2">
        <f t="shared" si="47"/>
        <v>0</v>
      </c>
      <c r="S144" s="2">
        <f t="shared" si="47"/>
        <v>0</v>
      </c>
      <c r="T144" s="2">
        <f t="shared" si="47"/>
        <v>0</v>
      </c>
      <c r="U144" s="2">
        <f t="shared" si="47"/>
        <v>0</v>
      </c>
      <c r="V144" s="2">
        <f t="shared" si="47"/>
        <v>0</v>
      </c>
      <c r="W144" s="2">
        <f t="shared" si="47"/>
        <v>0</v>
      </c>
      <c r="X144" s="2">
        <f t="shared" si="47"/>
        <v>0</v>
      </c>
      <c r="Y144" s="2">
        <f t="shared" si="47"/>
        <v>0</v>
      </c>
      <c r="Z144" s="2">
        <f t="shared" si="47"/>
        <v>0</v>
      </c>
      <c r="AA144" s="2">
        <f t="shared" si="47"/>
        <v>0</v>
      </c>
    </row>
    <row r="145" spans="1:27" x14ac:dyDescent="0.25">
      <c r="C145" s="1"/>
      <c r="D145" s="1"/>
      <c r="E145" t="s">
        <v>67</v>
      </c>
      <c r="F145" t="s">
        <v>143</v>
      </c>
      <c r="G145" s="20"/>
      <c r="H145" s="21">
        <f>G145*(1+$G$14)*(1+H143)</f>
        <v>0</v>
      </c>
      <c r="I145" s="21">
        <f t="shared" ref="I145:AA145" si="48">H145*(1+$G$14)*(1+I143)</f>
        <v>0</v>
      </c>
      <c r="J145" s="21">
        <f t="shared" si="48"/>
        <v>0</v>
      </c>
      <c r="K145" s="21">
        <f t="shared" si="48"/>
        <v>0</v>
      </c>
      <c r="L145" s="21">
        <f t="shared" si="48"/>
        <v>0</v>
      </c>
      <c r="M145" s="21">
        <f t="shared" si="48"/>
        <v>0</v>
      </c>
      <c r="N145" s="21">
        <f t="shared" si="48"/>
        <v>0</v>
      </c>
      <c r="O145" s="21">
        <f t="shared" si="48"/>
        <v>0</v>
      </c>
      <c r="P145" s="21">
        <f t="shared" si="48"/>
        <v>0</v>
      </c>
      <c r="Q145" s="21">
        <f t="shared" si="48"/>
        <v>0</v>
      </c>
      <c r="R145" s="21">
        <f t="shared" si="48"/>
        <v>0</v>
      </c>
      <c r="S145" s="21">
        <f t="shared" si="48"/>
        <v>0</v>
      </c>
      <c r="T145" s="21">
        <f t="shared" si="48"/>
        <v>0</v>
      </c>
      <c r="U145" s="21">
        <f t="shared" si="48"/>
        <v>0</v>
      </c>
      <c r="V145" s="21">
        <f t="shared" si="48"/>
        <v>0</v>
      </c>
      <c r="W145" s="21">
        <f t="shared" si="48"/>
        <v>0</v>
      </c>
      <c r="X145" s="21">
        <f t="shared" si="48"/>
        <v>0</v>
      </c>
      <c r="Y145" s="21">
        <f t="shared" si="48"/>
        <v>0</v>
      </c>
      <c r="Z145" s="21">
        <f t="shared" si="48"/>
        <v>0</v>
      </c>
      <c r="AA145" s="21">
        <f t="shared" si="48"/>
        <v>0</v>
      </c>
    </row>
    <row r="146" spans="1:27" x14ac:dyDescent="0.25">
      <c r="C146" s="1"/>
      <c r="D146" s="1"/>
      <c r="E146" t="s">
        <v>68</v>
      </c>
      <c r="F146" t="s">
        <v>143</v>
      </c>
      <c r="G146" s="20"/>
      <c r="H146" s="21">
        <f>G146*(1+$G$14)*(1+H143)</f>
        <v>0</v>
      </c>
      <c r="I146" s="21">
        <f t="shared" ref="I146:AA146" si="49">H146*(1+$G$14)*(1+I143)</f>
        <v>0</v>
      </c>
      <c r="J146" s="21">
        <f t="shared" si="49"/>
        <v>0</v>
      </c>
      <c r="K146" s="21">
        <f t="shared" si="49"/>
        <v>0</v>
      </c>
      <c r="L146" s="21">
        <f t="shared" si="49"/>
        <v>0</v>
      </c>
      <c r="M146" s="21">
        <f t="shared" si="49"/>
        <v>0</v>
      </c>
      <c r="N146" s="21">
        <f t="shared" si="49"/>
        <v>0</v>
      </c>
      <c r="O146" s="21">
        <f t="shared" si="49"/>
        <v>0</v>
      </c>
      <c r="P146" s="21">
        <f t="shared" si="49"/>
        <v>0</v>
      </c>
      <c r="Q146" s="21">
        <f t="shared" si="49"/>
        <v>0</v>
      </c>
      <c r="R146" s="21">
        <f t="shared" si="49"/>
        <v>0</v>
      </c>
      <c r="S146" s="21">
        <f t="shared" si="49"/>
        <v>0</v>
      </c>
      <c r="T146" s="21">
        <f t="shared" si="49"/>
        <v>0</v>
      </c>
      <c r="U146" s="21">
        <f t="shared" si="49"/>
        <v>0</v>
      </c>
      <c r="V146" s="21">
        <f t="shared" si="49"/>
        <v>0</v>
      </c>
      <c r="W146" s="21">
        <f t="shared" si="49"/>
        <v>0</v>
      </c>
      <c r="X146" s="21">
        <f t="shared" si="49"/>
        <v>0</v>
      </c>
      <c r="Y146" s="21">
        <f t="shared" si="49"/>
        <v>0</v>
      </c>
      <c r="Z146" s="21">
        <f t="shared" si="49"/>
        <v>0</v>
      </c>
      <c r="AA146" s="21">
        <f t="shared" si="49"/>
        <v>0</v>
      </c>
    </row>
    <row r="147" spans="1:27" x14ac:dyDescent="0.25">
      <c r="C147" s="1"/>
      <c r="D147" s="1"/>
      <c r="E147" t="s">
        <v>142</v>
      </c>
      <c r="F147" t="s">
        <v>143</v>
      </c>
      <c r="G147" s="20"/>
      <c r="H147" s="21">
        <f>G147*(1+$G$14)*(1+H143)</f>
        <v>0</v>
      </c>
      <c r="I147" s="21">
        <f t="shared" ref="I147:AA147" si="50">H147*(1+$G$14)*(1+I143)</f>
        <v>0</v>
      </c>
      <c r="J147" s="21">
        <f t="shared" si="50"/>
        <v>0</v>
      </c>
      <c r="K147" s="21">
        <f t="shared" si="50"/>
        <v>0</v>
      </c>
      <c r="L147" s="21">
        <f t="shared" si="50"/>
        <v>0</v>
      </c>
      <c r="M147" s="21">
        <f t="shared" si="50"/>
        <v>0</v>
      </c>
      <c r="N147" s="21">
        <f t="shared" si="50"/>
        <v>0</v>
      </c>
      <c r="O147" s="21">
        <f t="shared" si="50"/>
        <v>0</v>
      </c>
      <c r="P147" s="21">
        <f t="shared" si="50"/>
        <v>0</v>
      </c>
      <c r="Q147" s="21">
        <f t="shared" si="50"/>
        <v>0</v>
      </c>
      <c r="R147" s="21">
        <f t="shared" si="50"/>
        <v>0</v>
      </c>
      <c r="S147" s="21">
        <f t="shared" si="50"/>
        <v>0</v>
      </c>
      <c r="T147" s="21">
        <f t="shared" si="50"/>
        <v>0</v>
      </c>
      <c r="U147" s="21">
        <f t="shared" si="50"/>
        <v>0</v>
      </c>
      <c r="V147" s="21">
        <f t="shared" si="50"/>
        <v>0</v>
      </c>
      <c r="W147" s="21">
        <f t="shared" si="50"/>
        <v>0</v>
      </c>
      <c r="X147" s="21">
        <f t="shared" si="50"/>
        <v>0</v>
      </c>
      <c r="Y147" s="21">
        <f t="shared" si="50"/>
        <v>0</v>
      </c>
      <c r="Z147" s="21">
        <f t="shared" si="50"/>
        <v>0</v>
      </c>
      <c r="AA147" s="21">
        <f t="shared" si="50"/>
        <v>0</v>
      </c>
    </row>
    <row r="148" spans="1:27" x14ac:dyDescent="0.25">
      <c r="C148" s="1"/>
      <c r="D148" s="1"/>
    </row>
    <row r="149" spans="1:27" x14ac:dyDescent="0.25">
      <c r="C149" s="1"/>
      <c r="D149" s="1"/>
      <c r="E149" t="s">
        <v>75</v>
      </c>
      <c r="F149" t="s">
        <v>58</v>
      </c>
      <c r="H149" s="2">
        <f>SUM(H140:H142)/1000</f>
        <v>0</v>
      </c>
      <c r="I149" s="2">
        <f t="shared" ref="I149:AA149" si="51">SUM(I140:I142)/1000</f>
        <v>0</v>
      </c>
      <c r="J149" s="2">
        <f t="shared" si="51"/>
        <v>0</v>
      </c>
      <c r="K149" s="2">
        <f t="shared" si="51"/>
        <v>0</v>
      </c>
      <c r="L149" s="2">
        <f t="shared" si="51"/>
        <v>0</v>
      </c>
      <c r="M149" s="2">
        <f t="shared" si="51"/>
        <v>0</v>
      </c>
      <c r="N149" s="2">
        <f t="shared" si="51"/>
        <v>0</v>
      </c>
      <c r="O149" s="2">
        <f t="shared" si="51"/>
        <v>0</v>
      </c>
      <c r="P149" s="2">
        <f t="shared" si="51"/>
        <v>0</v>
      </c>
      <c r="Q149" s="2">
        <f t="shared" si="51"/>
        <v>0</v>
      </c>
      <c r="R149" s="2">
        <f t="shared" si="51"/>
        <v>0</v>
      </c>
      <c r="S149" s="2">
        <f t="shared" si="51"/>
        <v>0</v>
      </c>
      <c r="T149" s="2">
        <f t="shared" si="51"/>
        <v>0</v>
      </c>
      <c r="U149" s="2">
        <f t="shared" si="51"/>
        <v>0</v>
      </c>
      <c r="V149" s="2">
        <f t="shared" si="51"/>
        <v>0</v>
      </c>
      <c r="W149" s="2">
        <f t="shared" si="51"/>
        <v>0</v>
      </c>
      <c r="X149" s="2">
        <f t="shared" si="51"/>
        <v>0</v>
      </c>
      <c r="Y149" s="2">
        <f t="shared" si="51"/>
        <v>0</v>
      </c>
      <c r="Z149" s="2">
        <f t="shared" si="51"/>
        <v>0</v>
      </c>
      <c r="AA149" s="2">
        <f t="shared" si="51"/>
        <v>0</v>
      </c>
    </row>
    <row r="150" spans="1:27" x14ac:dyDescent="0.25">
      <c r="C150" s="1"/>
      <c r="D150" s="1"/>
      <c r="E150" t="s">
        <v>76</v>
      </c>
      <c r="F150" t="s">
        <v>7</v>
      </c>
      <c r="H150" s="2">
        <f>H133*H144+H140*H145+H141*H146+H142*H147</f>
        <v>0</v>
      </c>
      <c r="I150" s="2">
        <f t="shared" ref="I150:AA150" si="52">I133*I144+I140*I145+I141*I146+I142*I147</f>
        <v>0</v>
      </c>
      <c r="J150" s="2">
        <f t="shared" si="52"/>
        <v>0</v>
      </c>
      <c r="K150" s="2">
        <f t="shared" si="52"/>
        <v>0</v>
      </c>
      <c r="L150" s="2">
        <f t="shared" si="52"/>
        <v>0</v>
      </c>
      <c r="M150" s="2">
        <f t="shared" si="52"/>
        <v>0</v>
      </c>
      <c r="N150" s="2">
        <f t="shared" si="52"/>
        <v>0</v>
      </c>
      <c r="O150" s="2">
        <f t="shared" si="52"/>
        <v>0</v>
      </c>
      <c r="P150" s="2">
        <f t="shared" si="52"/>
        <v>0</v>
      </c>
      <c r="Q150" s="2">
        <f t="shared" si="52"/>
        <v>0</v>
      </c>
      <c r="R150" s="2">
        <f t="shared" si="52"/>
        <v>0</v>
      </c>
      <c r="S150" s="2">
        <f t="shared" si="52"/>
        <v>0</v>
      </c>
      <c r="T150" s="2">
        <f t="shared" si="52"/>
        <v>0</v>
      </c>
      <c r="U150" s="2">
        <f t="shared" si="52"/>
        <v>0</v>
      </c>
      <c r="V150" s="2">
        <f t="shared" si="52"/>
        <v>0</v>
      </c>
      <c r="W150" s="2">
        <f t="shared" si="52"/>
        <v>0</v>
      </c>
      <c r="X150" s="2">
        <f t="shared" si="52"/>
        <v>0</v>
      </c>
      <c r="Y150" s="2">
        <f t="shared" si="52"/>
        <v>0</v>
      </c>
      <c r="Z150" s="2">
        <f t="shared" si="52"/>
        <v>0</v>
      </c>
      <c r="AA150" s="2">
        <f t="shared" si="52"/>
        <v>0</v>
      </c>
    </row>
    <row r="151" spans="1:27" x14ac:dyDescent="0.25">
      <c r="C151" s="1"/>
      <c r="D151" s="1"/>
    </row>
    <row r="152" spans="1:27" x14ac:dyDescent="0.25">
      <c r="C152" s="1"/>
      <c r="D152" t="s">
        <v>77</v>
      </c>
    </row>
    <row r="153" spans="1:27" x14ac:dyDescent="0.25">
      <c r="A153" s="14">
        <f>'Notes &amp; Assumptions'!A44</f>
        <v>31</v>
      </c>
      <c r="C153" s="1"/>
      <c r="D153" s="1"/>
      <c r="E153" t="s">
        <v>87</v>
      </c>
      <c r="F153" t="s">
        <v>3</v>
      </c>
      <c r="H153" s="10">
        <v>0</v>
      </c>
      <c r="I153" s="10">
        <v>0</v>
      </c>
      <c r="J153" s="10">
        <v>0</v>
      </c>
      <c r="K153" s="10">
        <v>0</v>
      </c>
      <c r="L153" s="10">
        <v>0</v>
      </c>
      <c r="M153" s="10">
        <v>0</v>
      </c>
      <c r="N153" s="10">
        <v>0</v>
      </c>
      <c r="O153" s="10">
        <v>0</v>
      </c>
      <c r="P153" s="10">
        <v>0</v>
      </c>
      <c r="Q153" s="10">
        <v>0</v>
      </c>
      <c r="R153" s="10">
        <f>AVERAGE($O153:$Q153)</f>
        <v>0</v>
      </c>
      <c r="S153" s="10">
        <f t="shared" ref="S153:V153" si="53">AVERAGE($O153:$Q153)</f>
        <v>0</v>
      </c>
      <c r="T153" s="10">
        <f t="shared" si="53"/>
        <v>0</v>
      </c>
      <c r="U153" s="10">
        <f t="shared" si="53"/>
        <v>0</v>
      </c>
      <c r="V153" s="10">
        <f t="shared" si="53"/>
        <v>0</v>
      </c>
    </row>
    <row r="154" spans="1:27" x14ac:dyDescent="0.25">
      <c r="C154" s="1"/>
      <c r="D154" s="1"/>
      <c r="E154" t="s">
        <v>60</v>
      </c>
      <c r="F154" t="s">
        <v>3</v>
      </c>
      <c r="H154" s="2">
        <f>G154+H153</f>
        <v>0</v>
      </c>
      <c r="I154" s="2">
        <f t="shared" ref="I154:AA154" si="54">H154+I153</f>
        <v>0</v>
      </c>
      <c r="J154" s="2">
        <f t="shared" si="54"/>
        <v>0</v>
      </c>
      <c r="K154" s="2">
        <f t="shared" si="54"/>
        <v>0</v>
      </c>
      <c r="L154" s="2">
        <f t="shared" si="54"/>
        <v>0</v>
      </c>
      <c r="M154" s="2">
        <f t="shared" si="54"/>
        <v>0</v>
      </c>
      <c r="N154" s="2">
        <f t="shared" si="54"/>
        <v>0</v>
      </c>
      <c r="O154" s="2">
        <f t="shared" si="54"/>
        <v>0</v>
      </c>
      <c r="P154" s="2">
        <f t="shared" si="54"/>
        <v>0</v>
      </c>
      <c r="Q154" s="2">
        <f t="shared" si="54"/>
        <v>0</v>
      </c>
      <c r="R154" s="2">
        <f t="shared" si="54"/>
        <v>0</v>
      </c>
      <c r="S154" s="2">
        <f t="shared" si="54"/>
        <v>0</v>
      </c>
      <c r="T154" s="2">
        <f t="shared" si="54"/>
        <v>0</v>
      </c>
      <c r="U154" s="2">
        <f t="shared" si="54"/>
        <v>0</v>
      </c>
      <c r="V154" s="2">
        <f t="shared" si="54"/>
        <v>0</v>
      </c>
      <c r="W154" s="2">
        <f t="shared" si="54"/>
        <v>0</v>
      </c>
      <c r="X154" s="2">
        <f t="shared" si="54"/>
        <v>0</v>
      </c>
      <c r="Y154" s="2">
        <f t="shared" si="54"/>
        <v>0</v>
      </c>
      <c r="Z154" s="2">
        <f t="shared" si="54"/>
        <v>0</v>
      </c>
      <c r="AA154" s="2">
        <f t="shared" si="54"/>
        <v>0</v>
      </c>
    </row>
    <row r="155" spans="1:27" x14ac:dyDescent="0.25">
      <c r="A155" s="14">
        <f>'Notes &amp; Assumptions'!A45</f>
        <v>32</v>
      </c>
      <c r="C155" s="1"/>
      <c r="D155" s="1"/>
      <c r="E155" t="s">
        <v>61</v>
      </c>
      <c r="F155" t="s">
        <v>3</v>
      </c>
      <c r="G155" s="10">
        <v>1</v>
      </c>
    </row>
    <row r="156" spans="1:27" x14ac:dyDescent="0.25">
      <c r="C156" s="1"/>
      <c r="D156" s="1"/>
      <c r="E156" t="s">
        <v>88</v>
      </c>
      <c r="F156" t="s">
        <v>3</v>
      </c>
      <c r="H156">
        <f>H153*$G155</f>
        <v>0</v>
      </c>
      <c r="I156">
        <f t="shared" ref="I156:AA156" si="55">I153*$G155</f>
        <v>0</v>
      </c>
      <c r="J156">
        <f t="shared" si="55"/>
        <v>0</v>
      </c>
      <c r="K156">
        <f t="shared" si="55"/>
        <v>0</v>
      </c>
      <c r="L156">
        <f t="shared" si="55"/>
        <v>0</v>
      </c>
      <c r="M156">
        <f t="shared" si="55"/>
        <v>0</v>
      </c>
      <c r="N156">
        <f t="shared" si="55"/>
        <v>0</v>
      </c>
      <c r="O156">
        <f t="shared" si="55"/>
        <v>0</v>
      </c>
      <c r="P156">
        <f t="shared" si="55"/>
        <v>0</v>
      </c>
      <c r="Q156">
        <f t="shared" si="55"/>
        <v>0</v>
      </c>
      <c r="R156">
        <f t="shared" si="55"/>
        <v>0</v>
      </c>
      <c r="S156">
        <f t="shared" si="55"/>
        <v>0</v>
      </c>
      <c r="T156">
        <f t="shared" si="55"/>
        <v>0</v>
      </c>
      <c r="U156">
        <f t="shared" si="55"/>
        <v>0</v>
      </c>
      <c r="V156">
        <f t="shared" si="55"/>
        <v>0</v>
      </c>
      <c r="W156">
        <f t="shared" si="55"/>
        <v>0</v>
      </c>
      <c r="X156">
        <f t="shared" si="55"/>
        <v>0</v>
      </c>
      <c r="Y156">
        <f t="shared" si="55"/>
        <v>0</v>
      </c>
      <c r="Z156">
        <f t="shared" si="55"/>
        <v>0</v>
      </c>
      <c r="AA156">
        <f t="shared" si="55"/>
        <v>0</v>
      </c>
    </row>
    <row r="157" spans="1:27" x14ac:dyDescent="0.25">
      <c r="C157" s="1"/>
      <c r="D157" s="1"/>
      <c r="E157" t="s">
        <v>89</v>
      </c>
      <c r="F157" t="s">
        <v>3</v>
      </c>
      <c r="H157">
        <f>H154*$G155</f>
        <v>0</v>
      </c>
      <c r="I157">
        <f t="shared" ref="I157:AA157" si="56">I154*$G155</f>
        <v>0</v>
      </c>
      <c r="J157">
        <f t="shared" si="56"/>
        <v>0</v>
      </c>
      <c r="K157">
        <f t="shared" si="56"/>
        <v>0</v>
      </c>
      <c r="L157">
        <f t="shared" si="56"/>
        <v>0</v>
      </c>
      <c r="M157">
        <f t="shared" si="56"/>
        <v>0</v>
      </c>
      <c r="N157">
        <f t="shared" si="56"/>
        <v>0</v>
      </c>
      <c r="O157">
        <f t="shared" si="56"/>
        <v>0</v>
      </c>
      <c r="P157">
        <f t="shared" si="56"/>
        <v>0</v>
      </c>
      <c r="Q157">
        <f t="shared" si="56"/>
        <v>0</v>
      </c>
      <c r="R157">
        <f t="shared" si="56"/>
        <v>0</v>
      </c>
      <c r="S157">
        <f t="shared" si="56"/>
        <v>0</v>
      </c>
      <c r="T157">
        <f t="shared" si="56"/>
        <v>0</v>
      </c>
      <c r="U157">
        <f t="shared" si="56"/>
        <v>0</v>
      </c>
      <c r="V157">
        <f t="shared" si="56"/>
        <v>0</v>
      </c>
      <c r="W157">
        <f t="shared" si="56"/>
        <v>0</v>
      </c>
      <c r="X157">
        <f t="shared" si="56"/>
        <v>0</v>
      </c>
      <c r="Y157">
        <f t="shared" si="56"/>
        <v>0</v>
      </c>
      <c r="Z157">
        <f t="shared" si="56"/>
        <v>0</v>
      </c>
      <c r="AA157">
        <f t="shared" si="56"/>
        <v>0</v>
      </c>
    </row>
    <row r="158" spans="1:27" x14ac:dyDescent="0.25">
      <c r="A158" s="14">
        <f>'Notes &amp; Assumptions'!A46</f>
        <v>33</v>
      </c>
      <c r="C158" s="1"/>
      <c r="D158" s="1"/>
      <c r="E158" t="s">
        <v>62</v>
      </c>
      <c r="F158" t="s">
        <v>43</v>
      </c>
      <c r="H158" s="10"/>
      <c r="I158" s="10"/>
      <c r="J158" s="10"/>
      <c r="K158" s="10"/>
      <c r="L158" s="10"/>
      <c r="M158" s="10"/>
      <c r="N158" s="10"/>
      <c r="O158" s="10"/>
      <c r="P158" s="10"/>
      <c r="Q158" s="10"/>
      <c r="R158" s="10"/>
      <c r="S158" s="10"/>
      <c r="T158" s="10"/>
      <c r="U158" s="10"/>
      <c r="V158" s="10"/>
      <c r="W158" s="10"/>
      <c r="X158" s="10"/>
      <c r="Y158" s="10"/>
      <c r="Z158" s="10"/>
      <c r="AA158" s="10"/>
    </row>
    <row r="159" spans="1:27" x14ac:dyDescent="0.25">
      <c r="C159" s="1"/>
      <c r="D159" s="1"/>
      <c r="E159" t="s">
        <v>63</v>
      </c>
      <c r="F159" t="s">
        <v>43</v>
      </c>
      <c r="H159" s="10"/>
      <c r="I159" s="10"/>
      <c r="J159" s="10"/>
      <c r="K159" s="10"/>
      <c r="L159" s="10"/>
      <c r="M159" s="10"/>
      <c r="N159" s="10"/>
      <c r="O159" s="10"/>
      <c r="P159" s="10"/>
      <c r="Q159" s="10"/>
      <c r="R159" s="10"/>
      <c r="S159" s="10"/>
      <c r="T159" s="10"/>
      <c r="U159" s="10"/>
      <c r="V159" s="10"/>
      <c r="W159" s="10"/>
      <c r="X159" s="10"/>
      <c r="Y159" s="10"/>
      <c r="Z159" s="10"/>
      <c r="AA159" s="10"/>
    </row>
    <row r="160" spans="1:27" x14ac:dyDescent="0.25">
      <c r="A160" s="14">
        <f>'Notes &amp; Assumptions'!A47</f>
        <v>34</v>
      </c>
      <c r="C160" s="1"/>
      <c r="D160" s="1"/>
      <c r="E160" t="s">
        <v>140</v>
      </c>
      <c r="F160" t="s">
        <v>43</v>
      </c>
      <c r="H160" s="10"/>
      <c r="I160" s="10"/>
      <c r="J160" s="10"/>
      <c r="K160" s="10"/>
      <c r="L160" s="10"/>
      <c r="M160" s="10"/>
      <c r="N160" s="10"/>
      <c r="O160" s="10"/>
      <c r="P160" s="10"/>
      <c r="Q160" s="10"/>
      <c r="R160" s="10"/>
      <c r="S160" s="10"/>
      <c r="T160" s="10"/>
      <c r="U160" s="10"/>
      <c r="V160" s="10"/>
      <c r="W160" s="10"/>
      <c r="X160" s="10"/>
      <c r="Y160" s="10"/>
      <c r="Z160" s="10"/>
      <c r="AA160" s="10"/>
    </row>
    <row r="161" spans="1:27" x14ac:dyDescent="0.25">
      <c r="C161" s="1"/>
      <c r="D161" s="1"/>
      <c r="E161" t="s">
        <v>64</v>
      </c>
      <c r="F161" t="s">
        <v>144</v>
      </c>
      <c r="H161" s="2">
        <f>H154*H158</f>
        <v>0</v>
      </c>
      <c r="I161" s="2">
        <f t="shared" ref="I161:AA161" si="57">I154*I158</f>
        <v>0</v>
      </c>
      <c r="J161" s="2">
        <f t="shared" si="57"/>
        <v>0</v>
      </c>
      <c r="K161" s="2">
        <f t="shared" si="57"/>
        <v>0</v>
      </c>
      <c r="L161" s="2">
        <f t="shared" si="57"/>
        <v>0</v>
      </c>
      <c r="M161" s="2">
        <f t="shared" si="57"/>
        <v>0</v>
      </c>
      <c r="N161" s="2">
        <f t="shared" si="57"/>
        <v>0</v>
      </c>
      <c r="O161" s="2">
        <f t="shared" si="57"/>
        <v>0</v>
      </c>
      <c r="P161" s="2">
        <f t="shared" si="57"/>
        <v>0</v>
      </c>
      <c r="Q161" s="2">
        <f t="shared" si="57"/>
        <v>0</v>
      </c>
      <c r="R161" s="2">
        <f t="shared" si="57"/>
        <v>0</v>
      </c>
      <c r="S161" s="2">
        <f t="shared" si="57"/>
        <v>0</v>
      </c>
      <c r="T161" s="2">
        <f t="shared" si="57"/>
        <v>0</v>
      </c>
      <c r="U161" s="2">
        <f t="shared" si="57"/>
        <v>0</v>
      </c>
      <c r="V161" s="2">
        <f t="shared" si="57"/>
        <v>0</v>
      </c>
      <c r="W161" s="2">
        <f t="shared" si="57"/>
        <v>0</v>
      </c>
      <c r="X161" s="2">
        <f t="shared" si="57"/>
        <v>0</v>
      </c>
      <c r="Y161" s="2">
        <f t="shared" si="57"/>
        <v>0</v>
      </c>
      <c r="Z161" s="2">
        <f t="shared" si="57"/>
        <v>0</v>
      </c>
      <c r="AA161" s="2">
        <f t="shared" si="57"/>
        <v>0</v>
      </c>
    </row>
    <row r="162" spans="1:27" x14ac:dyDescent="0.25">
      <c r="C162" s="1"/>
      <c r="D162" s="1"/>
      <c r="E162" t="s">
        <v>65</v>
      </c>
      <c r="F162" t="s">
        <v>144</v>
      </c>
      <c r="H162" s="2">
        <f>H154*H159</f>
        <v>0</v>
      </c>
      <c r="I162" s="2">
        <f t="shared" ref="I162:AA162" si="58">I154*I159</f>
        <v>0</v>
      </c>
      <c r="J162" s="2">
        <f t="shared" si="58"/>
        <v>0</v>
      </c>
      <c r="K162" s="2">
        <f t="shared" si="58"/>
        <v>0</v>
      </c>
      <c r="L162" s="2">
        <f t="shared" si="58"/>
        <v>0</v>
      </c>
      <c r="M162" s="2">
        <f t="shared" si="58"/>
        <v>0</v>
      </c>
      <c r="N162" s="2">
        <f t="shared" si="58"/>
        <v>0</v>
      </c>
      <c r="O162" s="2">
        <f t="shared" si="58"/>
        <v>0</v>
      </c>
      <c r="P162" s="2">
        <f t="shared" si="58"/>
        <v>0</v>
      </c>
      <c r="Q162" s="2">
        <f t="shared" si="58"/>
        <v>0</v>
      </c>
      <c r="R162" s="2">
        <f t="shared" si="58"/>
        <v>0</v>
      </c>
      <c r="S162" s="2">
        <f t="shared" si="58"/>
        <v>0</v>
      </c>
      <c r="T162" s="2">
        <f t="shared" si="58"/>
        <v>0</v>
      </c>
      <c r="U162" s="2">
        <f t="shared" si="58"/>
        <v>0</v>
      </c>
      <c r="V162" s="2">
        <f t="shared" si="58"/>
        <v>0</v>
      </c>
      <c r="W162" s="2">
        <f t="shared" si="58"/>
        <v>0</v>
      </c>
      <c r="X162" s="2">
        <f t="shared" si="58"/>
        <v>0</v>
      </c>
      <c r="Y162" s="2">
        <f t="shared" si="58"/>
        <v>0</v>
      </c>
      <c r="Z162" s="2">
        <f t="shared" si="58"/>
        <v>0</v>
      </c>
      <c r="AA162" s="2">
        <f t="shared" si="58"/>
        <v>0</v>
      </c>
    </row>
    <row r="163" spans="1:27" x14ac:dyDescent="0.25">
      <c r="C163" s="1"/>
      <c r="D163" s="1"/>
      <c r="E163" t="s">
        <v>141</v>
      </c>
      <c r="F163" t="s">
        <v>144</v>
      </c>
      <c r="H163" s="2">
        <f>H154*H160</f>
        <v>0</v>
      </c>
      <c r="I163" s="2">
        <f t="shared" ref="I163:AA163" si="59">I154*I160</f>
        <v>0</v>
      </c>
      <c r="J163" s="2">
        <f t="shared" si="59"/>
        <v>0</v>
      </c>
      <c r="K163" s="2">
        <f t="shared" si="59"/>
        <v>0</v>
      </c>
      <c r="L163" s="2">
        <f t="shared" si="59"/>
        <v>0</v>
      </c>
      <c r="M163" s="2">
        <f t="shared" si="59"/>
        <v>0</v>
      </c>
      <c r="N163" s="2">
        <f t="shared" si="59"/>
        <v>0</v>
      </c>
      <c r="O163" s="2">
        <f t="shared" si="59"/>
        <v>0</v>
      </c>
      <c r="P163" s="2">
        <f t="shared" si="59"/>
        <v>0</v>
      </c>
      <c r="Q163" s="2">
        <f t="shared" si="59"/>
        <v>0</v>
      </c>
      <c r="R163" s="2">
        <f t="shared" si="59"/>
        <v>0</v>
      </c>
      <c r="S163" s="2">
        <f t="shared" si="59"/>
        <v>0</v>
      </c>
      <c r="T163" s="2">
        <f t="shared" si="59"/>
        <v>0</v>
      </c>
      <c r="U163" s="2">
        <f t="shared" si="59"/>
        <v>0</v>
      </c>
      <c r="V163" s="2">
        <f t="shared" si="59"/>
        <v>0</v>
      </c>
      <c r="W163" s="2">
        <f t="shared" si="59"/>
        <v>0</v>
      </c>
      <c r="X163" s="2">
        <f t="shared" si="59"/>
        <v>0</v>
      </c>
      <c r="Y163" s="2">
        <f t="shared" si="59"/>
        <v>0</v>
      </c>
      <c r="Z163" s="2">
        <f t="shared" si="59"/>
        <v>0</v>
      </c>
      <c r="AA163" s="2">
        <f t="shared" si="59"/>
        <v>0</v>
      </c>
    </row>
    <row r="164" spans="1:27" x14ac:dyDescent="0.25">
      <c r="A164" s="14">
        <f>'Notes &amp; Assumptions'!A48</f>
        <v>35</v>
      </c>
      <c r="C164" s="1"/>
      <c r="D164" s="1"/>
      <c r="E164" t="s">
        <v>66</v>
      </c>
      <c r="F164" t="s">
        <v>8</v>
      </c>
      <c r="H164" s="11"/>
      <c r="I164" s="11"/>
      <c r="J164" s="11"/>
      <c r="K164" s="11"/>
      <c r="L164" s="11"/>
      <c r="M164" s="11"/>
      <c r="N164" s="11"/>
      <c r="O164" s="11"/>
      <c r="P164" s="11"/>
      <c r="Q164" s="11"/>
      <c r="R164" s="11"/>
      <c r="S164" s="11"/>
      <c r="T164" s="11"/>
      <c r="U164" s="11"/>
      <c r="V164" s="11"/>
      <c r="W164" s="11"/>
      <c r="X164" s="11"/>
      <c r="Y164" s="11"/>
      <c r="Z164" s="11"/>
      <c r="AA164" s="11"/>
    </row>
    <row r="165" spans="1:27" x14ac:dyDescent="0.25">
      <c r="A165" s="14">
        <f>'Notes &amp; Assumptions'!A49</f>
        <v>36</v>
      </c>
      <c r="C165" s="1"/>
      <c r="D165" s="1"/>
      <c r="E165" t="s">
        <v>40</v>
      </c>
      <c r="F165" t="s">
        <v>41</v>
      </c>
      <c r="G165" s="10"/>
      <c r="H165" s="2">
        <f>G165*(1+$G$14)*(1+H164)</f>
        <v>0</v>
      </c>
      <c r="I165" s="2">
        <f t="shared" ref="I165:AA165" si="60">H165*(1+$G$14)*(1+I164)</f>
        <v>0</v>
      </c>
      <c r="J165" s="2">
        <f t="shared" si="60"/>
        <v>0</v>
      </c>
      <c r="K165" s="2">
        <f t="shared" si="60"/>
        <v>0</v>
      </c>
      <c r="L165" s="2">
        <f t="shared" si="60"/>
        <v>0</v>
      </c>
      <c r="M165" s="2">
        <f t="shared" si="60"/>
        <v>0</v>
      </c>
      <c r="N165" s="2">
        <f t="shared" si="60"/>
        <v>0</v>
      </c>
      <c r="O165" s="2">
        <f t="shared" si="60"/>
        <v>0</v>
      </c>
      <c r="P165" s="2">
        <f t="shared" si="60"/>
        <v>0</v>
      </c>
      <c r="Q165" s="2">
        <f t="shared" si="60"/>
        <v>0</v>
      </c>
      <c r="R165" s="2">
        <f t="shared" si="60"/>
        <v>0</v>
      </c>
      <c r="S165" s="2">
        <f t="shared" si="60"/>
        <v>0</v>
      </c>
      <c r="T165" s="2">
        <f t="shared" si="60"/>
        <v>0</v>
      </c>
      <c r="U165" s="2">
        <f t="shared" si="60"/>
        <v>0</v>
      </c>
      <c r="V165" s="2">
        <f t="shared" si="60"/>
        <v>0</v>
      </c>
      <c r="W165" s="2">
        <f t="shared" si="60"/>
        <v>0</v>
      </c>
      <c r="X165" s="2">
        <f t="shared" si="60"/>
        <v>0</v>
      </c>
      <c r="Y165" s="2">
        <f t="shared" si="60"/>
        <v>0</v>
      </c>
      <c r="Z165" s="2">
        <f t="shared" si="60"/>
        <v>0</v>
      </c>
      <c r="AA165" s="2">
        <f t="shared" si="60"/>
        <v>0</v>
      </c>
    </row>
    <row r="166" spans="1:27" x14ac:dyDescent="0.25">
      <c r="C166" s="1"/>
      <c r="D166" s="1"/>
      <c r="E166" t="s">
        <v>67</v>
      </c>
      <c r="F166" t="s">
        <v>143</v>
      </c>
      <c r="G166" s="20"/>
      <c r="H166" s="21">
        <f>G166*(1+$G$14)*(1+H164)</f>
        <v>0</v>
      </c>
      <c r="I166" s="21">
        <f t="shared" ref="I166:AA166" si="61">H166*(1+$G$14)*(1+I164)</f>
        <v>0</v>
      </c>
      <c r="J166" s="21">
        <f t="shared" si="61"/>
        <v>0</v>
      </c>
      <c r="K166" s="21">
        <f t="shared" si="61"/>
        <v>0</v>
      </c>
      <c r="L166" s="21">
        <f t="shared" si="61"/>
        <v>0</v>
      </c>
      <c r="M166" s="21">
        <f t="shared" si="61"/>
        <v>0</v>
      </c>
      <c r="N166" s="21">
        <f t="shared" si="61"/>
        <v>0</v>
      </c>
      <c r="O166" s="21">
        <f t="shared" si="61"/>
        <v>0</v>
      </c>
      <c r="P166" s="21">
        <f t="shared" si="61"/>
        <v>0</v>
      </c>
      <c r="Q166" s="21">
        <f t="shared" si="61"/>
        <v>0</v>
      </c>
      <c r="R166" s="21">
        <f t="shared" si="61"/>
        <v>0</v>
      </c>
      <c r="S166" s="21">
        <f t="shared" si="61"/>
        <v>0</v>
      </c>
      <c r="T166" s="21">
        <f t="shared" si="61"/>
        <v>0</v>
      </c>
      <c r="U166" s="21">
        <f t="shared" si="61"/>
        <v>0</v>
      </c>
      <c r="V166" s="21">
        <f t="shared" si="61"/>
        <v>0</v>
      </c>
      <c r="W166" s="21">
        <f t="shared" si="61"/>
        <v>0</v>
      </c>
      <c r="X166" s="21">
        <f t="shared" si="61"/>
        <v>0</v>
      </c>
      <c r="Y166" s="21">
        <f t="shared" si="61"/>
        <v>0</v>
      </c>
      <c r="Z166" s="21">
        <f t="shared" si="61"/>
        <v>0</v>
      </c>
      <c r="AA166" s="21">
        <f t="shared" si="61"/>
        <v>0</v>
      </c>
    </row>
    <row r="167" spans="1:27" x14ac:dyDescent="0.25">
      <c r="C167" s="1"/>
      <c r="D167" s="1"/>
      <c r="E167" t="s">
        <v>68</v>
      </c>
      <c r="F167" t="s">
        <v>143</v>
      </c>
      <c r="G167" s="20"/>
      <c r="H167" s="21">
        <f>G167*(1+$G$14)*(1+H164)</f>
        <v>0</v>
      </c>
      <c r="I167" s="21">
        <f t="shared" ref="I167:AA167" si="62">H167*(1+$G$14)*(1+I164)</f>
        <v>0</v>
      </c>
      <c r="J167" s="21">
        <f t="shared" si="62"/>
        <v>0</v>
      </c>
      <c r="K167" s="21">
        <f t="shared" si="62"/>
        <v>0</v>
      </c>
      <c r="L167" s="21">
        <f t="shared" si="62"/>
        <v>0</v>
      </c>
      <c r="M167" s="21">
        <f t="shared" si="62"/>
        <v>0</v>
      </c>
      <c r="N167" s="21">
        <f t="shared" si="62"/>
        <v>0</v>
      </c>
      <c r="O167" s="21">
        <f t="shared" si="62"/>
        <v>0</v>
      </c>
      <c r="P167" s="21">
        <f t="shared" si="62"/>
        <v>0</v>
      </c>
      <c r="Q167" s="21">
        <f t="shared" si="62"/>
        <v>0</v>
      </c>
      <c r="R167" s="21">
        <f t="shared" si="62"/>
        <v>0</v>
      </c>
      <c r="S167" s="21">
        <f t="shared" si="62"/>
        <v>0</v>
      </c>
      <c r="T167" s="21">
        <f t="shared" si="62"/>
        <v>0</v>
      </c>
      <c r="U167" s="21">
        <f t="shared" si="62"/>
        <v>0</v>
      </c>
      <c r="V167" s="21">
        <f t="shared" si="62"/>
        <v>0</v>
      </c>
      <c r="W167" s="21">
        <f t="shared" si="62"/>
        <v>0</v>
      </c>
      <c r="X167" s="21">
        <f t="shared" si="62"/>
        <v>0</v>
      </c>
      <c r="Y167" s="21">
        <f t="shared" si="62"/>
        <v>0</v>
      </c>
      <c r="Z167" s="21">
        <f t="shared" si="62"/>
        <v>0</v>
      </c>
      <c r="AA167" s="21">
        <f t="shared" si="62"/>
        <v>0</v>
      </c>
    </row>
    <row r="168" spans="1:27" x14ac:dyDescent="0.25">
      <c r="C168" s="1"/>
      <c r="D168" s="1"/>
      <c r="E168" t="s">
        <v>142</v>
      </c>
      <c r="F168" t="s">
        <v>143</v>
      </c>
      <c r="G168" s="20"/>
      <c r="H168" s="21">
        <f>G168*(1+$G$14)*(1+H164)</f>
        <v>0</v>
      </c>
      <c r="I168" s="21">
        <f t="shared" ref="I168:AA168" si="63">H168*(1+$G$14)*(1+I164)</f>
        <v>0</v>
      </c>
      <c r="J168" s="21">
        <f t="shared" si="63"/>
        <v>0</v>
      </c>
      <c r="K168" s="21">
        <f t="shared" si="63"/>
        <v>0</v>
      </c>
      <c r="L168" s="21">
        <f t="shared" si="63"/>
        <v>0</v>
      </c>
      <c r="M168" s="21">
        <f t="shared" si="63"/>
        <v>0</v>
      </c>
      <c r="N168" s="21">
        <f t="shared" si="63"/>
        <v>0</v>
      </c>
      <c r="O168" s="21">
        <f t="shared" si="63"/>
        <v>0</v>
      </c>
      <c r="P168" s="21">
        <f t="shared" si="63"/>
        <v>0</v>
      </c>
      <c r="Q168" s="21">
        <f t="shared" si="63"/>
        <v>0</v>
      </c>
      <c r="R168" s="21">
        <f t="shared" si="63"/>
        <v>0</v>
      </c>
      <c r="S168" s="21">
        <f t="shared" si="63"/>
        <v>0</v>
      </c>
      <c r="T168" s="21">
        <f t="shared" si="63"/>
        <v>0</v>
      </c>
      <c r="U168" s="21">
        <f t="shared" si="63"/>
        <v>0</v>
      </c>
      <c r="V168" s="21">
        <f t="shared" si="63"/>
        <v>0</v>
      </c>
      <c r="W168" s="21">
        <f t="shared" si="63"/>
        <v>0</v>
      </c>
      <c r="X168" s="21">
        <f t="shared" si="63"/>
        <v>0</v>
      </c>
      <c r="Y168" s="21">
        <f t="shared" si="63"/>
        <v>0</v>
      </c>
      <c r="Z168" s="21">
        <f t="shared" si="63"/>
        <v>0</v>
      </c>
      <c r="AA168" s="21">
        <f t="shared" si="63"/>
        <v>0</v>
      </c>
    </row>
    <row r="169" spans="1:27" x14ac:dyDescent="0.25">
      <c r="C169" s="1"/>
      <c r="D169" s="1"/>
    </row>
    <row r="170" spans="1:27" x14ac:dyDescent="0.25">
      <c r="C170" s="1"/>
      <c r="D170" s="1"/>
      <c r="E170" t="s">
        <v>78</v>
      </c>
      <c r="F170" t="s">
        <v>58</v>
      </c>
      <c r="H170" s="2">
        <f>SUM(H161:H163)/1000</f>
        <v>0</v>
      </c>
      <c r="I170" s="2">
        <f t="shared" ref="I170:AA170" si="64">SUM(I161:I163)/1000</f>
        <v>0</v>
      </c>
      <c r="J170" s="2">
        <f t="shared" si="64"/>
        <v>0</v>
      </c>
      <c r="K170" s="2">
        <f t="shared" si="64"/>
        <v>0</v>
      </c>
      <c r="L170" s="2">
        <f t="shared" si="64"/>
        <v>0</v>
      </c>
      <c r="M170" s="2">
        <f t="shared" si="64"/>
        <v>0</v>
      </c>
      <c r="N170" s="2">
        <f t="shared" si="64"/>
        <v>0</v>
      </c>
      <c r="O170" s="2">
        <f t="shared" si="64"/>
        <v>0</v>
      </c>
      <c r="P170" s="2">
        <f t="shared" si="64"/>
        <v>0</v>
      </c>
      <c r="Q170" s="2">
        <f t="shared" si="64"/>
        <v>0</v>
      </c>
      <c r="R170" s="2">
        <f t="shared" si="64"/>
        <v>0</v>
      </c>
      <c r="S170" s="2">
        <f t="shared" si="64"/>
        <v>0</v>
      </c>
      <c r="T170" s="2">
        <f t="shared" si="64"/>
        <v>0</v>
      </c>
      <c r="U170" s="2">
        <f t="shared" si="64"/>
        <v>0</v>
      </c>
      <c r="V170" s="2">
        <f t="shared" si="64"/>
        <v>0</v>
      </c>
      <c r="W170" s="2">
        <f t="shared" si="64"/>
        <v>0</v>
      </c>
      <c r="X170" s="2">
        <f t="shared" si="64"/>
        <v>0</v>
      </c>
      <c r="Y170" s="2">
        <f t="shared" si="64"/>
        <v>0</v>
      </c>
      <c r="Z170" s="2">
        <f t="shared" si="64"/>
        <v>0</v>
      </c>
      <c r="AA170" s="2">
        <f t="shared" si="64"/>
        <v>0</v>
      </c>
    </row>
    <row r="171" spans="1:27" x14ac:dyDescent="0.25">
      <c r="C171" s="1"/>
      <c r="D171" s="1"/>
      <c r="E171" t="s">
        <v>79</v>
      </c>
      <c r="F171" t="s">
        <v>7</v>
      </c>
      <c r="H171" s="2">
        <f>H154*H165+H161*H166+H162*H167+H163*H168</f>
        <v>0</v>
      </c>
      <c r="I171" s="2">
        <f t="shared" ref="I171:AA171" si="65">I154*I165+I161*I166+I162*I167+I163*I168</f>
        <v>0</v>
      </c>
      <c r="J171" s="2">
        <f t="shared" si="65"/>
        <v>0</v>
      </c>
      <c r="K171" s="2">
        <f t="shared" si="65"/>
        <v>0</v>
      </c>
      <c r="L171" s="2">
        <f t="shared" si="65"/>
        <v>0</v>
      </c>
      <c r="M171" s="2">
        <f t="shared" si="65"/>
        <v>0</v>
      </c>
      <c r="N171" s="2">
        <f t="shared" si="65"/>
        <v>0</v>
      </c>
      <c r="O171" s="2">
        <f t="shared" si="65"/>
        <v>0</v>
      </c>
      <c r="P171" s="2">
        <f t="shared" si="65"/>
        <v>0</v>
      </c>
      <c r="Q171" s="2">
        <f t="shared" si="65"/>
        <v>0</v>
      </c>
      <c r="R171" s="2">
        <f t="shared" si="65"/>
        <v>0</v>
      </c>
      <c r="S171" s="2">
        <f t="shared" si="65"/>
        <v>0</v>
      </c>
      <c r="T171" s="2">
        <f t="shared" si="65"/>
        <v>0</v>
      </c>
      <c r="U171" s="2">
        <f t="shared" si="65"/>
        <v>0</v>
      </c>
      <c r="V171" s="2">
        <f t="shared" si="65"/>
        <v>0</v>
      </c>
      <c r="W171" s="2">
        <f t="shared" si="65"/>
        <v>0</v>
      </c>
      <c r="X171" s="2">
        <f t="shared" si="65"/>
        <v>0</v>
      </c>
      <c r="Y171" s="2">
        <f t="shared" si="65"/>
        <v>0</v>
      </c>
      <c r="Z171" s="2">
        <f t="shared" si="65"/>
        <v>0</v>
      </c>
      <c r="AA171" s="2">
        <f t="shared" si="65"/>
        <v>0</v>
      </c>
    </row>
    <row r="172" spans="1:27" x14ac:dyDescent="0.25">
      <c r="C172" s="1"/>
      <c r="D172" s="1"/>
    </row>
    <row r="173" spans="1:27" x14ac:dyDescent="0.25">
      <c r="C173" s="1"/>
      <c r="D173" t="s">
        <v>80</v>
      </c>
    </row>
    <row r="174" spans="1:27" x14ac:dyDescent="0.25">
      <c r="C174" s="1"/>
      <c r="E174" t="s">
        <v>91</v>
      </c>
      <c r="F174" t="s">
        <v>3</v>
      </c>
      <c r="H174">
        <f t="shared" ref="H174:AA175" si="66">SUM(H93,H114,H135,H156)</f>
        <v>622</v>
      </c>
      <c r="I174">
        <f t="shared" si="66"/>
        <v>620</v>
      </c>
      <c r="J174">
        <f t="shared" si="66"/>
        <v>629.5</v>
      </c>
      <c r="K174">
        <f t="shared" si="66"/>
        <v>607</v>
      </c>
      <c r="L174">
        <f t="shared" si="66"/>
        <v>583.5</v>
      </c>
      <c r="M174">
        <f t="shared" si="66"/>
        <v>561</v>
      </c>
      <c r="N174">
        <f t="shared" si="66"/>
        <v>538.5</v>
      </c>
      <c r="O174">
        <f t="shared" si="66"/>
        <v>516.5</v>
      </c>
      <c r="P174">
        <f t="shared" si="66"/>
        <v>546.5</v>
      </c>
      <c r="Q174">
        <f t="shared" si="66"/>
        <v>578.5</v>
      </c>
      <c r="R174">
        <f t="shared" si="66"/>
        <v>612.5</v>
      </c>
      <c r="S174">
        <f t="shared" si="66"/>
        <v>649</v>
      </c>
      <c r="T174">
        <f t="shared" si="66"/>
        <v>687.5</v>
      </c>
      <c r="U174">
        <f t="shared" si="66"/>
        <v>683</v>
      </c>
      <c r="V174">
        <f t="shared" si="66"/>
        <v>678</v>
      </c>
      <c r="W174">
        <f t="shared" si="66"/>
        <v>0</v>
      </c>
      <c r="X174">
        <f t="shared" si="66"/>
        <v>0</v>
      </c>
      <c r="Y174">
        <f t="shared" si="66"/>
        <v>0</v>
      </c>
      <c r="Z174">
        <f t="shared" si="66"/>
        <v>0</v>
      </c>
      <c r="AA174">
        <f t="shared" si="66"/>
        <v>0</v>
      </c>
    </row>
    <row r="175" spans="1:27" x14ac:dyDescent="0.25">
      <c r="C175" s="1"/>
      <c r="D175" s="1"/>
      <c r="E175" t="s">
        <v>90</v>
      </c>
      <c r="F175" t="s">
        <v>3</v>
      </c>
      <c r="H175">
        <f t="shared" si="66"/>
        <v>622</v>
      </c>
      <c r="I175">
        <f t="shared" si="66"/>
        <v>1242</v>
      </c>
      <c r="J175">
        <f t="shared" si="66"/>
        <v>1871.5</v>
      </c>
      <c r="K175">
        <f t="shared" si="66"/>
        <v>2478.5</v>
      </c>
      <c r="L175">
        <f t="shared" si="66"/>
        <v>3062</v>
      </c>
      <c r="M175">
        <f t="shared" si="66"/>
        <v>3623</v>
      </c>
      <c r="N175">
        <f t="shared" si="66"/>
        <v>4161.5</v>
      </c>
      <c r="O175">
        <f t="shared" si="66"/>
        <v>4678</v>
      </c>
      <c r="P175">
        <f t="shared" si="66"/>
        <v>5224.5</v>
      </c>
      <c r="Q175">
        <f t="shared" si="66"/>
        <v>5803</v>
      </c>
      <c r="R175">
        <f t="shared" si="66"/>
        <v>6415.5</v>
      </c>
      <c r="S175">
        <f t="shared" si="66"/>
        <v>7064.5</v>
      </c>
      <c r="T175">
        <f t="shared" si="66"/>
        <v>7752</v>
      </c>
      <c r="U175">
        <f t="shared" si="66"/>
        <v>8435</v>
      </c>
      <c r="V175">
        <f t="shared" si="66"/>
        <v>9113</v>
      </c>
      <c r="W175">
        <f t="shared" si="66"/>
        <v>9113</v>
      </c>
      <c r="X175">
        <f t="shared" si="66"/>
        <v>9113</v>
      </c>
      <c r="Y175">
        <f t="shared" si="66"/>
        <v>9113</v>
      </c>
      <c r="Z175">
        <f t="shared" si="66"/>
        <v>9113</v>
      </c>
      <c r="AA175">
        <f t="shared" si="66"/>
        <v>9113</v>
      </c>
    </row>
    <row r="176" spans="1:27" x14ac:dyDescent="0.25">
      <c r="C176" s="1"/>
      <c r="D176" s="1"/>
      <c r="E176" t="s">
        <v>81</v>
      </c>
      <c r="F176" t="s">
        <v>58</v>
      </c>
      <c r="H176" s="2">
        <f t="shared" ref="H176:AA177" si="67">SUM(H107,H128,H149,H170)</f>
        <v>24.88</v>
      </c>
      <c r="I176" s="2">
        <f t="shared" si="67"/>
        <v>49.68</v>
      </c>
      <c r="J176" s="2">
        <f t="shared" si="67"/>
        <v>74.86</v>
      </c>
      <c r="K176" s="2">
        <f t="shared" si="67"/>
        <v>99.14</v>
      </c>
      <c r="L176" s="2">
        <f t="shared" si="67"/>
        <v>122.48</v>
      </c>
      <c r="M176" s="2">
        <f t="shared" si="67"/>
        <v>144.91999999999999</v>
      </c>
      <c r="N176" s="2">
        <f t="shared" si="67"/>
        <v>166.46</v>
      </c>
      <c r="O176" s="2">
        <f t="shared" si="67"/>
        <v>187.12</v>
      </c>
      <c r="P176" s="2">
        <f t="shared" si="67"/>
        <v>208.98</v>
      </c>
      <c r="Q176" s="2">
        <f t="shared" si="67"/>
        <v>232.12</v>
      </c>
      <c r="R176" s="2">
        <f t="shared" si="67"/>
        <v>256.62</v>
      </c>
      <c r="S176" s="2">
        <f t="shared" si="67"/>
        <v>282.58</v>
      </c>
      <c r="T176" s="2">
        <f t="shared" si="67"/>
        <v>310.08</v>
      </c>
      <c r="U176" s="2">
        <f t="shared" si="67"/>
        <v>337.4</v>
      </c>
      <c r="V176" s="2">
        <f t="shared" si="67"/>
        <v>364.52</v>
      </c>
      <c r="W176" s="2">
        <f t="shared" si="67"/>
        <v>364.52</v>
      </c>
      <c r="X176" s="2">
        <f t="shared" si="67"/>
        <v>364.52</v>
      </c>
      <c r="Y176" s="2">
        <f t="shared" si="67"/>
        <v>364.52</v>
      </c>
      <c r="Z176" s="2">
        <f t="shared" si="67"/>
        <v>364.52</v>
      </c>
      <c r="AA176" s="2">
        <f t="shared" si="67"/>
        <v>364.52</v>
      </c>
    </row>
    <row r="177" spans="1:27" x14ac:dyDescent="0.25">
      <c r="C177" s="1"/>
      <c r="D177" s="1"/>
      <c r="E177" t="s">
        <v>82</v>
      </c>
      <c r="F177" t="s">
        <v>7</v>
      </c>
      <c r="H177" s="2">
        <f t="shared" si="67"/>
        <v>42306.065796776937</v>
      </c>
      <c r="I177" s="2">
        <f t="shared" si="67"/>
        <v>83886.844645095291</v>
      </c>
      <c r="J177" s="2">
        <f t="shared" si="67"/>
        <v>129058.8635894646</v>
      </c>
      <c r="K177" s="2">
        <f t="shared" si="67"/>
        <v>174506.92688646764</v>
      </c>
      <c r="L177" s="2">
        <f t="shared" si="67"/>
        <v>220117.55276942407</v>
      </c>
      <c r="M177" s="2">
        <f t="shared" si="67"/>
        <v>265915.4465875178</v>
      </c>
      <c r="N177" s="2">
        <f t="shared" si="67"/>
        <v>311853.67947126919</v>
      </c>
      <c r="O177" s="2">
        <f t="shared" si="67"/>
        <v>357920.79642688832</v>
      </c>
      <c r="P177" s="2">
        <f t="shared" si="67"/>
        <v>408128.75206324406</v>
      </c>
      <c r="Q177" s="2">
        <f t="shared" si="67"/>
        <v>462839.8779473037</v>
      </c>
      <c r="R177" s="2">
        <f t="shared" si="67"/>
        <v>522437.63069917564</v>
      </c>
      <c r="S177" s="2">
        <f t="shared" si="67"/>
        <v>587369.12408353004</v>
      </c>
      <c r="T177" s="2">
        <f t="shared" si="67"/>
        <v>658065.60186047561</v>
      </c>
      <c r="U177" s="2">
        <f t="shared" si="67"/>
        <v>731082.27580994146</v>
      </c>
      <c r="V177" s="2">
        <f t="shared" si="67"/>
        <v>806432.9801807435</v>
      </c>
      <c r="W177" s="2">
        <f t="shared" si="67"/>
        <v>823368.07276453904</v>
      </c>
      <c r="X177" s="2">
        <f t="shared" si="67"/>
        <v>840658.80229259422</v>
      </c>
      <c r="Y177" s="2">
        <f t="shared" si="67"/>
        <v>858312.63714073854</v>
      </c>
      <c r="Z177" s="2">
        <f t="shared" si="67"/>
        <v>876337.202520694</v>
      </c>
      <c r="AA177" s="2">
        <f t="shared" si="67"/>
        <v>894740.28377362853</v>
      </c>
    </row>
    <row r="178" spans="1:27" x14ac:dyDescent="0.25">
      <c r="C178" s="1"/>
      <c r="D178" s="1"/>
    </row>
    <row r="179" spans="1:27" x14ac:dyDescent="0.25">
      <c r="C179" s="1"/>
      <c r="D179" s="1"/>
      <c r="E179" s="3" t="s">
        <v>84</v>
      </c>
      <c r="F179" s="3" t="s">
        <v>85</v>
      </c>
      <c r="G179" s="3"/>
      <c r="H179" s="9">
        <f>H176*1000/H175</f>
        <v>40</v>
      </c>
      <c r="I179" s="9">
        <f t="shared" ref="I179:AA179" si="68">I176*1000/I175</f>
        <v>40</v>
      </c>
      <c r="J179" s="9">
        <f t="shared" si="68"/>
        <v>40</v>
      </c>
      <c r="K179" s="9">
        <f t="shared" si="68"/>
        <v>40</v>
      </c>
      <c r="L179" s="9">
        <f t="shared" si="68"/>
        <v>40</v>
      </c>
      <c r="M179" s="9">
        <f t="shared" si="68"/>
        <v>40</v>
      </c>
      <c r="N179" s="9">
        <f t="shared" si="68"/>
        <v>40</v>
      </c>
      <c r="O179" s="9">
        <f t="shared" si="68"/>
        <v>40</v>
      </c>
      <c r="P179" s="9">
        <f t="shared" si="68"/>
        <v>40</v>
      </c>
      <c r="Q179" s="9">
        <f t="shared" si="68"/>
        <v>40</v>
      </c>
      <c r="R179" s="9">
        <f t="shared" si="68"/>
        <v>40</v>
      </c>
      <c r="S179" s="9">
        <f t="shared" si="68"/>
        <v>40</v>
      </c>
      <c r="T179" s="9">
        <f t="shared" si="68"/>
        <v>40</v>
      </c>
      <c r="U179" s="9">
        <f t="shared" si="68"/>
        <v>40</v>
      </c>
      <c r="V179" s="9">
        <f t="shared" si="68"/>
        <v>40</v>
      </c>
      <c r="W179" s="9">
        <f t="shared" si="68"/>
        <v>40</v>
      </c>
      <c r="X179" s="9">
        <f t="shared" si="68"/>
        <v>40</v>
      </c>
      <c r="Y179" s="9">
        <f t="shared" si="68"/>
        <v>40</v>
      </c>
      <c r="Z179" s="9">
        <f t="shared" si="68"/>
        <v>40</v>
      </c>
      <c r="AA179" s="9">
        <f t="shared" si="68"/>
        <v>40</v>
      </c>
    </row>
    <row r="180" spans="1:27" x14ac:dyDescent="0.25">
      <c r="C180" s="1"/>
      <c r="D180" s="1"/>
      <c r="E180" s="3" t="s">
        <v>83</v>
      </c>
      <c r="F180" s="3" t="s">
        <v>22</v>
      </c>
      <c r="G180" s="3"/>
      <c r="H180" s="9">
        <f>H177/H175</f>
        <v>68.016182953017577</v>
      </c>
      <c r="I180" s="9">
        <f t="shared" ref="I180:AA180" si="69">I177/I175</f>
        <v>67.541742870447095</v>
      </c>
      <c r="J180" s="9">
        <f t="shared" si="69"/>
        <v>68.960119470726482</v>
      </c>
      <c r="K180" s="9">
        <f t="shared" si="69"/>
        <v>70.408281979611715</v>
      </c>
      <c r="L180" s="9">
        <f t="shared" si="69"/>
        <v>71.886855901183566</v>
      </c>
      <c r="M180" s="9">
        <f t="shared" si="69"/>
        <v>73.396479875108412</v>
      </c>
      <c r="N180" s="9">
        <f t="shared" si="69"/>
        <v>74.937805952485689</v>
      </c>
      <c r="O180" s="9">
        <f t="shared" si="69"/>
        <v>76.511499877487879</v>
      </c>
      <c r="P180" s="9">
        <f t="shared" si="69"/>
        <v>78.118241374915129</v>
      </c>
      <c r="Q180" s="9">
        <f t="shared" si="69"/>
        <v>79.758724443788338</v>
      </c>
      <c r="R180" s="9">
        <f t="shared" si="69"/>
        <v>81.433657657107887</v>
      </c>
      <c r="S180" s="9">
        <f t="shared" si="69"/>
        <v>83.143764467907147</v>
      </c>
      <c r="T180" s="9">
        <f t="shared" si="69"/>
        <v>84.889783521733179</v>
      </c>
      <c r="U180" s="9">
        <f t="shared" si="69"/>
        <v>86.672468975689569</v>
      </c>
      <c r="V180" s="9">
        <f t="shared" si="69"/>
        <v>88.492590824179032</v>
      </c>
      <c r="W180" s="9">
        <f t="shared" si="69"/>
        <v>90.350935231486787</v>
      </c>
      <c r="X180" s="9">
        <f t="shared" si="69"/>
        <v>92.248304871347983</v>
      </c>
      <c r="Y180" s="9">
        <f t="shared" si="69"/>
        <v>94.185519273646278</v>
      </c>
      <c r="Z180" s="9">
        <f t="shared" si="69"/>
        <v>96.163415178392839</v>
      </c>
      <c r="AA180" s="9">
        <f t="shared" si="69"/>
        <v>98.182846897139086</v>
      </c>
    </row>
    <row r="181" spans="1:27" x14ac:dyDescent="0.25">
      <c r="C181" s="1"/>
      <c r="D181" s="1"/>
      <c r="E181" s="3" t="s">
        <v>86</v>
      </c>
      <c r="F181" s="3" t="s">
        <v>4</v>
      </c>
      <c r="G181" s="3"/>
      <c r="H181" s="9">
        <f>H177/H176</f>
        <v>1700.4045738254397</v>
      </c>
      <c r="I181" s="9">
        <f t="shared" ref="I181:AA181" si="70">I177/I176</f>
        <v>1688.5435717611774</v>
      </c>
      <c r="J181" s="9">
        <f t="shared" si="70"/>
        <v>1724.0029867681619</v>
      </c>
      <c r="K181" s="9">
        <f t="shared" si="70"/>
        <v>1760.207049490293</v>
      </c>
      <c r="L181" s="9">
        <f t="shared" si="70"/>
        <v>1797.1713975295891</v>
      </c>
      <c r="M181" s="9">
        <f t="shared" si="70"/>
        <v>1834.9119968777106</v>
      </c>
      <c r="N181" s="9">
        <f t="shared" si="70"/>
        <v>1873.4451488121422</v>
      </c>
      <c r="O181" s="9">
        <f t="shared" si="70"/>
        <v>1912.7874969371971</v>
      </c>
      <c r="P181" s="9">
        <f t="shared" si="70"/>
        <v>1952.9560343728781</v>
      </c>
      <c r="Q181" s="9">
        <f t="shared" si="70"/>
        <v>1993.9681110947083</v>
      </c>
      <c r="R181" s="9">
        <f t="shared" si="70"/>
        <v>2035.8414414276972</v>
      </c>
      <c r="S181" s="9">
        <f t="shared" si="70"/>
        <v>2078.5941116976787</v>
      </c>
      <c r="T181" s="9">
        <f t="shared" si="70"/>
        <v>2122.2445880433297</v>
      </c>
      <c r="U181" s="9">
        <f t="shared" si="70"/>
        <v>2166.8117243922393</v>
      </c>
      <c r="V181" s="9">
        <f t="shared" si="70"/>
        <v>2212.3147706044761</v>
      </c>
      <c r="W181" s="9">
        <f t="shared" si="70"/>
        <v>2258.7733807871696</v>
      </c>
      <c r="X181" s="9">
        <f t="shared" si="70"/>
        <v>2306.2076217836998</v>
      </c>
      <c r="Y181" s="9">
        <f t="shared" si="70"/>
        <v>2354.6379818411569</v>
      </c>
      <c r="Z181" s="9">
        <f t="shared" si="70"/>
        <v>2404.0853794598211</v>
      </c>
      <c r="AA181" s="9">
        <f t="shared" si="70"/>
        <v>2454.5711724284774</v>
      </c>
    </row>
    <row r="182" spans="1:27" x14ac:dyDescent="0.25">
      <c r="C182" s="1"/>
      <c r="D182" s="1"/>
    </row>
    <row r="183" spans="1:27" x14ac:dyDescent="0.25">
      <c r="C183" s="1" t="str">
        <f>"Incremental "&amp;VLOOKUP(G4,E320:F322,2,FALSE)&amp;" Charges"</f>
        <v>Incremental Bulk Recycled Water Processing Charges</v>
      </c>
      <c r="H183" s="2"/>
      <c r="I183" s="2"/>
      <c r="J183" s="2"/>
      <c r="K183" s="2"/>
      <c r="L183" s="2"/>
      <c r="M183" s="2"/>
      <c r="N183" s="2"/>
      <c r="O183" s="2"/>
      <c r="P183" s="2"/>
      <c r="Q183" s="2"/>
      <c r="R183" s="2"/>
      <c r="S183" s="2"/>
      <c r="T183" s="2"/>
      <c r="U183" s="2"/>
      <c r="V183" s="2"/>
      <c r="W183" s="2"/>
      <c r="X183" s="2"/>
      <c r="Y183" s="2"/>
      <c r="Z183" s="2"/>
      <c r="AA183" s="2"/>
    </row>
    <row r="184" spans="1:27" x14ac:dyDescent="0.25">
      <c r="A184" s="14">
        <f>'Notes &amp; Assumptions'!A50</f>
        <v>37</v>
      </c>
      <c r="E184" t="s">
        <v>118</v>
      </c>
      <c r="F184" t="s">
        <v>8</v>
      </c>
      <c r="H184" s="11"/>
      <c r="I184" s="11"/>
      <c r="J184" s="11"/>
      <c r="K184" s="11"/>
      <c r="L184" s="11"/>
      <c r="M184" s="11"/>
      <c r="N184" s="11"/>
      <c r="O184" s="11"/>
      <c r="P184" s="11"/>
      <c r="Q184" s="11"/>
      <c r="R184" s="11"/>
      <c r="S184" s="11"/>
      <c r="T184" s="11"/>
      <c r="U184" s="11"/>
      <c r="V184" s="11"/>
      <c r="W184" s="11"/>
      <c r="X184" s="11"/>
      <c r="Y184" s="11"/>
      <c r="Z184" s="11"/>
      <c r="AA184" s="11"/>
    </row>
    <row r="185" spans="1:27" x14ac:dyDescent="0.25">
      <c r="A185" s="14">
        <f>'Notes &amp; Assumptions'!A51</f>
        <v>38</v>
      </c>
      <c r="E185" t="s">
        <v>122</v>
      </c>
      <c r="F185" t="s">
        <v>4</v>
      </c>
      <c r="G185" s="10"/>
      <c r="H185" s="2">
        <f t="shared" ref="H185:AA185" si="71">G185*(1+$G$14)*(1+H184)</f>
        <v>0</v>
      </c>
      <c r="I185" s="2">
        <f t="shared" si="71"/>
        <v>0</v>
      </c>
      <c r="J185" s="2">
        <f t="shared" si="71"/>
        <v>0</v>
      </c>
      <c r="K185" s="2">
        <f t="shared" si="71"/>
        <v>0</v>
      </c>
      <c r="L185" s="2">
        <f t="shared" si="71"/>
        <v>0</v>
      </c>
      <c r="M185" s="2">
        <f t="shared" si="71"/>
        <v>0</v>
      </c>
      <c r="N185" s="2">
        <f t="shared" si="71"/>
        <v>0</v>
      </c>
      <c r="O185" s="2">
        <f t="shared" si="71"/>
        <v>0</v>
      </c>
      <c r="P185" s="2">
        <f t="shared" si="71"/>
        <v>0</v>
      </c>
      <c r="Q185" s="2">
        <f t="shared" si="71"/>
        <v>0</v>
      </c>
      <c r="R185" s="2">
        <f t="shared" si="71"/>
        <v>0</v>
      </c>
      <c r="S185" s="2">
        <f t="shared" si="71"/>
        <v>0</v>
      </c>
      <c r="T185" s="2">
        <f t="shared" si="71"/>
        <v>0</v>
      </c>
      <c r="U185" s="2">
        <f t="shared" si="71"/>
        <v>0</v>
      </c>
      <c r="V185" s="2">
        <f t="shared" si="71"/>
        <v>0</v>
      </c>
      <c r="W185" s="2">
        <f t="shared" si="71"/>
        <v>0</v>
      </c>
      <c r="X185" s="2">
        <f t="shared" si="71"/>
        <v>0</v>
      </c>
      <c r="Y185" s="2">
        <f t="shared" si="71"/>
        <v>0</v>
      </c>
      <c r="Z185" s="2">
        <f t="shared" si="71"/>
        <v>0</v>
      </c>
      <c r="AA185" s="2">
        <f t="shared" si="71"/>
        <v>0</v>
      </c>
    </row>
    <row r="186" spans="1:27" x14ac:dyDescent="0.25">
      <c r="A186" s="14">
        <f>'Notes &amp; Assumptions'!A52</f>
        <v>39</v>
      </c>
      <c r="E186" t="s">
        <v>123</v>
      </c>
      <c r="F186" t="s">
        <v>7</v>
      </c>
      <c r="G186" s="2"/>
      <c r="H186" s="10"/>
      <c r="I186" s="10"/>
      <c r="J186" s="10"/>
      <c r="K186" s="10"/>
      <c r="L186" s="10"/>
      <c r="M186" s="10"/>
      <c r="N186" s="10"/>
      <c r="O186" s="10"/>
      <c r="P186" s="10"/>
      <c r="Q186" s="10"/>
      <c r="R186" s="10"/>
      <c r="S186" s="10"/>
      <c r="T186" s="10"/>
      <c r="U186" s="10"/>
      <c r="V186" s="10"/>
      <c r="W186" s="10"/>
      <c r="X186" s="10"/>
      <c r="Y186" s="10"/>
      <c r="Z186" s="10"/>
      <c r="AA186" s="10"/>
    </row>
    <row r="187" spans="1:27" x14ac:dyDescent="0.25">
      <c r="E187" t="s">
        <v>57</v>
      </c>
      <c r="F187" t="s">
        <v>7</v>
      </c>
      <c r="H187" s="2">
        <f>H185*H176+H186</f>
        <v>0</v>
      </c>
      <c r="I187" s="2">
        <f t="shared" ref="I187:AA187" si="72">I185*I176+I186</f>
        <v>0</v>
      </c>
      <c r="J187" s="2">
        <f t="shared" si="72"/>
        <v>0</v>
      </c>
      <c r="K187" s="2">
        <f t="shared" si="72"/>
        <v>0</v>
      </c>
      <c r="L187" s="2">
        <f t="shared" si="72"/>
        <v>0</v>
      </c>
      <c r="M187" s="2">
        <f t="shared" si="72"/>
        <v>0</v>
      </c>
      <c r="N187" s="2">
        <f t="shared" si="72"/>
        <v>0</v>
      </c>
      <c r="O187" s="2">
        <f t="shared" si="72"/>
        <v>0</v>
      </c>
      <c r="P187" s="2">
        <f t="shared" si="72"/>
        <v>0</v>
      </c>
      <c r="Q187" s="2">
        <f t="shared" si="72"/>
        <v>0</v>
      </c>
      <c r="R187" s="2">
        <f t="shared" si="72"/>
        <v>0</v>
      </c>
      <c r="S187" s="2">
        <f t="shared" si="72"/>
        <v>0</v>
      </c>
      <c r="T187" s="2">
        <f t="shared" si="72"/>
        <v>0</v>
      </c>
      <c r="U187" s="2">
        <f t="shared" si="72"/>
        <v>0</v>
      </c>
      <c r="V187" s="2">
        <f t="shared" si="72"/>
        <v>0</v>
      </c>
      <c r="W187" s="2">
        <f t="shared" si="72"/>
        <v>0</v>
      </c>
      <c r="X187" s="2">
        <f t="shared" si="72"/>
        <v>0</v>
      </c>
      <c r="Y187" s="2">
        <f t="shared" si="72"/>
        <v>0</v>
      </c>
      <c r="Z187" s="2">
        <f t="shared" si="72"/>
        <v>0</v>
      </c>
      <c r="AA187" s="2">
        <f t="shared" si="72"/>
        <v>0</v>
      </c>
    </row>
    <row r="188" spans="1:27" x14ac:dyDescent="0.25">
      <c r="H188" s="2"/>
      <c r="I188" s="2"/>
      <c r="J188" s="2"/>
      <c r="K188" s="2"/>
      <c r="L188" s="2"/>
      <c r="M188" s="2"/>
      <c r="N188" s="2"/>
      <c r="O188" s="2"/>
      <c r="P188" s="2"/>
      <c r="Q188" s="2"/>
      <c r="R188" s="2"/>
      <c r="S188" s="2"/>
      <c r="T188" s="2"/>
      <c r="U188" s="2"/>
      <c r="V188" s="2"/>
      <c r="W188" s="2"/>
      <c r="X188" s="2"/>
      <c r="Y188" s="2"/>
      <c r="Z188" s="2"/>
      <c r="AA188" s="2"/>
    </row>
    <row r="189" spans="1:27" x14ac:dyDescent="0.25">
      <c r="C189" s="1" t="s">
        <v>10</v>
      </c>
      <c r="G189" s="2"/>
    </row>
    <row r="190" spans="1:27" x14ac:dyDescent="0.25">
      <c r="C190" s="1"/>
      <c r="D190" t="s">
        <v>149</v>
      </c>
      <c r="G190" s="2"/>
    </row>
    <row r="191" spans="1:27" x14ac:dyDescent="0.25">
      <c r="A191" s="14">
        <f>'Notes &amp; Assumptions'!A53</f>
        <v>40</v>
      </c>
      <c r="C191" s="1"/>
      <c r="E191" t="s">
        <v>125</v>
      </c>
      <c r="G191" s="2"/>
      <c r="H191" s="11"/>
      <c r="I191" s="11"/>
      <c r="J191" s="11"/>
      <c r="K191" s="11"/>
      <c r="L191" s="11"/>
      <c r="M191" s="11"/>
      <c r="N191" s="11"/>
      <c r="O191" s="11"/>
      <c r="P191" s="11"/>
      <c r="Q191" s="11"/>
      <c r="R191" s="11"/>
      <c r="S191" s="11"/>
      <c r="T191" s="11"/>
      <c r="U191" s="11"/>
      <c r="V191" s="11"/>
      <c r="W191" s="11"/>
      <c r="X191" s="11"/>
      <c r="Y191" s="11"/>
      <c r="Z191" s="11"/>
      <c r="AA191" s="11"/>
    </row>
    <row r="192" spans="1:27" x14ac:dyDescent="0.25">
      <c r="A192" s="14">
        <f>'Notes &amp; Assumptions'!A54</f>
        <v>41</v>
      </c>
      <c r="E192" t="s">
        <v>26</v>
      </c>
      <c r="F192" t="s">
        <v>22</v>
      </c>
      <c r="G192" s="10">
        <f>'Key assumptions'!B14</f>
        <v>120</v>
      </c>
      <c r="H192" s="2">
        <f t="shared" ref="H192:W193" si="73">G192*(1+$G$14)*(1+H$191)</f>
        <v>122.51999999999998</v>
      </c>
      <c r="I192" s="2">
        <f t="shared" si="73"/>
        <v>125.09291999999996</v>
      </c>
      <c r="J192" s="2">
        <f t="shared" si="73"/>
        <v>127.71987131999995</v>
      </c>
      <c r="K192" s="2">
        <f t="shared" si="73"/>
        <v>130.40198861771995</v>
      </c>
      <c r="L192" s="2">
        <f t="shared" si="73"/>
        <v>133.14043037869206</v>
      </c>
      <c r="M192" s="2">
        <f t="shared" si="73"/>
        <v>135.93637941664457</v>
      </c>
      <c r="N192" s="2">
        <f t="shared" si="73"/>
        <v>138.7910433843941</v>
      </c>
      <c r="O192" s="2">
        <f t="shared" si="73"/>
        <v>141.70565529546636</v>
      </c>
      <c r="P192" s="2">
        <f t="shared" si="73"/>
        <v>144.68147405667114</v>
      </c>
      <c r="Q192" s="2">
        <f t="shared" si="73"/>
        <v>147.71978501186121</v>
      </c>
      <c r="R192" s="2">
        <f t="shared" si="73"/>
        <v>150.82190049711028</v>
      </c>
      <c r="S192" s="2">
        <f t="shared" si="73"/>
        <v>153.98916040754958</v>
      </c>
      <c r="T192" s="2">
        <f t="shared" si="73"/>
        <v>157.22293277610811</v>
      </c>
      <c r="U192" s="2">
        <f t="shared" si="73"/>
        <v>160.52461436440637</v>
      </c>
      <c r="V192" s="2">
        <f t="shared" si="73"/>
        <v>163.8956312660589</v>
      </c>
      <c r="W192" s="2">
        <f t="shared" si="73"/>
        <v>167.33743952264612</v>
      </c>
      <c r="X192" s="2">
        <f t="shared" ref="X192:AA193" si="74">W192*(1+$G$14)*(1+X$191)</f>
        <v>170.85152575262168</v>
      </c>
      <c r="Y192" s="2">
        <f t="shared" si="74"/>
        <v>174.43940779342671</v>
      </c>
      <c r="Z192" s="2">
        <f t="shared" si="74"/>
        <v>178.10263535708864</v>
      </c>
      <c r="AA192" s="2">
        <f t="shared" si="74"/>
        <v>181.84279069958748</v>
      </c>
    </row>
    <row r="193" spans="1:29" x14ac:dyDescent="0.25">
      <c r="A193" s="14">
        <f>'Notes &amp; Assumptions'!A55</f>
        <v>42</v>
      </c>
      <c r="E193" t="s">
        <v>27</v>
      </c>
      <c r="F193" t="s">
        <v>4</v>
      </c>
      <c r="G193" s="10">
        <f>'Key assumptions'!B17</f>
        <v>0</v>
      </c>
      <c r="H193" s="2">
        <f t="shared" si="73"/>
        <v>0</v>
      </c>
      <c r="I193" s="2">
        <f t="shared" si="73"/>
        <v>0</v>
      </c>
      <c r="J193" s="2">
        <f t="shared" si="73"/>
        <v>0</v>
      </c>
      <c r="K193" s="2">
        <f t="shared" si="73"/>
        <v>0</v>
      </c>
      <c r="L193" s="2">
        <f t="shared" si="73"/>
        <v>0</v>
      </c>
      <c r="M193" s="2">
        <f t="shared" si="73"/>
        <v>0</v>
      </c>
      <c r="N193" s="2">
        <f t="shared" si="73"/>
        <v>0</v>
      </c>
      <c r="O193" s="2">
        <f t="shared" si="73"/>
        <v>0</v>
      </c>
      <c r="P193" s="2">
        <f t="shared" si="73"/>
        <v>0</v>
      </c>
      <c r="Q193" s="2">
        <f t="shared" si="73"/>
        <v>0</v>
      </c>
      <c r="R193" s="2">
        <f t="shared" si="73"/>
        <v>0</v>
      </c>
      <c r="S193" s="2">
        <f t="shared" si="73"/>
        <v>0</v>
      </c>
      <c r="T193" s="2">
        <f t="shared" si="73"/>
        <v>0</v>
      </c>
      <c r="U193" s="2">
        <f t="shared" si="73"/>
        <v>0</v>
      </c>
      <c r="V193" s="2">
        <f t="shared" si="73"/>
        <v>0</v>
      </c>
      <c r="W193" s="2">
        <f t="shared" si="73"/>
        <v>0</v>
      </c>
      <c r="X193" s="2">
        <f t="shared" si="74"/>
        <v>0</v>
      </c>
      <c r="Y193" s="2">
        <f t="shared" si="74"/>
        <v>0</v>
      </c>
      <c r="Z193" s="2">
        <f t="shared" si="74"/>
        <v>0</v>
      </c>
      <c r="AA193" s="2">
        <f t="shared" si="74"/>
        <v>0</v>
      </c>
    </row>
    <row r="194" spans="1:29" x14ac:dyDescent="0.25">
      <c r="A194" s="14">
        <f>'Notes &amp; Assumptions'!A56</f>
        <v>43</v>
      </c>
      <c r="E194" t="s">
        <v>39</v>
      </c>
      <c r="F194" t="s">
        <v>7</v>
      </c>
      <c r="G194" s="2"/>
      <c r="H194" s="10"/>
      <c r="I194" s="10"/>
      <c r="J194" s="10"/>
      <c r="K194" s="10"/>
      <c r="L194" s="10"/>
      <c r="M194" s="10"/>
      <c r="N194" s="10"/>
      <c r="O194" s="10"/>
      <c r="P194" s="10"/>
      <c r="Q194" s="10"/>
      <c r="R194" s="10"/>
      <c r="S194" s="10"/>
      <c r="T194" s="10"/>
      <c r="U194" s="10"/>
      <c r="V194" s="10"/>
      <c r="W194" s="10"/>
      <c r="X194" s="10"/>
      <c r="Y194" s="10"/>
      <c r="Z194" s="10"/>
      <c r="AA194" s="10"/>
    </row>
    <row r="195" spans="1:29" x14ac:dyDescent="0.25">
      <c r="B195" s="14"/>
      <c r="C195" s="14"/>
      <c r="D195" s="14"/>
      <c r="E195" s="14"/>
      <c r="F195" s="14"/>
      <c r="G195" s="14"/>
      <c r="H195" s="14"/>
      <c r="I195" s="14"/>
      <c r="J195" s="14"/>
      <c r="K195" s="14"/>
      <c r="L195" s="14"/>
      <c r="M195" s="14"/>
      <c r="N195" s="14"/>
      <c r="O195" s="14"/>
      <c r="P195" s="14"/>
      <c r="Q195" s="14"/>
      <c r="R195" s="14"/>
      <c r="S195" s="14"/>
      <c r="T195" s="14"/>
      <c r="U195" s="14"/>
      <c r="V195" s="14"/>
      <c r="W195" s="14"/>
      <c r="X195" s="14"/>
      <c r="Y195" s="14"/>
      <c r="Z195" s="14"/>
      <c r="AA195" s="14"/>
      <c r="AB195" s="14"/>
      <c r="AC195" s="14"/>
    </row>
    <row r="196" spans="1:29" x14ac:dyDescent="0.25">
      <c r="D196" t="s">
        <v>124</v>
      </c>
      <c r="G196" s="14"/>
      <c r="H196" s="14"/>
      <c r="I196" s="14"/>
      <c r="J196" s="14"/>
      <c r="K196" s="14"/>
      <c r="L196" s="14"/>
      <c r="M196" s="14"/>
      <c r="N196" s="14"/>
      <c r="O196" s="14"/>
      <c r="P196" s="14"/>
      <c r="Q196" s="14"/>
      <c r="R196" s="14"/>
      <c r="S196" s="14"/>
      <c r="T196" s="14"/>
      <c r="U196" s="14"/>
      <c r="V196" s="14"/>
      <c r="W196" s="14"/>
      <c r="X196" s="14"/>
      <c r="Y196" s="14"/>
      <c r="Z196" s="14"/>
      <c r="AA196" s="14"/>
    </row>
    <row r="197" spans="1:29" x14ac:dyDescent="0.25">
      <c r="A197" s="14">
        <f>'Notes &amp; Assumptions'!A57</f>
        <v>44</v>
      </c>
      <c r="E197" t="s">
        <v>27</v>
      </c>
      <c r="F197" t="s">
        <v>4</v>
      </c>
      <c r="G197" s="14"/>
      <c r="H197" s="10"/>
      <c r="I197" s="10"/>
      <c r="J197" s="10"/>
      <c r="K197" s="10"/>
      <c r="L197" s="10"/>
      <c r="M197" s="10"/>
      <c r="N197" s="10"/>
      <c r="O197" s="10"/>
      <c r="P197" s="10"/>
      <c r="Q197" s="10"/>
      <c r="R197" s="10"/>
      <c r="S197" s="10"/>
      <c r="T197" s="10"/>
      <c r="U197" s="10"/>
      <c r="V197" s="10"/>
      <c r="W197" s="10"/>
      <c r="X197" s="10"/>
      <c r="Y197" s="10"/>
      <c r="Z197" s="10"/>
      <c r="AA197" s="10"/>
    </row>
    <row r="198" spans="1:29" x14ac:dyDescent="0.25">
      <c r="A198" s="14">
        <f>'Notes &amp; Assumptions'!A58</f>
        <v>45</v>
      </c>
      <c r="E198" t="s">
        <v>39</v>
      </c>
      <c r="F198" t="s">
        <v>7</v>
      </c>
      <c r="G198" s="2"/>
      <c r="H198" s="10"/>
      <c r="I198" s="10"/>
      <c r="J198" s="10"/>
      <c r="K198" s="10"/>
      <c r="L198" s="10"/>
      <c r="M198" s="10"/>
      <c r="N198" s="10"/>
      <c r="O198" s="10"/>
      <c r="P198" s="10"/>
      <c r="Q198" s="10"/>
      <c r="R198" s="10"/>
      <c r="S198" s="10"/>
      <c r="T198" s="10"/>
      <c r="U198" s="10"/>
      <c r="V198" s="10"/>
      <c r="W198" s="10"/>
      <c r="X198" s="10"/>
      <c r="Y198" s="10"/>
      <c r="Z198" s="10"/>
      <c r="AA198" s="10"/>
    </row>
    <row r="199" spans="1:29" x14ac:dyDescent="0.25">
      <c r="G199" s="2"/>
    </row>
    <row r="200" spans="1:29" x14ac:dyDescent="0.25">
      <c r="E200" t="s">
        <v>10</v>
      </c>
      <c r="F200" t="s">
        <v>7</v>
      </c>
      <c r="G200" s="2"/>
      <c r="H200" s="2">
        <f>H192*H175+(H193+H197)*H176+H194+H198</f>
        <v>76207.439999999988</v>
      </c>
      <c r="I200" s="2">
        <f>I192*I175+(I193+I197)*I176+I194+I198</f>
        <v>155365.40663999994</v>
      </c>
      <c r="J200" s="2">
        <f t="shared" ref="J200:AA200" si="75">J192*J175+(J193+J197)*J176+J194+J198</f>
        <v>239027.73917537992</v>
      </c>
      <c r="K200" s="2">
        <f t="shared" si="75"/>
        <v>323201.32878901891</v>
      </c>
      <c r="L200" s="2">
        <f t="shared" si="75"/>
        <v>407675.99781955511</v>
      </c>
      <c r="M200" s="2">
        <f t="shared" si="75"/>
        <v>492497.50262650329</v>
      </c>
      <c r="N200" s="2">
        <f t="shared" si="75"/>
        <v>577578.92704415601</v>
      </c>
      <c r="O200" s="2">
        <f t="shared" si="75"/>
        <v>662899.05547219166</v>
      </c>
      <c r="P200" s="2">
        <f t="shared" si="75"/>
        <v>755888.36120907834</v>
      </c>
      <c r="Q200" s="2">
        <f t="shared" si="75"/>
        <v>857217.9124238306</v>
      </c>
      <c r="R200" s="2">
        <f t="shared" si="75"/>
        <v>967597.90263921104</v>
      </c>
      <c r="S200" s="2">
        <f t="shared" si="75"/>
        <v>1087856.423699134</v>
      </c>
      <c r="T200" s="2">
        <f t="shared" si="75"/>
        <v>1218792.1748803901</v>
      </c>
      <c r="U200" s="2">
        <f t="shared" si="75"/>
        <v>1354025.1221637677</v>
      </c>
      <c r="V200" s="2">
        <f t="shared" si="75"/>
        <v>1493580.8877275947</v>
      </c>
      <c r="W200" s="2">
        <f t="shared" si="75"/>
        <v>1524946.0863698742</v>
      </c>
      <c r="X200" s="2">
        <f t="shared" si="75"/>
        <v>1556969.9541836414</v>
      </c>
      <c r="Y200" s="2">
        <f t="shared" si="75"/>
        <v>1589666.3232214977</v>
      </c>
      <c r="Z200" s="2">
        <f t="shared" si="75"/>
        <v>1623049.3160091487</v>
      </c>
      <c r="AA200" s="2">
        <f t="shared" si="75"/>
        <v>1657133.3516453407</v>
      </c>
    </row>
    <row r="201" spans="1:29" x14ac:dyDescent="0.25">
      <c r="G201" s="2"/>
      <c r="H201" s="2"/>
      <c r="I201" s="2"/>
      <c r="J201" s="2"/>
      <c r="K201" s="2"/>
      <c r="L201" s="2"/>
      <c r="M201" s="2"/>
      <c r="N201" s="2"/>
      <c r="O201" s="2"/>
      <c r="P201" s="2"/>
      <c r="Q201" s="2"/>
      <c r="R201" s="2"/>
      <c r="S201" s="2"/>
      <c r="T201" s="2"/>
      <c r="U201" s="2"/>
      <c r="V201" s="2"/>
      <c r="W201" s="2"/>
      <c r="X201" s="2"/>
      <c r="Y201" s="2"/>
      <c r="Z201" s="2"/>
      <c r="AA201" s="2"/>
    </row>
    <row r="202" spans="1:29" x14ac:dyDescent="0.25">
      <c r="C202" s="1" t="s">
        <v>48</v>
      </c>
      <c r="G202" s="2"/>
      <c r="H202" s="2"/>
      <c r="I202" s="2"/>
      <c r="J202" s="2"/>
      <c r="K202" s="2"/>
      <c r="L202" s="2"/>
      <c r="M202" s="2"/>
      <c r="N202" s="2"/>
      <c r="O202" s="2"/>
      <c r="P202" s="2"/>
      <c r="Q202" s="2"/>
      <c r="R202" s="2"/>
      <c r="S202" s="2"/>
      <c r="T202" s="2"/>
      <c r="U202" s="2"/>
      <c r="V202" s="2"/>
      <c r="W202" s="2"/>
      <c r="X202" s="2"/>
      <c r="Y202" s="2"/>
      <c r="Z202" s="2"/>
      <c r="AA202" s="2"/>
    </row>
    <row r="203" spans="1:29" x14ac:dyDescent="0.25">
      <c r="A203" s="14">
        <f>'Notes &amp; Assumptions'!A59</f>
        <v>46</v>
      </c>
      <c r="E203" s="10" t="s">
        <v>44</v>
      </c>
      <c r="F203" t="s">
        <v>7</v>
      </c>
      <c r="G203" s="2"/>
      <c r="H203" s="10"/>
      <c r="I203" s="10"/>
      <c r="J203" s="10"/>
      <c r="K203" s="10"/>
      <c r="L203" s="10"/>
      <c r="M203" s="10"/>
      <c r="N203" s="10"/>
      <c r="O203" s="10"/>
      <c r="P203" s="10"/>
      <c r="Q203" s="10"/>
      <c r="R203" s="10"/>
      <c r="S203" s="10"/>
      <c r="T203" s="10"/>
      <c r="U203" s="10"/>
      <c r="V203" s="10"/>
      <c r="W203" s="10"/>
      <c r="X203" s="10"/>
      <c r="Y203" s="10"/>
      <c r="Z203" s="10"/>
      <c r="AA203" s="10"/>
    </row>
    <row r="204" spans="1:29" x14ac:dyDescent="0.25">
      <c r="A204" s="14">
        <f>'Notes &amp; Assumptions'!A60</f>
        <v>47</v>
      </c>
      <c r="E204" s="10" t="s">
        <v>45</v>
      </c>
      <c r="F204" t="s">
        <v>7</v>
      </c>
      <c r="G204" s="2"/>
      <c r="H204" s="10"/>
      <c r="I204" s="10"/>
      <c r="J204" s="10"/>
      <c r="K204" s="10"/>
      <c r="L204" s="10"/>
      <c r="M204" s="10"/>
      <c r="N204" s="10"/>
      <c r="O204" s="10"/>
      <c r="P204" s="10"/>
      <c r="Q204" s="10"/>
      <c r="R204" s="10"/>
      <c r="S204" s="10"/>
      <c r="T204" s="10"/>
      <c r="U204" s="10"/>
      <c r="V204" s="10"/>
      <c r="W204" s="10"/>
      <c r="X204" s="10"/>
      <c r="Y204" s="10"/>
      <c r="Z204" s="10"/>
      <c r="AA204" s="10"/>
    </row>
    <row r="205" spans="1:29" x14ac:dyDescent="0.25">
      <c r="A205" s="14">
        <f>'Notes &amp; Assumptions'!A61</f>
        <v>48</v>
      </c>
      <c r="E205" s="10" t="s">
        <v>46</v>
      </c>
      <c r="F205" t="s">
        <v>7</v>
      </c>
      <c r="G205" s="2"/>
      <c r="H205" s="10"/>
      <c r="I205" s="10"/>
      <c r="J205" s="10"/>
      <c r="K205" s="10"/>
      <c r="L205" s="10"/>
      <c r="M205" s="10"/>
      <c r="N205" s="10"/>
      <c r="O205" s="10"/>
      <c r="P205" s="10"/>
      <c r="Q205" s="10"/>
      <c r="R205" s="10"/>
      <c r="S205" s="10"/>
      <c r="T205" s="10"/>
      <c r="U205" s="10"/>
      <c r="V205" s="10"/>
      <c r="W205" s="10"/>
      <c r="X205" s="10"/>
      <c r="Y205" s="10"/>
      <c r="Z205" s="10"/>
      <c r="AA205" s="10"/>
    </row>
    <row r="206" spans="1:29" x14ac:dyDescent="0.25">
      <c r="A206" s="14">
        <f>'Notes &amp; Assumptions'!A62</f>
        <v>49</v>
      </c>
      <c r="E206" s="10" t="s">
        <v>47</v>
      </c>
      <c r="F206" t="s">
        <v>7</v>
      </c>
      <c r="G206" s="2"/>
      <c r="H206" s="10"/>
      <c r="I206" s="10"/>
      <c r="J206" s="10"/>
      <c r="K206" s="10"/>
      <c r="L206" s="10"/>
      <c r="M206" s="10"/>
      <c r="N206" s="10"/>
      <c r="O206" s="10"/>
      <c r="P206" s="10"/>
      <c r="Q206" s="10"/>
      <c r="R206" s="10"/>
      <c r="S206" s="10"/>
      <c r="T206" s="10"/>
      <c r="U206" s="10"/>
      <c r="V206" s="10"/>
      <c r="W206" s="10"/>
      <c r="X206" s="10"/>
      <c r="Y206" s="10"/>
      <c r="Z206" s="10"/>
      <c r="AA206" s="10"/>
    </row>
    <row r="207" spans="1:29" x14ac:dyDescent="0.25">
      <c r="E207" t="s">
        <v>17</v>
      </c>
      <c r="G207" s="2"/>
      <c r="H207" s="2">
        <f>SUM(H203:H206)</f>
        <v>0</v>
      </c>
      <c r="I207" s="2">
        <f t="shared" ref="I207:AA207" si="76">SUM(I203:I206)</f>
        <v>0</v>
      </c>
      <c r="J207" s="2">
        <f t="shared" si="76"/>
        <v>0</v>
      </c>
      <c r="K207" s="2">
        <f t="shared" si="76"/>
        <v>0</v>
      </c>
      <c r="L207" s="2">
        <f t="shared" si="76"/>
        <v>0</v>
      </c>
      <c r="M207" s="2">
        <f t="shared" si="76"/>
        <v>0</v>
      </c>
      <c r="N207" s="2">
        <f t="shared" si="76"/>
        <v>0</v>
      </c>
      <c r="O207" s="2">
        <f t="shared" si="76"/>
        <v>0</v>
      </c>
      <c r="P207" s="2">
        <f t="shared" si="76"/>
        <v>0</v>
      </c>
      <c r="Q207" s="2">
        <f t="shared" si="76"/>
        <v>0</v>
      </c>
      <c r="R207" s="2">
        <f t="shared" si="76"/>
        <v>0</v>
      </c>
      <c r="S207" s="2">
        <f t="shared" si="76"/>
        <v>0</v>
      </c>
      <c r="T207" s="2">
        <f t="shared" si="76"/>
        <v>0</v>
      </c>
      <c r="U207" s="2">
        <f t="shared" si="76"/>
        <v>0</v>
      </c>
      <c r="V207" s="2">
        <f t="shared" si="76"/>
        <v>0</v>
      </c>
      <c r="W207" s="2">
        <f t="shared" si="76"/>
        <v>0</v>
      </c>
      <c r="X207" s="2">
        <f t="shared" si="76"/>
        <v>0</v>
      </c>
      <c r="Y207" s="2">
        <f t="shared" si="76"/>
        <v>0</v>
      </c>
      <c r="Z207" s="2">
        <f t="shared" si="76"/>
        <v>0</v>
      </c>
      <c r="AA207" s="2">
        <f t="shared" si="76"/>
        <v>0</v>
      </c>
    </row>
    <row r="208" spans="1:29" x14ac:dyDescent="0.25">
      <c r="G208" s="2"/>
      <c r="H208" s="2"/>
      <c r="I208" s="2"/>
      <c r="J208" s="2"/>
      <c r="K208" s="2"/>
      <c r="L208" s="2"/>
      <c r="M208" s="2"/>
      <c r="N208" s="2"/>
      <c r="O208" s="2"/>
      <c r="P208" s="2"/>
      <c r="Q208" s="2"/>
      <c r="R208" s="2"/>
      <c r="S208" s="2"/>
      <c r="T208" s="2"/>
      <c r="U208" s="2"/>
      <c r="V208" s="2"/>
      <c r="W208" s="2"/>
      <c r="X208" s="2"/>
      <c r="Y208" s="2"/>
      <c r="Z208" s="2"/>
      <c r="AA208" s="2"/>
    </row>
    <row r="209" spans="1:27" x14ac:dyDescent="0.25">
      <c r="C209" s="1" t="s">
        <v>49</v>
      </c>
      <c r="G209" s="2"/>
      <c r="H209" s="2"/>
      <c r="I209" s="2"/>
      <c r="J209" s="2"/>
      <c r="K209" s="2"/>
      <c r="L209" s="2"/>
      <c r="M209" s="2"/>
      <c r="N209" s="2"/>
      <c r="O209" s="2"/>
      <c r="P209" s="2"/>
      <c r="Q209" s="2"/>
      <c r="R209" s="2"/>
      <c r="S209" s="2"/>
      <c r="T209" s="2"/>
      <c r="U209" s="2"/>
      <c r="V209" s="2"/>
      <c r="W209" s="2"/>
      <c r="X209" s="2"/>
      <c r="Y209" s="2"/>
      <c r="Z209" s="2"/>
      <c r="AA209" s="2"/>
    </row>
    <row r="210" spans="1:27" x14ac:dyDescent="0.25">
      <c r="A210" s="14">
        <f>'Notes &amp; Assumptions'!A63</f>
        <v>50</v>
      </c>
      <c r="E210" s="10" t="s">
        <v>240</v>
      </c>
      <c r="F210" t="s">
        <v>7</v>
      </c>
      <c r="G210" s="2"/>
      <c r="H210" s="10"/>
      <c r="I210" s="10"/>
      <c r="J210" s="10"/>
      <c r="K210" s="10"/>
      <c r="L210" s="10"/>
      <c r="M210" s="10"/>
      <c r="N210" s="10"/>
      <c r="O210" s="10"/>
      <c r="P210" s="10"/>
      <c r="Q210" s="10"/>
      <c r="R210" s="10"/>
      <c r="S210" s="10"/>
      <c r="T210" s="10"/>
      <c r="U210" s="10"/>
      <c r="V210" s="10"/>
      <c r="W210" s="10"/>
      <c r="X210" s="10"/>
      <c r="Y210" s="10"/>
      <c r="Z210" s="10"/>
      <c r="AA210" s="10"/>
    </row>
    <row r="211" spans="1:27" x14ac:dyDescent="0.25">
      <c r="A211" s="14">
        <f>'Notes &amp; Assumptions'!A64</f>
        <v>51</v>
      </c>
      <c r="E211" s="10" t="s">
        <v>50</v>
      </c>
      <c r="F211" t="s">
        <v>7</v>
      </c>
      <c r="G211" s="2"/>
      <c r="H211" s="10"/>
      <c r="I211" s="10"/>
      <c r="J211" s="10"/>
      <c r="K211" s="10"/>
      <c r="L211" s="10"/>
      <c r="M211" s="10"/>
      <c r="N211" s="10"/>
      <c r="O211" s="10"/>
      <c r="P211" s="10"/>
      <c r="Q211" s="10"/>
      <c r="R211" s="10"/>
      <c r="S211" s="10"/>
      <c r="T211" s="10"/>
      <c r="U211" s="10"/>
      <c r="V211" s="10"/>
      <c r="W211" s="10"/>
      <c r="X211" s="10"/>
      <c r="Y211" s="10"/>
      <c r="Z211" s="10"/>
      <c r="AA211" s="10"/>
    </row>
    <row r="212" spans="1:27" x14ac:dyDescent="0.25">
      <c r="A212" s="14">
        <f>'Notes &amp; Assumptions'!A65</f>
        <v>52</v>
      </c>
      <c r="E212" s="10" t="s">
        <v>51</v>
      </c>
      <c r="F212" t="s">
        <v>7</v>
      </c>
      <c r="G212" s="2"/>
      <c r="H212" s="10"/>
      <c r="I212" s="10"/>
      <c r="J212" s="10"/>
      <c r="K212" s="10"/>
      <c r="L212" s="10"/>
      <c r="M212" s="10"/>
      <c r="N212" s="10"/>
      <c r="O212" s="10"/>
      <c r="P212" s="10"/>
      <c r="Q212" s="10"/>
      <c r="R212" s="10"/>
      <c r="S212" s="10"/>
      <c r="T212" s="10"/>
      <c r="U212" s="10"/>
      <c r="V212" s="10"/>
      <c r="W212" s="10"/>
      <c r="X212" s="10"/>
      <c r="Y212" s="10"/>
      <c r="Z212" s="10"/>
      <c r="AA212" s="10"/>
    </row>
    <row r="213" spans="1:27" x14ac:dyDescent="0.25">
      <c r="A213" s="14">
        <f>'Notes &amp; Assumptions'!A66</f>
        <v>53</v>
      </c>
      <c r="E213" s="10" t="s">
        <v>52</v>
      </c>
      <c r="F213" t="s">
        <v>7</v>
      </c>
      <c r="G213" s="2"/>
      <c r="H213" s="10"/>
      <c r="I213" s="10"/>
      <c r="J213" s="10"/>
      <c r="K213" s="10"/>
      <c r="L213" s="10"/>
      <c r="M213" s="10"/>
      <c r="N213" s="10"/>
      <c r="O213" s="10"/>
      <c r="P213" s="10"/>
      <c r="Q213" s="10"/>
      <c r="R213" s="10"/>
      <c r="S213" s="10"/>
      <c r="T213" s="10"/>
      <c r="U213" s="10"/>
      <c r="V213" s="10"/>
      <c r="W213" s="10"/>
      <c r="X213" s="10"/>
      <c r="Y213" s="10"/>
      <c r="Z213" s="10"/>
      <c r="AA213" s="10"/>
    </row>
    <row r="214" spans="1:27" x14ac:dyDescent="0.25">
      <c r="E214" t="s">
        <v>17</v>
      </c>
      <c r="G214" s="2"/>
      <c r="H214" s="2">
        <f>SUM(H210:H213)</f>
        <v>0</v>
      </c>
      <c r="I214" s="2">
        <f t="shared" ref="I214:AA214" si="77">SUM(I210:I213)</f>
        <v>0</v>
      </c>
      <c r="J214" s="2">
        <f t="shared" si="77"/>
        <v>0</v>
      </c>
      <c r="K214" s="2">
        <f t="shared" si="77"/>
        <v>0</v>
      </c>
      <c r="L214" s="2">
        <f t="shared" si="77"/>
        <v>0</v>
      </c>
      <c r="M214" s="2">
        <f t="shared" si="77"/>
        <v>0</v>
      </c>
      <c r="N214" s="2">
        <f t="shared" si="77"/>
        <v>0</v>
      </c>
      <c r="O214" s="2">
        <f t="shared" si="77"/>
        <v>0</v>
      </c>
      <c r="P214" s="2">
        <f t="shared" si="77"/>
        <v>0</v>
      </c>
      <c r="Q214" s="2">
        <f t="shared" si="77"/>
        <v>0</v>
      </c>
      <c r="R214" s="2">
        <f t="shared" si="77"/>
        <v>0</v>
      </c>
      <c r="S214" s="2">
        <f t="shared" si="77"/>
        <v>0</v>
      </c>
      <c r="T214" s="2">
        <f t="shared" si="77"/>
        <v>0</v>
      </c>
      <c r="U214" s="2">
        <f t="shared" si="77"/>
        <v>0</v>
      </c>
      <c r="V214" s="2">
        <f t="shared" si="77"/>
        <v>0</v>
      </c>
      <c r="W214" s="2">
        <f t="shared" si="77"/>
        <v>0</v>
      </c>
      <c r="X214" s="2">
        <f t="shared" si="77"/>
        <v>0</v>
      </c>
      <c r="Y214" s="2">
        <f t="shared" si="77"/>
        <v>0</v>
      </c>
      <c r="Z214" s="2">
        <f t="shared" si="77"/>
        <v>0</v>
      </c>
      <c r="AA214" s="2">
        <f t="shared" si="77"/>
        <v>0</v>
      </c>
    </row>
    <row r="215" spans="1:27" x14ac:dyDescent="0.25">
      <c r="G215" s="2"/>
      <c r="H215" s="2"/>
      <c r="I215" s="2"/>
      <c r="J215" s="2"/>
      <c r="K215" s="2"/>
      <c r="L215" s="2"/>
      <c r="M215" s="2"/>
      <c r="N215" s="2"/>
      <c r="O215" s="2"/>
      <c r="P215" s="2"/>
      <c r="Q215" s="2"/>
      <c r="R215" s="2"/>
      <c r="S215" s="2"/>
      <c r="T215" s="2"/>
      <c r="U215" s="2"/>
      <c r="V215" s="2"/>
      <c r="W215" s="2"/>
      <c r="X215" s="2"/>
      <c r="Y215" s="2"/>
      <c r="Z215" s="2"/>
      <c r="AA215" s="2"/>
    </row>
    <row r="216" spans="1:27" x14ac:dyDescent="0.25">
      <c r="C216" s="1" t="s">
        <v>33</v>
      </c>
      <c r="G216" s="2"/>
      <c r="H216" s="2"/>
      <c r="I216" s="2"/>
      <c r="J216" s="2"/>
      <c r="K216" s="2"/>
      <c r="L216" s="2"/>
      <c r="M216" s="2"/>
      <c r="N216" s="2"/>
      <c r="O216" s="2"/>
      <c r="P216" s="2"/>
      <c r="Q216" s="2"/>
      <c r="R216" s="2"/>
      <c r="S216" s="2"/>
      <c r="T216" s="2"/>
      <c r="U216" s="2"/>
      <c r="V216" s="2"/>
      <c r="W216" s="2"/>
      <c r="X216" s="2"/>
      <c r="Y216" s="2"/>
      <c r="Z216" s="2"/>
      <c r="AA216" s="2"/>
    </row>
    <row r="217" spans="1:27" x14ac:dyDescent="0.25">
      <c r="C217" s="1"/>
      <c r="D217" s="1"/>
      <c r="E217" t="s">
        <v>29</v>
      </c>
      <c r="F217" t="s">
        <v>3</v>
      </c>
      <c r="G217" s="2"/>
      <c r="H217" s="2">
        <f t="shared" ref="H217:AA217" si="78">H174</f>
        <v>622</v>
      </c>
      <c r="I217" s="2">
        <f t="shared" si="78"/>
        <v>620</v>
      </c>
      <c r="J217" s="2">
        <f t="shared" si="78"/>
        <v>629.5</v>
      </c>
      <c r="K217" s="2">
        <f t="shared" si="78"/>
        <v>607</v>
      </c>
      <c r="L217" s="2">
        <f t="shared" si="78"/>
        <v>583.5</v>
      </c>
      <c r="M217" s="2">
        <f t="shared" si="78"/>
        <v>561</v>
      </c>
      <c r="N217" s="2">
        <f t="shared" si="78"/>
        <v>538.5</v>
      </c>
      <c r="O217" s="2">
        <f t="shared" si="78"/>
        <v>516.5</v>
      </c>
      <c r="P217" s="2">
        <f t="shared" si="78"/>
        <v>546.5</v>
      </c>
      <c r="Q217" s="2">
        <f t="shared" si="78"/>
        <v>578.5</v>
      </c>
      <c r="R217" s="2">
        <f t="shared" si="78"/>
        <v>612.5</v>
      </c>
      <c r="S217" s="2">
        <f t="shared" si="78"/>
        <v>649</v>
      </c>
      <c r="T217" s="2">
        <f t="shared" si="78"/>
        <v>687.5</v>
      </c>
      <c r="U217" s="2">
        <f t="shared" si="78"/>
        <v>683</v>
      </c>
      <c r="V217" s="2">
        <f t="shared" si="78"/>
        <v>678</v>
      </c>
      <c r="W217" s="2">
        <f t="shared" si="78"/>
        <v>0</v>
      </c>
      <c r="X217" s="2">
        <f t="shared" si="78"/>
        <v>0</v>
      </c>
      <c r="Y217" s="2">
        <f t="shared" si="78"/>
        <v>0</v>
      </c>
      <c r="Z217" s="2">
        <f t="shared" si="78"/>
        <v>0</v>
      </c>
      <c r="AA217" s="2">
        <f t="shared" si="78"/>
        <v>0</v>
      </c>
    </row>
    <row r="218" spans="1:27" x14ac:dyDescent="0.25">
      <c r="E218" t="s">
        <v>18</v>
      </c>
      <c r="F218" t="s">
        <v>22</v>
      </c>
      <c r="G218" s="8">
        <f ca="1">MAX(0,-G245/(NPV($G$16,H217:AA217)))</f>
        <v>5146.1681618969769</v>
      </c>
      <c r="H218" s="2">
        <f t="shared" ref="H218:AA218" ca="1" si="79">G218*(1+$G$14)</f>
        <v>5254.2376932968127</v>
      </c>
      <c r="I218" s="2">
        <f t="shared" ca="1" si="79"/>
        <v>5364.5766848560452</v>
      </c>
      <c r="J218" s="2">
        <f t="shared" ca="1" si="79"/>
        <v>5477.2327952380219</v>
      </c>
      <c r="K218" s="2">
        <f t="shared" ca="1" si="79"/>
        <v>5592.2546839380202</v>
      </c>
      <c r="L218" s="2">
        <f t="shared" ca="1" si="79"/>
        <v>5709.692032300718</v>
      </c>
      <c r="M218" s="2">
        <f t="shared" ca="1" si="79"/>
        <v>5829.5955649790321</v>
      </c>
      <c r="N218" s="2">
        <f t="shared" ca="1" si="79"/>
        <v>5952.0170718435911</v>
      </c>
      <c r="O218" s="2">
        <f t="shared" ca="1" si="79"/>
        <v>6077.0094303523056</v>
      </c>
      <c r="P218" s="2">
        <f t="shared" ca="1" si="79"/>
        <v>6204.626628389703</v>
      </c>
      <c r="Q218" s="2">
        <f t="shared" ca="1" si="79"/>
        <v>6334.9237875858862</v>
      </c>
      <c r="R218" s="2">
        <f t="shared" ca="1" si="79"/>
        <v>6467.9571871251892</v>
      </c>
      <c r="S218" s="2">
        <f t="shared" ca="1" si="79"/>
        <v>6603.7842880548178</v>
      </c>
      <c r="T218" s="2">
        <f t="shared" ca="1" si="79"/>
        <v>6742.4637581039688</v>
      </c>
      <c r="U218" s="2">
        <f t="shared" ca="1" si="79"/>
        <v>6884.0554970241519</v>
      </c>
      <c r="V218" s="2">
        <f t="shared" ca="1" si="79"/>
        <v>7028.6206624616589</v>
      </c>
      <c r="W218" s="2">
        <f t="shared" ca="1" si="79"/>
        <v>7176.2216963733526</v>
      </c>
      <c r="X218" s="2">
        <f t="shared" ca="1" si="79"/>
        <v>7326.922351997192</v>
      </c>
      <c r="Y218" s="2">
        <f t="shared" ca="1" si="79"/>
        <v>7480.7877213891325</v>
      </c>
      <c r="Z218" s="2">
        <f t="shared" ca="1" si="79"/>
        <v>7637.8842635383035</v>
      </c>
      <c r="AA218" s="2">
        <f t="shared" ca="1" si="79"/>
        <v>7798.2798330726073</v>
      </c>
    </row>
    <row r="219" spans="1:27" x14ac:dyDescent="0.25">
      <c r="E219" t="s">
        <v>21</v>
      </c>
      <c r="F219" t="s">
        <v>7</v>
      </c>
      <c r="H219" s="2">
        <f ca="1">H218*H217</f>
        <v>3268135.8452306176</v>
      </c>
      <c r="I219" s="2">
        <f t="shared" ref="I219:AA219" ca="1" si="80">I218*I217</f>
        <v>3326037.5446107481</v>
      </c>
      <c r="J219" s="2">
        <f t="shared" ca="1" si="80"/>
        <v>3447918.044602335</v>
      </c>
      <c r="K219" s="2">
        <f t="shared" ca="1" si="80"/>
        <v>3394498.5931503782</v>
      </c>
      <c r="L219" s="2">
        <f t="shared" ca="1" si="80"/>
        <v>3331605.3008474689</v>
      </c>
      <c r="M219" s="2">
        <f t="shared" ca="1" si="80"/>
        <v>3270403.1119532371</v>
      </c>
      <c r="N219" s="2">
        <f t="shared" ca="1" si="80"/>
        <v>3205161.1931877737</v>
      </c>
      <c r="O219" s="2">
        <f t="shared" ca="1" si="80"/>
        <v>3138775.3707769657</v>
      </c>
      <c r="P219" s="2">
        <f t="shared" ca="1" si="80"/>
        <v>3390828.4524149727</v>
      </c>
      <c r="Q219" s="2">
        <f t="shared" ca="1" si="80"/>
        <v>3664753.4111184352</v>
      </c>
      <c r="R219" s="2">
        <f t="shared" ca="1" si="80"/>
        <v>3961623.7771141785</v>
      </c>
      <c r="S219" s="2">
        <f t="shared" ca="1" si="80"/>
        <v>4285856.0029475763</v>
      </c>
      <c r="T219" s="2">
        <f t="shared" ca="1" si="80"/>
        <v>4635443.833696479</v>
      </c>
      <c r="U219" s="2">
        <f t="shared" ca="1" si="80"/>
        <v>4701809.9044674961</v>
      </c>
      <c r="V219" s="2">
        <f t="shared" ca="1" si="80"/>
        <v>4765404.8091490045</v>
      </c>
      <c r="W219" s="2">
        <f t="shared" ca="1" si="80"/>
        <v>0</v>
      </c>
      <c r="X219" s="2">
        <f t="shared" ca="1" si="80"/>
        <v>0</v>
      </c>
      <c r="Y219" s="2">
        <f t="shared" ca="1" si="80"/>
        <v>0</v>
      </c>
      <c r="Z219" s="2">
        <f t="shared" ca="1" si="80"/>
        <v>0</v>
      </c>
      <c r="AA219" s="2">
        <f t="shared" ca="1" si="80"/>
        <v>0</v>
      </c>
    </row>
    <row r="220" spans="1:27" x14ac:dyDescent="0.25">
      <c r="G220" s="8">
        <f ca="1">-G245/(NPV($G$16,H217:AA217))</f>
        <v>5146.1681618969769</v>
      </c>
    </row>
    <row r="221" spans="1:27" x14ac:dyDescent="0.25">
      <c r="D221" t="s">
        <v>9</v>
      </c>
    </row>
    <row r="222" spans="1:27" x14ac:dyDescent="0.25">
      <c r="E222" t="s">
        <v>107</v>
      </c>
      <c r="F222" t="s">
        <v>7</v>
      </c>
      <c r="G222" s="2">
        <f t="shared" ref="G222:AA222" si="81">G42</f>
        <v>0</v>
      </c>
      <c r="H222" s="2">
        <f t="shared" si="81"/>
        <v>2222716.9999999995</v>
      </c>
      <c r="I222" s="2">
        <f t="shared" si="81"/>
        <v>2262096.9699999993</v>
      </c>
      <c r="J222" s="2">
        <f t="shared" si="81"/>
        <v>2344990.0540482495</v>
      </c>
      <c r="K222" s="2">
        <f t="shared" si="81"/>
        <v>2308658.5401528832</v>
      </c>
      <c r="L222" s="2">
        <f t="shared" si="81"/>
        <v>2265883.699507365</v>
      </c>
      <c r="M222" s="2">
        <f t="shared" si="81"/>
        <v>2224259.0082048466</v>
      </c>
      <c r="N222" s="2">
        <f t="shared" si="81"/>
        <v>2179886.8251561397</v>
      </c>
      <c r="O222" s="2">
        <f t="shared" si="81"/>
        <v>2134736.6530031604</v>
      </c>
      <c r="P222" s="2">
        <f t="shared" si="81"/>
        <v>2306162.4125158135</v>
      </c>
      <c r="Q222" s="2">
        <f t="shared" si="81"/>
        <v>2492463.6225230494</v>
      </c>
      <c r="R222" s="2">
        <f t="shared" si="81"/>
        <v>2694370.4099223348</v>
      </c>
      <c r="S222" s="2">
        <f t="shared" si="81"/>
        <v>2914886.4822145733</v>
      </c>
      <c r="T222" s="2">
        <f t="shared" si="81"/>
        <v>3152647.3499375833</v>
      </c>
      <c r="U222" s="2">
        <f t="shared" si="81"/>
        <v>3197784.0886509442</v>
      </c>
      <c r="V222" s="2">
        <f t="shared" si="81"/>
        <v>3241036.1082863132</v>
      </c>
      <c r="W222" s="2">
        <f t="shared" si="81"/>
        <v>0</v>
      </c>
      <c r="X222" s="2">
        <f t="shared" si="81"/>
        <v>0</v>
      </c>
      <c r="Y222" s="2">
        <f t="shared" si="81"/>
        <v>0</v>
      </c>
      <c r="Z222" s="2">
        <f t="shared" si="81"/>
        <v>0</v>
      </c>
      <c r="AA222" s="2">
        <f t="shared" si="81"/>
        <v>0</v>
      </c>
    </row>
    <row r="223" spans="1:27" x14ac:dyDescent="0.25">
      <c r="E223" t="s">
        <v>11</v>
      </c>
      <c r="F223" t="s">
        <v>7</v>
      </c>
      <c r="G223" s="2">
        <f t="shared" ref="G223:AA223" si="82">G177</f>
        <v>0</v>
      </c>
      <c r="H223" s="2">
        <f t="shared" si="82"/>
        <v>42306.065796776937</v>
      </c>
      <c r="I223" s="2">
        <f t="shared" si="82"/>
        <v>83886.844645095291</v>
      </c>
      <c r="J223" s="2">
        <f t="shared" si="82"/>
        <v>129058.8635894646</v>
      </c>
      <c r="K223" s="2">
        <f t="shared" si="82"/>
        <v>174506.92688646764</v>
      </c>
      <c r="L223" s="2">
        <f t="shared" si="82"/>
        <v>220117.55276942407</v>
      </c>
      <c r="M223" s="2">
        <f t="shared" si="82"/>
        <v>265915.4465875178</v>
      </c>
      <c r="N223" s="2">
        <f t="shared" si="82"/>
        <v>311853.67947126919</v>
      </c>
      <c r="O223" s="2">
        <f t="shared" si="82"/>
        <v>357920.79642688832</v>
      </c>
      <c r="P223" s="2">
        <f t="shared" si="82"/>
        <v>408128.75206324406</v>
      </c>
      <c r="Q223" s="2">
        <f t="shared" si="82"/>
        <v>462839.8779473037</v>
      </c>
      <c r="R223" s="2">
        <f t="shared" si="82"/>
        <v>522437.63069917564</v>
      </c>
      <c r="S223" s="2">
        <f t="shared" si="82"/>
        <v>587369.12408353004</v>
      </c>
      <c r="T223" s="2">
        <f t="shared" si="82"/>
        <v>658065.60186047561</v>
      </c>
      <c r="U223" s="2">
        <f t="shared" si="82"/>
        <v>731082.27580994146</v>
      </c>
      <c r="V223" s="2">
        <f t="shared" si="82"/>
        <v>806432.9801807435</v>
      </c>
      <c r="W223" s="2">
        <f t="shared" si="82"/>
        <v>823368.07276453904</v>
      </c>
      <c r="X223" s="2">
        <f t="shared" si="82"/>
        <v>840658.80229259422</v>
      </c>
      <c r="Y223" s="2">
        <f t="shared" si="82"/>
        <v>858312.63714073854</v>
      </c>
      <c r="Z223" s="2">
        <f t="shared" si="82"/>
        <v>876337.202520694</v>
      </c>
      <c r="AA223" s="2">
        <f t="shared" si="82"/>
        <v>894740.28377362853</v>
      </c>
    </row>
    <row r="224" spans="1:27" x14ac:dyDescent="0.25">
      <c r="E224" t="s">
        <v>57</v>
      </c>
      <c r="F224" t="s">
        <v>7</v>
      </c>
      <c r="G224" s="2">
        <f t="shared" ref="G224:AA224" si="83">-G187</f>
        <v>0</v>
      </c>
      <c r="H224" s="2">
        <f t="shared" si="83"/>
        <v>0</v>
      </c>
      <c r="I224" s="2">
        <f t="shared" si="83"/>
        <v>0</v>
      </c>
      <c r="J224" s="2">
        <f t="shared" si="83"/>
        <v>0</v>
      </c>
      <c r="K224" s="2">
        <f t="shared" si="83"/>
        <v>0</v>
      </c>
      <c r="L224" s="2">
        <f t="shared" si="83"/>
        <v>0</v>
      </c>
      <c r="M224" s="2">
        <f t="shared" si="83"/>
        <v>0</v>
      </c>
      <c r="N224" s="2">
        <f t="shared" si="83"/>
        <v>0</v>
      </c>
      <c r="O224" s="2">
        <f t="shared" si="83"/>
        <v>0</v>
      </c>
      <c r="P224" s="2">
        <f t="shared" si="83"/>
        <v>0</v>
      </c>
      <c r="Q224" s="2">
        <f t="shared" si="83"/>
        <v>0</v>
      </c>
      <c r="R224" s="2">
        <f t="shared" si="83"/>
        <v>0</v>
      </c>
      <c r="S224" s="2">
        <f t="shared" si="83"/>
        <v>0</v>
      </c>
      <c r="T224" s="2">
        <f t="shared" si="83"/>
        <v>0</v>
      </c>
      <c r="U224" s="2">
        <f t="shared" si="83"/>
        <v>0</v>
      </c>
      <c r="V224" s="2">
        <f t="shared" si="83"/>
        <v>0</v>
      </c>
      <c r="W224" s="2">
        <f t="shared" si="83"/>
        <v>0</v>
      </c>
      <c r="X224" s="2">
        <f t="shared" si="83"/>
        <v>0</v>
      </c>
      <c r="Y224" s="2">
        <f t="shared" si="83"/>
        <v>0</v>
      </c>
      <c r="Z224" s="2">
        <f t="shared" si="83"/>
        <v>0</v>
      </c>
      <c r="AA224" s="2">
        <f t="shared" si="83"/>
        <v>0</v>
      </c>
    </row>
    <row r="225" spans="4:28" customFormat="1" x14ac:dyDescent="0.25">
      <c r="E225" t="s">
        <v>10</v>
      </c>
      <c r="F225" t="s">
        <v>7</v>
      </c>
      <c r="G225" s="2">
        <f t="shared" ref="G225:AA225" si="84">-G200</f>
        <v>0</v>
      </c>
      <c r="H225" s="2">
        <f t="shared" si="84"/>
        <v>-76207.439999999988</v>
      </c>
      <c r="I225" s="2">
        <f t="shared" si="84"/>
        <v>-155365.40663999994</v>
      </c>
      <c r="J225" s="2">
        <f t="shared" si="84"/>
        <v>-239027.73917537992</v>
      </c>
      <c r="K225" s="2">
        <f t="shared" si="84"/>
        <v>-323201.32878901891</v>
      </c>
      <c r="L225" s="2">
        <f t="shared" si="84"/>
        <v>-407675.99781955511</v>
      </c>
      <c r="M225" s="2">
        <f t="shared" si="84"/>
        <v>-492497.50262650329</v>
      </c>
      <c r="N225" s="2">
        <f t="shared" si="84"/>
        <v>-577578.92704415601</v>
      </c>
      <c r="O225" s="2">
        <f t="shared" si="84"/>
        <v>-662899.05547219166</v>
      </c>
      <c r="P225" s="2">
        <f t="shared" si="84"/>
        <v>-755888.36120907834</v>
      </c>
      <c r="Q225" s="2">
        <f t="shared" si="84"/>
        <v>-857217.9124238306</v>
      </c>
      <c r="R225" s="2">
        <f t="shared" si="84"/>
        <v>-967597.90263921104</v>
      </c>
      <c r="S225" s="2">
        <f t="shared" si="84"/>
        <v>-1087856.423699134</v>
      </c>
      <c r="T225" s="2">
        <f t="shared" si="84"/>
        <v>-1218792.1748803901</v>
      </c>
      <c r="U225" s="2">
        <f t="shared" si="84"/>
        <v>-1354025.1221637677</v>
      </c>
      <c r="V225" s="2">
        <f t="shared" si="84"/>
        <v>-1493580.8877275947</v>
      </c>
      <c r="W225" s="2">
        <f t="shared" si="84"/>
        <v>-1524946.0863698742</v>
      </c>
      <c r="X225" s="2">
        <f t="shared" si="84"/>
        <v>-1556969.9541836414</v>
      </c>
      <c r="Y225" s="2">
        <f t="shared" si="84"/>
        <v>-1589666.3232214977</v>
      </c>
      <c r="Z225" s="2">
        <f t="shared" si="84"/>
        <v>-1623049.3160091487</v>
      </c>
      <c r="AA225" s="2">
        <f t="shared" si="84"/>
        <v>-1657133.3516453407</v>
      </c>
    </row>
    <row r="226" spans="4:28" customFormat="1" x14ac:dyDescent="0.25">
      <c r="E226" t="s">
        <v>12</v>
      </c>
      <c r="F226" t="s">
        <v>7</v>
      </c>
      <c r="G226" s="2">
        <f t="shared" ref="G226:AA226" si="85">-G34-G50-G85</f>
        <v>-174386.12067964213</v>
      </c>
      <c r="H226" s="2">
        <f t="shared" si="85"/>
        <v>-203268.07374064976</v>
      </c>
      <c r="I226" s="2">
        <f t="shared" si="85"/>
        <v>-246329.00060014008</v>
      </c>
      <c r="J226" s="2">
        <f t="shared" si="85"/>
        <v>-289547.95848818653</v>
      </c>
      <c r="K226" s="2">
        <f t="shared" si="85"/>
        <v>-318406.19024009758</v>
      </c>
      <c r="L226" s="2">
        <f t="shared" si="85"/>
        <v>-346729.73648393957</v>
      </c>
      <c r="M226" s="2">
        <f t="shared" si="85"/>
        <v>-374532.97408650018</v>
      </c>
      <c r="N226" s="2">
        <f t="shared" si="85"/>
        <v>-401781.55940095196</v>
      </c>
      <c r="O226" s="2">
        <f t="shared" si="85"/>
        <v>-428465.76756349142</v>
      </c>
      <c r="P226" s="2">
        <f t="shared" si="85"/>
        <v>-457292.79771993909</v>
      </c>
      <c r="Q226" s="2">
        <f t="shared" si="85"/>
        <v>-488448.59300147719</v>
      </c>
      <c r="R226" s="2">
        <f t="shared" si="85"/>
        <v>-522128.22312550643</v>
      </c>
      <c r="S226" s="2">
        <f t="shared" si="85"/>
        <v>-558564.3041531886</v>
      </c>
      <c r="T226" s="2">
        <f t="shared" si="85"/>
        <v>-597972.39602740831</v>
      </c>
      <c r="U226" s="2">
        <f t="shared" si="85"/>
        <v>-637944.6971355452</v>
      </c>
      <c r="V226" s="2">
        <f t="shared" si="85"/>
        <v>-678457.64848912414</v>
      </c>
      <c r="W226" s="2">
        <f t="shared" si="85"/>
        <v>-678457.64848912414</v>
      </c>
      <c r="X226" s="2">
        <f t="shared" si="85"/>
        <v>-678457.64848912414</v>
      </c>
      <c r="Y226" s="2">
        <f t="shared" si="85"/>
        <v>-678457.64848912414</v>
      </c>
      <c r="Z226" s="2">
        <f t="shared" si="85"/>
        <v>-678457.64848912414</v>
      </c>
      <c r="AA226" s="2">
        <f t="shared" si="85"/>
        <v>-678457.64848912414</v>
      </c>
    </row>
    <row r="227" spans="4:28" customFormat="1" x14ac:dyDescent="0.25">
      <c r="E227" t="s">
        <v>48</v>
      </c>
      <c r="F227" t="s">
        <v>7</v>
      </c>
      <c r="G227" s="2">
        <f t="shared" ref="G227:AA227" si="86">G207</f>
        <v>0</v>
      </c>
      <c r="H227" s="2">
        <f t="shared" si="86"/>
        <v>0</v>
      </c>
      <c r="I227" s="2">
        <f t="shared" si="86"/>
        <v>0</v>
      </c>
      <c r="J227" s="2">
        <f t="shared" si="86"/>
        <v>0</v>
      </c>
      <c r="K227" s="2">
        <f t="shared" si="86"/>
        <v>0</v>
      </c>
      <c r="L227" s="2">
        <f t="shared" si="86"/>
        <v>0</v>
      </c>
      <c r="M227" s="2">
        <f t="shared" si="86"/>
        <v>0</v>
      </c>
      <c r="N227" s="2">
        <f t="shared" si="86"/>
        <v>0</v>
      </c>
      <c r="O227" s="2">
        <f t="shared" si="86"/>
        <v>0</v>
      </c>
      <c r="P227" s="2">
        <f t="shared" si="86"/>
        <v>0</v>
      </c>
      <c r="Q227" s="2">
        <f t="shared" si="86"/>
        <v>0</v>
      </c>
      <c r="R227" s="2">
        <f t="shared" si="86"/>
        <v>0</v>
      </c>
      <c r="S227" s="2">
        <f t="shared" si="86"/>
        <v>0</v>
      </c>
      <c r="T227" s="2">
        <f t="shared" si="86"/>
        <v>0</v>
      </c>
      <c r="U227" s="2">
        <f t="shared" si="86"/>
        <v>0</v>
      </c>
      <c r="V227" s="2">
        <f t="shared" si="86"/>
        <v>0</v>
      </c>
      <c r="W227" s="2">
        <f t="shared" si="86"/>
        <v>0</v>
      </c>
      <c r="X227" s="2">
        <f t="shared" si="86"/>
        <v>0</v>
      </c>
      <c r="Y227" s="2">
        <f t="shared" si="86"/>
        <v>0</v>
      </c>
      <c r="Z227" s="2">
        <f t="shared" si="86"/>
        <v>0</v>
      </c>
      <c r="AA227" s="2">
        <f t="shared" si="86"/>
        <v>0</v>
      </c>
    </row>
    <row r="228" spans="4:28" customFormat="1" x14ac:dyDescent="0.25">
      <c r="E228" t="s">
        <v>13</v>
      </c>
      <c r="F228" t="s">
        <v>7</v>
      </c>
      <c r="H228" s="2">
        <f t="shared" ref="H228:AA228" ca="1" si="87">H219</f>
        <v>3268135.8452306176</v>
      </c>
      <c r="I228" s="2">
        <f t="shared" ca="1" si="87"/>
        <v>3326037.5446107481</v>
      </c>
      <c r="J228" s="2">
        <f t="shared" ca="1" si="87"/>
        <v>3447918.044602335</v>
      </c>
      <c r="K228" s="2">
        <f t="shared" ca="1" si="87"/>
        <v>3394498.5931503782</v>
      </c>
      <c r="L228" s="2">
        <f t="shared" ca="1" si="87"/>
        <v>3331605.3008474689</v>
      </c>
      <c r="M228" s="2">
        <f t="shared" ca="1" si="87"/>
        <v>3270403.1119532371</v>
      </c>
      <c r="N228" s="2">
        <f t="shared" ca="1" si="87"/>
        <v>3205161.1931877737</v>
      </c>
      <c r="O228" s="2">
        <f t="shared" ca="1" si="87"/>
        <v>3138775.3707769657</v>
      </c>
      <c r="P228" s="2">
        <f t="shared" ca="1" si="87"/>
        <v>3390828.4524149727</v>
      </c>
      <c r="Q228" s="2">
        <f t="shared" ca="1" si="87"/>
        <v>3664753.4111184352</v>
      </c>
      <c r="R228" s="2">
        <f t="shared" ca="1" si="87"/>
        <v>3961623.7771141785</v>
      </c>
      <c r="S228" s="2">
        <f t="shared" ca="1" si="87"/>
        <v>4285856.0029475763</v>
      </c>
      <c r="T228" s="2">
        <f t="shared" ca="1" si="87"/>
        <v>4635443.833696479</v>
      </c>
      <c r="U228" s="2">
        <f t="shared" ca="1" si="87"/>
        <v>4701809.9044674961</v>
      </c>
      <c r="V228" s="2">
        <f t="shared" ca="1" si="87"/>
        <v>4765404.8091490045</v>
      </c>
      <c r="W228" s="2">
        <f t="shared" ca="1" si="87"/>
        <v>0</v>
      </c>
      <c r="X228" s="2">
        <f t="shared" ca="1" si="87"/>
        <v>0</v>
      </c>
      <c r="Y228" s="2">
        <f t="shared" ca="1" si="87"/>
        <v>0</v>
      </c>
      <c r="Z228" s="2">
        <f t="shared" ca="1" si="87"/>
        <v>0</v>
      </c>
      <c r="AA228" s="2">
        <f t="shared" ca="1" si="87"/>
        <v>0</v>
      </c>
    </row>
    <row r="229" spans="4:28" customFormat="1" x14ac:dyDescent="0.25"/>
    <row r="230" spans="4:28" customFormat="1" x14ac:dyDescent="0.25">
      <c r="E230" t="s">
        <v>14</v>
      </c>
      <c r="F230" t="s">
        <v>7</v>
      </c>
      <c r="G230" s="2">
        <f t="shared" ref="G230:AA230" si="88">SUM(G222:G228)</f>
        <v>-174386.12067964213</v>
      </c>
      <c r="H230" s="2">
        <f t="shared" ca="1" si="88"/>
        <v>5253683.3972867448</v>
      </c>
      <c r="I230" s="2">
        <f t="shared" ca="1" si="88"/>
        <v>5270326.9520157035</v>
      </c>
      <c r="J230" s="2">
        <f t="shared" ca="1" si="88"/>
        <v>5393391.2645764826</v>
      </c>
      <c r="K230" s="2">
        <f t="shared" ca="1" si="88"/>
        <v>5236056.5411606124</v>
      </c>
      <c r="L230" s="2">
        <f t="shared" ca="1" si="88"/>
        <v>5063200.8188207634</v>
      </c>
      <c r="M230" s="2">
        <f t="shared" ca="1" si="88"/>
        <v>4893547.090032598</v>
      </c>
      <c r="N230" s="2">
        <f t="shared" ca="1" si="88"/>
        <v>4717541.2113700751</v>
      </c>
      <c r="O230" s="2">
        <f t="shared" ca="1" si="88"/>
        <v>4540067.9971713312</v>
      </c>
      <c r="P230" s="2">
        <f t="shared" ca="1" si="88"/>
        <v>4891938.4580650125</v>
      </c>
      <c r="Q230" s="2">
        <f t="shared" ca="1" si="88"/>
        <v>5274390.4061634811</v>
      </c>
      <c r="R230" s="2">
        <f t="shared" ca="1" si="88"/>
        <v>5688705.6919709714</v>
      </c>
      <c r="S230" s="2">
        <f t="shared" ca="1" si="88"/>
        <v>6141690.8813933572</v>
      </c>
      <c r="T230" s="2">
        <f t="shared" ca="1" si="88"/>
        <v>6629392.2145867394</v>
      </c>
      <c r="U230" s="2">
        <f t="shared" ca="1" si="88"/>
        <v>6638706.4496290684</v>
      </c>
      <c r="V230" s="2">
        <f t="shared" ca="1" si="88"/>
        <v>6640835.3613993423</v>
      </c>
      <c r="W230" s="2">
        <f t="shared" ca="1" si="88"/>
        <v>-1380035.6620944594</v>
      </c>
      <c r="X230" s="2">
        <f t="shared" ca="1" si="88"/>
        <v>-1394768.8003801713</v>
      </c>
      <c r="Y230" s="2">
        <f t="shared" ca="1" si="88"/>
        <v>-1409811.3345698833</v>
      </c>
      <c r="Z230" s="2">
        <f t="shared" ca="1" si="88"/>
        <v>-1425169.761977579</v>
      </c>
      <c r="AA230" s="2">
        <f t="shared" ca="1" si="88"/>
        <v>-1440850.7163608363</v>
      </c>
    </row>
    <row r="231" spans="4:28" customFormat="1" x14ac:dyDescent="0.25">
      <c r="E231" t="s">
        <v>15</v>
      </c>
      <c r="F231" t="s">
        <v>7</v>
      </c>
      <c r="G231" s="2">
        <f>-G230*G$18</f>
        <v>52315.836203892635</v>
      </c>
      <c r="H231" s="2">
        <f t="shared" ref="H231:AA231" ca="1" si="89">-H230*H$18</f>
        <v>-1576105.0191860234</v>
      </c>
      <c r="I231" s="2">
        <f t="shared" ca="1" si="89"/>
        <v>-1581098.085604711</v>
      </c>
      <c r="J231" s="2">
        <f t="shared" ca="1" si="89"/>
        <v>-1618017.3793729448</v>
      </c>
      <c r="K231" s="2">
        <f t="shared" ca="1" si="89"/>
        <v>-1570816.9623481836</v>
      </c>
      <c r="L231" s="2">
        <f t="shared" ca="1" si="89"/>
        <v>-1518960.245646229</v>
      </c>
      <c r="M231" s="2">
        <f t="shared" ca="1" si="89"/>
        <v>-1468064.1270097794</v>
      </c>
      <c r="N231" s="2">
        <f t="shared" ca="1" si="89"/>
        <v>-1415262.3634110226</v>
      </c>
      <c r="O231" s="2">
        <f t="shared" ca="1" si="89"/>
        <v>-1362020.3991513993</v>
      </c>
      <c r="P231" s="2">
        <f t="shared" ca="1" si="89"/>
        <v>-1467581.5374195038</v>
      </c>
      <c r="Q231" s="2">
        <f t="shared" ca="1" si="89"/>
        <v>-1582317.1218490442</v>
      </c>
      <c r="R231" s="2">
        <f t="shared" ca="1" si="89"/>
        <v>-1706611.7075912913</v>
      </c>
      <c r="S231" s="2">
        <f t="shared" ca="1" si="89"/>
        <v>-1842507.2644180071</v>
      </c>
      <c r="T231" s="2">
        <f t="shared" ca="1" si="89"/>
        <v>-1988817.6643760218</v>
      </c>
      <c r="U231" s="2">
        <f t="shared" ca="1" si="89"/>
        <v>-1991611.9348887205</v>
      </c>
      <c r="V231" s="2">
        <f t="shared" ca="1" si="89"/>
        <v>-1992250.6084198025</v>
      </c>
      <c r="W231" s="2">
        <f t="shared" ca="1" si="89"/>
        <v>414010.69862833782</v>
      </c>
      <c r="X231" s="2">
        <f t="shared" ca="1" si="89"/>
        <v>418430.64011405135</v>
      </c>
      <c r="Y231" s="2">
        <f t="shared" ca="1" si="89"/>
        <v>422943.40037096496</v>
      </c>
      <c r="Z231" s="2">
        <f t="shared" ca="1" si="89"/>
        <v>427550.92859327368</v>
      </c>
      <c r="AA231" s="2">
        <f t="shared" ca="1" si="89"/>
        <v>432255.2149082509</v>
      </c>
    </row>
    <row r="232" spans="4:28" customFormat="1" x14ac:dyDescent="0.25"/>
    <row r="233" spans="4:28" customFormat="1" x14ac:dyDescent="0.25">
      <c r="D233" t="s">
        <v>28</v>
      </c>
    </row>
    <row r="234" spans="4:28" customFormat="1" x14ac:dyDescent="0.25">
      <c r="E234" t="s">
        <v>1</v>
      </c>
      <c r="F234" t="s">
        <v>7</v>
      </c>
      <c r="G234" s="2">
        <f t="shared" ref="G234:AA234" si="90">-G26</f>
        <v>-13950889.654371371</v>
      </c>
      <c r="H234" s="2">
        <f t="shared" si="90"/>
        <v>-87839.244880611586</v>
      </c>
      <c r="I234" s="2">
        <f t="shared" si="90"/>
        <v>-1182777.1787592263</v>
      </c>
      <c r="J234" s="2">
        <f t="shared" si="90"/>
        <v>-1112526.5769954645</v>
      </c>
      <c r="K234" s="2">
        <f t="shared" si="90"/>
        <v>0</v>
      </c>
      <c r="L234" s="2">
        <f t="shared" si="90"/>
        <v>0</v>
      </c>
      <c r="M234" s="2">
        <f t="shared" si="90"/>
        <v>0</v>
      </c>
      <c r="N234" s="2">
        <f t="shared" si="90"/>
        <v>0</v>
      </c>
      <c r="O234" s="2">
        <f t="shared" si="90"/>
        <v>0</v>
      </c>
      <c r="P234" s="2">
        <f t="shared" si="90"/>
        <v>0</v>
      </c>
      <c r="Q234" s="2">
        <f t="shared" si="90"/>
        <v>0</v>
      </c>
      <c r="R234" s="2">
        <f t="shared" si="90"/>
        <v>0</v>
      </c>
      <c r="S234" s="2">
        <f t="shared" si="90"/>
        <v>0</v>
      </c>
      <c r="T234" s="2">
        <f t="shared" si="90"/>
        <v>0</v>
      </c>
      <c r="U234" s="2">
        <f t="shared" si="90"/>
        <v>0</v>
      </c>
      <c r="V234" s="2">
        <f t="shared" si="90"/>
        <v>0</v>
      </c>
      <c r="W234" s="2">
        <f t="shared" si="90"/>
        <v>0</v>
      </c>
      <c r="X234" s="2">
        <f t="shared" si="90"/>
        <v>0</v>
      </c>
      <c r="Y234" s="2">
        <f t="shared" si="90"/>
        <v>0</v>
      </c>
      <c r="Z234" s="2">
        <f t="shared" si="90"/>
        <v>0</v>
      </c>
      <c r="AA234" s="2">
        <f t="shared" si="90"/>
        <v>0</v>
      </c>
    </row>
    <row r="235" spans="4:28" customFormat="1" x14ac:dyDescent="0.25">
      <c r="E235" t="s">
        <v>19</v>
      </c>
      <c r="F235" t="s">
        <v>7</v>
      </c>
      <c r="G235" s="2">
        <f t="shared" ref="G235:AA235" si="91">G84</f>
        <v>0</v>
      </c>
      <c r="H235" s="2">
        <f t="shared" si="91"/>
        <v>0</v>
      </c>
      <c r="I235" s="2">
        <f t="shared" si="91"/>
        <v>0</v>
      </c>
      <c r="J235" s="2">
        <f t="shared" si="91"/>
        <v>0</v>
      </c>
      <c r="K235" s="2">
        <f t="shared" si="91"/>
        <v>0</v>
      </c>
      <c r="L235" s="2">
        <f t="shared" si="91"/>
        <v>0</v>
      </c>
      <c r="M235" s="2">
        <f t="shared" si="91"/>
        <v>0</v>
      </c>
      <c r="N235" s="2">
        <f t="shared" si="91"/>
        <v>0</v>
      </c>
      <c r="O235" s="2">
        <f t="shared" si="91"/>
        <v>0</v>
      </c>
      <c r="P235" s="2">
        <f t="shared" si="91"/>
        <v>0</v>
      </c>
      <c r="Q235" s="2">
        <f t="shared" si="91"/>
        <v>0</v>
      </c>
      <c r="R235" s="2">
        <f t="shared" si="91"/>
        <v>0</v>
      </c>
      <c r="S235" s="2">
        <f t="shared" si="91"/>
        <v>0</v>
      </c>
      <c r="T235" s="2">
        <f t="shared" si="91"/>
        <v>0</v>
      </c>
      <c r="U235" s="2">
        <f t="shared" si="91"/>
        <v>0</v>
      </c>
      <c r="V235" s="2">
        <f t="shared" si="91"/>
        <v>0</v>
      </c>
      <c r="W235" s="2">
        <f t="shared" si="91"/>
        <v>0</v>
      </c>
      <c r="X235" s="2">
        <f t="shared" si="91"/>
        <v>0</v>
      </c>
      <c r="Y235" s="2">
        <f t="shared" si="91"/>
        <v>0</v>
      </c>
      <c r="Z235" s="2">
        <f t="shared" si="91"/>
        <v>0</v>
      </c>
      <c r="AA235" s="2">
        <f t="shared" si="91"/>
        <v>0</v>
      </c>
    </row>
    <row r="236" spans="4:28" customFormat="1" x14ac:dyDescent="0.25">
      <c r="E236" t="s">
        <v>109</v>
      </c>
      <c r="F236" t="s">
        <v>7</v>
      </c>
      <c r="G236" s="2">
        <f t="shared" ref="G236:AA236" si="92">G53</f>
        <v>0</v>
      </c>
      <c r="H236" s="2">
        <f t="shared" si="92"/>
        <v>0</v>
      </c>
      <c r="I236" s="2">
        <f t="shared" si="92"/>
        <v>0</v>
      </c>
      <c r="J236" s="2">
        <f t="shared" si="92"/>
        <v>0</v>
      </c>
      <c r="K236" s="2">
        <f t="shared" si="92"/>
        <v>0</v>
      </c>
      <c r="L236" s="2">
        <f t="shared" si="92"/>
        <v>0</v>
      </c>
      <c r="M236" s="2">
        <f t="shared" si="92"/>
        <v>0</v>
      </c>
      <c r="N236" s="2">
        <f t="shared" si="92"/>
        <v>0</v>
      </c>
      <c r="O236" s="2">
        <f t="shared" si="92"/>
        <v>0</v>
      </c>
      <c r="P236" s="2">
        <f t="shared" si="92"/>
        <v>0</v>
      </c>
      <c r="Q236" s="2">
        <f t="shared" si="92"/>
        <v>0</v>
      </c>
      <c r="R236" s="2">
        <f t="shared" si="92"/>
        <v>0</v>
      </c>
      <c r="S236" s="2">
        <f t="shared" si="92"/>
        <v>0</v>
      </c>
      <c r="T236" s="2">
        <f t="shared" si="92"/>
        <v>0</v>
      </c>
      <c r="U236" s="2">
        <f t="shared" si="92"/>
        <v>0</v>
      </c>
      <c r="V236" s="2">
        <f t="shared" si="92"/>
        <v>0</v>
      </c>
      <c r="W236" s="2">
        <f t="shared" si="92"/>
        <v>0</v>
      </c>
      <c r="X236" s="2">
        <f t="shared" si="92"/>
        <v>0</v>
      </c>
      <c r="Y236" s="2">
        <f t="shared" si="92"/>
        <v>0</v>
      </c>
      <c r="Z236" s="2">
        <f t="shared" si="92"/>
        <v>0</v>
      </c>
      <c r="AA236" s="2">
        <f t="shared" si="92"/>
        <v>0</v>
      </c>
    </row>
    <row r="237" spans="4:28" customFormat="1" x14ac:dyDescent="0.25">
      <c r="E237" t="s">
        <v>11</v>
      </c>
      <c r="F237" t="s">
        <v>7</v>
      </c>
      <c r="G237" s="2">
        <f t="shared" ref="G237:AA237" si="93">G177</f>
        <v>0</v>
      </c>
      <c r="H237" s="2">
        <f t="shared" si="93"/>
        <v>42306.065796776937</v>
      </c>
      <c r="I237" s="2">
        <f t="shared" si="93"/>
        <v>83886.844645095291</v>
      </c>
      <c r="J237" s="2">
        <f t="shared" si="93"/>
        <v>129058.8635894646</v>
      </c>
      <c r="K237" s="2">
        <f t="shared" si="93"/>
        <v>174506.92688646764</v>
      </c>
      <c r="L237" s="2">
        <f t="shared" si="93"/>
        <v>220117.55276942407</v>
      </c>
      <c r="M237" s="2">
        <f t="shared" si="93"/>
        <v>265915.4465875178</v>
      </c>
      <c r="N237" s="2">
        <f t="shared" si="93"/>
        <v>311853.67947126919</v>
      </c>
      <c r="O237" s="2">
        <f t="shared" si="93"/>
        <v>357920.79642688832</v>
      </c>
      <c r="P237" s="2">
        <f t="shared" si="93"/>
        <v>408128.75206324406</v>
      </c>
      <c r="Q237" s="2">
        <f t="shared" si="93"/>
        <v>462839.8779473037</v>
      </c>
      <c r="R237" s="2">
        <f t="shared" si="93"/>
        <v>522437.63069917564</v>
      </c>
      <c r="S237" s="2">
        <f t="shared" si="93"/>
        <v>587369.12408353004</v>
      </c>
      <c r="T237" s="2">
        <f t="shared" si="93"/>
        <v>658065.60186047561</v>
      </c>
      <c r="U237" s="2">
        <f t="shared" si="93"/>
        <v>731082.27580994146</v>
      </c>
      <c r="V237" s="2">
        <f t="shared" si="93"/>
        <v>806432.9801807435</v>
      </c>
      <c r="W237" s="2">
        <f t="shared" si="93"/>
        <v>823368.07276453904</v>
      </c>
      <c r="X237" s="2">
        <f t="shared" si="93"/>
        <v>840658.80229259422</v>
      </c>
      <c r="Y237" s="2">
        <f t="shared" si="93"/>
        <v>858312.63714073854</v>
      </c>
      <c r="Z237" s="2">
        <f t="shared" si="93"/>
        <v>876337.202520694</v>
      </c>
      <c r="AA237" s="2">
        <f t="shared" si="93"/>
        <v>894740.28377362853</v>
      </c>
      <c r="AB237" s="2">
        <f t="shared" ref="AB237:AB241" si="94">IF(V237=0,0,IF($G$15&gt;(AA237/V237)^(1/5)-1+2%,AA237*(AA237/V237)^(1/5)/($G$15-((AA237/V237)^(1/5)-1)),AA237*(1+$G$14)/$G$16))</f>
        <v>29824676.125787679</v>
      </c>
    </row>
    <row r="238" spans="4:28" customFormat="1" x14ac:dyDescent="0.25">
      <c r="E238" t="s">
        <v>57</v>
      </c>
      <c r="F238" t="s">
        <v>7</v>
      </c>
      <c r="G238" s="2">
        <f t="shared" ref="G238:AA238" si="95">G224</f>
        <v>0</v>
      </c>
      <c r="H238" s="2">
        <f t="shared" si="95"/>
        <v>0</v>
      </c>
      <c r="I238" s="2">
        <f t="shared" si="95"/>
        <v>0</v>
      </c>
      <c r="J238" s="2">
        <f t="shared" si="95"/>
        <v>0</v>
      </c>
      <c r="K238" s="2">
        <f t="shared" si="95"/>
        <v>0</v>
      </c>
      <c r="L238" s="2">
        <f t="shared" si="95"/>
        <v>0</v>
      </c>
      <c r="M238" s="2">
        <f t="shared" si="95"/>
        <v>0</v>
      </c>
      <c r="N238" s="2">
        <f t="shared" si="95"/>
        <v>0</v>
      </c>
      <c r="O238" s="2">
        <f t="shared" si="95"/>
        <v>0</v>
      </c>
      <c r="P238" s="2">
        <f t="shared" si="95"/>
        <v>0</v>
      </c>
      <c r="Q238" s="2">
        <f t="shared" si="95"/>
        <v>0</v>
      </c>
      <c r="R238" s="2">
        <f t="shared" si="95"/>
        <v>0</v>
      </c>
      <c r="S238" s="2">
        <f t="shared" si="95"/>
        <v>0</v>
      </c>
      <c r="T238" s="2">
        <f t="shared" si="95"/>
        <v>0</v>
      </c>
      <c r="U238" s="2">
        <f t="shared" si="95"/>
        <v>0</v>
      </c>
      <c r="V238" s="2">
        <f t="shared" si="95"/>
        <v>0</v>
      </c>
      <c r="W238" s="2">
        <f t="shared" si="95"/>
        <v>0</v>
      </c>
      <c r="X238" s="2">
        <f t="shared" si="95"/>
        <v>0</v>
      </c>
      <c r="Y238" s="2">
        <f t="shared" si="95"/>
        <v>0</v>
      </c>
      <c r="Z238" s="2">
        <f t="shared" si="95"/>
        <v>0</v>
      </c>
      <c r="AA238" s="2">
        <f t="shared" si="95"/>
        <v>0</v>
      </c>
      <c r="AB238" s="2">
        <f t="shared" si="94"/>
        <v>0</v>
      </c>
    </row>
    <row r="239" spans="4:28" customFormat="1" x14ac:dyDescent="0.25">
      <c r="E239" t="s">
        <v>10</v>
      </c>
      <c r="F239" t="s">
        <v>7</v>
      </c>
      <c r="G239" s="2">
        <f t="shared" ref="G239:AA239" si="96">-G200</f>
        <v>0</v>
      </c>
      <c r="H239" s="2">
        <f t="shared" si="96"/>
        <v>-76207.439999999988</v>
      </c>
      <c r="I239" s="2">
        <f t="shared" si="96"/>
        <v>-155365.40663999994</v>
      </c>
      <c r="J239" s="2">
        <f t="shared" si="96"/>
        <v>-239027.73917537992</v>
      </c>
      <c r="K239" s="2">
        <f t="shared" si="96"/>
        <v>-323201.32878901891</v>
      </c>
      <c r="L239" s="2">
        <f t="shared" si="96"/>
        <v>-407675.99781955511</v>
      </c>
      <c r="M239" s="2">
        <f t="shared" si="96"/>
        <v>-492497.50262650329</v>
      </c>
      <c r="N239" s="2">
        <f t="shared" si="96"/>
        <v>-577578.92704415601</v>
      </c>
      <c r="O239" s="2">
        <f t="shared" si="96"/>
        <v>-662899.05547219166</v>
      </c>
      <c r="P239" s="2">
        <f t="shared" si="96"/>
        <v>-755888.36120907834</v>
      </c>
      <c r="Q239" s="2">
        <f t="shared" si="96"/>
        <v>-857217.9124238306</v>
      </c>
      <c r="R239" s="2">
        <f t="shared" si="96"/>
        <v>-967597.90263921104</v>
      </c>
      <c r="S239" s="2">
        <f t="shared" si="96"/>
        <v>-1087856.423699134</v>
      </c>
      <c r="T239" s="2">
        <f t="shared" si="96"/>
        <v>-1218792.1748803901</v>
      </c>
      <c r="U239" s="2">
        <f t="shared" si="96"/>
        <v>-1354025.1221637677</v>
      </c>
      <c r="V239" s="2">
        <f t="shared" si="96"/>
        <v>-1493580.8877275947</v>
      </c>
      <c r="W239" s="2">
        <f t="shared" si="96"/>
        <v>-1524946.0863698742</v>
      </c>
      <c r="X239" s="2">
        <f t="shared" si="96"/>
        <v>-1556969.9541836414</v>
      </c>
      <c r="Y239" s="2">
        <f t="shared" si="96"/>
        <v>-1589666.3232214977</v>
      </c>
      <c r="Z239" s="2">
        <f t="shared" si="96"/>
        <v>-1623049.3160091487</v>
      </c>
      <c r="AA239" s="2">
        <f t="shared" si="96"/>
        <v>-1657133.3516453407</v>
      </c>
      <c r="AB239" s="2">
        <f t="shared" si="94"/>
        <v>-55237778.388178132</v>
      </c>
    </row>
    <row r="240" spans="4:28" customFormat="1" x14ac:dyDescent="0.25">
      <c r="E240" t="s">
        <v>48</v>
      </c>
      <c r="F240" t="s">
        <v>7</v>
      </c>
      <c r="G240" s="2">
        <f t="shared" ref="G240:AA240" si="97">G207</f>
        <v>0</v>
      </c>
      <c r="H240" s="2">
        <f t="shared" si="97"/>
        <v>0</v>
      </c>
      <c r="I240" s="2">
        <f t="shared" si="97"/>
        <v>0</v>
      </c>
      <c r="J240" s="2">
        <f t="shared" si="97"/>
        <v>0</v>
      </c>
      <c r="K240" s="2">
        <f t="shared" si="97"/>
        <v>0</v>
      </c>
      <c r="L240" s="2">
        <f t="shared" si="97"/>
        <v>0</v>
      </c>
      <c r="M240" s="2">
        <f t="shared" si="97"/>
        <v>0</v>
      </c>
      <c r="N240" s="2">
        <f t="shared" si="97"/>
        <v>0</v>
      </c>
      <c r="O240" s="2">
        <f t="shared" si="97"/>
        <v>0</v>
      </c>
      <c r="P240" s="2">
        <f t="shared" si="97"/>
        <v>0</v>
      </c>
      <c r="Q240" s="2">
        <f t="shared" si="97"/>
        <v>0</v>
      </c>
      <c r="R240" s="2">
        <f t="shared" si="97"/>
        <v>0</v>
      </c>
      <c r="S240" s="2">
        <f t="shared" si="97"/>
        <v>0</v>
      </c>
      <c r="T240" s="2">
        <f t="shared" si="97"/>
        <v>0</v>
      </c>
      <c r="U240" s="2">
        <f t="shared" si="97"/>
        <v>0</v>
      </c>
      <c r="V240" s="2">
        <f t="shared" si="97"/>
        <v>0</v>
      </c>
      <c r="W240" s="2">
        <f t="shared" si="97"/>
        <v>0</v>
      </c>
      <c r="X240" s="2">
        <f t="shared" si="97"/>
        <v>0</v>
      </c>
      <c r="Y240" s="2">
        <f t="shared" si="97"/>
        <v>0</v>
      </c>
      <c r="Z240" s="2">
        <f t="shared" si="97"/>
        <v>0</v>
      </c>
      <c r="AA240" s="2">
        <f t="shared" si="97"/>
        <v>0</v>
      </c>
      <c r="AB240" s="2">
        <f t="shared" si="94"/>
        <v>0</v>
      </c>
    </row>
    <row r="241" spans="3:28" customFormat="1" x14ac:dyDescent="0.25">
      <c r="E241" t="s">
        <v>49</v>
      </c>
      <c r="F241" t="s">
        <v>7</v>
      </c>
      <c r="G241" s="2">
        <f t="shared" ref="G241:AA241" si="98">G214</f>
        <v>0</v>
      </c>
      <c r="H241" s="2">
        <f t="shared" si="98"/>
        <v>0</v>
      </c>
      <c r="I241" s="2">
        <f t="shared" si="98"/>
        <v>0</v>
      </c>
      <c r="J241" s="2">
        <f t="shared" si="98"/>
        <v>0</v>
      </c>
      <c r="K241" s="2">
        <f t="shared" si="98"/>
        <v>0</v>
      </c>
      <c r="L241" s="2">
        <f t="shared" si="98"/>
        <v>0</v>
      </c>
      <c r="M241" s="2">
        <f t="shared" si="98"/>
        <v>0</v>
      </c>
      <c r="N241" s="2">
        <f t="shared" si="98"/>
        <v>0</v>
      </c>
      <c r="O241" s="2">
        <f t="shared" si="98"/>
        <v>0</v>
      </c>
      <c r="P241" s="2">
        <f t="shared" si="98"/>
        <v>0</v>
      </c>
      <c r="Q241" s="2">
        <f t="shared" si="98"/>
        <v>0</v>
      </c>
      <c r="R241" s="2">
        <f t="shared" si="98"/>
        <v>0</v>
      </c>
      <c r="S241" s="2">
        <f t="shared" si="98"/>
        <v>0</v>
      </c>
      <c r="T241" s="2">
        <f t="shared" si="98"/>
        <v>0</v>
      </c>
      <c r="U241" s="2">
        <f t="shared" si="98"/>
        <v>0</v>
      </c>
      <c r="V241" s="2">
        <f t="shared" si="98"/>
        <v>0</v>
      </c>
      <c r="W241" s="2">
        <f t="shared" si="98"/>
        <v>0</v>
      </c>
      <c r="X241" s="2">
        <f t="shared" si="98"/>
        <v>0</v>
      </c>
      <c r="Y241" s="2">
        <f t="shared" si="98"/>
        <v>0</v>
      </c>
      <c r="Z241" s="2">
        <f t="shared" si="98"/>
        <v>0</v>
      </c>
      <c r="AA241" s="2">
        <f t="shared" si="98"/>
        <v>0</v>
      </c>
      <c r="AB241" s="2">
        <f t="shared" si="94"/>
        <v>0</v>
      </c>
    </row>
    <row r="242" spans="3:28" customFormat="1" x14ac:dyDescent="0.25">
      <c r="E242" t="s">
        <v>20</v>
      </c>
      <c r="F242" t="s">
        <v>7</v>
      </c>
      <c r="G242" s="2">
        <f t="shared" ref="G242:AA242" si="99">G231</f>
        <v>52315.836203892635</v>
      </c>
      <c r="H242" s="2">
        <f t="shared" ca="1" si="99"/>
        <v>-1576105.0191860234</v>
      </c>
      <c r="I242" s="2">
        <f t="shared" ca="1" si="99"/>
        <v>-1581098.085604711</v>
      </c>
      <c r="J242" s="2">
        <f t="shared" ca="1" si="99"/>
        <v>-1618017.3793729448</v>
      </c>
      <c r="K242" s="2">
        <f t="shared" ca="1" si="99"/>
        <v>-1570816.9623481836</v>
      </c>
      <c r="L242" s="2">
        <f t="shared" ca="1" si="99"/>
        <v>-1518960.245646229</v>
      </c>
      <c r="M242" s="2">
        <f t="shared" ca="1" si="99"/>
        <v>-1468064.1270097794</v>
      </c>
      <c r="N242" s="2">
        <f t="shared" ca="1" si="99"/>
        <v>-1415262.3634110226</v>
      </c>
      <c r="O242" s="2">
        <f t="shared" ca="1" si="99"/>
        <v>-1362020.3991513993</v>
      </c>
      <c r="P242" s="2">
        <f t="shared" ca="1" si="99"/>
        <v>-1467581.5374195038</v>
      </c>
      <c r="Q242" s="2">
        <f t="shared" ca="1" si="99"/>
        <v>-1582317.1218490442</v>
      </c>
      <c r="R242" s="2">
        <f t="shared" ca="1" si="99"/>
        <v>-1706611.7075912913</v>
      </c>
      <c r="S242" s="2">
        <f t="shared" ca="1" si="99"/>
        <v>-1842507.2644180071</v>
      </c>
      <c r="T242" s="2">
        <f t="shared" ca="1" si="99"/>
        <v>-1988817.6643760218</v>
      </c>
      <c r="U242" s="2">
        <f t="shared" ca="1" si="99"/>
        <v>-1991611.9348887205</v>
      </c>
      <c r="V242" s="2">
        <f t="shared" ca="1" si="99"/>
        <v>-1992250.6084198025</v>
      </c>
      <c r="W242" s="2">
        <f t="shared" ca="1" si="99"/>
        <v>414010.69862833782</v>
      </c>
      <c r="X242" s="2">
        <f t="shared" ca="1" si="99"/>
        <v>418430.64011405135</v>
      </c>
      <c r="Y242" s="2">
        <f t="shared" ca="1" si="99"/>
        <v>422943.40037096496</v>
      </c>
      <c r="Z242" s="2">
        <f t="shared" ca="1" si="99"/>
        <v>427550.92859327368</v>
      </c>
      <c r="AA242" s="2">
        <f t="shared" ca="1" si="99"/>
        <v>432255.2149082509</v>
      </c>
      <c r="AB242" s="2">
        <f ca="1">IF(V242=0,0,IF($G$15&gt;(AA242/V242)^(1/5)-1+2%,AA242*(AA242/V242)^(1/5)/($G$15-((AA242/V242)^(1/5)-1)),AA242*(1+$G$14)/$G$16))</f>
        <v>-178064.16869281718</v>
      </c>
    </row>
    <row r="243" spans="3:28" customFormat="1" x14ac:dyDescent="0.25">
      <c r="E243" t="s">
        <v>173</v>
      </c>
      <c r="F243" t="s">
        <v>7</v>
      </c>
      <c r="G243" s="2">
        <f>-$G$17*G242</f>
        <v>-26157.918101946318</v>
      </c>
      <c r="H243" s="2">
        <f t="shared" ref="H243:AA243" ca="1" si="100">-$G$17*H242</f>
        <v>788052.50959301169</v>
      </c>
      <c r="I243" s="2">
        <f t="shared" ca="1" si="100"/>
        <v>790549.04280235549</v>
      </c>
      <c r="J243" s="2">
        <f t="shared" ca="1" si="100"/>
        <v>809008.68968647241</v>
      </c>
      <c r="K243" s="2">
        <f t="shared" ca="1" si="100"/>
        <v>785408.48117409181</v>
      </c>
      <c r="L243" s="2">
        <f t="shared" ca="1" si="100"/>
        <v>759480.12282311451</v>
      </c>
      <c r="M243" s="2">
        <f t="shared" ca="1" si="100"/>
        <v>734032.06350488972</v>
      </c>
      <c r="N243" s="2">
        <f t="shared" ca="1" si="100"/>
        <v>707631.18170551129</v>
      </c>
      <c r="O243" s="2">
        <f t="shared" ca="1" si="100"/>
        <v>681010.19957569963</v>
      </c>
      <c r="P243" s="2">
        <f t="shared" ca="1" si="100"/>
        <v>733790.76870975189</v>
      </c>
      <c r="Q243" s="2">
        <f t="shared" ca="1" si="100"/>
        <v>791158.56092452211</v>
      </c>
      <c r="R243" s="2">
        <f t="shared" ca="1" si="100"/>
        <v>853305.85379564564</v>
      </c>
      <c r="S243" s="2">
        <f t="shared" ca="1" si="100"/>
        <v>921253.63220900355</v>
      </c>
      <c r="T243" s="2">
        <f t="shared" ca="1" si="100"/>
        <v>994408.83218801091</v>
      </c>
      <c r="U243" s="2">
        <f t="shared" ca="1" si="100"/>
        <v>995805.96744436026</v>
      </c>
      <c r="V243" s="2">
        <f t="shared" ca="1" si="100"/>
        <v>996125.30420990125</v>
      </c>
      <c r="W243" s="2">
        <f t="shared" ca="1" si="100"/>
        <v>-207005.34931416891</v>
      </c>
      <c r="X243" s="2">
        <f t="shared" ca="1" si="100"/>
        <v>-209215.32005702567</v>
      </c>
      <c r="Y243" s="2">
        <f t="shared" ca="1" si="100"/>
        <v>-211471.70018548248</v>
      </c>
      <c r="Z243" s="2">
        <f t="shared" ca="1" si="100"/>
        <v>-213775.46429663684</v>
      </c>
      <c r="AA243" s="2">
        <f t="shared" ca="1" si="100"/>
        <v>-216127.60745412545</v>
      </c>
      <c r="AB243" s="2">
        <f t="shared" ref="AB243" ca="1" si="101">IF(V243=0,0,IF($G$15&gt;(AA243/V243)^(1/5)-1+2%,AA243*(AA243/V243)^(1/5)/($G$15-((AA243/V243)^(1/5)-1)),AA243*(1+$G$14)/$G$16))</f>
        <v>89032.084346408592</v>
      </c>
    </row>
    <row r="244" spans="3:28" customFormat="1" x14ac:dyDescent="0.25">
      <c r="E244" t="s">
        <v>23</v>
      </c>
      <c r="F244" t="s">
        <v>7</v>
      </c>
      <c r="G244" s="2">
        <f>SUM(G234:G243)</f>
        <v>-13924731.736269426</v>
      </c>
      <c r="H244" s="2">
        <f t="shared" ref="H244:AB244" ca="1" si="102">SUM(H234:H243)</f>
        <v>-909793.12867684627</v>
      </c>
      <c r="I244" s="2">
        <f t="shared" ca="1" si="102"/>
        <v>-2044804.7835564862</v>
      </c>
      <c r="J244" s="2">
        <f t="shared" ca="1" si="102"/>
        <v>-2031504.1422678521</v>
      </c>
      <c r="K244" s="2">
        <f t="shared" ca="1" si="102"/>
        <v>-934102.88307664311</v>
      </c>
      <c r="L244" s="2">
        <f t="shared" ca="1" si="102"/>
        <v>-947038.56787324557</v>
      </c>
      <c r="M244" s="2">
        <f t="shared" ca="1" si="102"/>
        <v>-960614.11954387522</v>
      </c>
      <c r="N244" s="2">
        <f t="shared" ca="1" si="102"/>
        <v>-973356.42927839805</v>
      </c>
      <c r="O244" s="2">
        <f t="shared" ca="1" si="102"/>
        <v>-985988.45862100297</v>
      </c>
      <c r="P244" s="2">
        <f t="shared" ca="1" si="102"/>
        <v>-1081550.3778555864</v>
      </c>
      <c r="Q244" s="2">
        <f t="shared" ca="1" si="102"/>
        <v>-1185536.5954010491</v>
      </c>
      <c r="R244" s="2">
        <f t="shared" ca="1" si="102"/>
        <v>-1298466.125735681</v>
      </c>
      <c r="S244" s="2">
        <f t="shared" ca="1" si="102"/>
        <v>-1421740.9318246078</v>
      </c>
      <c r="T244" s="2">
        <f t="shared" ca="1" si="102"/>
        <v>-1555135.4052079252</v>
      </c>
      <c r="U244" s="2">
        <f t="shared" ca="1" si="102"/>
        <v>-1618748.8137981864</v>
      </c>
      <c r="V244" s="2">
        <f t="shared" ca="1" si="102"/>
        <v>-1683273.2117567526</v>
      </c>
      <c r="W244" s="2">
        <f t="shared" ca="1" si="102"/>
        <v>-494572.66429116623</v>
      </c>
      <c r="X244" s="2">
        <f t="shared" ca="1" si="102"/>
        <v>-507095.83183402149</v>
      </c>
      <c r="Y244" s="2">
        <f t="shared" ca="1" si="102"/>
        <v>-519881.98589527665</v>
      </c>
      <c r="Z244" s="2">
        <f t="shared" ca="1" si="102"/>
        <v>-532936.64919181785</v>
      </c>
      <c r="AA244" s="2">
        <f t="shared" ca="1" si="102"/>
        <v>-546265.46041758673</v>
      </c>
      <c r="AB244" s="2">
        <f t="shared" ca="1" si="102"/>
        <v>-25502134.34673686</v>
      </c>
    </row>
    <row r="245" spans="3:28" customFormat="1" x14ac:dyDescent="0.25">
      <c r="E245" t="s">
        <v>31</v>
      </c>
      <c r="F245" t="s">
        <v>7</v>
      </c>
      <c r="G245" s="2">
        <f ca="1">NPV($G$15,H244:AB244)+G244</f>
        <v>-37177413.092516422</v>
      </c>
    </row>
    <row r="247" spans="3:28" customFormat="1" x14ac:dyDescent="0.25">
      <c r="E247" t="s">
        <v>13</v>
      </c>
      <c r="F247" t="s">
        <v>7</v>
      </c>
      <c r="H247" s="2">
        <f t="shared" ref="H247:AA247" ca="1" si="103">H219</f>
        <v>3268135.8452306176</v>
      </c>
      <c r="I247" s="2">
        <f t="shared" ca="1" si="103"/>
        <v>3326037.5446107481</v>
      </c>
      <c r="J247" s="2">
        <f t="shared" ca="1" si="103"/>
        <v>3447918.044602335</v>
      </c>
      <c r="K247" s="2">
        <f t="shared" ca="1" si="103"/>
        <v>3394498.5931503782</v>
      </c>
      <c r="L247" s="2">
        <f t="shared" ca="1" si="103"/>
        <v>3331605.3008474689</v>
      </c>
      <c r="M247" s="2">
        <f t="shared" ca="1" si="103"/>
        <v>3270403.1119532371</v>
      </c>
      <c r="N247" s="2">
        <f t="shared" ca="1" si="103"/>
        <v>3205161.1931877737</v>
      </c>
      <c r="O247" s="2">
        <f t="shared" ca="1" si="103"/>
        <v>3138775.3707769657</v>
      </c>
      <c r="P247" s="2">
        <f t="shared" ca="1" si="103"/>
        <v>3390828.4524149727</v>
      </c>
      <c r="Q247" s="2">
        <f t="shared" ca="1" si="103"/>
        <v>3664753.4111184352</v>
      </c>
      <c r="R247" s="2">
        <f t="shared" ca="1" si="103"/>
        <v>3961623.7771141785</v>
      </c>
      <c r="S247" s="2">
        <f t="shared" ca="1" si="103"/>
        <v>4285856.0029475763</v>
      </c>
      <c r="T247" s="2">
        <f t="shared" ca="1" si="103"/>
        <v>4635443.833696479</v>
      </c>
      <c r="U247" s="2">
        <f t="shared" ca="1" si="103"/>
        <v>4701809.9044674961</v>
      </c>
      <c r="V247" s="2">
        <f t="shared" ca="1" si="103"/>
        <v>4765404.8091490045</v>
      </c>
      <c r="W247" s="2">
        <f t="shared" ca="1" si="103"/>
        <v>0</v>
      </c>
      <c r="X247" s="2">
        <f t="shared" ca="1" si="103"/>
        <v>0</v>
      </c>
      <c r="Y247" s="2">
        <f t="shared" ca="1" si="103"/>
        <v>0</v>
      </c>
      <c r="Z247" s="2">
        <f t="shared" ca="1" si="103"/>
        <v>0</v>
      </c>
      <c r="AA247" s="2">
        <f t="shared" ca="1" si="103"/>
        <v>0</v>
      </c>
    </row>
    <row r="248" spans="3:28" customFormat="1" x14ac:dyDescent="0.25">
      <c r="E248" t="s">
        <v>24</v>
      </c>
      <c r="F248" t="s">
        <v>7</v>
      </c>
      <c r="G248" s="2">
        <f ca="1">NPV($G$15,H247:AA247)+G247</f>
        <v>37177413.092516437</v>
      </c>
    </row>
    <row r="249" spans="3:28" customFormat="1" x14ac:dyDescent="0.25">
      <c r="E249" s="3" t="s">
        <v>34</v>
      </c>
      <c r="F249" s="3"/>
      <c r="G249" s="4" t="str">
        <f ca="1">IF(G245&gt;0,"N/A",IF(ABS(G245+G248)&gt;1,"Error","OK"))</f>
        <v>OK</v>
      </c>
    </row>
    <row r="251" spans="3:28" customFormat="1" x14ac:dyDescent="0.25">
      <c r="C251" s="1" t="s">
        <v>35</v>
      </c>
      <c r="D251" s="1"/>
    </row>
    <row r="252" spans="3:28" customFormat="1" x14ac:dyDescent="0.25">
      <c r="C252" s="1"/>
      <c r="D252" s="1"/>
    </row>
    <row r="253" spans="3:28" customFormat="1" x14ac:dyDescent="0.25">
      <c r="C253" s="1"/>
      <c r="D253" t="s">
        <v>35</v>
      </c>
      <c r="F253" t="s">
        <v>7</v>
      </c>
      <c r="G253" s="8">
        <f ca="1">MAX(0,-G279)</f>
        <v>37182918.147748657</v>
      </c>
    </row>
    <row r="255" spans="3:28" customFormat="1" x14ac:dyDescent="0.25">
      <c r="D255" t="s">
        <v>9</v>
      </c>
    </row>
    <row r="256" spans="3:28" customFormat="1" x14ac:dyDescent="0.25">
      <c r="E256" t="s">
        <v>107</v>
      </c>
      <c r="F256" t="s">
        <v>7</v>
      </c>
      <c r="G256" s="2">
        <f t="shared" ref="G256:AA261" si="104">G222</f>
        <v>0</v>
      </c>
      <c r="H256" s="2">
        <f t="shared" si="104"/>
        <v>2222716.9999999995</v>
      </c>
      <c r="I256" s="2">
        <f t="shared" si="104"/>
        <v>2262096.9699999993</v>
      </c>
      <c r="J256" s="2">
        <f t="shared" si="104"/>
        <v>2344990.0540482495</v>
      </c>
      <c r="K256" s="2">
        <f t="shared" si="104"/>
        <v>2308658.5401528832</v>
      </c>
      <c r="L256" s="2">
        <f t="shared" si="104"/>
        <v>2265883.699507365</v>
      </c>
      <c r="M256" s="2">
        <f t="shared" si="104"/>
        <v>2224259.0082048466</v>
      </c>
      <c r="N256" s="2">
        <f t="shared" si="104"/>
        <v>2179886.8251561397</v>
      </c>
      <c r="O256" s="2">
        <f t="shared" si="104"/>
        <v>2134736.6530031604</v>
      </c>
      <c r="P256" s="2">
        <f t="shared" si="104"/>
        <v>2306162.4125158135</v>
      </c>
      <c r="Q256" s="2">
        <f t="shared" si="104"/>
        <v>2492463.6225230494</v>
      </c>
      <c r="R256" s="2">
        <f t="shared" si="104"/>
        <v>2694370.4099223348</v>
      </c>
      <c r="S256" s="2">
        <f t="shared" si="104"/>
        <v>2914886.4822145733</v>
      </c>
      <c r="T256" s="2">
        <f t="shared" si="104"/>
        <v>3152647.3499375833</v>
      </c>
      <c r="U256" s="2">
        <f t="shared" si="104"/>
        <v>3197784.0886509442</v>
      </c>
      <c r="V256" s="2">
        <f t="shared" si="104"/>
        <v>3241036.1082863132</v>
      </c>
      <c r="W256" s="2">
        <f t="shared" si="104"/>
        <v>0</v>
      </c>
      <c r="X256" s="2">
        <f t="shared" si="104"/>
        <v>0</v>
      </c>
      <c r="Y256" s="2">
        <f t="shared" si="104"/>
        <v>0</v>
      </c>
      <c r="Z256" s="2">
        <f t="shared" si="104"/>
        <v>0</v>
      </c>
      <c r="AA256" s="2">
        <f t="shared" si="104"/>
        <v>0</v>
      </c>
    </row>
    <row r="257" spans="4:28" customFormat="1" x14ac:dyDescent="0.25">
      <c r="E257" t="s">
        <v>11</v>
      </c>
      <c r="F257" t="s">
        <v>7</v>
      </c>
      <c r="G257" s="2">
        <f t="shared" si="104"/>
        <v>0</v>
      </c>
      <c r="H257" s="2">
        <f t="shared" si="104"/>
        <v>42306.065796776937</v>
      </c>
      <c r="I257" s="2">
        <f t="shared" si="104"/>
        <v>83886.844645095291</v>
      </c>
      <c r="J257" s="2">
        <f t="shared" si="104"/>
        <v>129058.8635894646</v>
      </c>
      <c r="K257" s="2">
        <f t="shared" si="104"/>
        <v>174506.92688646764</v>
      </c>
      <c r="L257" s="2">
        <f t="shared" si="104"/>
        <v>220117.55276942407</v>
      </c>
      <c r="M257" s="2">
        <f t="shared" si="104"/>
        <v>265915.4465875178</v>
      </c>
      <c r="N257" s="2">
        <f t="shared" si="104"/>
        <v>311853.67947126919</v>
      </c>
      <c r="O257" s="2">
        <f t="shared" si="104"/>
        <v>357920.79642688832</v>
      </c>
      <c r="P257" s="2">
        <f t="shared" si="104"/>
        <v>408128.75206324406</v>
      </c>
      <c r="Q257" s="2">
        <f t="shared" si="104"/>
        <v>462839.8779473037</v>
      </c>
      <c r="R257" s="2">
        <f t="shared" si="104"/>
        <v>522437.63069917564</v>
      </c>
      <c r="S257" s="2">
        <f t="shared" si="104"/>
        <v>587369.12408353004</v>
      </c>
      <c r="T257" s="2">
        <f t="shared" si="104"/>
        <v>658065.60186047561</v>
      </c>
      <c r="U257" s="2">
        <f t="shared" si="104"/>
        <v>731082.27580994146</v>
      </c>
      <c r="V257" s="2">
        <f t="shared" si="104"/>
        <v>806432.9801807435</v>
      </c>
      <c r="W257" s="2">
        <f t="shared" si="104"/>
        <v>823368.07276453904</v>
      </c>
      <c r="X257" s="2">
        <f t="shared" si="104"/>
        <v>840658.80229259422</v>
      </c>
      <c r="Y257" s="2">
        <f t="shared" si="104"/>
        <v>858312.63714073854</v>
      </c>
      <c r="Z257" s="2">
        <f t="shared" si="104"/>
        <v>876337.202520694</v>
      </c>
      <c r="AA257" s="2">
        <f t="shared" si="104"/>
        <v>894740.28377362853</v>
      </c>
    </row>
    <row r="258" spans="4:28" customFormat="1" x14ac:dyDescent="0.25">
      <c r="E258" t="s">
        <v>57</v>
      </c>
      <c r="F258" t="s">
        <v>7</v>
      </c>
      <c r="G258" s="2">
        <f t="shared" si="104"/>
        <v>0</v>
      </c>
      <c r="H258" s="2">
        <f t="shared" si="104"/>
        <v>0</v>
      </c>
      <c r="I258" s="2">
        <f t="shared" si="104"/>
        <v>0</v>
      </c>
      <c r="J258" s="2">
        <f t="shared" si="104"/>
        <v>0</v>
      </c>
      <c r="K258" s="2">
        <f t="shared" si="104"/>
        <v>0</v>
      </c>
      <c r="L258" s="2">
        <f t="shared" si="104"/>
        <v>0</v>
      </c>
      <c r="M258" s="2">
        <f t="shared" si="104"/>
        <v>0</v>
      </c>
      <c r="N258" s="2">
        <f t="shared" si="104"/>
        <v>0</v>
      </c>
      <c r="O258" s="2">
        <f t="shared" si="104"/>
        <v>0</v>
      </c>
      <c r="P258" s="2">
        <f t="shared" si="104"/>
        <v>0</v>
      </c>
      <c r="Q258" s="2">
        <f t="shared" si="104"/>
        <v>0</v>
      </c>
      <c r="R258" s="2">
        <f t="shared" si="104"/>
        <v>0</v>
      </c>
      <c r="S258" s="2">
        <f t="shared" si="104"/>
        <v>0</v>
      </c>
      <c r="T258" s="2">
        <f t="shared" si="104"/>
        <v>0</v>
      </c>
      <c r="U258" s="2">
        <f t="shared" si="104"/>
        <v>0</v>
      </c>
      <c r="V258" s="2">
        <f t="shared" si="104"/>
        <v>0</v>
      </c>
      <c r="W258" s="2">
        <f t="shared" si="104"/>
        <v>0</v>
      </c>
      <c r="X258" s="2">
        <f t="shared" si="104"/>
        <v>0</v>
      </c>
      <c r="Y258" s="2">
        <f t="shared" si="104"/>
        <v>0</v>
      </c>
      <c r="Z258" s="2">
        <f t="shared" si="104"/>
        <v>0</v>
      </c>
      <c r="AA258" s="2">
        <f t="shared" si="104"/>
        <v>0</v>
      </c>
    </row>
    <row r="259" spans="4:28" customFormat="1" x14ac:dyDescent="0.25">
      <c r="E259" t="s">
        <v>10</v>
      </c>
      <c r="F259" t="s">
        <v>7</v>
      </c>
      <c r="G259" s="2">
        <f t="shared" si="104"/>
        <v>0</v>
      </c>
      <c r="H259" s="2">
        <f t="shared" si="104"/>
        <v>-76207.439999999988</v>
      </c>
      <c r="I259" s="2">
        <f t="shared" si="104"/>
        <v>-155365.40663999994</v>
      </c>
      <c r="J259" s="2">
        <f t="shared" si="104"/>
        <v>-239027.73917537992</v>
      </c>
      <c r="K259" s="2">
        <f t="shared" si="104"/>
        <v>-323201.32878901891</v>
      </c>
      <c r="L259" s="2">
        <f t="shared" si="104"/>
        <v>-407675.99781955511</v>
      </c>
      <c r="M259" s="2">
        <f t="shared" si="104"/>
        <v>-492497.50262650329</v>
      </c>
      <c r="N259" s="2">
        <f t="shared" si="104"/>
        <v>-577578.92704415601</v>
      </c>
      <c r="O259" s="2">
        <f t="shared" si="104"/>
        <v>-662899.05547219166</v>
      </c>
      <c r="P259" s="2">
        <f t="shared" si="104"/>
        <v>-755888.36120907834</v>
      </c>
      <c r="Q259" s="2">
        <f t="shared" si="104"/>
        <v>-857217.9124238306</v>
      </c>
      <c r="R259" s="2">
        <f t="shared" si="104"/>
        <v>-967597.90263921104</v>
      </c>
      <c r="S259" s="2">
        <f t="shared" si="104"/>
        <v>-1087856.423699134</v>
      </c>
      <c r="T259" s="2">
        <f t="shared" si="104"/>
        <v>-1218792.1748803901</v>
      </c>
      <c r="U259" s="2">
        <f t="shared" si="104"/>
        <v>-1354025.1221637677</v>
      </c>
      <c r="V259" s="2">
        <f t="shared" si="104"/>
        <v>-1493580.8877275947</v>
      </c>
      <c r="W259" s="2">
        <f t="shared" si="104"/>
        <v>-1524946.0863698742</v>
      </c>
      <c r="X259" s="2">
        <f t="shared" si="104"/>
        <v>-1556969.9541836414</v>
      </c>
      <c r="Y259" s="2">
        <f t="shared" si="104"/>
        <v>-1589666.3232214977</v>
      </c>
      <c r="Z259" s="2">
        <f t="shared" si="104"/>
        <v>-1623049.3160091487</v>
      </c>
      <c r="AA259" s="2">
        <f t="shared" si="104"/>
        <v>-1657133.3516453407</v>
      </c>
    </row>
    <row r="260" spans="4:28" customFormat="1" x14ac:dyDescent="0.25">
      <c r="E260" t="s">
        <v>12</v>
      </c>
      <c r="F260" t="s">
        <v>7</v>
      </c>
      <c r="G260" s="2">
        <f t="shared" si="104"/>
        <v>-174386.12067964213</v>
      </c>
      <c r="H260" s="2">
        <f t="shared" si="104"/>
        <v>-203268.07374064976</v>
      </c>
      <c r="I260" s="2">
        <f t="shared" si="104"/>
        <v>-246329.00060014008</v>
      </c>
      <c r="J260" s="2">
        <f t="shared" si="104"/>
        <v>-289547.95848818653</v>
      </c>
      <c r="K260" s="2">
        <f t="shared" si="104"/>
        <v>-318406.19024009758</v>
      </c>
      <c r="L260" s="2">
        <f t="shared" si="104"/>
        <v>-346729.73648393957</v>
      </c>
      <c r="M260" s="2">
        <f t="shared" si="104"/>
        <v>-374532.97408650018</v>
      </c>
      <c r="N260" s="2">
        <f t="shared" si="104"/>
        <v>-401781.55940095196</v>
      </c>
      <c r="O260" s="2">
        <f t="shared" si="104"/>
        <v>-428465.76756349142</v>
      </c>
      <c r="P260" s="2">
        <f t="shared" si="104"/>
        <v>-457292.79771993909</v>
      </c>
      <c r="Q260" s="2">
        <f t="shared" si="104"/>
        <v>-488448.59300147719</v>
      </c>
      <c r="R260" s="2">
        <f t="shared" si="104"/>
        <v>-522128.22312550643</v>
      </c>
      <c r="S260" s="2">
        <f t="shared" si="104"/>
        <v>-558564.3041531886</v>
      </c>
      <c r="T260" s="2">
        <f t="shared" si="104"/>
        <v>-597972.39602740831</v>
      </c>
      <c r="U260" s="2">
        <f t="shared" si="104"/>
        <v>-637944.6971355452</v>
      </c>
      <c r="V260" s="2">
        <f t="shared" si="104"/>
        <v>-678457.64848912414</v>
      </c>
      <c r="W260" s="2">
        <f t="shared" si="104"/>
        <v>-678457.64848912414</v>
      </c>
      <c r="X260" s="2">
        <f t="shared" si="104"/>
        <v>-678457.64848912414</v>
      </c>
      <c r="Y260" s="2">
        <f t="shared" si="104"/>
        <v>-678457.64848912414</v>
      </c>
      <c r="Z260" s="2">
        <f t="shared" si="104"/>
        <v>-678457.64848912414</v>
      </c>
      <c r="AA260" s="2">
        <f t="shared" si="104"/>
        <v>-678457.64848912414</v>
      </c>
    </row>
    <row r="261" spans="4:28" customFormat="1" x14ac:dyDescent="0.25">
      <c r="E261" t="s">
        <v>48</v>
      </c>
      <c r="F261" t="s">
        <v>7</v>
      </c>
      <c r="G261" s="2">
        <f t="shared" si="104"/>
        <v>0</v>
      </c>
      <c r="H261" s="2">
        <f t="shared" si="104"/>
        <v>0</v>
      </c>
      <c r="I261" s="2">
        <f t="shared" si="104"/>
        <v>0</v>
      </c>
      <c r="J261" s="2">
        <f t="shared" si="104"/>
        <v>0</v>
      </c>
      <c r="K261" s="2">
        <f t="shared" si="104"/>
        <v>0</v>
      </c>
      <c r="L261" s="2">
        <f t="shared" si="104"/>
        <v>0</v>
      </c>
      <c r="M261" s="2">
        <f t="shared" si="104"/>
        <v>0</v>
      </c>
      <c r="N261" s="2">
        <f t="shared" si="104"/>
        <v>0</v>
      </c>
      <c r="O261" s="2">
        <f t="shared" si="104"/>
        <v>0</v>
      </c>
      <c r="P261" s="2">
        <f t="shared" si="104"/>
        <v>0</v>
      </c>
      <c r="Q261" s="2">
        <f t="shared" si="104"/>
        <v>0</v>
      </c>
      <c r="R261" s="2">
        <f t="shared" si="104"/>
        <v>0</v>
      </c>
      <c r="S261" s="2">
        <f t="shared" si="104"/>
        <v>0</v>
      </c>
      <c r="T261" s="2">
        <f t="shared" si="104"/>
        <v>0</v>
      </c>
      <c r="U261" s="2">
        <f t="shared" si="104"/>
        <v>0</v>
      </c>
      <c r="V261" s="2">
        <f t="shared" si="104"/>
        <v>0</v>
      </c>
      <c r="W261" s="2">
        <f t="shared" si="104"/>
        <v>0</v>
      </c>
      <c r="X261" s="2">
        <f t="shared" si="104"/>
        <v>0</v>
      </c>
      <c r="Y261" s="2">
        <f t="shared" si="104"/>
        <v>0</v>
      </c>
      <c r="Z261" s="2">
        <f t="shared" si="104"/>
        <v>0</v>
      </c>
      <c r="AA261" s="2">
        <f t="shared" si="104"/>
        <v>0</v>
      </c>
    </row>
    <row r="262" spans="4:28" customFormat="1" x14ac:dyDescent="0.25">
      <c r="E262" t="s">
        <v>13</v>
      </c>
      <c r="F262" t="s">
        <v>7</v>
      </c>
      <c r="G262" s="2">
        <f ca="1">G253</f>
        <v>37182918.147748657</v>
      </c>
      <c r="H262" s="2"/>
      <c r="I262" s="2"/>
      <c r="J262" s="2"/>
      <c r="K262" s="2"/>
      <c r="L262" s="2"/>
      <c r="M262" s="2"/>
      <c r="N262" s="2"/>
      <c r="O262" s="2"/>
      <c r="P262" s="2"/>
      <c r="Q262" s="2"/>
      <c r="R262" s="2"/>
      <c r="S262" s="2"/>
      <c r="T262" s="2"/>
      <c r="U262" s="2"/>
      <c r="V262" s="2"/>
      <c r="W262" s="2"/>
      <c r="X262" s="2"/>
      <c r="Y262" s="2"/>
      <c r="Z262" s="2"/>
      <c r="AA262" s="2"/>
    </row>
    <row r="263" spans="4:28" customFormat="1" x14ac:dyDescent="0.25"/>
    <row r="264" spans="4:28" customFormat="1" x14ac:dyDescent="0.25">
      <c r="E264" t="s">
        <v>14</v>
      </c>
      <c r="F264" t="s">
        <v>7</v>
      </c>
      <c r="G264" s="2">
        <f t="shared" ref="G264:AA264" ca="1" si="105">SUM(G256:G262)</f>
        <v>37008532.027069017</v>
      </c>
      <c r="H264" s="2">
        <f t="shared" si="105"/>
        <v>1985547.552056127</v>
      </c>
      <c r="I264" s="2">
        <f t="shared" si="105"/>
        <v>1944289.407404955</v>
      </c>
      <c r="J264" s="2">
        <f t="shared" si="105"/>
        <v>1945473.2199741479</v>
      </c>
      <c r="K264" s="2">
        <f t="shared" si="105"/>
        <v>1841557.9480102342</v>
      </c>
      <c r="L264" s="2">
        <f t="shared" si="105"/>
        <v>1731595.5179732945</v>
      </c>
      <c r="M264" s="2">
        <f t="shared" si="105"/>
        <v>1623143.9780793609</v>
      </c>
      <c r="N264" s="2">
        <f t="shared" si="105"/>
        <v>1512380.018182301</v>
      </c>
      <c r="O264" s="2">
        <f t="shared" si="105"/>
        <v>1401292.6263943654</v>
      </c>
      <c r="P264" s="2">
        <f t="shared" si="105"/>
        <v>1501110.0056500402</v>
      </c>
      <c r="Q264" s="2">
        <f t="shared" si="105"/>
        <v>1609636.9950450456</v>
      </c>
      <c r="R264" s="2">
        <f t="shared" si="105"/>
        <v>1727081.9148567931</v>
      </c>
      <c r="S264" s="2">
        <f t="shared" si="105"/>
        <v>1855834.8784457808</v>
      </c>
      <c r="T264" s="2">
        <f t="shared" si="105"/>
        <v>1993948.3808902607</v>
      </c>
      <c r="U264" s="2">
        <f t="shared" si="105"/>
        <v>1936896.5451615723</v>
      </c>
      <c r="V264" s="2">
        <f t="shared" si="105"/>
        <v>1875430.5522503378</v>
      </c>
      <c r="W264" s="2">
        <f t="shared" si="105"/>
        <v>-1380035.6620944594</v>
      </c>
      <c r="X264" s="2">
        <f t="shared" si="105"/>
        <v>-1394768.8003801713</v>
      </c>
      <c r="Y264" s="2">
        <f t="shared" si="105"/>
        <v>-1409811.3345698833</v>
      </c>
      <c r="Z264" s="2">
        <f t="shared" si="105"/>
        <v>-1425169.761977579</v>
      </c>
      <c r="AA264" s="2">
        <f t="shared" si="105"/>
        <v>-1440850.7163608363</v>
      </c>
    </row>
    <row r="265" spans="4:28" customFormat="1" x14ac:dyDescent="0.25">
      <c r="E265" t="s">
        <v>15</v>
      </c>
      <c r="F265" t="s">
        <v>7</v>
      </c>
      <c r="G265" s="2">
        <f ca="1">-G264*G$18</f>
        <v>-11102559.608120704</v>
      </c>
      <c r="H265" s="2">
        <f t="shared" ref="H265:AA265" si="106">-H264*H$18</f>
        <v>-595664.26561683812</v>
      </c>
      <c r="I265" s="2">
        <f t="shared" si="106"/>
        <v>-583286.82222148648</v>
      </c>
      <c r="J265" s="2">
        <f t="shared" si="106"/>
        <v>-583641.96599224431</v>
      </c>
      <c r="K265" s="2">
        <f t="shared" si="106"/>
        <v>-552467.3844030702</v>
      </c>
      <c r="L265" s="2">
        <f t="shared" si="106"/>
        <v>-519478.65539198834</v>
      </c>
      <c r="M265" s="2">
        <f t="shared" si="106"/>
        <v>-486943.19342380826</v>
      </c>
      <c r="N265" s="2">
        <f t="shared" si="106"/>
        <v>-453714.00545469025</v>
      </c>
      <c r="O265" s="2">
        <f t="shared" si="106"/>
        <v>-420387.78791830962</v>
      </c>
      <c r="P265" s="2">
        <f t="shared" si="106"/>
        <v>-450333.00169501203</v>
      </c>
      <c r="Q265" s="2">
        <f t="shared" si="106"/>
        <v>-482891.09851351369</v>
      </c>
      <c r="R265" s="2">
        <f t="shared" si="106"/>
        <v>-518124.5744570379</v>
      </c>
      <c r="S265" s="2">
        <f t="shared" si="106"/>
        <v>-556750.4635337342</v>
      </c>
      <c r="T265" s="2">
        <f t="shared" si="106"/>
        <v>-598184.51426707814</v>
      </c>
      <c r="U265" s="2">
        <f t="shared" si="106"/>
        <v>-581068.96354847169</v>
      </c>
      <c r="V265" s="2">
        <f t="shared" si="106"/>
        <v>-562629.16567510134</v>
      </c>
      <c r="W265" s="2">
        <f t="shared" si="106"/>
        <v>414010.69862833782</v>
      </c>
      <c r="X265" s="2">
        <f t="shared" si="106"/>
        <v>418430.64011405135</v>
      </c>
      <c r="Y265" s="2">
        <f t="shared" si="106"/>
        <v>422943.40037096496</v>
      </c>
      <c r="Z265" s="2">
        <f t="shared" si="106"/>
        <v>427550.92859327368</v>
      </c>
      <c r="AA265" s="2">
        <f t="shared" si="106"/>
        <v>432255.2149082509</v>
      </c>
    </row>
    <row r="266" spans="4:28" customFormat="1" x14ac:dyDescent="0.25"/>
    <row r="267" spans="4:28" customFormat="1" x14ac:dyDescent="0.25">
      <c r="D267" t="s">
        <v>28</v>
      </c>
    </row>
    <row r="268" spans="4:28" customFormat="1" x14ac:dyDescent="0.25">
      <c r="E268" t="s">
        <v>1</v>
      </c>
      <c r="F268" t="s">
        <v>7</v>
      </c>
      <c r="G268" s="2">
        <f t="shared" ref="G268:AA275" si="107">G234</f>
        <v>-13950889.654371371</v>
      </c>
      <c r="H268" s="2">
        <f t="shared" si="107"/>
        <v>-87839.244880611586</v>
      </c>
      <c r="I268" s="2">
        <f t="shared" si="107"/>
        <v>-1182777.1787592263</v>
      </c>
      <c r="J268" s="2">
        <f t="shared" si="107"/>
        <v>-1112526.5769954645</v>
      </c>
      <c r="K268" s="2">
        <f t="shared" si="107"/>
        <v>0</v>
      </c>
      <c r="L268" s="2">
        <f t="shared" si="107"/>
        <v>0</v>
      </c>
      <c r="M268" s="2">
        <f t="shared" si="107"/>
        <v>0</v>
      </c>
      <c r="N268" s="2">
        <f t="shared" si="107"/>
        <v>0</v>
      </c>
      <c r="O268" s="2">
        <f t="shared" si="107"/>
        <v>0</v>
      </c>
      <c r="P268" s="2">
        <f t="shared" si="107"/>
        <v>0</v>
      </c>
      <c r="Q268" s="2">
        <f t="shared" si="107"/>
        <v>0</v>
      </c>
      <c r="R268" s="2">
        <f t="shared" si="107"/>
        <v>0</v>
      </c>
      <c r="S268" s="2">
        <f t="shared" si="107"/>
        <v>0</v>
      </c>
      <c r="T268" s="2">
        <f t="shared" si="107"/>
        <v>0</v>
      </c>
      <c r="U268" s="2">
        <f t="shared" si="107"/>
        <v>0</v>
      </c>
      <c r="V268" s="2">
        <f t="shared" si="107"/>
        <v>0</v>
      </c>
      <c r="W268" s="2">
        <f t="shared" si="107"/>
        <v>0</v>
      </c>
      <c r="X268" s="2">
        <f t="shared" si="107"/>
        <v>0</v>
      </c>
      <c r="Y268" s="2">
        <f t="shared" si="107"/>
        <v>0</v>
      </c>
      <c r="Z268" s="2">
        <f t="shared" si="107"/>
        <v>0</v>
      </c>
      <c r="AA268" s="2">
        <f t="shared" si="107"/>
        <v>0</v>
      </c>
    </row>
    <row r="269" spans="4:28" customFormat="1" x14ac:dyDescent="0.25">
      <c r="E269" t="s">
        <v>19</v>
      </c>
      <c r="F269" t="s">
        <v>7</v>
      </c>
      <c r="G269" s="2">
        <f t="shared" si="107"/>
        <v>0</v>
      </c>
      <c r="H269" s="2">
        <f t="shared" si="107"/>
        <v>0</v>
      </c>
      <c r="I269" s="2">
        <f t="shared" si="107"/>
        <v>0</v>
      </c>
      <c r="J269" s="2">
        <f t="shared" si="107"/>
        <v>0</v>
      </c>
      <c r="K269" s="2">
        <f t="shared" si="107"/>
        <v>0</v>
      </c>
      <c r="L269" s="2">
        <f t="shared" si="107"/>
        <v>0</v>
      </c>
      <c r="M269" s="2">
        <f t="shared" si="107"/>
        <v>0</v>
      </c>
      <c r="N269" s="2">
        <f t="shared" si="107"/>
        <v>0</v>
      </c>
      <c r="O269" s="2">
        <f t="shared" si="107"/>
        <v>0</v>
      </c>
      <c r="P269" s="2">
        <f t="shared" si="107"/>
        <v>0</v>
      </c>
      <c r="Q269" s="2">
        <f t="shared" si="107"/>
        <v>0</v>
      </c>
      <c r="R269" s="2">
        <f t="shared" si="107"/>
        <v>0</v>
      </c>
      <c r="S269" s="2">
        <f t="shared" si="107"/>
        <v>0</v>
      </c>
      <c r="T269" s="2">
        <f t="shared" si="107"/>
        <v>0</v>
      </c>
      <c r="U269" s="2">
        <f t="shared" si="107"/>
        <v>0</v>
      </c>
      <c r="V269" s="2">
        <f t="shared" si="107"/>
        <v>0</v>
      </c>
      <c r="W269" s="2">
        <f t="shared" si="107"/>
        <v>0</v>
      </c>
      <c r="X269" s="2">
        <f t="shared" si="107"/>
        <v>0</v>
      </c>
      <c r="Y269" s="2">
        <f t="shared" si="107"/>
        <v>0</v>
      </c>
      <c r="Z269" s="2">
        <f t="shared" si="107"/>
        <v>0</v>
      </c>
      <c r="AA269" s="2">
        <f t="shared" si="107"/>
        <v>0</v>
      </c>
    </row>
    <row r="270" spans="4:28" customFormat="1" x14ac:dyDescent="0.25">
      <c r="E270" t="s">
        <v>109</v>
      </c>
      <c r="F270" t="s">
        <v>7</v>
      </c>
      <c r="G270" s="2">
        <f t="shared" si="107"/>
        <v>0</v>
      </c>
      <c r="H270" s="2">
        <f t="shared" si="107"/>
        <v>0</v>
      </c>
      <c r="I270" s="2">
        <f t="shared" si="107"/>
        <v>0</v>
      </c>
      <c r="J270" s="2">
        <f t="shared" si="107"/>
        <v>0</v>
      </c>
      <c r="K270" s="2">
        <f t="shared" si="107"/>
        <v>0</v>
      </c>
      <c r="L270" s="2">
        <f t="shared" si="107"/>
        <v>0</v>
      </c>
      <c r="M270" s="2">
        <f t="shared" si="107"/>
        <v>0</v>
      </c>
      <c r="N270" s="2">
        <f t="shared" si="107"/>
        <v>0</v>
      </c>
      <c r="O270" s="2">
        <f t="shared" si="107"/>
        <v>0</v>
      </c>
      <c r="P270" s="2">
        <f t="shared" si="107"/>
        <v>0</v>
      </c>
      <c r="Q270" s="2">
        <f t="shared" si="107"/>
        <v>0</v>
      </c>
      <c r="R270" s="2">
        <f t="shared" si="107"/>
        <v>0</v>
      </c>
      <c r="S270" s="2">
        <f t="shared" si="107"/>
        <v>0</v>
      </c>
      <c r="T270" s="2">
        <f t="shared" si="107"/>
        <v>0</v>
      </c>
      <c r="U270" s="2">
        <f t="shared" si="107"/>
        <v>0</v>
      </c>
      <c r="V270" s="2">
        <f t="shared" si="107"/>
        <v>0</v>
      </c>
      <c r="W270" s="2">
        <f t="shared" si="107"/>
        <v>0</v>
      </c>
      <c r="X270" s="2">
        <f t="shared" si="107"/>
        <v>0</v>
      </c>
      <c r="Y270" s="2">
        <f t="shared" si="107"/>
        <v>0</v>
      </c>
      <c r="Z270" s="2">
        <f t="shared" si="107"/>
        <v>0</v>
      </c>
      <c r="AA270" s="2">
        <f t="shared" si="107"/>
        <v>0</v>
      </c>
    </row>
    <row r="271" spans="4:28" customFormat="1" x14ac:dyDescent="0.25">
      <c r="E271" t="s">
        <v>11</v>
      </c>
      <c r="F271" t="s">
        <v>7</v>
      </c>
      <c r="G271" s="2">
        <f t="shared" si="107"/>
        <v>0</v>
      </c>
      <c r="H271" s="2">
        <f t="shared" si="107"/>
        <v>42306.065796776937</v>
      </c>
      <c r="I271" s="2">
        <f t="shared" si="107"/>
        <v>83886.844645095291</v>
      </c>
      <c r="J271" s="2">
        <f t="shared" si="107"/>
        <v>129058.8635894646</v>
      </c>
      <c r="K271" s="2">
        <f t="shared" si="107"/>
        <v>174506.92688646764</v>
      </c>
      <c r="L271" s="2">
        <f t="shared" si="107"/>
        <v>220117.55276942407</v>
      </c>
      <c r="M271" s="2">
        <f t="shared" si="107"/>
        <v>265915.4465875178</v>
      </c>
      <c r="N271" s="2">
        <f t="shared" si="107"/>
        <v>311853.67947126919</v>
      </c>
      <c r="O271" s="2">
        <f t="shared" si="107"/>
        <v>357920.79642688832</v>
      </c>
      <c r="P271" s="2">
        <f t="shared" si="107"/>
        <v>408128.75206324406</v>
      </c>
      <c r="Q271" s="2">
        <f t="shared" si="107"/>
        <v>462839.8779473037</v>
      </c>
      <c r="R271" s="2">
        <f t="shared" si="107"/>
        <v>522437.63069917564</v>
      </c>
      <c r="S271" s="2">
        <f t="shared" si="107"/>
        <v>587369.12408353004</v>
      </c>
      <c r="T271" s="2">
        <f t="shared" si="107"/>
        <v>658065.60186047561</v>
      </c>
      <c r="U271" s="2">
        <f t="shared" si="107"/>
        <v>731082.27580994146</v>
      </c>
      <c r="V271" s="2">
        <f t="shared" si="107"/>
        <v>806432.9801807435</v>
      </c>
      <c r="W271" s="2">
        <f t="shared" si="107"/>
        <v>823368.07276453904</v>
      </c>
      <c r="X271" s="2">
        <f t="shared" si="107"/>
        <v>840658.80229259422</v>
      </c>
      <c r="Y271" s="2">
        <f t="shared" si="107"/>
        <v>858312.63714073854</v>
      </c>
      <c r="Z271" s="2">
        <f t="shared" si="107"/>
        <v>876337.202520694</v>
      </c>
      <c r="AA271" s="2">
        <f t="shared" si="107"/>
        <v>894740.28377362853</v>
      </c>
      <c r="AB271" s="2">
        <f t="shared" ref="AB271:AB275" si="108">IF(V271=0,0,IF($G$15&gt;(AA271/V271)^(1/5)-1+2%,AA271*(AA271/V271)^(1/5)/($G$15-((AA271/V271)^(1/5)-1)),AA271*(1+$G$14)/$G$16))</f>
        <v>29824676.125787679</v>
      </c>
    </row>
    <row r="272" spans="4:28" customFormat="1" x14ac:dyDescent="0.25">
      <c r="E272" t="s">
        <v>57</v>
      </c>
      <c r="F272" t="s">
        <v>7</v>
      </c>
      <c r="G272" s="2">
        <f t="shared" si="107"/>
        <v>0</v>
      </c>
      <c r="H272" s="2">
        <f t="shared" si="107"/>
        <v>0</v>
      </c>
      <c r="I272" s="2">
        <f t="shared" si="107"/>
        <v>0</v>
      </c>
      <c r="J272" s="2">
        <f t="shared" si="107"/>
        <v>0</v>
      </c>
      <c r="K272" s="2">
        <f t="shared" si="107"/>
        <v>0</v>
      </c>
      <c r="L272" s="2">
        <f t="shared" si="107"/>
        <v>0</v>
      </c>
      <c r="M272" s="2">
        <f t="shared" si="107"/>
        <v>0</v>
      </c>
      <c r="N272" s="2">
        <f t="shared" si="107"/>
        <v>0</v>
      </c>
      <c r="O272" s="2">
        <f t="shared" si="107"/>
        <v>0</v>
      </c>
      <c r="P272" s="2">
        <f t="shared" si="107"/>
        <v>0</v>
      </c>
      <c r="Q272" s="2">
        <f t="shared" si="107"/>
        <v>0</v>
      </c>
      <c r="R272" s="2">
        <f t="shared" si="107"/>
        <v>0</v>
      </c>
      <c r="S272" s="2">
        <f t="shared" si="107"/>
        <v>0</v>
      </c>
      <c r="T272" s="2">
        <f t="shared" si="107"/>
        <v>0</v>
      </c>
      <c r="U272" s="2">
        <f t="shared" si="107"/>
        <v>0</v>
      </c>
      <c r="V272" s="2">
        <f t="shared" si="107"/>
        <v>0</v>
      </c>
      <c r="W272" s="2">
        <f t="shared" si="107"/>
        <v>0</v>
      </c>
      <c r="X272" s="2">
        <f t="shared" si="107"/>
        <v>0</v>
      </c>
      <c r="Y272" s="2">
        <f t="shared" si="107"/>
        <v>0</v>
      </c>
      <c r="Z272" s="2">
        <f t="shared" si="107"/>
        <v>0</v>
      </c>
      <c r="AA272" s="2">
        <f t="shared" si="107"/>
        <v>0</v>
      </c>
      <c r="AB272" s="2">
        <f t="shared" si="108"/>
        <v>0</v>
      </c>
    </row>
    <row r="273" spans="1:28" x14ac:dyDescent="0.25">
      <c r="E273" t="s">
        <v>10</v>
      </c>
      <c r="F273" t="s">
        <v>7</v>
      </c>
      <c r="G273" s="2">
        <f t="shared" si="107"/>
        <v>0</v>
      </c>
      <c r="H273" s="2">
        <f t="shared" si="107"/>
        <v>-76207.439999999988</v>
      </c>
      <c r="I273" s="2">
        <f t="shared" si="107"/>
        <v>-155365.40663999994</v>
      </c>
      <c r="J273" s="2">
        <f t="shared" si="107"/>
        <v>-239027.73917537992</v>
      </c>
      <c r="K273" s="2">
        <f t="shared" si="107"/>
        <v>-323201.32878901891</v>
      </c>
      <c r="L273" s="2">
        <f t="shared" si="107"/>
        <v>-407675.99781955511</v>
      </c>
      <c r="M273" s="2">
        <f t="shared" si="107"/>
        <v>-492497.50262650329</v>
      </c>
      <c r="N273" s="2">
        <f t="shared" si="107"/>
        <v>-577578.92704415601</v>
      </c>
      <c r="O273" s="2">
        <f t="shared" si="107"/>
        <v>-662899.05547219166</v>
      </c>
      <c r="P273" s="2">
        <f t="shared" si="107"/>
        <v>-755888.36120907834</v>
      </c>
      <c r="Q273" s="2">
        <f t="shared" si="107"/>
        <v>-857217.9124238306</v>
      </c>
      <c r="R273" s="2">
        <f t="shared" si="107"/>
        <v>-967597.90263921104</v>
      </c>
      <c r="S273" s="2">
        <f t="shared" si="107"/>
        <v>-1087856.423699134</v>
      </c>
      <c r="T273" s="2">
        <f t="shared" si="107"/>
        <v>-1218792.1748803901</v>
      </c>
      <c r="U273" s="2">
        <f t="shared" si="107"/>
        <v>-1354025.1221637677</v>
      </c>
      <c r="V273" s="2">
        <f t="shared" si="107"/>
        <v>-1493580.8877275947</v>
      </c>
      <c r="W273" s="2">
        <f t="shared" si="107"/>
        <v>-1524946.0863698742</v>
      </c>
      <c r="X273" s="2">
        <f t="shared" si="107"/>
        <v>-1556969.9541836414</v>
      </c>
      <c r="Y273" s="2">
        <f t="shared" si="107"/>
        <v>-1589666.3232214977</v>
      </c>
      <c r="Z273" s="2">
        <f t="shared" si="107"/>
        <v>-1623049.3160091487</v>
      </c>
      <c r="AA273" s="2">
        <f t="shared" si="107"/>
        <v>-1657133.3516453407</v>
      </c>
      <c r="AB273" s="2">
        <f t="shared" si="108"/>
        <v>-55237778.388178132</v>
      </c>
    </row>
    <row r="274" spans="1:28" x14ac:dyDescent="0.25">
      <c r="E274" t="s">
        <v>48</v>
      </c>
      <c r="F274" t="s">
        <v>7</v>
      </c>
      <c r="G274" s="2">
        <f t="shared" si="107"/>
        <v>0</v>
      </c>
      <c r="H274" s="2">
        <f t="shared" si="107"/>
        <v>0</v>
      </c>
      <c r="I274" s="2">
        <f t="shared" si="107"/>
        <v>0</v>
      </c>
      <c r="J274" s="2">
        <f t="shared" si="107"/>
        <v>0</v>
      </c>
      <c r="K274" s="2">
        <f t="shared" si="107"/>
        <v>0</v>
      </c>
      <c r="L274" s="2">
        <f t="shared" si="107"/>
        <v>0</v>
      </c>
      <c r="M274" s="2">
        <f t="shared" si="107"/>
        <v>0</v>
      </c>
      <c r="N274" s="2">
        <f t="shared" si="107"/>
        <v>0</v>
      </c>
      <c r="O274" s="2">
        <f t="shared" si="107"/>
        <v>0</v>
      </c>
      <c r="P274" s="2">
        <f t="shared" si="107"/>
        <v>0</v>
      </c>
      <c r="Q274" s="2">
        <f t="shared" si="107"/>
        <v>0</v>
      </c>
      <c r="R274" s="2">
        <f t="shared" si="107"/>
        <v>0</v>
      </c>
      <c r="S274" s="2">
        <f t="shared" si="107"/>
        <v>0</v>
      </c>
      <c r="T274" s="2">
        <f t="shared" si="107"/>
        <v>0</v>
      </c>
      <c r="U274" s="2">
        <f t="shared" si="107"/>
        <v>0</v>
      </c>
      <c r="V274" s="2">
        <f t="shared" si="107"/>
        <v>0</v>
      </c>
      <c r="W274" s="2">
        <f t="shared" si="107"/>
        <v>0</v>
      </c>
      <c r="X274" s="2">
        <f t="shared" si="107"/>
        <v>0</v>
      </c>
      <c r="Y274" s="2">
        <f t="shared" si="107"/>
        <v>0</v>
      </c>
      <c r="Z274" s="2">
        <f t="shared" si="107"/>
        <v>0</v>
      </c>
      <c r="AA274" s="2">
        <f t="shared" si="107"/>
        <v>0</v>
      </c>
      <c r="AB274" s="2">
        <f t="shared" si="108"/>
        <v>0</v>
      </c>
    </row>
    <row r="275" spans="1:28" x14ac:dyDescent="0.25">
      <c r="E275" t="s">
        <v>49</v>
      </c>
      <c r="F275" t="s">
        <v>7</v>
      </c>
      <c r="G275" s="2">
        <f t="shared" si="107"/>
        <v>0</v>
      </c>
      <c r="H275" s="2">
        <f t="shared" si="107"/>
        <v>0</v>
      </c>
      <c r="I275" s="2">
        <f t="shared" si="107"/>
        <v>0</v>
      </c>
      <c r="J275" s="2">
        <f t="shared" si="107"/>
        <v>0</v>
      </c>
      <c r="K275" s="2">
        <f t="shared" si="107"/>
        <v>0</v>
      </c>
      <c r="L275" s="2">
        <f t="shared" si="107"/>
        <v>0</v>
      </c>
      <c r="M275" s="2">
        <f t="shared" si="107"/>
        <v>0</v>
      </c>
      <c r="N275" s="2">
        <f t="shared" si="107"/>
        <v>0</v>
      </c>
      <c r="O275" s="2">
        <f t="shared" si="107"/>
        <v>0</v>
      </c>
      <c r="P275" s="2">
        <f t="shared" si="107"/>
        <v>0</v>
      </c>
      <c r="Q275" s="2">
        <f t="shared" si="107"/>
        <v>0</v>
      </c>
      <c r="R275" s="2">
        <f t="shared" si="107"/>
        <v>0</v>
      </c>
      <c r="S275" s="2">
        <f t="shared" si="107"/>
        <v>0</v>
      </c>
      <c r="T275" s="2">
        <f t="shared" si="107"/>
        <v>0</v>
      </c>
      <c r="U275" s="2">
        <f t="shared" si="107"/>
        <v>0</v>
      </c>
      <c r="V275" s="2">
        <f t="shared" si="107"/>
        <v>0</v>
      </c>
      <c r="W275" s="2">
        <f t="shared" si="107"/>
        <v>0</v>
      </c>
      <c r="X275" s="2">
        <f t="shared" si="107"/>
        <v>0</v>
      </c>
      <c r="Y275" s="2">
        <f t="shared" si="107"/>
        <v>0</v>
      </c>
      <c r="Z275" s="2">
        <f t="shared" si="107"/>
        <v>0</v>
      </c>
      <c r="AA275" s="2">
        <f t="shared" si="107"/>
        <v>0</v>
      </c>
      <c r="AB275" s="2">
        <f t="shared" si="108"/>
        <v>0</v>
      </c>
    </row>
    <row r="276" spans="1:28" x14ac:dyDescent="0.25">
      <c r="E276" t="s">
        <v>20</v>
      </c>
      <c r="F276" t="s">
        <v>7</v>
      </c>
      <c r="G276" s="2">
        <f t="shared" ref="G276:AA276" ca="1" si="109">G265</f>
        <v>-11102559.608120704</v>
      </c>
      <c r="H276" s="2">
        <f t="shared" si="109"/>
        <v>-595664.26561683812</v>
      </c>
      <c r="I276" s="2">
        <f t="shared" si="109"/>
        <v>-583286.82222148648</v>
      </c>
      <c r="J276" s="2">
        <f t="shared" si="109"/>
        <v>-583641.96599224431</v>
      </c>
      <c r="K276" s="2">
        <f t="shared" si="109"/>
        <v>-552467.3844030702</v>
      </c>
      <c r="L276" s="2">
        <f t="shared" si="109"/>
        <v>-519478.65539198834</v>
      </c>
      <c r="M276" s="2">
        <f t="shared" si="109"/>
        <v>-486943.19342380826</v>
      </c>
      <c r="N276" s="2">
        <f t="shared" si="109"/>
        <v>-453714.00545469025</v>
      </c>
      <c r="O276" s="2">
        <f t="shared" si="109"/>
        <v>-420387.78791830962</v>
      </c>
      <c r="P276" s="2">
        <f t="shared" si="109"/>
        <v>-450333.00169501203</v>
      </c>
      <c r="Q276" s="2">
        <f t="shared" si="109"/>
        <v>-482891.09851351369</v>
      </c>
      <c r="R276" s="2">
        <f t="shared" si="109"/>
        <v>-518124.5744570379</v>
      </c>
      <c r="S276" s="2">
        <f t="shared" si="109"/>
        <v>-556750.4635337342</v>
      </c>
      <c r="T276" s="2">
        <f t="shared" si="109"/>
        <v>-598184.51426707814</v>
      </c>
      <c r="U276" s="2">
        <f t="shared" si="109"/>
        <v>-581068.96354847169</v>
      </c>
      <c r="V276" s="2">
        <f t="shared" si="109"/>
        <v>-562629.16567510134</v>
      </c>
      <c r="W276" s="2">
        <f t="shared" si="109"/>
        <v>414010.69862833782</v>
      </c>
      <c r="X276" s="2">
        <f t="shared" si="109"/>
        <v>418430.64011405135</v>
      </c>
      <c r="Y276" s="2">
        <f t="shared" si="109"/>
        <v>422943.40037096496</v>
      </c>
      <c r="Z276" s="2">
        <f t="shared" si="109"/>
        <v>427550.92859327368</v>
      </c>
      <c r="AA276" s="2">
        <f t="shared" si="109"/>
        <v>432255.2149082509</v>
      </c>
      <c r="AB276" s="2">
        <f>IF(V276=0,0,IF($G$15&gt;(AA276/V276)^(1/5)-1+2%,AA276*(AA276/V276)^(1/5)/($G$15-((AA276/V276)^(1/5)-1)),AA276*(1+$G$14)/$G$16))</f>
        <v>-205000.15636521371</v>
      </c>
    </row>
    <row r="277" spans="1:28" x14ac:dyDescent="0.25">
      <c r="E277" t="s">
        <v>173</v>
      </c>
      <c r="F277" t="s">
        <v>7</v>
      </c>
      <c r="G277" s="2">
        <f ca="1">-$G$17*G276</f>
        <v>5551279.804060352</v>
      </c>
      <c r="H277" s="2">
        <f t="shared" ref="H277:AA277" si="110">-$G$17*H276</f>
        <v>297832.13280841906</v>
      </c>
      <c r="I277" s="2">
        <f t="shared" si="110"/>
        <v>291643.41111074324</v>
      </c>
      <c r="J277" s="2">
        <f t="shared" si="110"/>
        <v>291820.98299612215</v>
      </c>
      <c r="K277" s="2">
        <f t="shared" si="110"/>
        <v>276233.6922015351</v>
      </c>
      <c r="L277" s="2">
        <f t="shared" si="110"/>
        <v>259739.32769599417</v>
      </c>
      <c r="M277" s="2">
        <f t="shared" si="110"/>
        <v>243471.59671190413</v>
      </c>
      <c r="N277" s="2">
        <f t="shared" si="110"/>
        <v>226857.00272734513</v>
      </c>
      <c r="O277" s="2">
        <f t="shared" si="110"/>
        <v>210193.89395915481</v>
      </c>
      <c r="P277" s="2">
        <f t="shared" si="110"/>
        <v>225166.50084750602</v>
      </c>
      <c r="Q277" s="2">
        <f t="shared" si="110"/>
        <v>241445.54925675684</v>
      </c>
      <c r="R277" s="2">
        <f t="shared" si="110"/>
        <v>259062.28722851895</v>
      </c>
      <c r="S277" s="2">
        <f t="shared" si="110"/>
        <v>278375.2317668671</v>
      </c>
      <c r="T277" s="2">
        <f t="shared" si="110"/>
        <v>299092.25713353907</v>
      </c>
      <c r="U277" s="2">
        <f t="shared" si="110"/>
        <v>290534.48177423584</v>
      </c>
      <c r="V277" s="2">
        <f t="shared" si="110"/>
        <v>281314.58283755067</v>
      </c>
      <c r="W277" s="2">
        <f t="shared" si="110"/>
        <v>-207005.34931416891</v>
      </c>
      <c r="X277" s="2">
        <f t="shared" si="110"/>
        <v>-209215.32005702567</v>
      </c>
      <c r="Y277" s="2">
        <f t="shared" si="110"/>
        <v>-211471.70018548248</v>
      </c>
      <c r="Z277" s="2">
        <f t="shared" si="110"/>
        <v>-213775.46429663684</v>
      </c>
      <c r="AA277" s="2">
        <f t="shared" si="110"/>
        <v>-216127.60745412545</v>
      </c>
      <c r="AB277" s="2">
        <f t="shared" ref="AB277" si="111">IF(V277=0,0,IF($G$15&gt;(AA277/V277)^(1/5)-1+2%,AA277*(AA277/V277)^(1/5)/($G$15-((AA277/V277)^(1/5)-1)),AA277*(1+$G$14)/$G$16))</f>
        <v>102500.07818260686</v>
      </c>
    </row>
    <row r="278" spans="1:28" x14ac:dyDescent="0.25">
      <c r="E278" t="s">
        <v>23</v>
      </c>
      <c r="F278" t="s">
        <v>7</v>
      </c>
      <c r="G278" s="2">
        <f t="shared" ref="G278:AB278" ca="1" si="112">SUM(G268:G277)</f>
        <v>-19502169.458431724</v>
      </c>
      <c r="H278" s="2">
        <f t="shared" si="112"/>
        <v>-419572.75189225364</v>
      </c>
      <c r="I278" s="2">
        <f t="shared" si="112"/>
        <v>-1545899.1518648744</v>
      </c>
      <c r="J278" s="2">
        <f t="shared" si="112"/>
        <v>-1514316.4355775018</v>
      </c>
      <c r="K278" s="2">
        <f t="shared" si="112"/>
        <v>-424928.0941040864</v>
      </c>
      <c r="L278" s="2">
        <f t="shared" si="112"/>
        <v>-447297.77274612524</v>
      </c>
      <c r="M278" s="2">
        <f t="shared" si="112"/>
        <v>-470053.65275088965</v>
      </c>
      <c r="N278" s="2">
        <f t="shared" si="112"/>
        <v>-492582.25030023197</v>
      </c>
      <c r="O278" s="2">
        <f t="shared" si="112"/>
        <v>-515172.15300445817</v>
      </c>
      <c r="P278" s="2">
        <f t="shared" si="112"/>
        <v>-572926.10999334033</v>
      </c>
      <c r="Q278" s="2">
        <f t="shared" si="112"/>
        <v>-635823.58373328368</v>
      </c>
      <c r="R278" s="2">
        <f t="shared" si="112"/>
        <v>-704222.55916855426</v>
      </c>
      <c r="S278" s="2">
        <f t="shared" si="112"/>
        <v>-778862.53138247121</v>
      </c>
      <c r="T278" s="2">
        <f t="shared" si="112"/>
        <v>-859818.8301534534</v>
      </c>
      <c r="U278" s="2">
        <f t="shared" si="112"/>
        <v>-913477.32812806196</v>
      </c>
      <c r="V278" s="2">
        <f t="shared" si="112"/>
        <v>-968462.49038440199</v>
      </c>
      <c r="W278" s="2">
        <f t="shared" si="112"/>
        <v>-494572.66429116623</v>
      </c>
      <c r="X278" s="2">
        <f t="shared" si="112"/>
        <v>-507095.83183402149</v>
      </c>
      <c r="Y278" s="2">
        <f t="shared" si="112"/>
        <v>-519881.98589527665</v>
      </c>
      <c r="Z278" s="2">
        <f t="shared" si="112"/>
        <v>-532936.64919181785</v>
      </c>
      <c r="AA278" s="2">
        <f t="shared" si="112"/>
        <v>-546265.46041758673</v>
      </c>
      <c r="AB278" s="2">
        <f t="shared" si="112"/>
        <v>-25515602.340573058</v>
      </c>
    </row>
    <row r="279" spans="1:28" x14ac:dyDescent="0.25">
      <c r="E279" t="s">
        <v>31</v>
      </c>
      <c r="F279" t="s">
        <v>7</v>
      </c>
      <c r="G279" s="2">
        <f ca="1">NPV($G$15,H278:AB278)+G278</f>
        <v>-37182918.147748657</v>
      </c>
    </row>
    <row r="280" spans="1:28" x14ac:dyDescent="0.25">
      <c r="E280" s="3" t="s">
        <v>34</v>
      </c>
      <c r="F280" s="3"/>
      <c r="G280" s="4" t="str">
        <f ca="1">IF(G279&gt;0,"N/A",IF(ABS(G279+G253)&gt;1,"Error","OK"))</f>
        <v>OK</v>
      </c>
    </row>
    <row r="282" spans="1:28" x14ac:dyDescent="0.25">
      <c r="C282" s="1" t="s">
        <v>36</v>
      </c>
      <c r="D282" s="1"/>
    </row>
    <row r="283" spans="1:28" x14ac:dyDescent="0.25">
      <c r="A283" s="14">
        <f>'Notes &amp; Assumptions'!A67</f>
        <v>54</v>
      </c>
      <c r="C283" s="1"/>
      <c r="D283" s="1"/>
      <c r="E283" t="s">
        <v>42</v>
      </c>
      <c r="F283" t="s">
        <v>3</v>
      </c>
      <c r="G283" s="10"/>
      <c r="H283" s="10">
        <v>1</v>
      </c>
      <c r="I283" s="10">
        <v>1</v>
      </c>
      <c r="J283" s="10">
        <v>1</v>
      </c>
      <c r="K283" s="10">
        <v>1</v>
      </c>
      <c r="L283" s="10">
        <v>1</v>
      </c>
      <c r="M283" s="10">
        <v>1</v>
      </c>
      <c r="N283" s="10">
        <v>1</v>
      </c>
      <c r="O283" s="10">
        <v>1</v>
      </c>
      <c r="P283" s="10">
        <v>1</v>
      </c>
      <c r="Q283" s="10">
        <v>1</v>
      </c>
      <c r="R283" s="10">
        <v>1</v>
      </c>
      <c r="S283" s="10">
        <v>1</v>
      </c>
      <c r="T283" s="10">
        <v>1</v>
      </c>
      <c r="U283" s="10">
        <v>1</v>
      </c>
      <c r="V283" s="10">
        <v>1</v>
      </c>
      <c r="W283" s="10">
        <v>0</v>
      </c>
      <c r="X283" s="10">
        <v>0</v>
      </c>
      <c r="Y283" s="10">
        <v>0</v>
      </c>
      <c r="Z283" s="10">
        <v>0</v>
      </c>
      <c r="AA283" s="10">
        <v>0</v>
      </c>
    </row>
    <row r="284" spans="1:28" x14ac:dyDescent="0.25">
      <c r="E284" t="s">
        <v>37</v>
      </c>
      <c r="F284" t="s">
        <v>38</v>
      </c>
      <c r="G284" s="8">
        <f ca="1">MAX(0,-G311/(NPV($G$16,H283:AA283)+G283))</f>
        <v>3114253.5693201656</v>
      </c>
      <c r="H284" s="2">
        <f t="shared" ref="H284:AA284" ca="1" si="113">G284*(1+$G$14)</f>
        <v>3179652.8942758888</v>
      </c>
      <c r="I284" s="2">
        <f t="shared" ca="1" si="113"/>
        <v>3246425.6050556824</v>
      </c>
      <c r="J284" s="2">
        <f t="shared" ca="1" si="113"/>
        <v>3314600.5427618516</v>
      </c>
      <c r="K284" s="2">
        <f t="shared" ca="1" si="113"/>
        <v>3384207.15415985</v>
      </c>
      <c r="L284" s="2">
        <f t="shared" ca="1" si="113"/>
        <v>3455275.5043972065</v>
      </c>
      <c r="M284" s="2">
        <f t="shared" ca="1" si="113"/>
        <v>3527836.2899895473</v>
      </c>
      <c r="N284" s="2">
        <f t="shared" ca="1" si="113"/>
        <v>3601920.8520793277</v>
      </c>
      <c r="O284" s="2">
        <f t="shared" ca="1" si="113"/>
        <v>3677561.1899729935</v>
      </c>
      <c r="P284" s="2">
        <f t="shared" ca="1" si="113"/>
        <v>3754789.9749624259</v>
      </c>
      <c r="Q284" s="2">
        <f t="shared" ca="1" si="113"/>
        <v>3833640.5644366364</v>
      </c>
      <c r="R284" s="2">
        <f t="shared" ca="1" si="113"/>
        <v>3914147.0162898055</v>
      </c>
      <c r="S284" s="2">
        <f t="shared" ca="1" si="113"/>
        <v>3996344.1036318913</v>
      </c>
      <c r="T284" s="2">
        <f t="shared" ca="1" si="113"/>
        <v>4080267.3298081607</v>
      </c>
      <c r="U284" s="2">
        <f t="shared" ca="1" si="113"/>
        <v>4165952.9437341318</v>
      </c>
      <c r="V284" s="2">
        <f t="shared" ca="1" si="113"/>
        <v>4253437.9555525482</v>
      </c>
      <c r="W284" s="2">
        <f t="shared" ca="1" si="113"/>
        <v>4342760.1526191514</v>
      </c>
      <c r="X284" s="2">
        <f t="shared" ca="1" si="113"/>
        <v>4433958.1158241527</v>
      </c>
      <c r="Y284" s="2">
        <f t="shared" ca="1" si="113"/>
        <v>4527071.2362564597</v>
      </c>
      <c r="Z284" s="2">
        <f t="shared" ca="1" si="113"/>
        <v>4622139.7322178446</v>
      </c>
      <c r="AA284" s="2">
        <f t="shared" ca="1" si="113"/>
        <v>4719204.6665944187</v>
      </c>
    </row>
    <row r="285" spans="1:28" x14ac:dyDescent="0.25">
      <c r="E285" t="s">
        <v>21</v>
      </c>
      <c r="F285" t="s">
        <v>7</v>
      </c>
      <c r="G285" s="2">
        <f ca="1">G283*G284</f>
        <v>0</v>
      </c>
      <c r="H285" s="2">
        <f t="shared" ref="H285:AA285" ca="1" si="114">H283*H284</f>
        <v>3179652.8942758888</v>
      </c>
      <c r="I285" s="2">
        <f t="shared" ca="1" si="114"/>
        <v>3246425.6050556824</v>
      </c>
      <c r="J285" s="2">
        <f t="shared" ca="1" si="114"/>
        <v>3314600.5427618516</v>
      </c>
      <c r="K285" s="2">
        <f t="shared" ca="1" si="114"/>
        <v>3384207.15415985</v>
      </c>
      <c r="L285" s="2">
        <f t="shared" ca="1" si="114"/>
        <v>3455275.5043972065</v>
      </c>
      <c r="M285" s="2">
        <f t="shared" ca="1" si="114"/>
        <v>3527836.2899895473</v>
      </c>
      <c r="N285" s="2">
        <f t="shared" ca="1" si="114"/>
        <v>3601920.8520793277</v>
      </c>
      <c r="O285" s="2">
        <f t="shared" ca="1" si="114"/>
        <v>3677561.1899729935</v>
      </c>
      <c r="P285" s="2">
        <f t="shared" ca="1" si="114"/>
        <v>3754789.9749624259</v>
      </c>
      <c r="Q285" s="2">
        <f t="shared" ca="1" si="114"/>
        <v>3833640.5644366364</v>
      </c>
      <c r="R285" s="2">
        <f t="shared" ca="1" si="114"/>
        <v>3914147.0162898055</v>
      </c>
      <c r="S285" s="2">
        <f t="shared" ca="1" si="114"/>
        <v>3996344.1036318913</v>
      </c>
      <c r="T285" s="2">
        <f t="shared" ca="1" si="114"/>
        <v>4080267.3298081607</v>
      </c>
      <c r="U285" s="2">
        <f t="shared" ca="1" si="114"/>
        <v>4165952.9437341318</v>
      </c>
      <c r="V285" s="2">
        <f t="shared" ca="1" si="114"/>
        <v>4253437.9555525482</v>
      </c>
      <c r="W285" s="2">
        <f t="shared" ca="1" si="114"/>
        <v>0</v>
      </c>
      <c r="X285" s="2">
        <f t="shared" ca="1" si="114"/>
        <v>0</v>
      </c>
      <c r="Y285" s="2">
        <f t="shared" ca="1" si="114"/>
        <v>0</v>
      </c>
      <c r="Z285" s="2">
        <f t="shared" ca="1" si="114"/>
        <v>0</v>
      </c>
      <c r="AA285" s="2">
        <f t="shared" ca="1" si="114"/>
        <v>0</v>
      </c>
    </row>
    <row r="286" spans="1:28" x14ac:dyDescent="0.25">
      <c r="G286" s="8">
        <f ca="1">-G311/(NPV($G$16,H283:AA283)+G283)</f>
        <v>3114253.5693201656</v>
      </c>
    </row>
    <row r="287" spans="1:28" x14ac:dyDescent="0.25">
      <c r="D287" t="s">
        <v>9</v>
      </c>
    </row>
    <row r="288" spans="1:28" x14ac:dyDescent="0.25">
      <c r="E288" t="s">
        <v>107</v>
      </c>
      <c r="F288" t="s">
        <v>7</v>
      </c>
      <c r="G288" s="2">
        <f t="shared" ref="G288:AA293" si="115">G222</f>
        <v>0</v>
      </c>
      <c r="H288" s="2">
        <f t="shared" si="115"/>
        <v>2222716.9999999995</v>
      </c>
      <c r="I288" s="2">
        <f t="shared" si="115"/>
        <v>2262096.9699999993</v>
      </c>
      <c r="J288" s="2">
        <f t="shared" si="115"/>
        <v>2344990.0540482495</v>
      </c>
      <c r="K288" s="2">
        <f t="shared" si="115"/>
        <v>2308658.5401528832</v>
      </c>
      <c r="L288" s="2">
        <f t="shared" si="115"/>
        <v>2265883.699507365</v>
      </c>
      <c r="M288" s="2">
        <f t="shared" si="115"/>
        <v>2224259.0082048466</v>
      </c>
      <c r="N288" s="2">
        <f t="shared" si="115"/>
        <v>2179886.8251561397</v>
      </c>
      <c r="O288" s="2">
        <f t="shared" si="115"/>
        <v>2134736.6530031604</v>
      </c>
      <c r="P288" s="2">
        <f t="shared" si="115"/>
        <v>2306162.4125158135</v>
      </c>
      <c r="Q288" s="2">
        <f t="shared" si="115"/>
        <v>2492463.6225230494</v>
      </c>
      <c r="R288" s="2">
        <f t="shared" si="115"/>
        <v>2694370.4099223348</v>
      </c>
      <c r="S288" s="2">
        <f t="shared" si="115"/>
        <v>2914886.4822145733</v>
      </c>
      <c r="T288" s="2">
        <f t="shared" si="115"/>
        <v>3152647.3499375833</v>
      </c>
      <c r="U288" s="2">
        <f t="shared" si="115"/>
        <v>3197784.0886509442</v>
      </c>
      <c r="V288" s="2">
        <f t="shared" si="115"/>
        <v>3241036.1082863132</v>
      </c>
      <c r="W288" s="2">
        <f t="shared" si="115"/>
        <v>0</v>
      </c>
      <c r="X288" s="2">
        <f t="shared" si="115"/>
        <v>0</v>
      </c>
      <c r="Y288" s="2">
        <f t="shared" si="115"/>
        <v>0</v>
      </c>
      <c r="Z288" s="2">
        <f t="shared" si="115"/>
        <v>0</v>
      </c>
      <c r="AA288" s="2">
        <f t="shared" si="115"/>
        <v>0</v>
      </c>
    </row>
    <row r="289" spans="4:28" customFormat="1" x14ac:dyDescent="0.25">
      <c r="E289" t="s">
        <v>11</v>
      </c>
      <c r="F289" t="s">
        <v>7</v>
      </c>
      <c r="G289" s="2">
        <f t="shared" si="115"/>
        <v>0</v>
      </c>
      <c r="H289" s="2">
        <f t="shared" si="115"/>
        <v>42306.065796776937</v>
      </c>
      <c r="I289" s="2">
        <f t="shared" si="115"/>
        <v>83886.844645095291</v>
      </c>
      <c r="J289" s="2">
        <f t="shared" si="115"/>
        <v>129058.8635894646</v>
      </c>
      <c r="K289" s="2">
        <f t="shared" si="115"/>
        <v>174506.92688646764</v>
      </c>
      <c r="L289" s="2">
        <f t="shared" si="115"/>
        <v>220117.55276942407</v>
      </c>
      <c r="M289" s="2">
        <f t="shared" si="115"/>
        <v>265915.4465875178</v>
      </c>
      <c r="N289" s="2">
        <f t="shared" si="115"/>
        <v>311853.67947126919</v>
      </c>
      <c r="O289" s="2">
        <f t="shared" si="115"/>
        <v>357920.79642688832</v>
      </c>
      <c r="P289" s="2">
        <f t="shared" si="115"/>
        <v>408128.75206324406</v>
      </c>
      <c r="Q289" s="2">
        <f t="shared" si="115"/>
        <v>462839.8779473037</v>
      </c>
      <c r="R289" s="2">
        <f t="shared" si="115"/>
        <v>522437.63069917564</v>
      </c>
      <c r="S289" s="2">
        <f t="shared" si="115"/>
        <v>587369.12408353004</v>
      </c>
      <c r="T289" s="2">
        <f t="shared" si="115"/>
        <v>658065.60186047561</v>
      </c>
      <c r="U289" s="2">
        <f t="shared" si="115"/>
        <v>731082.27580994146</v>
      </c>
      <c r="V289" s="2">
        <f t="shared" si="115"/>
        <v>806432.9801807435</v>
      </c>
      <c r="W289" s="2">
        <f t="shared" si="115"/>
        <v>823368.07276453904</v>
      </c>
      <c r="X289" s="2">
        <f t="shared" si="115"/>
        <v>840658.80229259422</v>
      </c>
      <c r="Y289" s="2">
        <f t="shared" si="115"/>
        <v>858312.63714073854</v>
      </c>
      <c r="Z289" s="2">
        <f t="shared" si="115"/>
        <v>876337.202520694</v>
      </c>
      <c r="AA289" s="2">
        <f t="shared" si="115"/>
        <v>894740.28377362853</v>
      </c>
    </row>
    <row r="290" spans="4:28" customFormat="1" x14ac:dyDescent="0.25">
      <c r="E290" t="s">
        <v>57</v>
      </c>
      <c r="F290" t="s">
        <v>7</v>
      </c>
      <c r="G290" s="2">
        <f t="shared" si="115"/>
        <v>0</v>
      </c>
      <c r="H290" s="2">
        <f t="shared" si="115"/>
        <v>0</v>
      </c>
      <c r="I290" s="2">
        <f t="shared" si="115"/>
        <v>0</v>
      </c>
      <c r="J290" s="2">
        <f t="shared" si="115"/>
        <v>0</v>
      </c>
      <c r="K290" s="2">
        <f t="shared" si="115"/>
        <v>0</v>
      </c>
      <c r="L290" s="2">
        <f t="shared" si="115"/>
        <v>0</v>
      </c>
      <c r="M290" s="2">
        <f t="shared" si="115"/>
        <v>0</v>
      </c>
      <c r="N290" s="2">
        <f t="shared" si="115"/>
        <v>0</v>
      </c>
      <c r="O290" s="2">
        <f t="shared" si="115"/>
        <v>0</v>
      </c>
      <c r="P290" s="2">
        <f t="shared" si="115"/>
        <v>0</v>
      </c>
      <c r="Q290" s="2">
        <f t="shared" si="115"/>
        <v>0</v>
      </c>
      <c r="R290" s="2">
        <f t="shared" si="115"/>
        <v>0</v>
      </c>
      <c r="S290" s="2">
        <f t="shared" si="115"/>
        <v>0</v>
      </c>
      <c r="T290" s="2">
        <f t="shared" si="115"/>
        <v>0</v>
      </c>
      <c r="U290" s="2">
        <f t="shared" si="115"/>
        <v>0</v>
      </c>
      <c r="V290" s="2">
        <f t="shared" si="115"/>
        <v>0</v>
      </c>
      <c r="W290" s="2">
        <f t="shared" si="115"/>
        <v>0</v>
      </c>
      <c r="X290" s="2">
        <f t="shared" si="115"/>
        <v>0</v>
      </c>
      <c r="Y290" s="2">
        <f t="shared" si="115"/>
        <v>0</v>
      </c>
      <c r="Z290" s="2">
        <f t="shared" si="115"/>
        <v>0</v>
      </c>
      <c r="AA290" s="2">
        <f t="shared" si="115"/>
        <v>0</v>
      </c>
    </row>
    <row r="291" spans="4:28" customFormat="1" x14ac:dyDescent="0.25">
      <c r="E291" t="s">
        <v>10</v>
      </c>
      <c r="F291" t="s">
        <v>7</v>
      </c>
      <c r="G291" s="2">
        <f t="shared" si="115"/>
        <v>0</v>
      </c>
      <c r="H291" s="2">
        <f t="shared" si="115"/>
        <v>-76207.439999999988</v>
      </c>
      <c r="I291" s="2">
        <f t="shared" si="115"/>
        <v>-155365.40663999994</v>
      </c>
      <c r="J291" s="2">
        <f t="shared" si="115"/>
        <v>-239027.73917537992</v>
      </c>
      <c r="K291" s="2">
        <f t="shared" si="115"/>
        <v>-323201.32878901891</v>
      </c>
      <c r="L291" s="2">
        <f t="shared" si="115"/>
        <v>-407675.99781955511</v>
      </c>
      <c r="M291" s="2">
        <f t="shared" si="115"/>
        <v>-492497.50262650329</v>
      </c>
      <c r="N291" s="2">
        <f t="shared" si="115"/>
        <v>-577578.92704415601</v>
      </c>
      <c r="O291" s="2">
        <f t="shared" si="115"/>
        <v>-662899.05547219166</v>
      </c>
      <c r="P291" s="2">
        <f t="shared" si="115"/>
        <v>-755888.36120907834</v>
      </c>
      <c r="Q291" s="2">
        <f t="shared" si="115"/>
        <v>-857217.9124238306</v>
      </c>
      <c r="R291" s="2">
        <f t="shared" si="115"/>
        <v>-967597.90263921104</v>
      </c>
      <c r="S291" s="2">
        <f t="shared" si="115"/>
        <v>-1087856.423699134</v>
      </c>
      <c r="T291" s="2">
        <f t="shared" si="115"/>
        <v>-1218792.1748803901</v>
      </c>
      <c r="U291" s="2">
        <f t="shared" si="115"/>
        <v>-1354025.1221637677</v>
      </c>
      <c r="V291" s="2">
        <f t="shared" si="115"/>
        <v>-1493580.8877275947</v>
      </c>
      <c r="W291" s="2">
        <f t="shared" si="115"/>
        <v>-1524946.0863698742</v>
      </c>
      <c r="X291" s="2">
        <f t="shared" si="115"/>
        <v>-1556969.9541836414</v>
      </c>
      <c r="Y291" s="2">
        <f t="shared" si="115"/>
        <v>-1589666.3232214977</v>
      </c>
      <c r="Z291" s="2">
        <f t="shared" si="115"/>
        <v>-1623049.3160091487</v>
      </c>
      <c r="AA291" s="2">
        <f t="shared" si="115"/>
        <v>-1657133.3516453407</v>
      </c>
    </row>
    <row r="292" spans="4:28" customFormat="1" x14ac:dyDescent="0.25">
      <c r="E292" t="s">
        <v>12</v>
      </c>
      <c r="F292" t="s">
        <v>7</v>
      </c>
      <c r="G292" s="2">
        <f t="shared" si="115"/>
        <v>-174386.12067964213</v>
      </c>
      <c r="H292" s="2">
        <f t="shared" si="115"/>
        <v>-203268.07374064976</v>
      </c>
      <c r="I292" s="2">
        <f t="shared" si="115"/>
        <v>-246329.00060014008</v>
      </c>
      <c r="J292" s="2">
        <f t="shared" si="115"/>
        <v>-289547.95848818653</v>
      </c>
      <c r="K292" s="2">
        <f t="shared" si="115"/>
        <v>-318406.19024009758</v>
      </c>
      <c r="L292" s="2">
        <f t="shared" si="115"/>
        <v>-346729.73648393957</v>
      </c>
      <c r="M292" s="2">
        <f t="shared" si="115"/>
        <v>-374532.97408650018</v>
      </c>
      <c r="N292" s="2">
        <f t="shared" si="115"/>
        <v>-401781.55940095196</v>
      </c>
      <c r="O292" s="2">
        <f t="shared" si="115"/>
        <v>-428465.76756349142</v>
      </c>
      <c r="P292" s="2">
        <f t="shared" si="115"/>
        <v>-457292.79771993909</v>
      </c>
      <c r="Q292" s="2">
        <f t="shared" si="115"/>
        <v>-488448.59300147719</v>
      </c>
      <c r="R292" s="2">
        <f t="shared" si="115"/>
        <v>-522128.22312550643</v>
      </c>
      <c r="S292" s="2">
        <f t="shared" si="115"/>
        <v>-558564.3041531886</v>
      </c>
      <c r="T292" s="2">
        <f t="shared" si="115"/>
        <v>-597972.39602740831</v>
      </c>
      <c r="U292" s="2">
        <f t="shared" si="115"/>
        <v>-637944.6971355452</v>
      </c>
      <c r="V292" s="2">
        <f t="shared" si="115"/>
        <v>-678457.64848912414</v>
      </c>
      <c r="W292" s="2">
        <f t="shared" si="115"/>
        <v>-678457.64848912414</v>
      </c>
      <c r="X292" s="2">
        <f t="shared" si="115"/>
        <v>-678457.64848912414</v>
      </c>
      <c r="Y292" s="2">
        <f t="shared" si="115"/>
        <v>-678457.64848912414</v>
      </c>
      <c r="Z292" s="2">
        <f t="shared" si="115"/>
        <v>-678457.64848912414</v>
      </c>
      <c r="AA292" s="2">
        <f t="shared" si="115"/>
        <v>-678457.64848912414</v>
      </c>
    </row>
    <row r="293" spans="4:28" customFormat="1" x14ac:dyDescent="0.25">
      <c r="E293" t="s">
        <v>48</v>
      </c>
      <c r="F293" t="s">
        <v>7</v>
      </c>
      <c r="G293" s="2">
        <f t="shared" si="115"/>
        <v>0</v>
      </c>
      <c r="H293" s="2">
        <f t="shared" si="115"/>
        <v>0</v>
      </c>
      <c r="I293" s="2">
        <f t="shared" si="115"/>
        <v>0</v>
      </c>
      <c r="J293" s="2">
        <f t="shared" si="115"/>
        <v>0</v>
      </c>
      <c r="K293" s="2">
        <f t="shared" si="115"/>
        <v>0</v>
      </c>
      <c r="L293" s="2">
        <f t="shared" si="115"/>
        <v>0</v>
      </c>
      <c r="M293" s="2">
        <f t="shared" si="115"/>
        <v>0</v>
      </c>
      <c r="N293" s="2">
        <f t="shared" si="115"/>
        <v>0</v>
      </c>
      <c r="O293" s="2">
        <f t="shared" si="115"/>
        <v>0</v>
      </c>
      <c r="P293" s="2">
        <f t="shared" si="115"/>
        <v>0</v>
      </c>
      <c r="Q293" s="2">
        <f t="shared" si="115"/>
        <v>0</v>
      </c>
      <c r="R293" s="2">
        <f t="shared" si="115"/>
        <v>0</v>
      </c>
      <c r="S293" s="2">
        <f t="shared" si="115"/>
        <v>0</v>
      </c>
      <c r="T293" s="2">
        <f t="shared" si="115"/>
        <v>0</v>
      </c>
      <c r="U293" s="2">
        <f t="shared" si="115"/>
        <v>0</v>
      </c>
      <c r="V293" s="2">
        <f t="shared" si="115"/>
        <v>0</v>
      </c>
      <c r="W293" s="2">
        <f t="shared" si="115"/>
        <v>0</v>
      </c>
      <c r="X293" s="2">
        <f t="shared" si="115"/>
        <v>0</v>
      </c>
      <c r="Y293" s="2">
        <f t="shared" si="115"/>
        <v>0</v>
      </c>
      <c r="Z293" s="2">
        <f t="shared" si="115"/>
        <v>0</v>
      </c>
      <c r="AA293" s="2">
        <f t="shared" si="115"/>
        <v>0</v>
      </c>
    </row>
    <row r="294" spans="4:28" customFormat="1" x14ac:dyDescent="0.25">
      <c r="E294" t="s">
        <v>13</v>
      </c>
      <c r="F294" t="s">
        <v>7</v>
      </c>
      <c r="G294" s="2">
        <f t="shared" ref="G294:AA294" ca="1" si="116">G285</f>
        <v>0</v>
      </c>
      <c r="H294" s="2">
        <f t="shared" ca="1" si="116"/>
        <v>3179652.8942758888</v>
      </c>
      <c r="I294" s="2">
        <f t="shared" ca="1" si="116"/>
        <v>3246425.6050556824</v>
      </c>
      <c r="J294" s="2">
        <f t="shared" ca="1" si="116"/>
        <v>3314600.5427618516</v>
      </c>
      <c r="K294" s="2">
        <f t="shared" ca="1" si="116"/>
        <v>3384207.15415985</v>
      </c>
      <c r="L294" s="2">
        <f t="shared" ca="1" si="116"/>
        <v>3455275.5043972065</v>
      </c>
      <c r="M294" s="2">
        <f t="shared" ca="1" si="116"/>
        <v>3527836.2899895473</v>
      </c>
      <c r="N294" s="2">
        <f t="shared" ca="1" si="116"/>
        <v>3601920.8520793277</v>
      </c>
      <c r="O294" s="2">
        <f t="shared" ca="1" si="116"/>
        <v>3677561.1899729935</v>
      </c>
      <c r="P294" s="2">
        <f t="shared" ca="1" si="116"/>
        <v>3754789.9749624259</v>
      </c>
      <c r="Q294" s="2">
        <f t="shared" ca="1" si="116"/>
        <v>3833640.5644366364</v>
      </c>
      <c r="R294" s="2">
        <f t="shared" ca="1" si="116"/>
        <v>3914147.0162898055</v>
      </c>
      <c r="S294" s="2">
        <f t="shared" ca="1" si="116"/>
        <v>3996344.1036318913</v>
      </c>
      <c r="T294" s="2">
        <f t="shared" ca="1" si="116"/>
        <v>4080267.3298081607</v>
      </c>
      <c r="U294" s="2">
        <f t="shared" ca="1" si="116"/>
        <v>4165952.9437341318</v>
      </c>
      <c r="V294" s="2">
        <f t="shared" ca="1" si="116"/>
        <v>4253437.9555525482</v>
      </c>
      <c r="W294" s="2">
        <f t="shared" ca="1" si="116"/>
        <v>0</v>
      </c>
      <c r="X294" s="2">
        <f t="shared" ca="1" si="116"/>
        <v>0</v>
      </c>
      <c r="Y294" s="2">
        <f t="shared" ca="1" si="116"/>
        <v>0</v>
      </c>
      <c r="Z294" s="2">
        <f t="shared" ca="1" si="116"/>
        <v>0</v>
      </c>
      <c r="AA294" s="2">
        <f t="shared" ca="1" si="116"/>
        <v>0</v>
      </c>
    </row>
    <row r="295" spans="4:28" customFormat="1" x14ac:dyDescent="0.25"/>
    <row r="296" spans="4:28" customFormat="1" x14ac:dyDescent="0.25">
      <c r="E296" t="s">
        <v>14</v>
      </c>
      <c r="F296" t="s">
        <v>7</v>
      </c>
      <c r="G296" s="2">
        <f t="shared" ref="G296:AA296" ca="1" si="117">SUM(G288:G294)</f>
        <v>-174386.12067964213</v>
      </c>
      <c r="H296" s="2">
        <f t="shared" ca="1" si="117"/>
        <v>5165200.446332016</v>
      </c>
      <c r="I296" s="2">
        <f t="shared" ca="1" si="117"/>
        <v>5190715.0124606378</v>
      </c>
      <c r="J296" s="2">
        <f t="shared" ca="1" si="117"/>
        <v>5260073.7627359992</v>
      </c>
      <c r="K296" s="2">
        <f t="shared" ca="1" si="117"/>
        <v>5225765.1021700837</v>
      </c>
      <c r="L296" s="2">
        <f t="shared" ca="1" si="117"/>
        <v>5186871.0223705005</v>
      </c>
      <c r="M296" s="2">
        <f t="shared" ca="1" si="117"/>
        <v>5150980.2680689078</v>
      </c>
      <c r="N296" s="2">
        <f t="shared" ca="1" si="117"/>
        <v>5114300.8702616282</v>
      </c>
      <c r="O296" s="2">
        <f t="shared" ca="1" si="117"/>
        <v>5078853.8163673589</v>
      </c>
      <c r="P296" s="2">
        <f t="shared" ca="1" si="117"/>
        <v>5255899.9806124661</v>
      </c>
      <c r="Q296" s="2">
        <f t="shared" ca="1" si="117"/>
        <v>5443277.5594816823</v>
      </c>
      <c r="R296" s="2">
        <f t="shared" ca="1" si="117"/>
        <v>5641228.9311465984</v>
      </c>
      <c r="S296" s="2">
        <f t="shared" ca="1" si="117"/>
        <v>5852178.9820776721</v>
      </c>
      <c r="T296" s="2">
        <f t="shared" ca="1" si="117"/>
        <v>6074215.7106984211</v>
      </c>
      <c r="U296" s="2">
        <f t="shared" ca="1" si="117"/>
        <v>6102849.488895704</v>
      </c>
      <c r="V296" s="2">
        <f t="shared" ca="1" si="117"/>
        <v>6128868.507802886</v>
      </c>
      <c r="W296" s="2">
        <f t="shared" ca="1" si="117"/>
        <v>-1380035.6620944594</v>
      </c>
      <c r="X296" s="2">
        <f t="shared" ca="1" si="117"/>
        <v>-1394768.8003801713</v>
      </c>
      <c r="Y296" s="2">
        <f t="shared" ca="1" si="117"/>
        <v>-1409811.3345698833</v>
      </c>
      <c r="Z296" s="2">
        <f t="shared" ca="1" si="117"/>
        <v>-1425169.761977579</v>
      </c>
      <c r="AA296" s="2">
        <f t="shared" ca="1" si="117"/>
        <v>-1440850.7163608363</v>
      </c>
    </row>
    <row r="297" spans="4:28" customFormat="1" x14ac:dyDescent="0.25">
      <c r="E297" t="s">
        <v>15</v>
      </c>
      <c r="F297" t="s">
        <v>7</v>
      </c>
      <c r="G297" s="2">
        <f t="shared" ref="G297:AA297" ca="1" si="118">-G296*G$18</f>
        <v>52315.836203892635</v>
      </c>
      <c r="H297" s="2">
        <f t="shared" ca="1" si="118"/>
        <v>-1549560.1338996047</v>
      </c>
      <c r="I297" s="2">
        <f t="shared" ca="1" si="118"/>
        <v>-1557214.5037381912</v>
      </c>
      <c r="J297" s="2">
        <f t="shared" ca="1" si="118"/>
        <v>-1578022.1288207998</v>
      </c>
      <c r="K297" s="2">
        <f t="shared" ca="1" si="118"/>
        <v>-1567729.530651025</v>
      </c>
      <c r="L297" s="2">
        <f t="shared" ca="1" si="118"/>
        <v>-1556061.3067111501</v>
      </c>
      <c r="M297" s="2">
        <f t="shared" ca="1" si="118"/>
        <v>-1545294.0804206722</v>
      </c>
      <c r="N297" s="2">
        <f t="shared" ca="1" si="118"/>
        <v>-1534290.2610784883</v>
      </c>
      <c r="O297" s="2">
        <f t="shared" ca="1" si="118"/>
        <v>-1523656.1449102077</v>
      </c>
      <c r="P297" s="2">
        <f t="shared" ca="1" si="118"/>
        <v>-1576769.9941837399</v>
      </c>
      <c r="Q297" s="2">
        <f t="shared" ca="1" si="118"/>
        <v>-1632983.2678445047</v>
      </c>
      <c r="R297" s="2">
        <f t="shared" ca="1" si="118"/>
        <v>-1692368.6793439796</v>
      </c>
      <c r="S297" s="2">
        <f t="shared" ca="1" si="118"/>
        <v>-1755653.6946233015</v>
      </c>
      <c r="T297" s="2">
        <f t="shared" ca="1" si="118"/>
        <v>-1822264.7132095264</v>
      </c>
      <c r="U297" s="2">
        <f t="shared" ca="1" si="118"/>
        <v>-1830854.8466687112</v>
      </c>
      <c r="V297" s="2">
        <f t="shared" ca="1" si="118"/>
        <v>-1838660.5523408658</v>
      </c>
      <c r="W297" s="2">
        <f t="shared" ca="1" si="118"/>
        <v>414010.69862833782</v>
      </c>
      <c r="X297" s="2">
        <f t="shared" ca="1" si="118"/>
        <v>418430.64011405135</v>
      </c>
      <c r="Y297" s="2">
        <f t="shared" ca="1" si="118"/>
        <v>422943.40037096496</v>
      </c>
      <c r="Z297" s="2">
        <f t="shared" ca="1" si="118"/>
        <v>427550.92859327368</v>
      </c>
      <c r="AA297" s="2">
        <f t="shared" ca="1" si="118"/>
        <v>432255.2149082509</v>
      </c>
    </row>
    <row r="298" spans="4:28" customFormat="1" x14ac:dyDescent="0.25"/>
    <row r="299" spans="4:28" customFormat="1" x14ac:dyDescent="0.25">
      <c r="D299" t="s">
        <v>28</v>
      </c>
    </row>
    <row r="300" spans="4:28" customFormat="1" x14ac:dyDescent="0.25">
      <c r="E300" t="s">
        <v>1</v>
      </c>
      <c r="F300" t="s">
        <v>7</v>
      </c>
      <c r="G300" s="2">
        <f t="shared" ref="G300:AA307" si="119">G234</f>
        <v>-13950889.654371371</v>
      </c>
      <c r="H300" s="2">
        <f t="shared" si="119"/>
        <v>-87839.244880611586</v>
      </c>
      <c r="I300" s="2">
        <f t="shared" si="119"/>
        <v>-1182777.1787592263</v>
      </c>
      <c r="J300" s="2">
        <f t="shared" si="119"/>
        <v>-1112526.5769954645</v>
      </c>
      <c r="K300" s="2">
        <f t="shared" si="119"/>
        <v>0</v>
      </c>
      <c r="L300" s="2">
        <f t="shared" si="119"/>
        <v>0</v>
      </c>
      <c r="M300" s="2">
        <f t="shared" si="119"/>
        <v>0</v>
      </c>
      <c r="N300" s="2">
        <f t="shared" si="119"/>
        <v>0</v>
      </c>
      <c r="O300" s="2">
        <f t="shared" si="119"/>
        <v>0</v>
      </c>
      <c r="P300" s="2">
        <f t="shared" si="119"/>
        <v>0</v>
      </c>
      <c r="Q300" s="2">
        <f t="shared" si="119"/>
        <v>0</v>
      </c>
      <c r="R300" s="2">
        <f t="shared" si="119"/>
        <v>0</v>
      </c>
      <c r="S300" s="2">
        <f t="shared" si="119"/>
        <v>0</v>
      </c>
      <c r="T300" s="2">
        <f t="shared" si="119"/>
        <v>0</v>
      </c>
      <c r="U300" s="2">
        <f t="shared" si="119"/>
        <v>0</v>
      </c>
      <c r="V300" s="2">
        <f t="shared" si="119"/>
        <v>0</v>
      </c>
      <c r="W300" s="2">
        <f t="shared" si="119"/>
        <v>0</v>
      </c>
      <c r="X300" s="2">
        <f t="shared" si="119"/>
        <v>0</v>
      </c>
      <c r="Y300" s="2">
        <f t="shared" si="119"/>
        <v>0</v>
      </c>
      <c r="Z300" s="2">
        <f t="shared" si="119"/>
        <v>0</v>
      </c>
      <c r="AA300" s="2">
        <f t="shared" si="119"/>
        <v>0</v>
      </c>
    </row>
    <row r="301" spans="4:28" customFormat="1" x14ac:dyDescent="0.25">
      <c r="E301" t="s">
        <v>19</v>
      </c>
      <c r="F301" t="s">
        <v>7</v>
      </c>
      <c r="G301" s="2">
        <f t="shared" si="119"/>
        <v>0</v>
      </c>
      <c r="H301" s="2">
        <f t="shared" si="119"/>
        <v>0</v>
      </c>
      <c r="I301" s="2">
        <f t="shared" si="119"/>
        <v>0</v>
      </c>
      <c r="J301" s="2">
        <f t="shared" si="119"/>
        <v>0</v>
      </c>
      <c r="K301" s="2">
        <f t="shared" si="119"/>
        <v>0</v>
      </c>
      <c r="L301" s="2">
        <f t="shared" si="119"/>
        <v>0</v>
      </c>
      <c r="M301" s="2">
        <f t="shared" si="119"/>
        <v>0</v>
      </c>
      <c r="N301" s="2">
        <f t="shared" si="119"/>
        <v>0</v>
      </c>
      <c r="O301" s="2">
        <f t="shared" si="119"/>
        <v>0</v>
      </c>
      <c r="P301" s="2">
        <f t="shared" si="119"/>
        <v>0</v>
      </c>
      <c r="Q301" s="2">
        <f t="shared" si="119"/>
        <v>0</v>
      </c>
      <c r="R301" s="2">
        <f t="shared" si="119"/>
        <v>0</v>
      </c>
      <c r="S301" s="2">
        <f t="shared" si="119"/>
        <v>0</v>
      </c>
      <c r="T301" s="2">
        <f t="shared" si="119"/>
        <v>0</v>
      </c>
      <c r="U301" s="2">
        <f t="shared" si="119"/>
        <v>0</v>
      </c>
      <c r="V301" s="2">
        <f t="shared" si="119"/>
        <v>0</v>
      </c>
      <c r="W301" s="2">
        <f t="shared" si="119"/>
        <v>0</v>
      </c>
      <c r="X301" s="2">
        <f t="shared" si="119"/>
        <v>0</v>
      </c>
      <c r="Y301" s="2">
        <f t="shared" si="119"/>
        <v>0</v>
      </c>
      <c r="Z301" s="2">
        <f t="shared" si="119"/>
        <v>0</v>
      </c>
      <c r="AA301" s="2">
        <f t="shared" si="119"/>
        <v>0</v>
      </c>
    </row>
    <row r="302" spans="4:28" customFormat="1" x14ac:dyDescent="0.25">
      <c r="E302" t="s">
        <v>109</v>
      </c>
      <c r="F302" t="s">
        <v>7</v>
      </c>
      <c r="G302" s="2">
        <f t="shared" si="119"/>
        <v>0</v>
      </c>
      <c r="H302" s="2">
        <f t="shared" si="119"/>
        <v>0</v>
      </c>
      <c r="I302" s="2">
        <f t="shared" si="119"/>
        <v>0</v>
      </c>
      <c r="J302" s="2">
        <f t="shared" si="119"/>
        <v>0</v>
      </c>
      <c r="K302" s="2">
        <f t="shared" si="119"/>
        <v>0</v>
      </c>
      <c r="L302" s="2">
        <f t="shared" si="119"/>
        <v>0</v>
      </c>
      <c r="M302" s="2">
        <f t="shared" si="119"/>
        <v>0</v>
      </c>
      <c r="N302" s="2">
        <f t="shared" si="119"/>
        <v>0</v>
      </c>
      <c r="O302" s="2">
        <f t="shared" si="119"/>
        <v>0</v>
      </c>
      <c r="P302" s="2">
        <f t="shared" si="119"/>
        <v>0</v>
      </c>
      <c r="Q302" s="2">
        <f t="shared" si="119"/>
        <v>0</v>
      </c>
      <c r="R302" s="2">
        <f t="shared" si="119"/>
        <v>0</v>
      </c>
      <c r="S302" s="2">
        <f t="shared" si="119"/>
        <v>0</v>
      </c>
      <c r="T302" s="2">
        <f t="shared" si="119"/>
        <v>0</v>
      </c>
      <c r="U302" s="2">
        <f t="shared" si="119"/>
        <v>0</v>
      </c>
      <c r="V302" s="2">
        <f t="shared" si="119"/>
        <v>0</v>
      </c>
      <c r="W302" s="2">
        <f t="shared" si="119"/>
        <v>0</v>
      </c>
      <c r="X302" s="2">
        <f t="shared" si="119"/>
        <v>0</v>
      </c>
      <c r="Y302" s="2">
        <f t="shared" si="119"/>
        <v>0</v>
      </c>
      <c r="Z302" s="2">
        <f t="shared" si="119"/>
        <v>0</v>
      </c>
      <c r="AA302" s="2">
        <f t="shared" si="119"/>
        <v>0</v>
      </c>
    </row>
    <row r="303" spans="4:28" customFormat="1" x14ac:dyDescent="0.25">
      <c r="E303" t="s">
        <v>11</v>
      </c>
      <c r="F303" t="s">
        <v>7</v>
      </c>
      <c r="G303" s="2">
        <f t="shared" si="119"/>
        <v>0</v>
      </c>
      <c r="H303" s="2">
        <f t="shared" si="119"/>
        <v>42306.065796776937</v>
      </c>
      <c r="I303" s="2">
        <f t="shared" si="119"/>
        <v>83886.844645095291</v>
      </c>
      <c r="J303" s="2">
        <f t="shared" si="119"/>
        <v>129058.8635894646</v>
      </c>
      <c r="K303" s="2">
        <f t="shared" si="119"/>
        <v>174506.92688646764</v>
      </c>
      <c r="L303" s="2">
        <f t="shared" si="119"/>
        <v>220117.55276942407</v>
      </c>
      <c r="M303" s="2">
        <f t="shared" si="119"/>
        <v>265915.4465875178</v>
      </c>
      <c r="N303" s="2">
        <f t="shared" si="119"/>
        <v>311853.67947126919</v>
      </c>
      <c r="O303" s="2">
        <f t="shared" si="119"/>
        <v>357920.79642688832</v>
      </c>
      <c r="P303" s="2">
        <f t="shared" si="119"/>
        <v>408128.75206324406</v>
      </c>
      <c r="Q303" s="2">
        <f t="shared" si="119"/>
        <v>462839.8779473037</v>
      </c>
      <c r="R303" s="2">
        <f t="shared" si="119"/>
        <v>522437.63069917564</v>
      </c>
      <c r="S303" s="2">
        <f t="shared" si="119"/>
        <v>587369.12408353004</v>
      </c>
      <c r="T303" s="2">
        <f t="shared" si="119"/>
        <v>658065.60186047561</v>
      </c>
      <c r="U303" s="2">
        <f t="shared" si="119"/>
        <v>731082.27580994146</v>
      </c>
      <c r="V303" s="2">
        <f t="shared" si="119"/>
        <v>806432.9801807435</v>
      </c>
      <c r="W303" s="2">
        <f t="shared" si="119"/>
        <v>823368.07276453904</v>
      </c>
      <c r="X303" s="2">
        <f t="shared" si="119"/>
        <v>840658.80229259422</v>
      </c>
      <c r="Y303" s="2">
        <f t="shared" si="119"/>
        <v>858312.63714073854</v>
      </c>
      <c r="Z303" s="2">
        <f t="shared" si="119"/>
        <v>876337.202520694</v>
      </c>
      <c r="AA303" s="2">
        <f t="shared" si="119"/>
        <v>894740.28377362853</v>
      </c>
      <c r="AB303" s="2">
        <f t="shared" ref="AB303:AB307" si="120">IF(V303=0,0,IF($G$15&gt;(AA303/V303)^(1/5)-1+2%,AA303*(AA303/V303)^(1/5)/($G$15-((AA303/V303)^(1/5)-1)),AA303*(1+$G$14)/$G$16))</f>
        <v>29824676.125787679</v>
      </c>
    </row>
    <row r="304" spans="4:28" customFormat="1" x14ac:dyDescent="0.25">
      <c r="E304" t="s">
        <v>57</v>
      </c>
      <c r="F304" t="s">
        <v>7</v>
      </c>
      <c r="G304" s="2">
        <f t="shared" si="119"/>
        <v>0</v>
      </c>
      <c r="H304" s="2">
        <f t="shared" si="119"/>
        <v>0</v>
      </c>
      <c r="I304" s="2">
        <f t="shared" si="119"/>
        <v>0</v>
      </c>
      <c r="J304" s="2">
        <f t="shared" si="119"/>
        <v>0</v>
      </c>
      <c r="K304" s="2">
        <f t="shared" si="119"/>
        <v>0</v>
      </c>
      <c r="L304" s="2">
        <f t="shared" si="119"/>
        <v>0</v>
      </c>
      <c r="M304" s="2">
        <f t="shared" si="119"/>
        <v>0</v>
      </c>
      <c r="N304" s="2">
        <f t="shared" si="119"/>
        <v>0</v>
      </c>
      <c r="O304" s="2">
        <f t="shared" si="119"/>
        <v>0</v>
      </c>
      <c r="P304" s="2">
        <f t="shared" si="119"/>
        <v>0</v>
      </c>
      <c r="Q304" s="2">
        <f t="shared" si="119"/>
        <v>0</v>
      </c>
      <c r="R304" s="2">
        <f t="shared" si="119"/>
        <v>0</v>
      </c>
      <c r="S304" s="2">
        <f t="shared" si="119"/>
        <v>0</v>
      </c>
      <c r="T304" s="2">
        <f t="shared" si="119"/>
        <v>0</v>
      </c>
      <c r="U304" s="2">
        <f t="shared" si="119"/>
        <v>0</v>
      </c>
      <c r="V304" s="2">
        <f t="shared" si="119"/>
        <v>0</v>
      </c>
      <c r="W304" s="2">
        <f t="shared" si="119"/>
        <v>0</v>
      </c>
      <c r="X304" s="2">
        <f t="shared" si="119"/>
        <v>0</v>
      </c>
      <c r="Y304" s="2">
        <f t="shared" si="119"/>
        <v>0</v>
      </c>
      <c r="Z304" s="2">
        <f t="shared" si="119"/>
        <v>0</v>
      </c>
      <c r="AA304" s="2">
        <f t="shared" si="119"/>
        <v>0</v>
      </c>
      <c r="AB304" s="2">
        <f t="shared" si="120"/>
        <v>0</v>
      </c>
    </row>
    <row r="305" spans="1:28" x14ac:dyDescent="0.25">
      <c r="E305" t="s">
        <v>10</v>
      </c>
      <c r="F305" t="s">
        <v>7</v>
      </c>
      <c r="G305" s="2">
        <f t="shared" si="119"/>
        <v>0</v>
      </c>
      <c r="H305" s="2">
        <f t="shared" si="119"/>
        <v>-76207.439999999988</v>
      </c>
      <c r="I305" s="2">
        <f t="shared" si="119"/>
        <v>-155365.40663999994</v>
      </c>
      <c r="J305" s="2">
        <f t="shared" si="119"/>
        <v>-239027.73917537992</v>
      </c>
      <c r="K305" s="2">
        <f t="shared" si="119"/>
        <v>-323201.32878901891</v>
      </c>
      <c r="L305" s="2">
        <f t="shared" si="119"/>
        <v>-407675.99781955511</v>
      </c>
      <c r="M305" s="2">
        <f t="shared" si="119"/>
        <v>-492497.50262650329</v>
      </c>
      <c r="N305" s="2">
        <f t="shared" si="119"/>
        <v>-577578.92704415601</v>
      </c>
      <c r="O305" s="2">
        <f t="shared" si="119"/>
        <v>-662899.05547219166</v>
      </c>
      <c r="P305" s="2">
        <f t="shared" si="119"/>
        <v>-755888.36120907834</v>
      </c>
      <c r="Q305" s="2">
        <f t="shared" si="119"/>
        <v>-857217.9124238306</v>
      </c>
      <c r="R305" s="2">
        <f t="shared" si="119"/>
        <v>-967597.90263921104</v>
      </c>
      <c r="S305" s="2">
        <f t="shared" si="119"/>
        <v>-1087856.423699134</v>
      </c>
      <c r="T305" s="2">
        <f t="shared" si="119"/>
        <v>-1218792.1748803901</v>
      </c>
      <c r="U305" s="2">
        <f t="shared" si="119"/>
        <v>-1354025.1221637677</v>
      </c>
      <c r="V305" s="2">
        <f t="shared" si="119"/>
        <v>-1493580.8877275947</v>
      </c>
      <c r="W305" s="2">
        <f t="shared" si="119"/>
        <v>-1524946.0863698742</v>
      </c>
      <c r="X305" s="2">
        <f t="shared" si="119"/>
        <v>-1556969.9541836414</v>
      </c>
      <c r="Y305" s="2">
        <f t="shared" si="119"/>
        <v>-1589666.3232214977</v>
      </c>
      <c r="Z305" s="2">
        <f t="shared" si="119"/>
        <v>-1623049.3160091487</v>
      </c>
      <c r="AA305" s="2">
        <f t="shared" si="119"/>
        <v>-1657133.3516453407</v>
      </c>
      <c r="AB305" s="2">
        <f t="shared" si="120"/>
        <v>-55237778.388178132</v>
      </c>
    </row>
    <row r="306" spans="1:28" x14ac:dyDescent="0.25">
      <c r="E306" t="s">
        <v>48</v>
      </c>
      <c r="F306" t="s">
        <v>7</v>
      </c>
      <c r="G306" s="2">
        <f t="shared" si="119"/>
        <v>0</v>
      </c>
      <c r="H306" s="2">
        <f t="shared" si="119"/>
        <v>0</v>
      </c>
      <c r="I306" s="2">
        <f t="shared" si="119"/>
        <v>0</v>
      </c>
      <c r="J306" s="2">
        <f t="shared" si="119"/>
        <v>0</v>
      </c>
      <c r="K306" s="2">
        <f t="shared" si="119"/>
        <v>0</v>
      </c>
      <c r="L306" s="2">
        <f t="shared" si="119"/>
        <v>0</v>
      </c>
      <c r="M306" s="2">
        <f t="shared" si="119"/>
        <v>0</v>
      </c>
      <c r="N306" s="2">
        <f t="shared" si="119"/>
        <v>0</v>
      </c>
      <c r="O306" s="2">
        <f t="shared" si="119"/>
        <v>0</v>
      </c>
      <c r="P306" s="2">
        <f t="shared" si="119"/>
        <v>0</v>
      </c>
      <c r="Q306" s="2">
        <f t="shared" si="119"/>
        <v>0</v>
      </c>
      <c r="R306" s="2">
        <f t="shared" si="119"/>
        <v>0</v>
      </c>
      <c r="S306" s="2">
        <f t="shared" si="119"/>
        <v>0</v>
      </c>
      <c r="T306" s="2">
        <f t="shared" si="119"/>
        <v>0</v>
      </c>
      <c r="U306" s="2">
        <f t="shared" si="119"/>
        <v>0</v>
      </c>
      <c r="V306" s="2">
        <f t="shared" si="119"/>
        <v>0</v>
      </c>
      <c r="W306" s="2">
        <f t="shared" si="119"/>
        <v>0</v>
      </c>
      <c r="X306" s="2">
        <f t="shared" si="119"/>
        <v>0</v>
      </c>
      <c r="Y306" s="2">
        <f t="shared" si="119"/>
        <v>0</v>
      </c>
      <c r="Z306" s="2">
        <f t="shared" si="119"/>
        <v>0</v>
      </c>
      <c r="AA306" s="2">
        <f t="shared" si="119"/>
        <v>0</v>
      </c>
      <c r="AB306" s="2">
        <f t="shared" si="120"/>
        <v>0</v>
      </c>
    </row>
    <row r="307" spans="1:28" x14ac:dyDescent="0.25">
      <c r="E307" t="s">
        <v>49</v>
      </c>
      <c r="F307" t="s">
        <v>7</v>
      </c>
      <c r="G307" s="2">
        <f t="shared" si="119"/>
        <v>0</v>
      </c>
      <c r="H307" s="2">
        <f t="shared" si="119"/>
        <v>0</v>
      </c>
      <c r="I307" s="2">
        <f t="shared" si="119"/>
        <v>0</v>
      </c>
      <c r="J307" s="2">
        <f t="shared" si="119"/>
        <v>0</v>
      </c>
      <c r="K307" s="2">
        <f t="shared" si="119"/>
        <v>0</v>
      </c>
      <c r="L307" s="2">
        <f t="shared" si="119"/>
        <v>0</v>
      </c>
      <c r="M307" s="2">
        <f t="shared" si="119"/>
        <v>0</v>
      </c>
      <c r="N307" s="2">
        <f t="shared" si="119"/>
        <v>0</v>
      </c>
      <c r="O307" s="2">
        <f t="shared" si="119"/>
        <v>0</v>
      </c>
      <c r="P307" s="2">
        <f t="shared" si="119"/>
        <v>0</v>
      </c>
      <c r="Q307" s="2">
        <f t="shared" si="119"/>
        <v>0</v>
      </c>
      <c r="R307" s="2">
        <f t="shared" si="119"/>
        <v>0</v>
      </c>
      <c r="S307" s="2">
        <f t="shared" si="119"/>
        <v>0</v>
      </c>
      <c r="T307" s="2">
        <f t="shared" si="119"/>
        <v>0</v>
      </c>
      <c r="U307" s="2">
        <f t="shared" si="119"/>
        <v>0</v>
      </c>
      <c r="V307" s="2">
        <f t="shared" si="119"/>
        <v>0</v>
      </c>
      <c r="W307" s="2">
        <f t="shared" si="119"/>
        <v>0</v>
      </c>
      <c r="X307" s="2">
        <f t="shared" si="119"/>
        <v>0</v>
      </c>
      <c r="Y307" s="2">
        <f t="shared" si="119"/>
        <v>0</v>
      </c>
      <c r="Z307" s="2">
        <f t="shared" si="119"/>
        <v>0</v>
      </c>
      <c r="AA307" s="2">
        <f t="shared" si="119"/>
        <v>0</v>
      </c>
      <c r="AB307" s="2">
        <f t="shared" si="120"/>
        <v>0</v>
      </c>
    </row>
    <row r="308" spans="1:28" x14ac:dyDescent="0.25">
      <c r="E308" t="s">
        <v>20</v>
      </c>
      <c r="F308" t="s">
        <v>7</v>
      </c>
      <c r="G308" s="2">
        <f t="shared" ref="G308:AA308" ca="1" si="121">G297</f>
        <v>52315.836203892635</v>
      </c>
      <c r="H308" s="2">
        <f t="shared" ca="1" si="121"/>
        <v>-1549560.1338996047</v>
      </c>
      <c r="I308" s="2">
        <f t="shared" ca="1" si="121"/>
        <v>-1557214.5037381912</v>
      </c>
      <c r="J308" s="2">
        <f t="shared" ca="1" si="121"/>
        <v>-1578022.1288207998</v>
      </c>
      <c r="K308" s="2">
        <f t="shared" ca="1" si="121"/>
        <v>-1567729.530651025</v>
      </c>
      <c r="L308" s="2">
        <f t="shared" ca="1" si="121"/>
        <v>-1556061.3067111501</v>
      </c>
      <c r="M308" s="2">
        <f t="shared" ca="1" si="121"/>
        <v>-1545294.0804206722</v>
      </c>
      <c r="N308" s="2">
        <f t="shared" ca="1" si="121"/>
        <v>-1534290.2610784883</v>
      </c>
      <c r="O308" s="2">
        <f t="shared" ca="1" si="121"/>
        <v>-1523656.1449102077</v>
      </c>
      <c r="P308" s="2">
        <f t="shared" ca="1" si="121"/>
        <v>-1576769.9941837399</v>
      </c>
      <c r="Q308" s="2">
        <f t="shared" ca="1" si="121"/>
        <v>-1632983.2678445047</v>
      </c>
      <c r="R308" s="2">
        <f t="shared" ca="1" si="121"/>
        <v>-1692368.6793439796</v>
      </c>
      <c r="S308" s="2">
        <f t="shared" ca="1" si="121"/>
        <v>-1755653.6946233015</v>
      </c>
      <c r="T308" s="2">
        <f t="shared" ca="1" si="121"/>
        <v>-1822264.7132095264</v>
      </c>
      <c r="U308" s="2">
        <f t="shared" ca="1" si="121"/>
        <v>-1830854.8466687112</v>
      </c>
      <c r="V308" s="2">
        <f t="shared" ca="1" si="121"/>
        <v>-1838660.5523408658</v>
      </c>
      <c r="W308" s="2">
        <f t="shared" ca="1" si="121"/>
        <v>414010.69862833782</v>
      </c>
      <c r="X308" s="2">
        <f t="shared" ca="1" si="121"/>
        <v>418430.64011405135</v>
      </c>
      <c r="Y308" s="2">
        <f t="shared" ca="1" si="121"/>
        <v>422943.40037096496</v>
      </c>
      <c r="Z308" s="2">
        <f t="shared" ca="1" si="121"/>
        <v>427550.92859327368</v>
      </c>
      <c r="AA308" s="2">
        <f t="shared" ca="1" si="121"/>
        <v>432255.2149082509</v>
      </c>
      <c r="AB308" s="2">
        <f ca="1">IF(V308=0,0,IF($G$15&gt;(AA308/V308)^(1/5)-1+2%,AA308*(AA308/V308)^(1/5)/($G$15-((AA308/V308)^(1/5)-1)),AA308*(1+$G$14)/$G$16))</f>
        <v>-179746.66895900876</v>
      </c>
    </row>
    <row r="309" spans="1:28" x14ac:dyDescent="0.25">
      <c r="E309" t="s">
        <v>173</v>
      </c>
      <c r="F309" t="s">
        <v>7</v>
      </c>
      <c r="G309" s="2">
        <f ca="1">-$G$17*G308</f>
        <v>-26157.918101946318</v>
      </c>
      <c r="H309" s="2">
        <f t="shared" ref="H309:AA309" ca="1" si="122">-$G$17*H308</f>
        <v>774780.06694980233</v>
      </c>
      <c r="I309" s="2">
        <f t="shared" ca="1" si="122"/>
        <v>778607.25186909561</v>
      </c>
      <c r="J309" s="2">
        <f t="shared" ca="1" si="122"/>
        <v>789011.06441039988</v>
      </c>
      <c r="K309" s="2">
        <f t="shared" ca="1" si="122"/>
        <v>783864.7653255125</v>
      </c>
      <c r="L309" s="2">
        <f t="shared" ca="1" si="122"/>
        <v>778030.65335557505</v>
      </c>
      <c r="M309" s="2">
        <f t="shared" ca="1" si="122"/>
        <v>772647.0402103361</v>
      </c>
      <c r="N309" s="2">
        <f t="shared" ca="1" si="122"/>
        <v>767145.13053924416</v>
      </c>
      <c r="O309" s="2">
        <f t="shared" ca="1" si="122"/>
        <v>761828.07245510386</v>
      </c>
      <c r="P309" s="2">
        <f t="shared" ca="1" si="122"/>
        <v>788384.99709186994</v>
      </c>
      <c r="Q309" s="2">
        <f t="shared" ca="1" si="122"/>
        <v>816491.63392225234</v>
      </c>
      <c r="R309" s="2">
        <f t="shared" ca="1" si="122"/>
        <v>846184.33967198979</v>
      </c>
      <c r="S309" s="2">
        <f t="shared" ca="1" si="122"/>
        <v>877826.84731165075</v>
      </c>
      <c r="T309" s="2">
        <f t="shared" ca="1" si="122"/>
        <v>911132.35660476319</v>
      </c>
      <c r="U309" s="2">
        <f t="shared" ca="1" si="122"/>
        <v>915427.42333435558</v>
      </c>
      <c r="V309" s="2">
        <f t="shared" ca="1" si="122"/>
        <v>919330.27617043292</v>
      </c>
      <c r="W309" s="2">
        <f t="shared" ca="1" si="122"/>
        <v>-207005.34931416891</v>
      </c>
      <c r="X309" s="2">
        <f t="shared" ca="1" si="122"/>
        <v>-209215.32005702567</v>
      </c>
      <c r="Y309" s="2">
        <f t="shared" ca="1" si="122"/>
        <v>-211471.70018548248</v>
      </c>
      <c r="Z309" s="2">
        <f t="shared" ca="1" si="122"/>
        <v>-213775.46429663684</v>
      </c>
      <c r="AA309" s="2">
        <f t="shared" ca="1" si="122"/>
        <v>-216127.60745412545</v>
      </c>
      <c r="AB309" s="2">
        <f t="shared" ref="AB309" ca="1" si="123">IF(V309=0,0,IF($G$15&gt;(AA309/V309)^(1/5)-1+2%,AA309*(AA309/V309)^(1/5)/($G$15-((AA309/V309)^(1/5)-1)),AA309*(1+$G$14)/$G$16))</f>
        <v>89873.334479504381</v>
      </c>
    </row>
    <row r="310" spans="1:28" x14ac:dyDescent="0.25">
      <c r="E310" t="s">
        <v>23</v>
      </c>
      <c r="F310" t="s">
        <v>7</v>
      </c>
      <c r="G310" s="2">
        <f t="shared" ref="G310:AB310" ca="1" si="124">SUM(G300:G309)</f>
        <v>-13924731.736269426</v>
      </c>
      <c r="H310" s="2">
        <f t="shared" ca="1" si="124"/>
        <v>-896520.68603363691</v>
      </c>
      <c r="I310" s="2">
        <f t="shared" ca="1" si="124"/>
        <v>-2032862.9926232267</v>
      </c>
      <c r="J310" s="2">
        <f t="shared" ca="1" si="124"/>
        <v>-2011506.5169917799</v>
      </c>
      <c r="K310" s="2">
        <f t="shared" ca="1" si="124"/>
        <v>-932559.1672280638</v>
      </c>
      <c r="L310" s="2">
        <f t="shared" ca="1" si="124"/>
        <v>-965589.09840570611</v>
      </c>
      <c r="M310" s="2">
        <f t="shared" ca="1" si="124"/>
        <v>-999229.09624932159</v>
      </c>
      <c r="N310" s="2">
        <f t="shared" ca="1" si="124"/>
        <v>-1032870.3781121309</v>
      </c>
      <c r="O310" s="2">
        <f t="shared" ca="1" si="124"/>
        <v>-1066806.3315004073</v>
      </c>
      <c r="P310" s="2">
        <f t="shared" ca="1" si="124"/>
        <v>-1136144.6062377044</v>
      </c>
      <c r="Q310" s="2">
        <f t="shared" ca="1" si="124"/>
        <v>-1210869.6683987794</v>
      </c>
      <c r="R310" s="2">
        <f t="shared" ca="1" si="124"/>
        <v>-1291344.6116120252</v>
      </c>
      <c r="S310" s="2">
        <f t="shared" ca="1" si="124"/>
        <v>-1378314.1469272547</v>
      </c>
      <c r="T310" s="2">
        <f t="shared" ca="1" si="124"/>
        <v>-1471858.9296246776</v>
      </c>
      <c r="U310" s="2">
        <f t="shared" ca="1" si="124"/>
        <v>-1538370.269688182</v>
      </c>
      <c r="V310" s="2">
        <f t="shared" ca="1" si="124"/>
        <v>-1606478.1837172839</v>
      </c>
      <c r="W310" s="2">
        <f t="shared" ca="1" si="124"/>
        <v>-494572.66429116623</v>
      </c>
      <c r="X310" s="2">
        <f t="shared" ca="1" si="124"/>
        <v>-507095.83183402149</v>
      </c>
      <c r="Y310" s="2">
        <f t="shared" ca="1" si="124"/>
        <v>-519881.98589527665</v>
      </c>
      <c r="Z310" s="2">
        <f t="shared" ca="1" si="124"/>
        <v>-532936.64919181785</v>
      </c>
      <c r="AA310" s="2">
        <f t="shared" ca="1" si="124"/>
        <v>-546265.46041758673</v>
      </c>
      <c r="AB310" s="2">
        <f t="shared" ca="1" si="124"/>
        <v>-25502975.59686996</v>
      </c>
    </row>
    <row r="311" spans="1:28" x14ac:dyDescent="0.25">
      <c r="E311" t="s">
        <v>31</v>
      </c>
      <c r="F311" t="s">
        <v>7</v>
      </c>
      <c r="G311" s="2">
        <f ca="1">NPV($G$15,H310:AB310)+G310</f>
        <v>-37177756.954304837</v>
      </c>
    </row>
    <row r="313" spans="1:28" x14ac:dyDescent="0.25">
      <c r="E313" t="s">
        <v>13</v>
      </c>
      <c r="F313" t="s">
        <v>7</v>
      </c>
      <c r="G313" s="2">
        <f t="shared" ref="G313:AA313" ca="1" si="125">G285</f>
        <v>0</v>
      </c>
      <c r="H313" s="2">
        <f t="shared" ca="1" si="125"/>
        <v>3179652.8942758888</v>
      </c>
      <c r="I313" s="2">
        <f t="shared" ca="1" si="125"/>
        <v>3246425.6050556824</v>
      </c>
      <c r="J313" s="2">
        <f t="shared" ca="1" si="125"/>
        <v>3314600.5427618516</v>
      </c>
      <c r="K313" s="2">
        <f t="shared" ca="1" si="125"/>
        <v>3384207.15415985</v>
      </c>
      <c r="L313" s="2">
        <f t="shared" ca="1" si="125"/>
        <v>3455275.5043972065</v>
      </c>
      <c r="M313" s="2">
        <f t="shared" ca="1" si="125"/>
        <v>3527836.2899895473</v>
      </c>
      <c r="N313" s="2">
        <f t="shared" ca="1" si="125"/>
        <v>3601920.8520793277</v>
      </c>
      <c r="O313" s="2">
        <f t="shared" ca="1" si="125"/>
        <v>3677561.1899729935</v>
      </c>
      <c r="P313" s="2">
        <f t="shared" ca="1" si="125"/>
        <v>3754789.9749624259</v>
      </c>
      <c r="Q313" s="2">
        <f t="shared" ca="1" si="125"/>
        <v>3833640.5644366364</v>
      </c>
      <c r="R313" s="2">
        <f t="shared" ca="1" si="125"/>
        <v>3914147.0162898055</v>
      </c>
      <c r="S313" s="2">
        <f t="shared" ca="1" si="125"/>
        <v>3996344.1036318913</v>
      </c>
      <c r="T313" s="2">
        <f t="shared" ca="1" si="125"/>
        <v>4080267.3298081607</v>
      </c>
      <c r="U313" s="2">
        <f t="shared" ca="1" si="125"/>
        <v>4165952.9437341318</v>
      </c>
      <c r="V313" s="2">
        <f t="shared" ca="1" si="125"/>
        <v>4253437.9555525482</v>
      </c>
      <c r="W313" s="2">
        <f t="shared" ca="1" si="125"/>
        <v>0</v>
      </c>
      <c r="X313" s="2">
        <f t="shared" ca="1" si="125"/>
        <v>0</v>
      </c>
      <c r="Y313" s="2">
        <f t="shared" ca="1" si="125"/>
        <v>0</v>
      </c>
      <c r="Z313" s="2">
        <f t="shared" ca="1" si="125"/>
        <v>0</v>
      </c>
      <c r="AA313" s="2">
        <f t="shared" ca="1" si="125"/>
        <v>0</v>
      </c>
    </row>
    <row r="314" spans="1:28" x14ac:dyDescent="0.25">
      <c r="E314" t="s">
        <v>24</v>
      </c>
      <c r="F314" t="s">
        <v>7</v>
      </c>
      <c r="G314" s="2">
        <f ca="1">NPV($G$15,H313:AA313)+G313</f>
        <v>37177756.954304859</v>
      </c>
    </row>
    <row r="315" spans="1:28" x14ac:dyDescent="0.25">
      <c r="E315" s="3" t="s">
        <v>34</v>
      </c>
      <c r="F315" s="3"/>
      <c r="G315" s="4" t="str">
        <f ca="1">IF(G311&gt;0,"N/A",IF(ABS(G311+G314)&gt;1,"Error","OK"))</f>
        <v>OK</v>
      </c>
    </row>
    <row r="318" spans="1:28" x14ac:dyDescent="0.25">
      <c r="C318" s="1" t="s">
        <v>110</v>
      </c>
    </row>
    <row r="319" spans="1:28" x14ac:dyDescent="0.25">
      <c r="E319" t="s">
        <v>116</v>
      </c>
      <c r="F319" t="s">
        <v>117</v>
      </c>
    </row>
    <row r="320" spans="1:28" x14ac:dyDescent="0.25">
      <c r="A320" s="14">
        <f>'Notes &amp; Assumptions'!A68</f>
        <v>55</v>
      </c>
      <c r="E320" s="19" t="s">
        <v>111</v>
      </c>
      <c r="F320" s="19" t="s">
        <v>119</v>
      </c>
    </row>
    <row r="321" spans="5:6" customFormat="1" x14ac:dyDescent="0.25">
      <c r="E321" s="19" t="s">
        <v>112</v>
      </c>
      <c r="F321" s="19" t="s">
        <v>120</v>
      </c>
    </row>
    <row r="322" spans="5:6" customFormat="1" x14ac:dyDescent="0.25">
      <c r="E322" s="19" t="s">
        <v>113</v>
      </c>
      <c r="F322" s="19" t="s">
        <v>121</v>
      </c>
    </row>
  </sheetData>
  <mergeCells count="1">
    <mergeCell ref="G4:H4"/>
  </mergeCells>
  <dataValidations count="1">
    <dataValidation type="list" showInputMessage="1" showErrorMessage="1" sqref="G4" xr:uid="{00000000-0002-0000-0A00-000000000000}">
      <formula1>$E$320:$E$322</formula1>
    </dataValidation>
  </dataValidation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0C9613-8989-46DC-A885-9B47E4E2DCCD}">
  <dimension ref="A2:AC322"/>
  <sheetViews>
    <sheetView topLeftCell="A199" workbookViewId="0">
      <selection activeCell="I107" sqref="I107"/>
    </sheetView>
  </sheetViews>
  <sheetFormatPr defaultColWidth="11" defaultRowHeight="15.75" x14ac:dyDescent="0.25"/>
  <cols>
    <col min="1" max="1" width="7.625" style="14" customWidth="1"/>
    <col min="2" max="2" width="3.125" customWidth="1"/>
    <col min="3" max="3" width="3.375" customWidth="1"/>
    <col min="4" max="4" width="2.875" customWidth="1"/>
    <col min="5" max="5" width="36.5" bestFit="1" customWidth="1"/>
    <col min="6" max="6" width="17.5" customWidth="1"/>
    <col min="7" max="27" width="15.625" customWidth="1"/>
    <col min="28" max="28" width="11.125" customWidth="1"/>
  </cols>
  <sheetData>
    <row r="2" spans="1:27" x14ac:dyDescent="0.25">
      <c r="C2" s="1" t="s">
        <v>0</v>
      </c>
      <c r="D2" s="1"/>
      <c r="G2">
        <v>0</v>
      </c>
      <c r="H2">
        <v>1</v>
      </c>
      <c r="I2">
        <v>2</v>
      </c>
      <c r="J2">
        <v>3</v>
      </c>
      <c r="K2">
        <v>4</v>
      </c>
      <c r="L2">
        <v>5</v>
      </c>
      <c r="M2">
        <v>6</v>
      </c>
      <c r="N2">
        <v>7</v>
      </c>
      <c r="O2">
        <v>8</v>
      </c>
      <c r="P2">
        <v>9</v>
      </c>
      <c r="Q2">
        <v>10</v>
      </c>
      <c r="R2">
        <v>11</v>
      </c>
      <c r="S2">
        <v>12</v>
      </c>
      <c r="T2">
        <v>13</v>
      </c>
      <c r="U2">
        <v>14</v>
      </c>
      <c r="V2">
        <v>15</v>
      </c>
      <c r="W2">
        <v>16</v>
      </c>
      <c r="X2">
        <v>17</v>
      </c>
      <c r="Y2">
        <v>18</v>
      </c>
      <c r="Z2">
        <v>19</v>
      </c>
      <c r="AA2">
        <v>20</v>
      </c>
    </row>
    <row r="4" spans="1:27" x14ac:dyDescent="0.25">
      <c r="A4" s="14">
        <f>'Notes &amp; Assumptions'!A14</f>
        <v>1</v>
      </c>
      <c r="C4" s="1" t="s">
        <v>114</v>
      </c>
      <c r="F4" t="s">
        <v>115</v>
      </c>
      <c r="G4" s="368" t="s">
        <v>113</v>
      </c>
      <c r="H4" s="368"/>
    </row>
    <row r="6" spans="1:27" x14ac:dyDescent="0.25">
      <c r="C6" s="1" t="s">
        <v>126</v>
      </c>
    </row>
    <row r="7" spans="1:27" x14ac:dyDescent="0.25">
      <c r="A7" s="14">
        <f>'Notes &amp; Assumptions'!A15</f>
        <v>2</v>
      </c>
      <c r="E7" s="10" t="s">
        <v>128</v>
      </c>
      <c r="F7" t="s">
        <v>145</v>
      </c>
      <c r="G7" s="10">
        <v>80</v>
      </c>
    </row>
    <row r="8" spans="1:27" x14ac:dyDescent="0.25">
      <c r="A8" s="14">
        <f>'Notes &amp; Assumptions'!A16</f>
        <v>3</v>
      </c>
      <c r="E8" s="10" t="s">
        <v>129</v>
      </c>
      <c r="F8" t="s">
        <v>145</v>
      </c>
      <c r="G8" s="10">
        <v>25</v>
      </c>
    </row>
    <row r="9" spans="1:27" x14ac:dyDescent="0.25">
      <c r="A9" s="14">
        <f>'Notes &amp; Assumptions'!A17</f>
        <v>4</v>
      </c>
      <c r="E9" s="10" t="s">
        <v>130</v>
      </c>
      <c r="F9" t="s">
        <v>145</v>
      </c>
      <c r="G9" s="10">
        <v>30</v>
      </c>
    </row>
    <row r="10" spans="1:27" x14ac:dyDescent="0.25">
      <c r="A10" s="14">
        <f>'Notes &amp; Assumptions'!A18</f>
        <v>5</v>
      </c>
      <c r="E10" t="s">
        <v>127</v>
      </c>
      <c r="F10" t="s">
        <v>145</v>
      </c>
      <c r="G10" s="10">
        <v>5</v>
      </c>
    </row>
    <row r="13" spans="1:27" x14ac:dyDescent="0.25">
      <c r="C13" s="1" t="s">
        <v>92</v>
      </c>
    </row>
    <row r="14" spans="1:27" x14ac:dyDescent="0.25">
      <c r="A14" s="14">
        <f>'Notes &amp; Assumptions'!A19</f>
        <v>6</v>
      </c>
      <c r="E14" t="s">
        <v>5</v>
      </c>
      <c r="F14" t="s">
        <v>8</v>
      </c>
      <c r="G14" s="17">
        <f>'20 New UGB Water'!G14</f>
        <v>2.1000000000000001E-2</v>
      </c>
    </row>
    <row r="15" spans="1:27" x14ac:dyDescent="0.25">
      <c r="A15" s="14">
        <f>'Notes &amp; Assumptions'!A20</f>
        <v>7</v>
      </c>
      <c r="E15" t="s">
        <v>32</v>
      </c>
      <c r="F15" t="s">
        <v>8</v>
      </c>
      <c r="G15" s="17">
        <f>'20 New UGB Water'!G15</f>
        <v>5.1629999999999843E-2</v>
      </c>
    </row>
    <row r="16" spans="1:27" x14ac:dyDescent="0.25">
      <c r="E16" t="s">
        <v>30</v>
      </c>
      <c r="F16" t="s">
        <v>8</v>
      </c>
      <c r="G16" s="18">
        <f>(1+G15)/(1+G14)-1</f>
        <v>3.0000000000000027E-2</v>
      </c>
    </row>
    <row r="17" spans="1:27" x14ac:dyDescent="0.25">
      <c r="E17" t="s">
        <v>171</v>
      </c>
      <c r="F17" t="s">
        <v>8</v>
      </c>
      <c r="G17" s="11">
        <v>0.5</v>
      </c>
    </row>
    <row r="18" spans="1:27" x14ac:dyDescent="0.25">
      <c r="A18" s="14">
        <f>'Notes &amp; Assumptions'!A22</f>
        <v>9</v>
      </c>
      <c r="E18" t="s">
        <v>16</v>
      </c>
      <c r="F18" t="s">
        <v>8</v>
      </c>
      <c r="G18" s="11">
        <v>0.3</v>
      </c>
      <c r="H18" s="11">
        <v>0.3</v>
      </c>
      <c r="I18" s="11">
        <v>0.3</v>
      </c>
      <c r="J18" s="11">
        <v>0.3</v>
      </c>
      <c r="K18" s="11">
        <v>0.3</v>
      </c>
      <c r="L18" s="11">
        <v>0.3</v>
      </c>
      <c r="M18" s="11">
        <v>0.3</v>
      </c>
      <c r="N18" s="11">
        <v>0.3</v>
      </c>
      <c r="O18" s="11">
        <v>0.3</v>
      </c>
      <c r="P18" s="11">
        <v>0.3</v>
      </c>
      <c r="Q18" s="11">
        <v>0.3</v>
      </c>
      <c r="R18" s="11">
        <v>0.3</v>
      </c>
      <c r="S18" s="11">
        <v>0.3</v>
      </c>
      <c r="T18" s="11">
        <v>0.3</v>
      </c>
      <c r="U18" s="11">
        <v>0.3</v>
      </c>
      <c r="V18" s="11">
        <v>0.3</v>
      </c>
      <c r="W18" s="11">
        <v>0.3</v>
      </c>
      <c r="X18" s="11">
        <v>0.3</v>
      </c>
      <c r="Y18" s="11">
        <v>0.3</v>
      </c>
      <c r="Z18" s="11">
        <v>0.3</v>
      </c>
      <c r="AA18" s="11">
        <v>0.3</v>
      </c>
    </row>
    <row r="20" spans="1:27" x14ac:dyDescent="0.25">
      <c r="A20" s="14">
        <f>'Notes &amp; Assumptions'!A23</f>
        <v>10</v>
      </c>
      <c r="C20" s="1" t="s">
        <v>1</v>
      </c>
      <c r="D20" s="1"/>
    </row>
    <row r="21" spans="1:27" x14ac:dyDescent="0.25">
      <c r="E21" s="2" t="str">
        <f>E7</f>
        <v>Pipes</v>
      </c>
      <c r="F21" t="s">
        <v>7</v>
      </c>
      <c r="G21" s="43">
        <f>IF('Key assumptions'!B3="yes",SUM('Historical growth capex'!M74:V74),0)</f>
        <v>16383962.119860535</v>
      </c>
      <c r="H21" s="10">
        <f>'Forecast capex'!J102*1000*(1+$G$14)^H2</f>
        <v>0</v>
      </c>
      <c r="I21" s="10">
        <f>'Forecast capex'!K102*1000*(1+$G$14)^I2</f>
        <v>0</v>
      </c>
      <c r="J21" s="10">
        <f>'Forecast capex'!L102*1000*(1+$G$14)^J2</f>
        <v>747287.96921036311</v>
      </c>
      <c r="K21" s="10">
        <f>'Forecast capex'!M102*1000*(1+$G$14)^K2</f>
        <v>0</v>
      </c>
      <c r="L21" s="10">
        <f>'Forecast capex'!N102*1000*(1+$G$14)^L2</f>
        <v>1994418.449607946</v>
      </c>
      <c r="M21" s="10">
        <f>'Forecast capex'!O102*1000*(1+$G$14)^M2</f>
        <v>1360077.1679169273</v>
      </c>
      <c r="N21" s="10">
        <f>'Forecast capex'!P102*1000*(1+$G$14)^N2</f>
        <v>0</v>
      </c>
      <c r="O21" s="10">
        <f>'Forecast capex'!Q102*1000*(1+$G$14)^O2</f>
        <v>0</v>
      </c>
      <c r="P21" s="10">
        <f>'Forecast capex'!R102*1000*(1+$G$14)^P2</f>
        <v>0</v>
      </c>
      <c r="Q21" s="10">
        <f>'Forecast capex'!S102*1000*(1+$G$14)^Q2</f>
        <v>0</v>
      </c>
      <c r="R21" s="10">
        <f>('[10]recycled water'!$X$161/5)*(1+$G$14)^R2</f>
        <v>0</v>
      </c>
      <c r="S21" s="10">
        <f>('[10]recycled water'!$X$161/5)*(1+$G$14)^S2</f>
        <v>0</v>
      </c>
      <c r="T21" s="10">
        <f>('[10]recycled water'!$X$161/5)*(1+$G$14)^T2</f>
        <v>0</v>
      </c>
      <c r="U21" s="10">
        <f>('[10]recycled water'!$X$161/5)*(1+$G$14)^U2</f>
        <v>0</v>
      </c>
      <c r="V21" s="10">
        <f>('[10]recycled water'!$X$161/5)*(1+$G$14)^V2</f>
        <v>0</v>
      </c>
      <c r="W21" s="10"/>
      <c r="X21" s="10"/>
      <c r="Y21" s="10"/>
      <c r="Z21" s="10"/>
      <c r="AA21" s="10"/>
    </row>
    <row r="22" spans="1:27" x14ac:dyDescent="0.25">
      <c r="E22" s="2" t="str">
        <f>E8</f>
        <v>Pumps</v>
      </c>
      <c r="F22" t="s">
        <v>7</v>
      </c>
      <c r="G22" s="10"/>
      <c r="H22" s="10"/>
      <c r="I22" s="10"/>
      <c r="J22" s="10"/>
      <c r="K22" s="10"/>
      <c r="L22" s="10"/>
      <c r="M22" s="10"/>
      <c r="N22" s="10"/>
      <c r="O22" s="10"/>
      <c r="P22" s="10"/>
      <c r="Q22" s="10"/>
      <c r="R22" s="10"/>
      <c r="S22" s="10"/>
      <c r="T22" s="10"/>
      <c r="U22" s="10"/>
      <c r="V22" s="10"/>
      <c r="W22" s="10"/>
      <c r="X22" s="10"/>
      <c r="Y22" s="10"/>
      <c r="Z22" s="10"/>
      <c r="AA22" s="10"/>
    </row>
    <row r="23" spans="1:27" x14ac:dyDescent="0.25">
      <c r="E23" s="2" t="str">
        <f>E9</f>
        <v>Valves and Meters</v>
      </c>
      <c r="F23" t="s">
        <v>7</v>
      </c>
      <c r="G23" s="10"/>
      <c r="H23" s="10"/>
      <c r="I23" s="10"/>
      <c r="J23" s="10"/>
      <c r="K23" s="10"/>
      <c r="L23" s="10"/>
      <c r="M23" s="10"/>
      <c r="N23" s="10"/>
      <c r="O23" s="10"/>
      <c r="P23" s="10"/>
      <c r="Q23" s="10"/>
      <c r="R23" s="10"/>
      <c r="S23" s="10"/>
      <c r="T23" s="10"/>
      <c r="U23" s="10"/>
      <c r="V23" s="10"/>
      <c r="W23" s="10"/>
      <c r="X23" s="10"/>
      <c r="Y23" s="10"/>
      <c r="Z23" s="10"/>
      <c r="AA23" s="10"/>
    </row>
    <row r="24" spans="1:27" x14ac:dyDescent="0.25">
      <c r="E24" t="s">
        <v>127</v>
      </c>
      <c r="F24" t="s">
        <v>7</v>
      </c>
      <c r="G24" s="10"/>
      <c r="H24" s="10"/>
      <c r="I24" s="10"/>
      <c r="J24" s="10"/>
      <c r="K24" s="10"/>
      <c r="L24" s="10"/>
      <c r="M24" s="10"/>
      <c r="N24" s="10"/>
      <c r="O24" s="10"/>
      <c r="P24" s="10"/>
      <c r="Q24" s="10"/>
      <c r="R24" s="10"/>
      <c r="S24" s="10"/>
      <c r="T24" s="10"/>
      <c r="U24" s="10"/>
      <c r="V24" s="10"/>
      <c r="W24" s="10"/>
      <c r="X24" s="10"/>
      <c r="Y24" s="10"/>
      <c r="Z24" s="10"/>
      <c r="AA24" s="10"/>
    </row>
    <row r="25" spans="1:27" x14ac:dyDescent="0.25">
      <c r="E25" t="s">
        <v>131</v>
      </c>
      <c r="F25" t="s">
        <v>7</v>
      </c>
      <c r="G25" s="10"/>
      <c r="H25" s="10"/>
      <c r="I25" s="10"/>
      <c r="J25" s="10"/>
      <c r="K25" s="10"/>
      <c r="L25" s="10"/>
      <c r="M25" s="10"/>
      <c r="N25" s="10"/>
      <c r="O25" s="10"/>
      <c r="P25" s="10"/>
      <c r="Q25" s="10"/>
      <c r="R25" s="10"/>
      <c r="S25" s="10"/>
      <c r="T25" s="10"/>
      <c r="U25" s="10"/>
      <c r="V25" s="10"/>
      <c r="W25" s="10"/>
      <c r="X25" s="10"/>
      <c r="Y25" s="10"/>
      <c r="Z25" s="10"/>
      <c r="AA25" s="10"/>
    </row>
    <row r="26" spans="1:27" x14ac:dyDescent="0.25">
      <c r="G26" s="2">
        <f>SUM(G21:G25)</f>
        <v>16383962.119860535</v>
      </c>
      <c r="H26" s="2">
        <f t="shared" ref="H26:AA26" si="0">SUM(H21:H25)</f>
        <v>0</v>
      </c>
      <c r="I26" s="2">
        <f t="shared" si="0"/>
        <v>0</v>
      </c>
      <c r="J26" s="2">
        <f t="shared" si="0"/>
        <v>747287.96921036311</v>
      </c>
      <c r="K26" s="2">
        <f t="shared" si="0"/>
        <v>0</v>
      </c>
      <c r="L26" s="2">
        <f t="shared" si="0"/>
        <v>1994418.449607946</v>
      </c>
      <c r="M26" s="2">
        <f t="shared" si="0"/>
        <v>1360077.1679169273</v>
      </c>
      <c r="N26" s="2">
        <f t="shared" si="0"/>
        <v>0</v>
      </c>
      <c r="O26" s="2">
        <f t="shared" si="0"/>
        <v>0</v>
      </c>
      <c r="P26" s="2">
        <f t="shared" si="0"/>
        <v>0</v>
      </c>
      <c r="Q26" s="2">
        <f t="shared" si="0"/>
        <v>0</v>
      </c>
      <c r="R26" s="2">
        <f t="shared" si="0"/>
        <v>0</v>
      </c>
      <c r="S26" s="2">
        <f t="shared" si="0"/>
        <v>0</v>
      </c>
      <c r="T26" s="2">
        <f t="shared" si="0"/>
        <v>0</v>
      </c>
      <c r="U26" s="2">
        <f t="shared" si="0"/>
        <v>0</v>
      </c>
      <c r="V26" s="2">
        <f t="shared" si="0"/>
        <v>0</v>
      </c>
      <c r="W26" s="2">
        <f t="shared" si="0"/>
        <v>0</v>
      </c>
      <c r="X26" s="2">
        <f t="shared" si="0"/>
        <v>0</v>
      </c>
      <c r="Y26" s="2">
        <f t="shared" si="0"/>
        <v>0</v>
      </c>
      <c r="Z26" s="2">
        <f t="shared" si="0"/>
        <v>0</v>
      </c>
      <c r="AA26" s="2">
        <f t="shared" si="0"/>
        <v>0</v>
      </c>
    </row>
    <row r="27" spans="1:27" x14ac:dyDescent="0.25">
      <c r="G27" s="2"/>
      <c r="H27" s="2"/>
      <c r="I27" s="2"/>
      <c r="J27" s="2"/>
      <c r="K27" s="2"/>
      <c r="L27" s="2"/>
      <c r="M27" s="2"/>
      <c r="N27" s="2"/>
      <c r="O27" s="2"/>
      <c r="P27" s="2"/>
      <c r="Q27" s="2"/>
    </row>
    <row r="28" spans="1:27" x14ac:dyDescent="0.25">
      <c r="D28" t="s">
        <v>132</v>
      </c>
      <c r="G28" s="2"/>
      <c r="H28" s="2"/>
      <c r="I28" s="2"/>
      <c r="J28" s="2"/>
      <c r="K28" s="2"/>
      <c r="L28" s="2"/>
      <c r="M28" s="2"/>
      <c r="N28" s="2"/>
      <c r="O28" s="2"/>
      <c r="P28" s="2"/>
      <c r="Q28" s="2"/>
    </row>
    <row r="29" spans="1:27" x14ac:dyDescent="0.25">
      <c r="E29" s="2" t="str">
        <f>E21</f>
        <v>Pipes</v>
      </c>
      <c r="F29" t="s">
        <v>7</v>
      </c>
      <c r="G29" s="2">
        <f t="shared" ref="G29:AA32" si="1">G21/$G7+IF((G$2-$G7+1)&gt;0,-INDEX($G21:$AA21,1,(G$2-$G7+1))/$G7,0)</f>
        <v>204799.52649825669</v>
      </c>
      <c r="H29" s="2">
        <f t="shared" si="1"/>
        <v>0</v>
      </c>
      <c r="I29" s="2">
        <f t="shared" si="1"/>
        <v>0</v>
      </c>
      <c r="J29" s="2">
        <f t="shared" si="1"/>
        <v>9341.0996151295385</v>
      </c>
      <c r="K29" s="2">
        <f t="shared" si="1"/>
        <v>0</v>
      </c>
      <c r="L29" s="2">
        <f t="shared" si="1"/>
        <v>24930.230620099326</v>
      </c>
      <c r="M29" s="2">
        <f t="shared" si="1"/>
        <v>17000.964598961589</v>
      </c>
      <c r="N29" s="2">
        <f t="shared" si="1"/>
        <v>0</v>
      </c>
      <c r="O29" s="2">
        <f t="shared" si="1"/>
        <v>0</v>
      </c>
      <c r="P29" s="2">
        <f t="shared" si="1"/>
        <v>0</v>
      </c>
      <c r="Q29" s="2">
        <f t="shared" si="1"/>
        <v>0</v>
      </c>
      <c r="R29" s="2">
        <f t="shared" si="1"/>
        <v>0</v>
      </c>
      <c r="S29" s="2">
        <f t="shared" si="1"/>
        <v>0</v>
      </c>
      <c r="T29" s="2">
        <f t="shared" si="1"/>
        <v>0</v>
      </c>
      <c r="U29" s="2">
        <f t="shared" si="1"/>
        <v>0</v>
      </c>
      <c r="V29" s="2">
        <f t="shared" si="1"/>
        <v>0</v>
      </c>
      <c r="W29" s="2">
        <f t="shared" si="1"/>
        <v>0</v>
      </c>
      <c r="X29" s="2">
        <f t="shared" si="1"/>
        <v>0</v>
      </c>
      <c r="Y29" s="2">
        <f t="shared" si="1"/>
        <v>0</v>
      </c>
      <c r="Z29" s="2">
        <f t="shared" si="1"/>
        <v>0</v>
      </c>
      <c r="AA29" s="2">
        <f t="shared" si="1"/>
        <v>0</v>
      </c>
    </row>
    <row r="30" spans="1:27" x14ac:dyDescent="0.25">
      <c r="E30" s="2" t="str">
        <f t="shared" ref="E30:E32" si="2">E22</f>
        <v>Pumps</v>
      </c>
      <c r="F30" t="s">
        <v>7</v>
      </c>
      <c r="G30" s="2">
        <f t="shared" si="1"/>
        <v>0</v>
      </c>
      <c r="H30" s="2">
        <f t="shared" si="1"/>
        <v>0</v>
      </c>
      <c r="I30" s="2">
        <f t="shared" si="1"/>
        <v>0</v>
      </c>
      <c r="J30" s="2">
        <f t="shared" si="1"/>
        <v>0</v>
      </c>
      <c r="K30" s="2">
        <f t="shared" si="1"/>
        <v>0</v>
      </c>
      <c r="L30" s="2">
        <f t="shared" si="1"/>
        <v>0</v>
      </c>
      <c r="M30" s="2">
        <f t="shared" si="1"/>
        <v>0</v>
      </c>
      <c r="N30" s="2">
        <f t="shared" si="1"/>
        <v>0</v>
      </c>
      <c r="O30" s="2">
        <f t="shared" si="1"/>
        <v>0</v>
      </c>
      <c r="P30" s="2">
        <f t="shared" si="1"/>
        <v>0</v>
      </c>
      <c r="Q30" s="2">
        <f t="shared" si="1"/>
        <v>0</v>
      </c>
      <c r="R30" s="2">
        <f t="shared" si="1"/>
        <v>0</v>
      </c>
      <c r="S30" s="2">
        <f t="shared" si="1"/>
        <v>0</v>
      </c>
      <c r="T30" s="2">
        <f t="shared" si="1"/>
        <v>0</v>
      </c>
      <c r="U30" s="2">
        <f t="shared" si="1"/>
        <v>0</v>
      </c>
      <c r="V30" s="2">
        <f t="shared" si="1"/>
        <v>0</v>
      </c>
      <c r="W30" s="2">
        <f t="shared" si="1"/>
        <v>0</v>
      </c>
      <c r="X30" s="2">
        <f t="shared" si="1"/>
        <v>0</v>
      </c>
      <c r="Y30" s="2">
        <f t="shared" si="1"/>
        <v>0</v>
      </c>
      <c r="Z30" s="2">
        <f t="shared" si="1"/>
        <v>0</v>
      </c>
      <c r="AA30" s="2">
        <f t="shared" si="1"/>
        <v>0</v>
      </c>
    </row>
    <row r="31" spans="1:27" x14ac:dyDescent="0.25">
      <c r="E31" s="2" t="str">
        <f t="shared" si="2"/>
        <v>Valves and Meters</v>
      </c>
      <c r="F31" t="s">
        <v>7</v>
      </c>
      <c r="G31" s="2">
        <f t="shared" si="1"/>
        <v>0</v>
      </c>
      <c r="H31" s="2">
        <f t="shared" si="1"/>
        <v>0</v>
      </c>
      <c r="I31" s="2">
        <f t="shared" si="1"/>
        <v>0</v>
      </c>
      <c r="J31" s="2">
        <f t="shared" si="1"/>
        <v>0</v>
      </c>
      <c r="K31" s="2">
        <f t="shared" si="1"/>
        <v>0</v>
      </c>
      <c r="L31" s="2">
        <f t="shared" si="1"/>
        <v>0</v>
      </c>
      <c r="M31" s="2">
        <f t="shared" si="1"/>
        <v>0</v>
      </c>
      <c r="N31" s="2">
        <f t="shared" si="1"/>
        <v>0</v>
      </c>
      <c r="O31" s="2">
        <f t="shared" si="1"/>
        <v>0</v>
      </c>
      <c r="P31" s="2">
        <f t="shared" si="1"/>
        <v>0</v>
      </c>
      <c r="Q31" s="2">
        <f t="shared" si="1"/>
        <v>0</v>
      </c>
      <c r="R31" s="2">
        <f t="shared" si="1"/>
        <v>0</v>
      </c>
      <c r="S31" s="2">
        <f t="shared" si="1"/>
        <v>0</v>
      </c>
      <c r="T31" s="2">
        <f t="shared" si="1"/>
        <v>0</v>
      </c>
      <c r="U31" s="2">
        <f t="shared" si="1"/>
        <v>0</v>
      </c>
      <c r="V31" s="2">
        <f t="shared" si="1"/>
        <v>0</v>
      </c>
      <c r="W31" s="2">
        <f t="shared" si="1"/>
        <v>0</v>
      </c>
      <c r="X31" s="2">
        <f t="shared" si="1"/>
        <v>0</v>
      </c>
      <c r="Y31" s="2">
        <f t="shared" si="1"/>
        <v>0</v>
      </c>
      <c r="Z31" s="2">
        <f t="shared" si="1"/>
        <v>0</v>
      </c>
      <c r="AA31" s="2">
        <f t="shared" si="1"/>
        <v>0</v>
      </c>
    </row>
    <row r="32" spans="1:27" x14ac:dyDescent="0.25">
      <c r="E32" s="2" t="str">
        <f t="shared" si="2"/>
        <v>Temporary Assets</v>
      </c>
      <c r="F32" t="s">
        <v>7</v>
      </c>
      <c r="G32" s="2">
        <f t="shared" si="1"/>
        <v>0</v>
      </c>
      <c r="H32" s="2">
        <f t="shared" si="1"/>
        <v>0</v>
      </c>
      <c r="I32" s="2">
        <f t="shared" si="1"/>
        <v>0</v>
      </c>
      <c r="J32" s="2">
        <f t="shared" si="1"/>
        <v>0</v>
      </c>
      <c r="K32" s="2">
        <f t="shared" si="1"/>
        <v>0</v>
      </c>
      <c r="L32" s="2">
        <f t="shared" si="1"/>
        <v>0</v>
      </c>
      <c r="M32" s="2">
        <f t="shared" si="1"/>
        <v>0</v>
      </c>
      <c r="N32" s="2">
        <f t="shared" si="1"/>
        <v>0</v>
      </c>
      <c r="O32" s="2">
        <f t="shared" si="1"/>
        <v>0</v>
      </c>
      <c r="P32" s="2">
        <f t="shared" si="1"/>
        <v>0</v>
      </c>
      <c r="Q32" s="2">
        <f t="shared" si="1"/>
        <v>0</v>
      </c>
      <c r="R32" s="2">
        <f t="shared" si="1"/>
        <v>0</v>
      </c>
      <c r="S32" s="2">
        <f t="shared" si="1"/>
        <v>0</v>
      </c>
      <c r="T32" s="2">
        <f t="shared" si="1"/>
        <v>0</v>
      </c>
      <c r="U32" s="2">
        <f t="shared" si="1"/>
        <v>0</v>
      </c>
      <c r="V32" s="2">
        <f t="shared" si="1"/>
        <v>0</v>
      </c>
      <c r="W32" s="2">
        <f t="shared" si="1"/>
        <v>0</v>
      </c>
      <c r="X32" s="2">
        <f t="shared" si="1"/>
        <v>0</v>
      </c>
      <c r="Y32" s="2">
        <f t="shared" si="1"/>
        <v>0</v>
      </c>
      <c r="Z32" s="2">
        <f t="shared" si="1"/>
        <v>0</v>
      </c>
      <c r="AA32" s="2">
        <f t="shared" si="1"/>
        <v>0</v>
      </c>
    </row>
    <row r="33" spans="1:27" x14ac:dyDescent="0.25">
      <c r="G33" s="2"/>
      <c r="H33" s="2"/>
      <c r="I33" s="2"/>
      <c r="J33" s="2"/>
      <c r="K33" s="2"/>
      <c r="L33" s="2"/>
      <c r="M33" s="2"/>
      <c r="N33" s="2"/>
      <c r="O33" s="2"/>
      <c r="P33" s="2"/>
      <c r="Q33" s="2"/>
    </row>
    <row r="34" spans="1:27" x14ac:dyDescent="0.25">
      <c r="D34" t="s">
        <v>133</v>
      </c>
      <c r="F34" t="s">
        <v>7</v>
      </c>
      <c r="G34" s="2">
        <f>SUM($G$29:G32)</f>
        <v>204799.52649825669</v>
      </c>
      <c r="H34" s="2">
        <f>SUM($G$29:H32)</f>
        <v>204799.52649825669</v>
      </c>
      <c r="I34" s="2">
        <f>SUM($G$29:I32)</f>
        <v>204799.52649825669</v>
      </c>
      <c r="J34" s="2">
        <f>SUM($G$29:J32)</f>
        <v>214140.62611338621</v>
      </c>
      <c r="K34" s="2">
        <f>SUM($G$29:K32)</f>
        <v>214140.62611338621</v>
      </c>
      <c r="L34" s="2">
        <f>SUM($G$29:L32)</f>
        <v>239070.85673348553</v>
      </c>
      <c r="M34" s="2">
        <f>SUM($G$29:M32)</f>
        <v>256071.82133244711</v>
      </c>
      <c r="N34" s="2">
        <f>SUM($G$29:N32)</f>
        <v>256071.82133244711</v>
      </c>
      <c r="O34" s="2">
        <f>SUM($G$29:O32)</f>
        <v>256071.82133244711</v>
      </c>
      <c r="P34" s="2">
        <f>SUM($G$29:P32)</f>
        <v>256071.82133244711</v>
      </c>
      <c r="Q34" s="2">
        <f>SUM($G$29:Q32)</f>
        <v>256071.82133244711</v>
      </c>
      <c r="R34" s="2">
        <f>SUM($G$29:R32)</f>
        <v>256071.82133244711</v>
      </c>
      <c r="S34" s="2">
        <f>SUM($G$29:S32)</f>
        <v>256071.82133244711</v>
      </c>
      <c r="T34" s="2">
        <f>SUM($G$29:T32)</f>
        <v>256071.82133244711</v>
      </c>
      <c r="U34" s="2">
        <f>SUM($G$29:U32)</f>
        <v>256071.82133244711</v>
      </c>
      <c r="V34" s="2">
        <f>SUM($G$29:V32)</f>
        <v>256071.82133244711</v>
      </c>
      <c r="W34" s="2">
        <f>SUM($G$29:W32)</f>
        <v>256071.82133244711</v>
      </c>
      <c r="X34" s="2">
        <f>SUM($G$29:X32)</f>
        <v>256071.82133244711</v>
      </c>
      <c r="Y34" s="2">
        <f>SUM($G$29:Y32)</f>
        <v>256071.82133244711</v>
      </c>
      <c r="Z34" s="2">
        <f>SUM($G$29:Z32)</f>
        <v>256071.82133244711</v>
      </c>
      <c r="AA34" s="2">
        <f>SUM($G$29:AA32)</f>
        <v>256071.82133244711</v>
      </c>
    </row>
    <row r="35" spans="1:27" x14ac:dyDescent="0.25">
      <c r="G35" s="2"/>
      <c r="H35" s="2"/>
      <c r="I35" s="2"/>
      <c r="J35" s="2"/>
      <c r="K35" s="2"/>
      <c r="L35" s="2"/>
      <c r="M35" s="2"/>
      <c r="N35" s="2"/>
      <c r="O35" s="2"/>
      <c r="P35" s="2"/>
      <c r="Q35" s="2"/>
      <c r="R35" s="2"/>
      <c r="S35" s="2"/>
      <c r="T35" s="2"/>
      <c r="U35" s="2"/>
      <c r="V35" s="2"/>
      <c r="W35" s="2"/>
      <c r="X35" s="2"/>
      <c r="Y35" s="2"/>
      <c r="Z35" s="2"/>
      <c r="AA35" s="2"/>
    </row>
    <row r="36" spans="1:27" x14ac:dyDescent="0.25">
      <c r="A36" s="14">
        <f>'Notes &amp; Assumptions'!A24</f>
        <v>11</v>
      </c>
      <c r="C36" s="1" t="s">
        <v>107</v>
      </c>
      <c r="D36" s="1"/>
    </row>
    <row r="37" spans="1:27" x14ac:dyDescent="0.25">
      <c r="E37" s="2" t="str">
        <f>E7</f>
        <v>Pipes</v>
      </c>
      <c r="F37" t="s">
        <v>7</v>
      </c>
      <c r="G37" s="10"/>
      <c r="H37" s="10">
        <f>'Key assumptions'!$B33*(1+$G$14)^H2*(H90+H111+H132+H153)</f>
        <v>1667037.7499999998</v>
      </c>
      <c r="I37" s="10">
        <f>'Key assumptions'!$B33*(1+$G$14)^I2*(I90+I111+I132+I153)</f>
        <v>1606088.8486999997</v>
      </c>
      <c r="J37" s="10">
        <f>'Key assumptions'!$B33*(1+$G$14)^J2*(J90+J111+J132+J153)</f>
        <v>1571143.336212327</v>
      </c>
      <c r="K37" s="10">
        <f>'Key assumptions'!$B33*(1+$G$14)^K2*(K90+K111+K132+K153)</f>
        <v>1454454.8802963162</v>
      </c>
      <c r="L37" s="10">
        <f>'Key assumptions'!$B33*(1+$G$14)^L2*(L90+L111+L132+L153)</f>
        <v>1336871.3827093451</v>
      </c>
      <c r="M37" s="10">
        <f>'Key assumptions'!$B33*(1+$G$14)^M2*(M90+M111+M132+M153)</f>
        <v>1223342.4545126655</v>
      </c>
      <c r="N37" s="10">
        <f>'Key assumptions'!$B33*(1+$G$14)^N2*(N90+N111+N132+N153)</f>
        <v>1111742.280829631</v>
      </c>
      <c r="O37" s="10">
        <f>'Key assumptions'!$B33*(1+$G$14)^O2*(O90+O111+O132+O153)</f>
        <v>1003326.226911485</v>
      </c>
      <c r="P37" s="10">
        <f>'Key assumptions'!$B33*(1+$G$14)^P2*(P90+P111+P132+P153)</f>
        <v>991649.83738179936</v>
      </c>
      <c r="Q37" s="10">
        <f>'Key assumptions'!$B33*(1+$G$14)^Q2*(Q90+Q111+Q132+Q153)</f>
        <v>972060.81278398889</v>
      </c>
      <c r="R37" s="10">
        <f>'Key assumptions'!$B33*(1+$G$14)^R2*(R90+R111+R132+R153)</f>
        <v>1050804.45986971</v>
      </c>
      <c r="S37" s="10">
        <f>'Key assumptions'!$B33*(1+$G$14)^S2*(S90+S111+S132+S153)</f>
        <v>1136805.728063683</v>
      </c>
      <c r="T37" s="10">
        <f>'Key assumptions'!$B33*(1+$G$14)^T2*(T90+T111+T132+T153)</f>
        <v>1229532.4664756572</v>
      </c>
      <c r="U37" s="10">
        <f>'Key assumptions'!$B33*(1+$G$14)^U2*(U90+U111+U132+U153)</f>
        <v>1247135.7945738677</v>
      </c>
      <c r="V37" s="10">
        <f>'Key assumptions'!$B33*(1+$G$14)^V2*(V90+V111+V132+V153)</f>
        <v>1264004.0822316618</v>
      </c>
      <c r="W37" s="10">
        <f t="shared" ref="W37:AA37" si="3">1000*(1+$G$14)^W2*(W90+W111+W132+W153)</f>
        <v>0</v>
      </c>
      <c r="X37" s="10">
        <f t="shared" si="3"/>
        <v>0</v>
      </c>
      <c r="Y37" s="10">
        <f t="shared" si="3"/>
        <v>0</v>
      </c>
      <c r="Z37" s="10">
        <f t="shared" si="3"/>
        <v>0</v>
      </c>
      <c r="AA37" s="10">
        <f t="shared" si="3"/>
        <v>0</v>
      </c>
    </row>
    <row r="38" spans="1:27" x14ac:dyDescent="0.25">
      <c r="E38" s="2" t="str">
        <f>E8</f>
        <v>Pumps</v>
      </c>
      <c r="F38" t="s">
        <v>7</v>
      </c>
      <c r="G38" s="10"/>
      <c r="H38" s="10"/>
      <c r="I38" s="10"/>
      <c r="J38" s="10"/>
      <c r="K38" s="10"/>
      <c r="L38" s="10"/>
      <c r="M38" s="10"/>
      <c r="N38" s="10"/>
      <c r="O38" s="10"/>
      <c r="P38" s="10"/>
      <c r="Q38" s="10"/>
      <c r="R38" s="10"/>
      <c r="S38" s="10"/>
      <c r="T38" s="10"/>
      <c r="U38" s="10"/>
      <c r="V38" s="10"/>
      <c r="W38" s="10"/>
      <c r="X38" s="10"/>
      <c r="Y38" s="10"/>
      <c r="Z38" s="10"/>
      <c r="AA38" s="10"/>
    </row>
    <row r="39" spans="1:27" x14ac:dyDescent="0.25">
      <c r="E39" s="2" t="str">
        <f>E9</f>
        <v>Valves and Meters</v>
      </c>
      <c r="F39" t="s">
        <v>7</v>
      </c>
      <c r="G39" s="10"/>
      <c r="H39" s="10"/>
      <c r="I39" s="10"/>
      <c r="J39" s="10"/>
      <c r="K39" s="10"/>
      <c r="L39" s="10"/>
      <c r="M39" s="10"/>
      <c r="N39" s="10"/>
      <c r="O39" s="10"/>
      <c r="P39" s="10"/>
      <c r="Q39" s="10"/>
      <c r="R39" s="10"/>
      <c r="S39" s="10"/>
      <c r="T39" s="10"/>
      <c r="U39" s="10"/>
      <c r="V39" s="10"/>
      <c r="W39" s="10"/>
      <c r="X39" s="10"/>
      <c r="Y39" s="10"/>
      <c r="Z39" s="10"/>
      <c r="AA39" s="10"/>
    </row>
    <row r="40" spans="1:27" x14ac:dyDescent="0.25">
      <c r="E40" s="2" t="str">
        <f>E10</f>
        <v>Temporary Assets</v>
      </c>
      <c r="F40" t="s">
        <v>7</v>
      </c>
      <c r="G40" s="10"/>
      <c r="H40" s="10"/>
      <c r="I40" s="10"/>
      <c r="J40" s="10"/>
      <c r="K40" s="10"/>
      <c r="L40" s="10"/>
      <c r="M40" s="10"/>
      <c r="N40" s="10"/>
      <c r="O40" s="10"/>
      <c r="P40" s="10"/>
      <c r="Q40" s="10"/>
      <c r="R40" s="10"/>
      <c r="S40" s="10"/>
      <c r="T40" s="10"/>
      <c r="U40" s="10"/>
      <c r="V40" s="10"/>
      <c r="W40" s="10"/>
      <c r="X40" s="10"/>
      <c r="Y40" s="10"/>
      <c r="Z40" s="10"/>
      <c r="AA40" s="10"/>
    </row>
    <row r="41" spans="1:27" x14ac:dyDescent="0.25">
      <c r="E41" t="s">
        <v>131</v>
      </c>
      <c r="F41" t="s">
        <v>7</v>
      </c>
      <c r="G41" s="10"/>
      <c r="H41" s="10"/>
      <c r="I41" s="10"/>
      <c r="J41" s="10"/>
      <c r="K41" s="10"/>
      <c r="L41" s="10"/>
      <c r="M41" s="10"/>
      <c r="N41" s="10"/>
      <c r="O41" s="10"/>
      <c r="P41" s="10"/>
      <c r="Q41" s="10"/>
      <c r="R41" s="10"/>
      <c r="S41" s="10"/>
      <c r="T41" s="10"/>
      <c r="U41" s="10"/>
      <c r="V41" s="10"/>
      <c r="W41" s="10"/>
      <c r="X41" s="10"/>
      <c r="Y41" s="10"/>
      <c r="Z41" s="10"/>
      <c r="AA41" s="10"/>
    </row>
    <row r="42" spans="1:27" x14ac:dyDescent="0.25">
      <c r="G42" s="2">
        <f>SUM(G37:G41)</f>
        <v>0</v>
      </c>
      <c r="H42" s="2">
        <f t="shared" ref="H42:AA42" si="4">SUM(H37:H41)</f>
        <v>1667037.7499999998</v>
      </c>
      <c r="I42" s="2">
        <f t="shared" si="4"/>
        <v>1606088.8486999997</v>
      </c>
      <c r="J42" s="2">
        <f t="shared" si="4"/>
        <v>1571143.336212327</v>
      </c>
      <c r="K42" s="2">
        <f t="shared" si="4"/>
        <v>1454454.8802963162</v>
      </c>
      <c r="L42" s="2">
        <f t="shared" si="4"/>
        <v>1336871.3827093451</v>
      </c>
      <c r="M42" s="2">
        <f t="shared" si="4"/>
        <v>1223342.4545126655</v>
      </c>
      <c r="N42" s="2">
        <f t="shared" si="4"/>
        <v>1111742.280829631</v>
      </c>
      <c r="O42" s="2">
        <f t="shared" si="4"/>
        <v>1003326.226911485</v>
      </c>
      <c r="P42" s="2">
        <f t="shared" si="4"/>
        <v>991649.83738179936</v>
      </c>
      <c r="Q42" s="2">
        <f t="shared" si="4"/>
        <v>972060.81278398889</v>
      </c>
      <c r="R42" s="2">
        <f t="shared" si="4"/>
        <v>1050804.45986971</v>
      </c>
      <c r="S42" s="2">
        <f t="shared" si="4"/>
        <v>1136805.728063683</v>
      </c>
      <c r="T42" s="2">
        <f t="shared" si="4"/>
        <v>1229532.4664756572</v>
      </c>
      <c r="U42" s="2">
        <f t="shared" si="4"/>
        <v>1247135.7945738677</v>
      </c>
      <c r="V42" s="2">
        <f t="shared" si="4"/>
        <v>1264004.0822316618</v>
      </c>
      <c r="W42" s="2">
        <f t="shared" si="4"/>
        <v>0</v>
      </c>
      <c r="X42" s="2">
        <f t="shared" si="4"/>
        <v>0</v>
      </c>
      <c r="Y42" s="2">
        <f t="shared" si="4"/>
        <v>0</v>
      </c>
      <c r="Z42" s="2">
        <f t="shared" si="4"/>
        <v>0</v>
      </c>
      <c r="AA42" s="2">
        <f t="shared" si="4"/>
        <v>0</v>
      </c>
    </row>
    <row r="43" spans="1:27" x14ac:dyDescent="0.25">
      <c r="G43" s="2"/>
      <c r="H43" s="2"/>
      <c r="I43" s="2"/>
      <c r="J43" s="2"/>
      <c r="K43" s="2"/>
      <c r="L43" s="2"/>
      <c r="M43" s="2"/>
      <c r="N43" s="2"/>
      <c r="O43" s="2"/>
      <c r="P43" s="2"/>
      <c r="Q43" s="2"/>
    </row>
    <row r="44" spans="1:27" x14ac:dyDescent="0.25">
      <c r="D44" t="s">
        <v>134</v>
      </c>
      <c r="G44" s="2"/>
      <c r="H44" s="2"/>
      <c r="I44" s="2"/>
      <c r="J44" s="2"/>
      <c r="K44" s="2"/>
      <c r="L44" s="2"/>
      <c r="M44" s="2"/>
      <c r="N44" s="2"/>
      <c r="O44" s="2"/>
      <c r="P44" s="2"/>
      <c r="Q44" s="2"/>
    </row>
    <row r="45" spans="1:27" x14ac:dyDescent="0.25">
      <c r="E45" s="2" t="str">
        <f>E37</f>
        <v>Pipes</v>
      </c>
      <c r="F45" t="s">
        <v>7</v>
      </c>
      <c r="G45" s="2">
        <f t="shared" ref="G45:AA48" si="5">G37/$G7+IF((G$2-$G7+1)&gt;0,-INDEX($G37:$AA37,1,(G$2-$G7+1))/$G7,0)</f>
        <v>0</v>
      </c>
      <c r="H45" s="2">
        <f t="shared" si="5"/>
        <v>20837.971874999996</v>
      </c>
      <c r="I45" s="2">
        <f t="shared" si="5"/>
        <v>20076.110608749997</v>
      </c>
      <c r="J45" s="2">
        <f t="shared" si="5"/>
        <v>19639.291702654089</v>
      </c>
      <c r="K45" s="2">
        <f t="shared" si="5"/>
        <v>18180.686003703951</v>
      </c>
      <c r="L45" s="2">
        <f t="shared" si="5"/>
        <v>16710.892283866815</v>
      </c>
      <c r="M45" s="2">
        <f t="shared" si="5"/>
        <v>15291.78068140832</v>
      </c>
      <c r="N45" s="2">
        <f t="shared" si="5"/>
        <v>13896.778510370388</v>
      </c>
      <c r="O45" s="2">
        <f t="shared" si="5"/>
        <v>12541.577836393562</v>
      </c>
      <c r="P45" s="2">
        <f t="shared" si="5"/>
        <v>12395.622967272491</v>
      </c>
      <c r="Q45" s="2">
        <f t="shared" si="5"/>
        <v>12150.760159799862</v>
      </c>
      <c r="R45" s="2">
        <f t="shared" si="5"/>
        <v>13135.055748371375</v>
      </c>
      <c r="S45" s="2">
        <f t="shared" si="5"/>
        <v>14210.071600796038</v>
      </c>
      <c r="T45" s="2">
        <f t="shared" si="5"/>
        <v>15369.155830945714</v>
      </c>
      <c r="U45" s="2">
        <f t="shared" si="5"/>
        <v>15589.197432173347</v>
      </c>
      <c r="V45" s="2">
        <f t="shared" si="5"/>
        <v>15800.051027895772</v>
      </c>
      <c r="W45" s="2">
        <f t="shared" si="5"/>
        <v>0</v>
      </c>
      <c r="X45" s="2">
        <f t="shared" si="5"/>
        <v>0</v>
      </c>
      <c r="Y45" s="2">
        <f t="shared" si="5"/>
        <v>0</v>
      </c>
      <c r="Z45" s="2">
        <f t="shared" si="5"/>
        <v>0</v>
      </c>
      <c r="AA45" s="2">
        <f t="shared" si="5"/>
        <v>0</v>
      </c>
    </row>
    <row r="46" spans="1:27" x14ac:dyDescent="0.25">
      <c r="E46" s="2" t="str">
        <f t="shared" ref="E46:E48" si="6">E38</f>
        <v>Pumps</v>
      </c>
      <c r="F46" t="s">
        <v>7</v>
      </c>
      <c r="G46" s="2">
        <f t="shared" si="5"/>
        <v>0</v>
      </c>
      <c r="H46" s="2">
        <f t="shared" si="5"/>
        <v>0</v>
      </c>
      <c r="I46" s="2">
        <f t="shared" si="5"/>
        <v>0</v>
      </c>
      <c r="J46" s="2">
        <f t="shared" si="5"/>
        <v>0</v>
      </c>
      <c r="K46" s="2">
        <f t="shared" si="5"/>
        <v>0</v>
      </c>
      <c r="L46" s="2">
        <f t="shared" si="5"/>
        <v>0</v>
      </c>
      <c r="M46" s="2">
        <f t="shared" si="5"/>
        <v>0</v>
      </c>
      <c r="N46" s="2">
        <f t="shared" si="5"/>
        <v>0</v>
      </c>
      <c r="O46" s="2">
        <f t="shared" si="5"/>
        <v>0</v>
      </c>
      <c r="P46" s="2">
        <f t="shared" si="5"/>
        <v>0</v>
      </c>
      <c r="Q46" s="2">
        <f t="shared" si="5"/>
        <v>0</v>
      </c>
      <c r="R46" s="2">
        <f t="shared" si="5"/>
        <v>0</v>
      </c>
      <c r="S46" s="2">
        <f t="shared" si="5"/>
        <v>0</v>
      </c>
      <c r="T46" s="2">
        <f t="shared" si="5"/>
        <v>0</v>
      </c>
      <c r="U46" s="2">
        <f t="shared" si="5"/>
        <v>0</v>
      </c>
      <c r="V46" s="2">
        <f t="shared" si="5"/>
        <v>0</v>
      </c>
      <c r="W46" s="2">
        <f t="shared" si="5"/>
        <v>0</v>
      </c>
      <c r="X46" s="2">
        <f t="shared" si="5"/>
        <v>0</v>
      </c>
      <c r="Y46" s="2">
        <f t="shared" si="5"/>
        <v>0</v>
      </c>
      <c r="Z46" s="2">
        <f t="shared" si="5"/>
        <v>0</v>
      </c>
      <c r="AA46" s="2">
        <f t="shared" si="5"/>
        <v>0</v>
      </c>
    </row>
    <row r="47" spans="1:27" x14ac:dyDescent="0.25">
      <c r="E47" s="2" t="str">
        <f t="shared" si="6"/>
        <v>Valves and Meters</v>
      </c>
      <c r="F47" t="s">
        <v>7</v>
      </c>
      <c r="G47" s="2">
        <f t="shared" si="5"/>
        <v>0</v>
      </c>
      <c r="H47" s="2">
        <f t="shared" si="5"/>
        <v>0</v>
      </c>
      <c r="I47" s="2">
        <f t="shared" si="5"/>
        <v>0</v>
      </c>
      <c r="J47" s="2">
        <f t="shared" si="5"/>
        <v>0</v>
      </c>
      <c r="K47" s="2">
        <f t="shared" si="5"/>
        <v>0</v>
      </c>
      <c r="L47" s="2">
        <f t="shared" si="5"/>
        <v>0</v>
      </c>
      <c r="M47" s="2">
        <f t="shared" si="5"/>
        <v>0</v>
      </c>
      <c r="N47" s="2">
        <f t="shared" si="5"/>
        <v>0</v>
      </c>
      <c r="O47" s="2">
        <f t="shared" si="5"/>
        <v>0</v>
      </c>
      <c r="P47" s="2">
        <f t="shared" si="5"/>
        <v>0</v>
      </c>
      <c r="Q47" s="2">
        <f t="shared" si="5"/>
        <v>0</v>
      </c>
      <c r="R47" s="2">
        <f t="shared" si="5"/>
        <v>0</v>
      </c>
      <c r="S47" s="2">
        <f t="shared" si="5"/>
        <v>0</v>
      </c>
      <c r="T47" s="2">
        <f t="shared" si="5"/>
        <v>0</v>
      </c>
      <c r="U47" s="2">
        <f t="shared" si="5"/>
        <v>0</v>
      </c>
      <c r="V47" s="2">
        <f t="shared" si="5"/>
        <v>0</v>
      </c>
      <c r="W47" s="2">
        <f t="shared" si="5"/>
        <v>0</v>
      </c>
      <c r="X47" s="2">
        <f t="shared" si="5"/>
        <v>0</v>
      </c>
      <c r="Y47" s="2">
        <f t="shared" si="5"/>
        <v>0</v>
      </c>
      <c r="Z47" s="2">
        <f t="shared" si="5"/>
        <v>0</v>
      </c>
      <c r="AA47" s="2">
        <f t="shared" si="5"/>
        <v>0</v>
      </c>
    </row>
    <row r="48" spans="1:27" x14ac:dyDescent="0.25">
      <c r="E48" s="2" t="str">
        <f t="shared" si="6"/>
        <v>Temporary Assets</v>
      </c>
      <c r="F48" t="s">
        <v>7</v>
      </c>
      <c r="G48" s="2">
        <f t="shared" si="5"/>
        <v>0</v>
      </c>
      <c r="H48" s="2">
        <f t="shared" si="5"/>
        <v>0</v>
      </c>
      <c r="I48" s="2">
        <f t="shared" si="5"/>
        <v>0</v>
      </c>
      <c r="J48" s="2">
        <f t="shared" si="5"/>
        <v>0</v>
      </c>
      <c r="K48" s="2">
        <f t="shared" si="5"/>
        <v>0</v>
      </c>
      <c r="L48" s="2">
        <f t="shared" si="5"/>
        <v>0</v>
      </c>
      <c r="M48" s="2">
        <f t="shared" si="5"/>
        <v>0</v>
      </c>
      <c r="N48" s="2">
        <f t="shared" si="5"/>
        <v>0</v>
      </c>
      <c r="O48" s="2">
        <f t="shared" si="5"/>
        <v>0</v>
      </c>
      <c r="P48" s="2">
        <f t="shared" si="5"/>
        <v>0</v>
      </c>
      <c r="Q48" s="2">
        <f t="shared" si="5"/>
        <v>0</v>
      </c>
      <c r="R48" s="2">
        <f t="shared" si="5"/>
        <v>0</v>
      </c>
      <c r="S48" s="2">
        <f t="shared" si="5"/>
        <v>0</v>
      </c>
      <c r="T48" s="2">
        <f t="shared" si="5"/>
        <v>0</v>
      </c>
      <c r="U48" s="2">
        <f t="shared" si="5"/>
        <v>0</v>
      </c>
      <c r="V48" s="2">
        <f t="shared" si="5"/>
        <v>0</v>
      </c>
      <c r="W48" s="2">
        <f t="shared" si="5"/>
        <v>0</v>
      </c>
      <c r="X48" s="2">
        <f t="shared" si="5"/>
        <v>0</v>
      </c>
      <c r="Y48" s="2">
        <f t="shared" si="5"/>
        <v>0</v>
      </c>
      <c r="Z48" s="2">
        <f t="shared" si="5"/>
        <v>0</v>
      </c>
      <c r="AA48" s="2">
        <f t="shared" si="5"/>
        <v>0</v>
      </c>
    </row>
    <row r="49" spans="1:27" x14ac:dyDescent="0.25">
      <c r="G49" s="2"/>
      <c r="H49" s="2"/>
      <c r="I49" s="2"/>
      <c r="J49" s="2"/>
      <c r="K49" s="2"/>
      <c r="L49" s="2"/>
      <c r="M49" s="2"/>
      <c r="N49" s="2"/>
      <c r="O49" s="2"/>
      <c r="P49" s="2"/>
      <c r="Q49" s="2"/>
    </row>
    <row r="50" spans="1:27" x14ac:dyDescent="0.25">
      <c r="D50" t="s">
        <v>135</v>
      </c>
      <c r="F50" t="s">
        <v>7</v>
      </c>
      <c r="G50" s="2">
        <f>SUM($G$45:G48)</f>
        <v>0</v>
      </c>
      <c r="H50" s="2">
        <f>SUM($G$45:H48)</f>
        <v>20837.971874999996</v>
      </c>
      <c r="I50" s="2">
        <f>SUM($G$45:I48)</f>
        <v>40914.082483749997</v>
      </c>
      <c r="J50" s="2">
        <f>SUM($G$45:J48)</f>
        <v>60553.374186404086</v>
      </c>
      <c r="K50" s="2">
        <f>SUM($G$45:K48)</f>
        <v>78734.060190108037</v>
      </c>
      <c r="L50" s="2">
        <f>SUM($G$45:L48)</f>
        <v>95444.952473974845</v>
      </c>
      <c r="M50" s="2">
        <f>SUM($G$45:M48)</f>
        <v>110736.73315538316</v>
      </c>
      <c r="N50" s="2">
        <f>SUM($G$45:N48)</f>
        <v>124633.51166575355</v>
      </c>
      <c r="O50" s="2">
        <f>SUM($G$45:O48)</f>
        <v>137175.08950214711</v>
      </c>
      <c r="P50" s="2">
        <f>SUM($G$45:P48)</f>
        <v>149570.71246941961</v>
      </c>
      <c r="Q50" s="2">
        <f>SUM($G$45:Q48)</f>
        <v>161721.47262921947</v>
      </c>
      <c r="R50" s="2">
        <f>SUM($G$45:R48)</f>
        <v>174856.52837759085</v>
      </c>
      <c r="S50" s="2">
        <f>SUM($G$45:S48)</f>
        <v>189066.59997838689</v>
      </c>
      <c r="T50" s="2">
        <f>SUM($G$45:T48)</f>
        <v>204435.75580933259</v>
      </c>
      <c r="U50" s="2">
        <f>SUM($G$45:U48)</f>
        <v>220024.95324150595</v>
      </c>
      <c r="V50" s="2">
        <f>SUM($G$45:V48)</f>
        <v>235825.00426940172</v>
      </c>
      <c r="W50" s="2">
        <f>SUM($G$45:W48)</f>
        <v>235825.00426940172</v>
      </c>
      <c r="X50" s="2">
        <f>SUM($G$45:X48)</f>
        <v>235825.00426940172</v>
      </c>
      <c r="Y50" s="2">
        <f>SUM($G$45:Y48)</f>
        <v>235825.00426940172</v>
      </c>
      <c r="Z50" s="2">
        <f>SUM($G$45:Z48)</f>
        <v>235825.00426940172</v>
      </c>
      <c r="AA50" s="2">
        <f>SUM($G$45:AA48)</f>
        <v>235825.00426940172</v>
      </c>
    </row>
    <row r="51" spans="1:27" x14ac:dyDescent="0.25">
      <c r="G51" s="2"/>
      <c r="H51" s="2"/>
      <c r="I51" s="2"/>
      <c r="J51" s="2"/>
      <c r="K51" s="2"/>
      <c r="L51" s="2"/>
      <c r="M51" s="2"/>
      <c r="N51" s="2"/>
      <c r="O51" s="2"/>
      <c r="P51" s="2"/>
      <c r="Q51" s="2"/>
      <c r="R51" s="2"/>
      <c r="S51" s="2"/>
      <c r="T51" s="2"/>
      <c r="U51" s="2"/>
      <c r="V51" s="2"/>
      <c r="W51" s="2"/>
      <c r="X51" s="2"/>
      <c r="Y51" s="2"/>
      <c r="Z51" s="2"/>
      <c r="AA51" s="2"/>
    </row>
    <row r="52" spans="1:27" x14ac:dyDescent="0.25">
      <c r="A52" s="14">
        <f>'Notes &amp; Assumptions'!A25</f>
        <v>12</v>
      </c>
      <c r="C52" s="1" t="s">
        <v>109</v>
      </c>
      <c r="G52" s="2"/>
      <c r="H52" s="2"/>
      <c r="I52" s="2"/>
      <c r="J52" s="2"/>
      <c r="K52" s="2"/>
      <c r="L52" s="2"/>
      <c r="M52" s="2"/>
      <c r="N52" s="2"/>
      <c r="O52" s="2"/>
      <c r="P52" s="2"/>
      <c r="Q52" s="2"/>
      <c r="R52" s="2"/>
      <c r="S52" s="2"/>
      <c r="T52" s="2"/>
      <c r="U52" s="2"/>
      <c r="V52" s="2"/>
      <c r="W52" s="2"/>
      <c r="X52" s="2"/>
      <c r="Y52" s="2"/>
      <c r="Z52" s="2"/>
      <c r="AA52" s="2"/>
    </row>
    <row r="53" spans="1:27" x14ac:dyDescent="0.25">
      <c r="E53" t="s">
        <v>109</v>
      </c>
      <c r="F53" t="s">
        <v>7</v>
      </c>
      <c r="G53" s="10"/>
      <c r="H53" s="10"/>
      <c r="I53" s="10"/>
      <c r="J53" s="10"/>
      <c r="K53" s="10"/>
      <c r="L53" s="10"/>
      <c r="M53" s="10"/>
      <c r="N53" s="10"/>
      <c r="O53" s="10"/>
      <c r="P53" s="10"/>
      <c r="Q53" s="10"/>
      <c r="R53" s="10"/>
      <c r="S53" s="10"/>
      <c r="T53" s="10"/>
      <c r="U53" s="10"/>
      <c r="V53" s="10"/>
      <c r="W53" s="10"/>
      <c r="X53" s="10"/>
      <c r="Y53" s="10"/>
      <c r="Z53" s="10"/>
      <c r="AA53" s="10"/>
    </row>
    <row r="55" spans="1:27" x14ac:dyDescent="0.25">
      <c r="C55" s="1" t="s">
        <v>25</v>
      </c>
      <c r="D55" s="1"/>
    </row>
    <row r="56" spans="1:27" x14ac:dyDescent="0.25">
      <c r="A56" s="14">
        <f>'Notes &amp; Assumptions'!A26</f>
        <v>13</v>
      </c>
      <c r="D56" t="s">
        <v>2</v>
      </c>
    </row>
    <row r="57" spans="1:27" x14ac:dyDescent="0.25">
      <c r="E57" s="2" t="str">
        <f>E7</f>
        <v>Pipes</v>
      </c>
      <c r="F57" t="s">
        <v>7</v>
      </c>
      <c r="G57" s="10"/>
      <c r="H57" s="10"/>
      <c r="I57" s="10"/>
      <c r="J57" s="10"/>
      <c r="K57" s="10"/>
      <c r="L57" s="10"/>
      <c r="M57" s="10"/>
      <c r="N57" s="10"/>
      <c r="O57" s="10"/>
      <c r="P57" s="10"/>
      <c r="Q57" s="10"/>
      <c r="R57" s="10"/>
      <c r="S57" s="10"/>
      <c r="T57" s="10"/>
      <c r="U57" s="10"/>
      <c r="V57" s="10"/>
      <c r="W57" s="10"/>
      <c r="X57" s="10"/>
      <c r="Y57" s="10"/>
      <c r="Z57" s="10"/>
      <c r="AA57" s="10"/>
    </row>
    <row r="58" spans="1:27" x14ac:dyDescent="0.25">
      <c r="E58" s="2" t="str">
        <f>E8</f>
        <v>Pumps</v>
      </c>
      <c r="F58" t="s">
        <v>7</v>
      </c>
      <c r="G58" s="10"/>
      <c r="H58" s="10"/>
      <c r="I58" s="10"/>
      <c r="J58" s="10"/>
      <c r="K58" s="10"/>
      <c r="L58" s="10"/>
      <c r="M58" s="10"/>
      <c r="N58" s="10"/>
      <c r="O58" s="10"/>
      <c r="P58" s="10"/>
      <c r="Q58" s="10"/>
      <c r="R58" s="10"/>
      <c r="S58" s="10"/>
      <c r="T58" s="10"/>
      <c r="U58" s="10"/>
      <c r="V58" s="10"/>
      <c r="W58" s="10"/>
      <c r="X58" s="10"/>
      <c r="Y58" s="10"/>
      <c r="Z58" s="10"/>
      <c r="AA58" s="10"/>
    </row>
    <row r="59" spans="1:27" x14ac:dyDescent="0.25">
      <c r="E59" s="2" t="str">
        <f>E9</f>
        <v>Valves and Meters</v>
      </c>
      <c r="F59" t="s">
        <v>7</v>
      </c>
      <c r="G59" s="10"/>
      <c r="H59" s="10"/>
      <c r="I59" s="10"/>
      <c r="J59" s="10"/>
      <c r="K59" s="10"/>
      <c r="L59" s="10"/>
      <c r="M59" s="10"/>
      <c r="N59" s="10"/>
      <c r="O59" s="10"/>
      <c r="P59" s="10"/>
      <c r="Q59" s="10"/>
      <c r="R59" s="10"/>
      <c r="S59" s="10"/>
      <c r="T59" s="10"/>
      <c r="U59" s="10"/>
      <c r="V59" s="10"/>
      <c r="W59" s="10"/>
      <c r="X59" s="10"/>
      <c r="Y59" s="10"/>
      <c r="Z59" s="10"/>
      <c r="AA59" s="10"/>
    </row>
    <row r="60" spans="1:27" x14ac:dyDescent="0.25">
      <c r="E60" t="s">
        <v>131</v>
      </c>
      <c r="F60" t="s">
        <v>7</v>
      </c>
      <c r="G60" s="10"/>
      <c r="H60" s="10"/>
      <c r="I60" s="10"/>
      <c r="J60" s="10"/>
      <c r="K60" s="10"/>
      <c r="L60" s="10"/>
      <c r="M60" s="10"/>
      <c r="N60" s="10"/>
      <c r="O60" s="10"/>
      <c r="P60" s="10"/>
      <c r="Q60" s="10"/>
      <c r="R60" s="10"/>
      <c r="S60" s="10"/>
      <c r="T60" s="10"/>
      <c r="U60" s="10"/>
      <c r="V60" s="10"/>
      <c r="W60" s="10"/>
      <c r="X60" s="10"/>
      <c r="Y60" s="10"/>
      <c r="Z60" s="10"/>
      <c r="AA60" s="10"/>
    </row>
    <row r="61" spans="1:27" x14ac:dyDescent="0.25">
      <c r="G61" s="2">
        <f>SUM(G57:G60)</f>
        <v>0</v>
      </c>
      <c r="H61" s="2">
        <f t="shared" ref="H61:AA61" si="7">SUM(H57:H60)</f>
        <v>0</v>
      </c>
      <c r="I61" s="2">
        <f t="shared" si="7"/>
        <v>0</v>
      </c>
      <c r="J61" s="2">
        <f t="shared" si="7"/>
        <v>0</v>
      </c>
      <c r="K61" s="2">
        <f t="shared" si="7"/>
        <v>0</v>
      </c>
      <c r="L61" s="2">
        <f t="shared" si="7"/>
        <v>0</v>
      </c>
      <c r="M61" s="2">
        <f t="shared" si="7"/>
        <v>0</v>
      </c>
      <c r="N61" s="2">
        <f t="shared" si="7"/>
        <v>0</v>
      </c>
      <c r="O61" s="2">
        <f t="shared" si="7"/>
        <v>0</v>
      </c>
      <c r="P61" s="2">
        <f t="shared" si="7"/>
        <v>0</v>
      </c>
      <c r="Q61" s="2">
        <f t="shared" si="7"/>
        <v>0</v>
      </c>
      <c r="R61" s="2">
        <f t="shared" si="7"/>
        <v>0</v>
      </c>
      <c r="S61" s="2">
        <f t="shared" si="7"/>
        <v>0</v>
      </c>
      <c r="T61" s="2">
        <f t="shared" si="7"/>
        <v>0</v>
      </c>
      <c r="U61" s="2">
        <f t="shared" si="7"/>
        <v>0</v>
      </c>
      <c r="V61" s="2">
        <f t="shared" si="7"/>
        <v>0</v>
      </c>
      <c r="W61" s="2">
        <f t="shared" si="7"/>
        <v>0</v>
      </c>
      <c r="X61" s="2">
        <f t="shared" si="7"/>
        <v>0</v>
      </c>
      <c r="Y61" s="2">
        <f t="shared" si="7"/>
        <v>0</v>
      </c>
      <c r="Z61" s="2">
        <f t="shared" si="7"/>
        <v>0</v>
      </c>
      <c r="AA61" s="2">
        <f t="shared" si="7"/>
        <v>0</v>
      </c>
    </row>
    <row r="63" spans="1:27" x14ac:dyDescent="0.25">
      <c r="D63" t="s">
        <v>136</v>
      </c>
      <c r="G63" s="2"/>
      <c r="H63" s="2"/>
      <c r="I63" s="2"/>
      <c r="J63" s="2"/>
      <c r="K63" s="2"/>
      <c r="L63" s="2"/>
      <c r="M63" s="2"/>
      <c r="N63" s="2"/>
      <c r="O63" s="2"/>
      <c r="P63" s="2"/>
      <c r="Q63" s="2"/>
    </row>
    <row r="64" spans="1:27" x14ac:dyDescent="0.25">
      <c r="E64" s="2" t="str">
        <f>E57</f>
        <v>Pipes</v>
      </c>
      <c r="F64" t="s">
        <v>7</v>
      </c>
      <c r="G64" s="2">
        <f t="shared" ref="G64:AA66" si="8">G57/$G7+IF((G$2-$G7+1)&gt;0,-INDEX($G57:$AA57,1,(G$2-$G7+1))/$G7,0)</f>
        <v>0</v>
      </c>
      <c r="H64" s="2">
        <f t="shared" si="8"/>
        <v>0</v>
      </c>
      <c r="I64" s="2">
        <f t="shared" si="8"/>
        <v>0</v>
      </c>
      <c r="J64" s="2">
        <f t="shared" si="8"/>
        <v>0</v>
      </c>
      <c r="K64" s="2">
        <f t="shared" si="8"/>
        <v>0</v>
      </c>
      <c r="L64" s="2">
        <f t="shared" si="8"/>
        <v>0</v>
      </c>
      <c r="M64" s="2">
        <f t="shared" si="8"/>
        <v>0</v>
      </c>
      <c r="N64" s="2">
        <f t="shared" si="8"/>
        <v>0</v>
      </c>
      <c r="O64" s="2">
        <f t="shared" si="8"/>
        <v>0</v>
      </c>
      <c r="P64" s="2">
        <f t="shared" si="8"/>
        <v>0</v>
      </c>
      <c r="Q64" s="2">
        <f t="shared" si="8"/>
        <v>0</v>
      </c>
      <c r="R64" s="2">
        <f t="shared" si="8"/>
        <v>0</v>
      </c>
      <c r="S64" s="2">
        <f t="shared" si="8"/>
        <v>0</v>
      </c>
      <c r="T64" s="2">
        <f t="shared" si="8"/>
        <v>0</v>
      </c>
      <c r="U64" s="2">
        <f t="shared" si="8"/>
        <v>0</v>
      </c>
      <c r="V64" s="2">
        <f t="shared" si="8"/>
        <v>0</v>
      </c>
      <c r="W64" s="2">
        <f t="shared" si="8"/>
        <v>0</v>
      </c>
      <c r="X64" s="2">
        <f t="shared" si="8"/>
        <v>0</v>
      </c>
      <c r="Y64" s="2">
        <f t="shared" si="8"/>
        <v>0</v>
      </c>
      <c r="Z64" s="2">
        <f t="shared" si="8"/>
        <v>0</v>
      </c>
      <c r="AA64" s="2">
        <f t="shared" si="8"/>
        <v>0</v>
      </c>
    </row>
    <row r="65" spans="1:27" x14ac:dyDescent="0.25">
      <c r="E65" s="2" t="str">
        <f t="shared" ref="E65:E66" si="9">E58</f>
        <v>Pumps</v>
      </c>
      <c r="F65" t="s">
        <v>7</v>
      </c>
      <c r="G65" s="2">
        <f t="shared" si="8"/>
        <v>0</v>
      </c>
      <c r="H65" s="2">
        <f t="shared" si="8"/>
        <v>0</v>
      </c>
      <c r="I65" s="2">
        <f t="shared" si="8"/>
        <v>0</v>
      </c>
      <c r="J65" s="2">
        <f t="shared" si="8"/>
        <v>0</v>
      </c>
      <c r="K65" s="2">
        <f t="shared" si="8"/>
        <v>0</v>
      </c>
      <c r="L65" s="2">
        <f t="shared" si="8"/>
        <v>0</v>
      </c>
      <c r="M65" s="2">
        <f t="shared" si="8"/>
        <v>0</v>
      </c>
      <c r="N65" s="2">
        <f t="shared" si="8"/>
        <v>0</v>
      </c>
      <c r="O65" s="2">
        <f t="shared" si="8"/>
        <v>0</v>
      </c>
      <c r="P65" s="2">
        <f t="shared" si="8"/>
        <v>0</v>
      </c>
      <c r="Q65" s="2">
        <f t="shared" si="8"/>
        <v>0</v>
      </c>
      <c r="R65" s="2">
        <f t="shared" si="8"/>
        <v>0</v>
      </c>
      <c r="S65" s="2">
        <f t="shared" si="8"/>
        <v>0</v>
      </c>
      <c r="T65" s="2">
        <f t="shared" si="8"/>
        <v>0</v>
      </c>
      <c r="U65" s="2">
        <f t="shared" si="8"/>
        <v>0</v>
      </c>
      <c r="V65" s="2">
        <f t="shared" si="8"/>
        <v>0</v>
      </c>
      <c r="W65" s="2">
        <f t="shared" si="8"/>
        <v>0</v>
      </c>
      <c r="X65" s="2">
        <f t="shared" si="8"/>
        <v>0</v>
      </c>
      <c r="Y65" s="2">
        <f t="shared" si="8"/>
        <v>0</v>
      </c>
      <c r="Z65" s="2">
        <f t="shared" si="8"/>
        <v>0</v>
      </c>
      <c r="AA65" s="2">
        <f t="shared" si="8"/>
        <v>0</v>
      </c>
    </row>
    <row r="66" spans="1:27" x14ac:dyDescent="0.25">
      <c r="E66" s="2" t="str">
        <f t="shared" si="9"/>
        <v>Valves and Meters</v>
      </c>
      <c r="F66" t="s">
        <v>7</v>
      </c>
      <c r="G66" s="2">
        <f t="shared" si="8"/>
        <v>0</v>
      </c>
      <c r="H66" s="2">
        <f t="shared" si="8"/>
        <v>0</v>
      </c>
      <c r="I66" s="2">
        <f t="shared" si="8"/>
        <v>0</v>
      </c>
      <c r="J66" s="2">
        <f t="shared" si="8"/>
        <v>0</v>
      </c>
      <c r="K66" s="2">
        <f t="shared" si="8"/>
        <v>0</v>
      </c>
      <c r="L66" s="2">
        <f t="shared" si="8"/>
        <v>0</v>
      </c>
      <c r="M66" s="2">
        <f t="shared" si="8"/>
        <v>0</v>
      </c>
      <c r="N66" s="2">
        <f t="shared" si="8"/>
        <v>0</v>
      </c>
      <c r="O66" s="2">
        <f t="shared" si="8"/>
        <v>0</v>
      </c>
      <c r="P66" s="2">
        <f t="shared" si="8"/>
        <v>0</v>
      </c>
      <c r="Q66" s="2">
        <f t="shared" si="8"/>
        <v>0</v>
      </c>
      <c r="R66" s="2">
        <f t="shared" si="8"/>
        <v>0</v>
      </c>
      <c r="S66" s="2">
        <f t="shared" si="8"/>
        <v>0</v>
      </c>
      <c r="T66" s="2">
        <f t="shared" si="8"/>
        <v>0</v>
      </c>
      <c r="U66" s="2">
        <f t="shared" si="8"/>
        <v>0</v>
      </c>
      <c r="V66" s="2">
        <f t="shared" si="8"/>
        <v>0</v>
      </c>
      <c r="W66" s="2">
        <f t="shared" si="8"/>
        <v>0</v>
      </c>
      <c r="X66" s="2">
        <f t="shared" si="8"/>
        <v>0</v>
      </c>
      <c r="Y66" s="2">
        <f t="shared" si="8"/>
        <v>0</v>
      </c>
      <c r="Z66" s="2">
        <f t="shared" si="8"/>
        <v>0</v>
      </c>
      <c r="AA66" s="2">
        <f t="shared" si="8"/>
        <v>0</v>
      </c>
    </row>
    <row r="68" spans="1:27" x14ac:dyDescent="0.25">
      <c r="D68" t="s">
        <v>137</v>
      </c>
      <c r="F68" t="s">
        <v>7</v>
      </c>
      <c r="G68" s="2">
        <f>SUM($G$64:G66)</f>
        <v>0</v>
      </c>
      <c r="H68" s="2">
        <f>SUM($G$64:H66)</f>
        <v>0</v>
      </c>
      <c r="I68" s="2">
        <f>SUM($G$64:I66)</f>
        <v>0</v>
      </c>
      <c r="J68" s="2">
        <f>SUM($G$64:J66)</f>
        <v>0</v>
      </c>
      <c r="K68" s="2">
        <f>SUM($G$64:K66)</f>
        <v>0</v>
      </c>
      <c r="L68" s="2">
        <f>SUM($G$64:L66)</f>
        <v>0</v>
      </c>
      <c r="M68" s="2">
        <f>SUM($G$64:M66)</f>
        <v>0</v>
      </c>
      <c r="N68" s="2">
        <f>SUM($G$64:N66)</f>
        <v>0</v>
      </c>
      <c r="O68" s="2">
        <f>SUM($G$64:O66)</f>
        <v>0</v>
      </c>
      <c r="P68" s="2">
        <f>SUM($G$64:P66)</f>
        <v>0</v>
      </c>
      <c r="Q68" s="2">
        <f>SUM($G$64:Q66)</f>
        <v>0</v>
      </c>
      <c r="R68" s="2">
        <f>SUM($G$64:R66)</f>
        <v>0</v>
      </c>
      <c r="S68" s="2">
        <f>SUM($G$64:S66)</f>
        <v>0</v>
      </c>
      <c r="T68" s="2">
        <f>SUM($G$64:T66)</f>
        <v>0</v>
      </c>
      <c r="U68" s="2">
        <f>SUM($G$64:U66)</f>
        <v>0</v>
      </c>
      <c r="V68" s="2">
        <f>SUM($G$64:V66)</f>
        <v>0</v>
      </c>
      <c r="W68" s="2">
        <f>SUM($G$64:W66)</f>
        <v>0</v>
      </c>
      <c r="X68" s="2">
        <f>SUM($G$64:X66)</f>
        <v>0</v>
      </c>
      <c r="Y68" s="2">
        <f>SUM($G$64:Y66)</f>
        <v>0</v>
      </c>
      <c r="Z68" s="2">
        <f>SUM($G$64:Z66)</f>
        <v>0</v>
      </c>
      <c r="AA68" s="2">
        <f>SUM($G$64:AA66)</f>
        <v>0</v>
      </c>
    </row>
    <row r="70" spans="1:27" x14ac:dyDescent="0.25">
      <c r="A70" s="14">
        <f>'Notes &amp; Assumptions'!A27</f>
        <v>14</v>
      </c>
      <c r="D70" t="s">
        <v>6</v>
      </c>
    </row>
    <row r="71" spans="1:27" x14ac:dyDescent="0.25">
      <c r="E71" s="2" t="str">
        <f>E7</f>
        <v>Pipes</v>
      </c>
      <c r="F71" t="s">
        <v>7</v>
      </c>
      <c r="G71" s="10"/>
      <c r="H71" s="10"/>
      <c r="I71" s="10"/>
      <c r="J71" s="10"/>
      <c r="K71" s="10"/>
      <c r="L71" s="10"/>
      <c r="M71" s="10"/>
      <c r="N71" s="10"/>
      <c r="O71" s="10"/>
      <c r="P71" s="10"/>
      <c r="Q71" s="10"/>
      <c r="R71" s="10"/>
      <c r="S71" s="10"/>
      <c r="T71" s="10"/>
      <c r="U71" s="10"/>
      <c r="V71" s="10"/>
      <c r="W71" s="10"/>
      <c r="X71" s="10"/>
      <c r="Y71" s="10"/>
      <c r="Z71" s="10"/>
      <c r="AA71" s="10"/>
    </row>
    <row r="72" spans="1:27" x14ac:dyDescent="0.25">
      <c r="E72" s="2" t="str">
        <f>E8</f>
        <v>Pumps</v>
      </c>
      <c r="F72" t="s">
        <v>7</v>
      </c>
      <c r="G72" s="10"/>
      <c r="H72" s="10"/>
      <c r="I72" s="10"/>
      <c r="J72" s="10"/>
      <c r="K72" s="10"/>
      <c r="L72" s="10"/>
      <c r="M72" s="10"/>
      <c r="N72" s="10"/>
      <c r="O72" s="10"/>
      <c r="P72" s="10"/>
      <c r="Q72" s="10"/>
      <c r="R72" s="10"/>
      <c r="S72" s="10"/>
      <c r="T72" s="10"/>
      <c r="U72" s="10"/>
      <c r="V72" s="10"/>
      <c r="W72" s="10"/>
      <c r="X72" s="10"/>
      <c r="Y72" s="10"/>
      <c r="Z72" s="10"/>
      <c r="AA72" s="10"/>
    </row>
    <row r="73" spans="1:27" x14ac:dyDescent="0.25">
      <c r="E73" s="2" t="str">
        <f>E9</f>
        <v>Valves and Meters</v>
      </c>
      <c r="F73" t="s">
        <v>7</v>
      </c>
      <c r="G73" s="10"/>
      <c r="H73" s="10"/>
      <c r="I73" s="10"/>
      <c r="J73" s="10"/>
      <c r="K73" s="10"/>
      <c r="L73" s="10"/>
      <c r="M73" s="10"/>
      <c r="N73" s="10"/>
      <c r="O73" s="10"/>
      <c r="P73" s="10"/>
      <c r="Q73" s="10"/>
      <c r="R73" s="10"/>
      <c r="S73" s="10"/>
      <c r="T73" s="10"/>
      <c r="U73" s="10"/>
      <c r="V73" s="10"/>
      <c r="W73" s="10"/>
      <c r="X73" s="10"/>
      <c r="Y73" s="10"/>
      <c r="Z73" s="10"/>
      <c r="AA73" s="10"/>
    </row>
    <row r="74" spans="1:27" x14ac:dyDescent="0.25">
      <c r="E74" t="s">
        <v>131</v>
      </c>
      <c r="F74" t="s">
        <v>7</v>
      </c>
      <c r="G74" s="10"/>
      <c r="H74" s="10"/>
      <c r="I74" s="10"/>
      <c r="J74" s="10"/>
      <c r="K74" s="10"/>
      <c r="L74" s="10"/>
      <c r="M74" s="10"/>
      <c r="N74" s="10"/>
      <c r="O74" s="10"/>
      <c r="P74" s="10"/>
      <c r="Q74" s="10"/>
      <c r="R74" s="10"/>
      <c r="S74" s="10"/>
      <c r="T74" s="10"/>
      <c r="U74" s="10"/>
      <c r="V74" s="10"/>
      <c r="W74" s="10"/>
      <c r="X74" s="10"/>
      <c r="Y74" s="10"/>
      <c r="Z74" s="10"/>
      <c r="AA74" s="10"/>
    </row>
    <row r="75" spans="1:27" x14ac:dyDescent="0.25">
      <c r="G75" s="2">
        <f>SUM(G71:G74)</f>
        <v>0</v>
      </c>
      <c r="H75" s="2">
        <f t="shared" ref="H75:AA75" si="10">SUM(H71:H74)</f>
        <v>0</v>
      </c>
      <c r="I75" s="2">
        <f t="shared" si="10"/>
        <v>0</v>
      </c>
      <c r="J75" s="2">
        <f t="shared" si="10"/>
        <v>0</v>
      </c>
      <c r="K75" s="2">
        <f t="shared" si="10"/>
        <v>0</v>
      </c>
      <c r="L75" s="2">
        <f t="shared" si="10"/>
        <v>0</v>
      </c>
      <c r="M75" s="2">
        <f t="shared" si="10"/>
        <v>0</v>
      </c>
      <c r="N75" s="2">
        <f t="shared" si="10"/>
        <v>0</v>
      </c>
      <c r="O75" s="2">
        <f t="shared" si="10"/>
        <v>0</v>
      </c>
      <c r="P75" s="2">
        <f t="shared" si="10"/>
        <v>0</v>
      </c>
      <c r="Q75" s="2">
        <f t="shared" si="10"/>
        <v>0</v>
      </c>
      <c r="R75" s="2">
        <f t="shared" si="10"/>
        <v>0</v>
      </c>
      <c r="S75" s="2">
        <f t="shared" si="10"/>
        <v>0</v>
      </c>
      <c r="T75" s="2">
        <f t="shared" si="10"/>
        <v>0</v>
      </c>
      <c r="U75" s="2">
        <f t="shared" si="10"/>
        <v>0</v>
      </c>
      <c r="V75" s="2">
        <f t="shared" si="10"/>
        <v>0</v>
      </c>
      <c r="W75" s="2">
        <f t="shared" si="10"/>
        <v>0</v>
      </c>
      <c r="X75" s="2">
        <f t="shared" si="10"/>
        <v>0</v>
      </c>
      <c r="Y75" s="2">
        <f t="shared" si="10"/>
        <v>0</v>
      </c>
      <c r="Z75" s="2">
        <f t="shared" si="10"/>
        <v>0</v>
      </c>
      <c r="AA75" s="2">
        <f t="shared" si="10"/>
        <v>0</v>
      </c>
    </row>
    <row r="76" spans="1:27" x14ac:dyDescent="0.25">
      <c r="G76" s="2"/>
      <c r="H76" s="2"/>
      <c r="I76" s="2"/>
      <c r="J76" s="2"/>
      <c r="K76" s="2"/>
      <c r="L76" s="2"/>
      <c r="M76" s="2"/>
      <c r="N76" s="2"/>
      <c r="O76" s="2"/>
      <c r="P76" s="2"/>
      <c r="Q76" s="2"/>
      <c r="R76" s="2"/>
      <c r="S76" s="2"/>
      <c r="T76" s="2"/>
      <c r="U76" s="2"/>
      <c r="V76" s="2"/>
      <c r="W76" s="2"/>
      <c r="X76" s="2"/>
      <c r="Y76" s="2"/>
      <c r="Z76" s="2"/>
      <c r="AA76" s="2"/>
    </row>
    <row r="77" spans="1:27" x14ac:dyDescent="0.25">
      <c r="D77" t="s">
        <v>136</v>
      </c>
      <c r="G77" s="2"/>
      <c r="H77" s="2"/>
      <c r="I77" s="2"/>
      <c r="J77" s="2"/>
      <c r="K77" s="2"/>
      <c r="L77" s="2"/>
      <c r="M77" s="2"/>
      <c r="N77" s="2"/>
      <c r="O77" s="2"/>
      <c r="P77" s="2"/>
      <c r="Q77" s="2"/>
    </row>
    <row r="78" spans="1:27" x14ac:dyDescent="0.25">
      <c r="E78" s="2" t="str">
        <f>E71</f>
        <v>Pipes</v>
      </c>
      <c r="F78" t="s">
        <v>7</v>
      </c>
      <c r="G78" s="2">
        <f t="shared" ref="G78:AA80" si="11">G71/$G7+IF((G$2-$G7+1)&gt;0,-INDEX($G71:$AA71,1,(G$2-$G7+1))/$G7,0)</f>
        <v>0</v>
      </c>
      <c r="H78" s="2">
        <f t="shared" si="11"/>
        <v>0</v>
      </c>
      <c r="I78" s="2">
        <f t="shared" si="11"/>
        <v>0</v>
      </c>
      <c r="J78" s="2">
        <f t="shared" si="11"/>
        <v>0</v>
      </c>
      <c r="K78" s="2">
        <f t="shared" si="11"/>
        <v>0</v>
      </c>
      <c r="L78" s="2">
        <f t="shared" si="11"/>
        <v>0</v>
      </c>
      <c r="M78" s="2">
        <f t="shared" si="11"/>
        <v>0</v>
      </c>
      <c r="N78" s="2">
        <f t="shared" si="11"/>
        <v>0</v>
      </c>
      <c r="O78" s="2">
        <f t="shared" si="11"/>
        <v>0</v>
      </c>
      <c r="P78" s="2">
        <f t="shared" si="11"/>
        <v>0</v>
      </c>
      <c r="Q78" s="2">
        <f t="shared" si="11"/>
        <v>0</v>
      </c>
      <c r="R78" s="2">
        <f t="shared" si="11"/>
        <v>0</v>
      </c>
      <c r="S78" s="2">
        <f t="shared" si="11"/>
        <v>0</v>
      </c>
      <c r="T78" s="2">
        <f t="shared" si="11"/>
        <v>0</v>
      </c>
      <c r="U78" s="2">
        <f t="shared" si="11"/>
        <v>0</v>
      </c>
      <c r="V78" s="2">
        <f t="shared" si="11"/>
        <v>0</v>
      </c>
      <c r="W78" s="2">
        <f t="shared" si="11"/>
        <v>0</v>
      </c>
      <c r="X78" s="2">
        <f t="shared" si="11"/>
        <v>0</v>
      </c>
      <c r="Y78" s="2">
        <f t="shared" si="11"/>
        <v>0</v>
      </c>
      <c r="Z78" s="2">
        <f t="shared" si="11"/>
        <v>0</v>
      </c>
      <c r="AA78" s="2">
        <f t="shared" si="11"/>
        <v>0</v>
      </c>
    </row>
    <row r="79" spans="1:27" x14ac:dyDescent="0.25">
      <c r="E79" s="2" t="str">
        <f t="shared" ref="E79:E80" si="12">E72</f>
        <v>Pumps</v>
      </c>
      <c r="F79" t="s">
        <v>7</v>
      </c>
      <c r="G79" s="2">
        <f t="shared" si="11"/>
        <v>0</v>
      </c>
      <c r="H79" s="2">
        <f t="shared" si="11"/>
        <v>0</v>
      </c>
      <c r="I79" s="2">
        <f t="shared" si="11"/>
        <v>0</v>
      </c>
      <c r="J79" s="2">
        <f t="shared" si="11"/>
        <v>0</v>
      </c>
      <c r="K79" s="2">
        <f t="shared" si="11"/>
        <v>0</v>
      </c>
      <c r="L79" s="2">
        <f t="shared" si="11"/>
        <v>0</v>
      </c>
      <c r="M79" s="2">
        <f t="shared" si="11"/>
        <v>0</v>
      </c>
      <c r="N79" s="2">
        <f t="shared" si="11"/>
        <v>0</v>
      </c>
      <c r="O79" s="2">
        <f t="shared" si="11"/>
        <v>0</v>
      </c>
      <c r="P79" s="2">
        <f t="shared" si="11"/>
        <v>0</v>
      </c>
      <c r="Q79" s="2">
        <f t="shared" si="11"/>
        <v>0</v>
      </c>
      <c r="R79" s="2">
        <f t="shared" si="11"/>
        <v>0</v>
      </c>
      <c r="S79" s="2">
        <f t="shared" si="11"/>
        <v>0</v>
      </c>
      <c r="T79" s="2">
        <f t="shared" si="11"/>
        <v>0</v>
      </c>
      <c r="U79" s="2">
        <f t="shared" si="11"/>
        <v>0</v>
      </c>
      <c r="V79" s="2">
        <f t="shared" si="11"/>
        <v>0</v>
      </c>
      <c r="W79" s="2">
        <f t="shared" si="11"/>
        <v>0</v>
      </c>
      <c r="X79" s="2">
        <f t="shared" si="11"/>
        <v>0</v>
      </c>
      <c r="Y79" s="2">
        <f t="shared" si="11"/>
        <v>0</v>
      </c>
      <c r="Z79" s="2">
        <f t="shared" si="11"/>
        <v>0</v>
      </c>
      <c r="AA79" s="2">
        <f t="shared" si="11"/>
        <v>0</v>
      </c>
    </row>
    <row r="80" spans="1:27" x14ac:dyDescent="0.25">
      <c r="E80" s="2" t="str">
        <f t="shared" si="12"/>
        <v>Valves and Meters</v>
      </c>
      <c r="F80" t="s">
        <v>7</v>
      </c>
      <c r="G80" s="2">
        <f t="shared" si="11"/>
        <v>0</v>
      </c>
      <c r="H80" s="2">
        <f t="shared" si="11"/>
        <v>0</v>
      </c>
      <c r="I80" s="2">
        <f t="shared" si="11"/>
        <v>0</v>
      </c>
      <c r="J80" s="2">
        <f t="shared" si="11"/>
        <v>0</v>
      </c>
      <c r="K80" s="2">
        <f t="shared" si="11"/>
        <v>0</v>
      </c>
      <c r="L80" s="2">
        <f t="shared" si="11"/>
        <v>0</v>
      </c>
      <c r="M80" s="2">
        <f t="shared" si="11"/>
        <v>0</v>
      </c>
      <c r="N80" s="2">
        <f t="shared" si="11"/>
        <v>0</v>
      </c>
      <c r="O80" s="2">
        <f t="shared" si="11"/>
        <v>0</v>
      </c>
      <c r="P80" s="2">
        <f t="shared" si="11"/>
        <v>0</v>
      </c>
      <c r="Q80" s="2">
        <f t="shared" si="11"/>
        <v>0</v>
      </c>
      <c r="R80" s="2">
        <f t="shared" si="11"/>
        <v>0</v>
      </c>
      <c r="S80" s="2">
        <f t="shared" si="11"/>
        <v>0</v>
      </c>
      <c r="T80" s="2">
        <f t="shared" si="11"/>
        <v>0</v>
      </c>
      <c r="U80" s="2">
        <f t="shared" si="11"/>
        <v>0</v>
      </c>
      <c r="V80" s="2">
        <f t="shared" si="11"/>
        <v>0</v>
      </c>
      <c r="W80" s="2">
        <f t="shared" si="11"/>
        <v>0</v>
      </c>
      <c r="X80" s="2">
        <f t="shared" si="11"/>
        <v>0</v>
      </c>
      <c r="Y80" s="2">
        <f t="shared" si="11"/>
        <v>0</v>
      </c>
      <c r="Z80" s="2">
        <f t="shared" si="11"/>
        <v>0</v>
      </c>
      <c r="AA80" s="2">
        <f t="shared" si="11"/>
        <v>0</v>
      </c>
    </row>
    <row r="82" spans="1:27" x14ac:dyDescent="0.25">
      <c r="D82" t="s">
        <v>137</v>
      </c>
      <c r="F82" t="s">
        <v>7</v>
      </c>
      <c r="G82" s="2">
        <f>SUM($G$77:G80)</f>
        <v>0</v>
      </c>
      <c r="H82" s="2">
        <f>SUM($G$77:H80)</f>
        <v>0</v>
      </c>
      <c r="I82" s="2">
        <f>SUM($G$77:I80)</f>
        <v>0</v>
      </c>
      <c r="J82" s="2">
        <f>SUM($G$77:J80)</f>
        <v>0</v>
      </c>
      <c r="K82" s="2">
        <f>SUM($G$77:K80)</f>
        <v>0</v>
      </c>
      <c r="L82" s="2">
        <f>SUM($G$77:L80)</f>
        <v>0</v>
      </c>
      <c r="M82" s="2">
        <f>SUM($G$77:M80)</f>
        <v>0</v>
      </c>
      <c r="N82" s="2">
        <f>SUM($G$77:N80)</f>
        <v>0</v>
      </c>
      <c r="O82" s="2">
        <f>SUM($G$77:O80)</f>
        <v>0</v>
      </c>
      <c r="P82" s="2">
        <f>SUM($G$77:P80)</f>
        <v>0</v>
      </c>
      <c r="Q82" s="2">
        <f>SUM($G$77:Q80)</f>
        <v>0</v>
      </c>
      <c r="R82" s="2">
        <f>SUM($G$77:R80)</f>
        <v>0</v>
      </c>
      <c r="S82" s="2">
        <f>SUM($G$77:S80)</f>
        <v>0</v>
      </c>
      <c r="T82" s="2">
        <f>SUM($G$77:T80)</f>
        <v>0</v>
      </c>
      <c r="U82" s="2">
        <f>SUM($G$77:U80)</f>
        <v>0</v>
      </c>
      <c r="V82" s="2">
        <f>SUM($G$77:V80)</f>
        <v>0</v>
      </c>
      <c r="W82" s="2">
        <f>SUM($G$77:W80)</f>
        <v>0</v>
      </c>
      <c r="X82" s="2">
        <f>SUM($G$77:X80)</f>
        <v>0</v>
      </c>
      <c r="Y82" s="2">
        <f>SUM($G$77:Y80)</f>
        <v>0</v>
      </c>
      <c r="Z82" s="2">
        <f>SUM($G$77:Z80)</f>
        <v>0</v>
      </c>
      <c r="AA82" s="2">
        <f>SUM($G$77:AA80)</f>
        <v>0</v>
      </c>
    </row>
    <row r="83" spans="1:27" x14ac:dyDescent="0.25">
      <c r="G83" s="2"/>
      <c r="H83" s="2"/>
      <c r="I83" s="2"/>
      <c r="J83" s="2"/>
      <c r="K83" s="2"/>
      <c r="L83" s="2"/>
      <c r="M83" s="2"/>
      <c r="N83" s="2"/>
      <c r="O83" s="2"/>
      <c r="P83" s="2"/>
      <c r="Q83" s="2"/>
      <c r="R83" s="2"/>
      <c r="S83" s="2"/>
      <c r="T83" s="2"/>
      <c r="U83" s="2"/>
      <c r="V83" s="2"/>
      <c r="W83" s="2"/>
      <c r="X83" s="2"/>
      <c r="Y83" s="2"/>
      <c r="Z83" s="2"/>
      <c r="AA83" s="2"/>
    </row>
    <row r="84" spans="1:27" x14ac:dyDescent="0.25">
      <c r="D84" t="s">
        <v>138</v>
      </c>
      <c r="F84" t="s">
        <v>7</v>
      </c>
      <c r="G84" s="2">
        <f t="shared" ref="G84:AA84" si="13">G61-G75</f>
        <v>0</v>
      </c>
      <c r="H84" s="2">
        <f t="shared" si="13"/>
        <v>0</v>
      </c>
      <c r="I84" s="2">
        <f t="shared" si="13"/>
        <v>0</v>
      </c>
      <c r="J84" s="2">
        <f t="shared" si="13"/>
        <v>0</v>
      </c>
      <c r="K84" s="2">
        <f t="shared" si="13"/>
        <v>0</v>
      </c>
      <c r="L84" s="2">
        <f t="shared" si="13"/>
        <v>0</v>
      </c>
      <c r="M84" s="2">
        <f t="shared" si="13"/>
        <v>0</v>
      </c>
      <c r="N84" s="2">
        <f t="shared" si="13"/>
        <v>0</v>
      </c>
      <c r="O84" s="2">
        <f t="shared" si="13"/>
        <v>0</v>
      </c>
      <c r="P84" s="2">
        <f t="shared" si="13"/>
        <v>0</v>
      </c>
      <c r="Q84" s="2">
        <f t="shared" si="13"/>
        <v>0</v>
      </c>
      <c r="R84" s="2">
        <f t="shared" si="13"/>
        <v>0</v>
      </c>
      <c r="S84" s="2">
        <f t="shared" si="13"/>
        <v>0</v>
      </c>
      <c r="T84" s="2">
        <f t="shared" si="13"/>
        <v>0</v>
      </c>
      <c r="U84" s="2">
        <f t="shared" si="13"/>
        <v>0</v>
      </c>
      <c r="V84" s="2">
        <f t="shared" si="13"/>
        <v>0</v>
      </c>
      <c r="W84" s="2">
        <f t="shared" si="13"/>
        <v>0</v>
      </c>
      <c r="X84" s="2">
        <f t="shared" si="13"/>
        <v>0</v>
      </c>
      <c r="Y84" s="2">
        <f t="shared" si="13"/>
        <v>0</v>
      </c>
      <c r="Z84" s="2">
        <f t="shared" si="13"/>
        <v>0</v>
      </c>
      <c r="AA84" s="2">
        <f t="shared" si="13"/>
        <v>0</v>
      </c>
    </row>
    <row r="85" spans="1:27" x14ac:dyDescent="0.25">
      <c r="D85" t="s">
        <v>139</v>
      </c>
      <c r="F85" t="s">
        <v>7</v>
      </c>
      <c r="G85" s="2">
        <f t="shared" ref="G85:AA85" si="14">-G68+G82</f>
        <v>0</v>
      </c>
      <c r="H85" s="2">
        <f t="shared" si="14"/>
        <v>0</v>
      </c>
      <c r="I85" s="2">
        <f t="shared" si="14"/>
        <v>0</v>
      </c>
      <c r="J85" s="2">
        <f t="shared" si="14"/>
        <v>0</v>
      </c>
      <c r="K85" s="2">
        <f t="shared" si="14"/>
        <v>0</v>
      </c>
      <c r="L85" s="2">
        <f t="shared" si="14"/>
        <v>0</v>
      </c>
      <c r="M85" s="2">
        <f t="shared" si="14"/>
        <v>0</v>
      </c>
      <c r="N85" s="2">
        <f t="shared" si="14"/>
        <v>0</v>
      </c>
      <c r="O85" s="2">
        <f t="shared" si="14"/>
        <v>0</v>
      </c>
      <c r="P85" s="2">
        <f t="shared" si="14"/>
        <v>0</v>
      </c>
      <c r="Q85" s="2">
        <f t="shared" si="14"/>
        <v>0</v>
      </c>
      <c r="R85" s="2">
        <f t="shared" si="14"/>
        <v>0</v>
      </c>
      <c r="S85" s="2">
        <f t="shared" si="14"/>
        <v>0</v>
      </c>
      <c r="T85" s="2">
        <f t="shared" si="14"/>
        <v>0</v>
      </c>
      <c r="U85" s="2">
        <f t="shared" si="14"/>
        <v>0</v>
      </c>
      <c r="V85" s="2">
        <f t="shared" si="14"/>
        <v>0</v>
      </c>
      <c r="W85" s="2">
        <f t="shared" si="14"/>
        <v>0</v>
      </c>
      <c r="X85" s="2">
        <f t="shared" si="14"/>
        <v>0</v>
      </c>
      <c r="Y85" s="2">
        <f t="shared" si="14"/>
        <v>0</v>
      </c>
      <c r="Z85" s="2">
        <f t="shared" si="14"/>
        <v>0</v>
      </c>
      <c r="AA85" s="2">
        <f t="shared" si="14"/>
        <v>0</v>
      </c>
    </row>
    <row r="87" spans="1:27" x14ac:dyDescent="0.25">
      <c r="C87" s="1" t="str">
        <f>"Incremental "&amp;G4&amp;" Service Revenue"</f>
        <v>Incremental Recycled Water Service Revenue</v>
      </c>
      <c r="D87" s="1"/>
    </row>
    <row r="88" spans="1:27" x14ac:dyDescent="0.25">
      <c r="C88" s="1"/>
      <c r="D88" s="1"/>
    </row>
    <row r="89" spans="1:27" x14ac:dyDescent="0.25">
      <c r="C89" s="1"/>
      <c r="D89" t="s">
        <v>59</v>
      </c>
    </row>
    <row r="90" spans="1:27" x14ac:dyDescent="0.25">
      <c r="A90" s="14">
        <f>'Notes &amp; Assumptions'!A28</f>
        <v>15</v>
      </c>
      <c r="C90" s="1"/>
      <c r="D90" s="1"/>
      <c r="E90" t="s">
        <v>87</v>
      </c>
      <c r="F90" t="s">
        <v>3</v>
      </c>
      <c r="H90" s="10">
        <f>'Customer numbers'!P61</f>
        <v>466.5</v>
      </c>
      <c r="I90" s="10">
        <f>'Customer numbers'!Q61</f>
        <v>440.20000000000005</v>
      </c>
      <c r="J90" s="10">
        <f>'Customer numbers'!R61</f>
        <v>421.76499999999999</v>
      </c>
      <c r="K90" s="10">
        <f>'Customer numbers'!S61</f>
        <v>382.40999999999997</v>
      </c>
      <c r="L90" s="10">
        <f>'Customer numbers'!T61</f>
        <v>344.26499999999993</v>
      </c>
      <c r="M90" s="10">
        <f>'Customer numbers'!U61</f>
        <v>308.54999999999995</v>
      </c>
      <c r="N90" s="10">
        <f>'Customer numbers'!V61</f>
        <v>274.63499999999993</v>
      </c>
      <c r="O90" s="10">
        <f>'Customer numbers'!W61</f>
        <v>242.75499999999988</v>
      </c>
      <c r="P90" s="10">
        <f>'Customer numbers'!X61</f>
        <v>234.99499999999989</v>
      </c>
      <c r="Q90" s="10">
        <f>'Customer numbers'!Y61</f>
        <v>225.61499999999992</v>
      </c>
      <c r="R90" s="10">
        <f>'Customer numbers'!Z61</f>
        <v>238.87499999999991</v>
      </c>
      <c r="S90" s="10">
        <f>'Customer numbers'!AA61</f>
        <v>253.1099999999999</v>
      </c>
      <c r="T90" s="10">
        <f>'Customer numbers'!AB61</f>
        <v>268.12499999999994</v>
      </c>
      <c r="U90" s="10">
        <f>'Customer numbers'!AC61</f>
        <v>266.36999999999989</v>
      </c>
      <c r="V90" s="10">
        <f>'Customer numbers'!AD61</f>
        <v>264.4199999999999</v>
      </c>
    </row>
    <row r="91" spans="1:27" x14ac:dyDescent="0.25">
      <c r="C91" s="1"/>
      <c r="D91" s="1"/>
      <c r="E91" t="s">
        <v>60</v>
      </c>
      <c r="F91" t="s">
        <v>3</v>
      </c>
      <c r="H91" s="2">
        <f>G91+H90</f>
        <v>466.5</v>
      </c>
      <c r="I91" s="2">
        <f t="shared" ref="I91:AA91" si="15">H91+I90</f>
        <v>906.7</v>
      </c>
      <c r="J91" s="2">
        <f t="shared" si="15"/>
        <v>1328.4650000000001</v>
      </c>
      <c r="K91" s="2">
        <f t="shared" si="15"/>
        <v>1710.875</v>
      </c>
      <c r="L91" s="2">
        <f t="shared" si="15"/>
        <v>2055.14</v>
      </c>
      <c r="M91" s="2">
        <f t="shared" si="15"/>
        <v>2363.6899999999996</v>
      </c>
      <c r="N91" s="2">
        <f t="shared" si="15"/>
        <v>2638.3249999999994</v>
      </c>
      <c r="O91" s="2">
        <f t="shared" si="15"/>
        <v>2881.079999999999</v>
      </c>
      <c r="P91" s="2">
        <f t="shared" si="15"/>
        <v>3116.0749999999989</v>
      </c>
      <c r="Q91" s="2">
        <f t="shared" si="15"/>
        <v>3341.6899999999987</v>
      </c>
      <c r="R91" s="2">
        <f t="shared" si="15"/>
        <v>3580.5649999999987</v>
      </c>
      <c r="S91" s="2">
        <f t="shared" si="15"/>
        <v>3833.6749999999984</v>
      </c>
      <c r="T91" s="2">
        <f t="shared" si="15"/>
        <v>4101.7999999999984</v>
      </c>
      <c r="U91" s="2">
        <f t="shared" si="15"/>
        <v>4368.1699999999983</v>
      </c>
      <c r="V91" s="2">
        <f t="shared" si="15"/>
        <v>4632.5899999999983</v>
      </c>
      <c r="W91" s="2">
        <f t="shared" si="15"/>
        <v>4632.5899999999983</v>
      </c>
      <c r="X91" s="2">
        <f t="shared" si="15"/>
        <v>4632.5899999999983</v>
      </c>
      <c r="Y91" s="2">
        <f t="shared" si="15"/>
        <v>4632.5899999999983</v>
      </c>
      <c r="Z91" s="2">
        <f t="shared" si="15"/>
        <v>4632.5899999999983</v>
      </c>
      <c r="AA91" s="2">
        <f t="shared" si="15"/>
        <v>4632.5899999999983</v>
      </c>
    </row>
    <row r="92" spans="1:27" x14ac:dyDescent="0.25">
      <c r="A92" s="14">
        <f>'Notes &amp; Assumptions'!A29</f>
        <v>16</v>
      </c>
      <c r="C92" s="1"/>
      <c r="D92" s="1"/>
      <c r="E92" t="s">
        <v>61</v>
      </c>
      <c r="F92" t="s">
        <v>3</v>
      </c>
      <c r="G92" s="10">
        <v>1</v>
      </c>
    </row>
    <row r="93" spans="1:27" x14ac:dyDescent="0.25">
      <c r="C93" s="1"/>
      <c r="D93" s="1"/>
      <c r="E93" t="s">
        <v>88</v>
      </c>
      <c r="F93" t="s">
        <v>3</v>
      </c>
      <c r="H93">
        <f>H90*$G92</f>
        <v>466.5</v>
      </c>
      <c r="I93">
        <f t="shared" ref="I93:AA93" si="16">I90*$G92</f>
        <v>440.20000000000005</v>
      </c>
      <c r="J93">
        <f t="shared" si="16"/>
        <v>421.76499999999999</v>
      </c>
      <c r="K93">
        <f t="shared" si="16"/>
        <v>382.40999999999997</v>
      </c>
      <c r="L93">
        <f t="shared" si="16"/>
        <v>344.26499999999993</v>
      </c>
      <c r="M93">
        <f t="shared" si="16"/>
        <v>308.54999999999995</v>
      </c>
      <c r="N93">
        <f t="shared" si="16"/>
        <v>274.63499999999993</v>
      </c>
      <c r="O93">
        <f t="shared" si="16"/>
        <v>242.75499999999988</v>
      </c>
      <c r="P93">
        <f t="shared" si="16"/>
        <v>234.99499999999989</v>
      </c>
      <c r="Q93">
        <f t="shared" si="16"/>
        <v>225.61499999999992</v>
      </c>
      <c r="R93">
        <f t="shared" si="16"/>
        <v>238.87499999999991</v>
      </c>
      <c r="S93">
        <f t="shared" si="16"/>
        <v>253.1099999999999</v>
      </c>
      <c r="T93">
        <f t="shared" si="16"/>
        <v>268.12499999999994</v>
      </c>
      <c r="U93">
        <f t="shared" si="16"/>
        <v>266.36999999999989</v>
      </c>
      <c r="V93">
        <f t="shared" si="16"/>
        <v>264.4199999999999</v>
      </c>
      <c r="W93">
        <f t="shared" si="16"/>
        <v>0</v>
      </c>
      <c r="X93">
        <f t="shared" si="16"/>
        <v>0</v>
      </c>
      <c r="Y93">
        <f t="shared" si="16"/>
        <v>0</v>
      </c>
      <c r="Z93">
        <f t="shared" si="16"/>
        <v>0</v>
      </c>
      <c r="AA93">
        <f t="shared" si="16"/>
        <v>0</v>
      </c>
    </row>
    <row r="94" spans="1:27" x14ac:dyDescent="0.25">
      <c r="C94" s="1"/>
      <c r="D94" s="1"/>
      <c r="E94" t="s">
        <v>89</v>
      </c>
      <c r="F94" t="s">
        <v>3</v>
      </c>
      <c r="H94">
        <f>H91*$G92</f>
        <v>466.5</v>
      </c>
      <c r="I94">
        <f t="shared" ref="I94:AA94" si="17">I91*$G92</f>
        <v>906.7</v>
      </c>
      <c r="J94">
        <f t="shared" si="17"/>
        <v>1328.4650000000001</v>
      </c>
      <c r="K94">
        <f t="shared" si="17"/>
        <v>1710.875</v>
      </c>
      <c r="L94">
        <f t="shared" si="17"/>
        <v>2055.14</v>
      </c>
      <c r="M94">
        <f t="shared" si="17"/>
        <v>2363.6899999999996</v>
      </c>
      <c r="N94">
        <f t="shared" si="17"/>
        <v>2638.3249999999994</v>
      </c>
      <c r="O94">
        <f t="shared" si="17"/>
        <v>2881.079999999999</v>
      </c>
      <c r="P94">
        <f t="shared" si="17"/>
        <v>3116.0749999999989</v>
      </c>
      <c r="Q94">
        <f t="shared" si="17"/>
        <v>3341.6899999999987</v>
      </c>
      <c r="R94">
        <f t="shared" si="17"/>
        <v>3580.5649999999987</v>
      </c>
      <c r="S94">
        <f t="shared" si="17"/>
        <v>3833.6749999999984</v>
      </c>
      <c r="T94">
        <f t="shared" si="17"/>
        <v>4101.7999999999984</v>
      </c>
      <c r="U94">
        <f t="shared" si="17"/>
        <v>4368.1699999999983</v>
      </c>
      <c r="V94">
        <f t="shared" si="17"/>
        <v>4632.5899999999983</v>
      </c>
      <c r="W94">
        <f t="shared" si="17"/>
        <v>4632.5899999999983</v>
      </c>
      <c r="X94">
        <f t="shared" si="17"/>
        <v>4632.5899999999983</v>
      </c>
      <c r="Y94">
        <f t="shared" si="17"/>
        <v>4632.5899999999983</v>
      </c>
      <c r="Z94">
        <f t="shared" si="17"/>
        <v>4632.5899999999983</v>
      </c>
      <c r="AA94">
        <f t="shared" si="17"/>
        <v>4632.5899999999983</v>
      </c>
    </row>
    <row r="95" spans="1:27" x14ac:dyDescent="0.25">
      <c r="A95" s="14">
        <f>'Notes &amp; Assumptions'!A30</f>
        <v>17</v>
      </c>
      <c r="C95" s="1"/>
      <c r="D95" s="1"/>
      <c r="E95" t="s">
        <v>62</v>
      </c>
      <c r="F95" t="s">
        <v>43</v>
      </c>
      <c r="H95" s="10">
        <f>'Key assumptions'!B24</f>
        <v>40</v>
      </c>
      <c r="I95" s="10">
        <f>H95</f>
        <v>40</v>
      </c>
      <c r="J95" s="10">
        <f t="shared" ref="J95:AA95" si="18">I95</f>
        <v>40</v>
      </c>
      <c r="K95" s="10">
        <f t="shared" si="18"/>
        <v>40</v>
      </c>
      <c r="L95" s="10">
        <f t="shared" si="18"/>
        <v>40</v>
      </c>
      <c r="M95" s="10">
        <f t="shared" si="18"/>
        <v>40</v>
      </c>
      <c r="N95" s="10">
        <f t="shared" si="18"/>
        <v>40</v>
      </c>
      <c r="O95" s="10">
        <f t="shared" si="18"/>
        <v>40</v>
      </c>
      <c r="P95" s="10">
        <f t="shared" si="18"/>
        <v>40</v>
      </c>
      <c r="Q95" s="10">
        <f t="shared" si="18"/>
        <v>40</v>
      </c>
      <c r="R95" s="10">
        <f t="shared" si="18"/>
        <v>40</v>
      </c>
      <c r="S95" s="10">
        <f t="shared" si="18"/>
        <v>40</v>
      </c>
      <c r="T95" s="10">
        <f t="shared" si="18"/>
        <v>40</v>
      </c>
      <c r="U95" s="10">
        <f t="shared" si="18"/>
        <v>40</v>
      </c>
      <c r="V95" s="10">
        <f t="shared" si="18"/>
        <v>40</v>
      </c>
      <c r="W95" s="10">
        <f t="shared" si="18"/>
        <v>40</v>
      </c>
      <c r="X95" s="10">
        <f t="shared" si="18"/>
        <v>40</v>
      </c>
      <c r="Y95" s="10">
        <f t="shared" si="18"/>
        <v>40</v>
      </c>
      <c r="Z95" s="10">
        <f t="shared" si="18"/>
        <v>40</v>
      </c>
      <c r="AA95" s="10">
        <f t="shared" si="18"/>
        <v>40</v>
      </c>
    </row>
    <row r="96" spans="1:27" x14ac:dyDescent="0.25">
      <c r="C96" s="1"/>
      <c r="D96" s="1"/>
      <c r="E96" t="s">
        <v>63</v>
      </c>
      <c r="F96" t="s">
        <v>43</v>
      </c>
      <c r="H96" s="10"/>
      <c r="I96" s="10"/>
      <c r="J96" s="10"/>
      <c r="K96" s="10"/>
      <c r="L96" s="10"/>
      <c r="M96" s="10"/>
      <c r="N96" s="10"/>
      <c r="O96" s="10"/>
      <c r="P96" s="10"/>
      <c r="Q96" s="10"/>
      <c r="R96" s="10"/>
      <c r="S96" s="10"/>
      <c r="T96" s="10"/>
      <c r="U96" s="10"/>
      <c r="V96" s="10"/>
      <c r="W96" s="10"/>
      <c r="X96" s="10"/>
      <c r="Y96" s="10"/>
      <c r="Z96" s="10"/>
      <c r="AA96" s="10"/>
    </row>
    <row r="97" spans="1:27" x14ac:dyDescent="0.25">
      <c r="C97" s="1"/>
      <c r="D97" s="1"/>
      <c r="E97" t="s">
        <v>140</v>
      </c>
      <c r="F97" t="s">
        <v>43</v>
      </c>
      <c r="H97" s="10"/>
      <c r="I97" s="10"/>
      <c r="J97" s="10"/>
      <c r="K97" s="10"/>
      <c r="L97" s="10"/>
      <c r="M97" s="10"/>
      <c r="N97" s="10"/>
      <c r="O97" s="10"/>
      <c r="P97" s="10"/>
      <c r="Q97" s="10"/>
      <c r="R97" s="10"/>
      <c r="S97" s="10"/>
      <c r="T97" s="10"/>
      <c r="U97" s="10"/>
      <c r="V97" s="10"/>
      <c r="W97" s="10"/>
      <c r="X97" s="10"/>
      <c r="Y97" s="10"/>
      <c r="Z97" s="10"/>
      <c r="AA97" s="10"/>
    </row>
    <row r="98" spans="1:27" x14ac:dyDescent="0.25">
      <c r="C98" s="1"/>
      <c r="D98" s="1"/>
      <c r="E98" t="s">
        <v>64</v>
      </c>
      <c r="F98" t="s">
        <v>144</v>
      </c>
      <c r="H98" s="2">
        <f>H91*H95</f>
        <v>18660</v>
      </c>
      <c r="I98" s="2">
        <f t="shared" ref="I98:AA98" si="19">I91*I95</f>
        <v>36268</v>
      </c>
      <c r="J98" s="2">
        <f t="shared" si="19"/>
        <v>53138.600000000006</v>
      </c>
      <c r="K98" s="2">
        <f t="shared" si="19"/>
        <v>68435</v>
      </c>
      <c r="L98" s="2">
        <f t="shared" si="19"/>
        <v>82205.599999999991</v>
      </c>
      <c r="M98" s="2">
        <f t="shared" si="19"/>
        <v>94547.599999999977</v>
      </c>
      <c r="N98" s="2">
        <f t="shared" si="19"/>
        <v>105532.99999999997</v>
      </c>
      <c r="O98" s="2">
        <f t="shared" si="19"/>
        <v>115243.19999999995</v>
      </c>
      <c r="P98" s="2">
        <f t="shared" si="19"/>
        <v>124642.99999999996</v>
      </c>
      <c r="Q98" s="2">
        <f t="shared" si="19"/>
        <v>133667.59999999995</v>
      </c>
      <c r="R98" s="2">
        <f t="shared" si="19"/>
        <v>143222.59999999995</v>
      </c>
      <c r="S98" s="2">
        <f t="shared" si="19"/>
        <v>153346.99999999994</v>
      </c>
      <c r="T98" s="2">
        <f t="shared" si="19"/>
        <v>164071.99999999994</v>
      </c>
      <c r="U98" s="2">
        <f t="shared" si="19"/>
        <v>174726.79999999993</v>
      </c>
      <c r="V98" s="2">
        <f t="shared" si="19"/>
        <v>185303.59999999992</v>
      </c>
      <c r="W98" s="2">
        <f t="shared" si="19"/>
        <v>185303.59999999992</v>
      </c>
      <c r="X98" s="2">
        <f t="shared" si="19"/>
        <v>185303.59999999992</v>
      </c>
      <c r="Y98" s="2">
        <f t="shared" si="19"/>
        <v>185303.59999999992</v>
      </c>
      <c r="Z98" s="2">
        <f t="shared" si="19"/>
        <v>185303.59999999992</v>
      </c>
      <c r="AA98" s="2">
        <f t="shared" si="19"/>
        <v>185303.59999999992</v>
      </c>
    </row>
    <row r="99" spans="1:27" x14ac:dyDescent="0.25">
      <c r="C99" s="1"/>
      <c r="D99" s="1"/>
      <c r="E99" t="s">
        <v>65</v>
      </c>
      <c r="F99" t="s">
        <v>144</v>
      </c>
      <c r="H99" s="2">
        <f>H91*H96</f>
        <v>0</v>
      </c>
      <c r="I99" s="2">
        <f t="shared" ref="I99:AA99" si="20">I91*I96</f>
        <v>0</v>
      </c>
      <c r="J99" s="2">
        <f t="shared" si="20"/>
        <v>0</v>
      </c>
      <c r="K99" s="2">
        <f t="shared" si="20"/>
        <v>0</v>
      </c>
      <c r="L99" s="2">
        <f t="shared" si="20"/>
        <v>0</v>
      </c>
      <c r="M99" s="2">
        <f t="shared" si="20"/>
        <v>0</v>
      </c>
      <c r="N99" s="2">
        <f t="shared" si="20"/>
        <v>0</v>
      </c>
      <c r="O99" s="2">
        <f t="shared" si="20"/>
        <v>0</v>
      </c>
      <c r="P99" s="2">
        <f t="shared" si="20"/>
        <v>0</v>
      </c>
      <c r="Q99" s="2">
        <f t="shared" si="20"/>
        <v>0</v>
      </c>
      <c r="R99" s="2">
        <f t="shared" si="20"/>
        <v>0</v>
      </c>
      <c r="S99" s="2">
        <f t="shared" si="20"/>
        <v>0</v>
      </c>
      <c r="T99" s="2">
        <f t="shared" si="20"/>
        <v>0</v>
      </c>
      <c r="U99" s="2">
        <f t="shared" si="20"/>
        <v>0</v>
      </c>
      <c r="V99" s="2">
        <f t="shared" si="20"/>
        <v>0</v>
      </c>
      <c r="W99" s="2">
        <f t="shared" si="20"/>
        <v>0</v>
      </c>
      <c r="X99" s="2">
        <f t="shared" si="20"/>
        <v>0</v>
      </c>
      <c r="Y99" s="2">
        <f t="shared" si="20"/>
        <v>0</v>
      </c>
      <c r="Z99" s="2">
        <f t="shared" si="20"/>
        <v>0</v>
      </c>
      <c r="AA99" s="2">
        <f t="shared" si="20"/>
        <v>0</v>
      </c>
    </row>
    <row r="100" spans="1:27" x14ac:dyDescent="0.25">
      <c r="C100" s="1"/>
      <c r="D100" s="1"/>
      <c r="E100" t="s">
        <v>141</v>
      </c>
      <c r="F100" t="s">
        <v>144</v>
      </c>
      <c r="H100" s="2">
        <f>H91*H97</f>
        <v>0</v>
      </c>
      <c r="I100" s="2">
        <f t="shared" ref="I100:AA100" si="21">I91*I97</f>
        <v>0</v>
      </c>
      <c r="J100" s="2">
        <f t="shared" si="21"/>
        <v>0</v>
      </c>
      <c r="K100" s="2">
        <f t="shared" si="21"/>
        <v>0</v>
      </c>
      <c r="L100" s="2">
        <f t="shared" si="21"/>
        <v>0</v>
      </c>
      <c r="M100" s="2">
        <f t="shared" si="21"/>
        <v>0</v>
      </c>
      <c r="N100" s="2">
        <f t="shared" si="21"/>
        <v>0</v>
      </c>
      <c r="O100" s="2">
        <f t="shared" si="21"/>
        <v>0</v>
      </c>
      <c r="P100" s="2">
        <f t="shared" si="21"/>
        <v>0</v>
      </c>
      <c r="Q100" s="2">
        <f t="shared" si="21"/>
        <v>0</v>
      </c>
      <c r="R100" s="2">
        <f t="shared" si="21"/>
        <v>0</v>
      </c>
      <c r="S100" s="2">
        <f t="shared" si="21"/>
        <v>0</v>
      </c>
      <c r="T100" s="2">
        <f t="shared" si="21"/>
        <v>0</v>
      </c>
      <c r="U100" s="2">
        <f t="shared" si="21"/>
        <v>0</v>
      </c>
      <c r="V100" s="2">
        <f t="shared" si="21"/>
        <v>0</v>
      </c>
      <c r="W100" s="2">
        <f t="shared" si="21"/>
        <v>0</v>
      </c>
      <c r="X100" s="2">
        <f t="shared" si="21"/>
        <v>0</v>
      </c>
      <c r="Y100" s="2">
        <f t="shared" si="21"/>
        <v>0</v>
      </c>
      <c r="Z100" s="2">
        <f t="shared" si="21"/>
        <v>0</v>
      </c>
      <c r="AA100" s="2">
        <f t="shared" si="21"/>
        <v>0</v>
      </c>
    </row>
    <row r="101" spans="1:27" x14ac:dyDescent="0.25">
      <c r="A101" s="14">
        <f>'Notes &amp; Assumptions'!A31</f>
        <v>18</v>
      </c>
      <c r="C101" s="1"/>
      <c r="D101" s="1"/>
      <c r="E101" t="s">
        <v>66</v>
      </c>
      <c r="F101" t="s">
        <v>8</v>
      </c>
      <c r="H101" s="11">
        <f>'YVW tariffs'!D32</f>
        <v>-4.24E-2</v>
      </c>
      <c r="I101" s="11">
        <f>'YVW tariffs'!E32</f>
        <v>-2.7400000000000001E-2</v>
      </c>
      <c r="J101" s="11">
        <f>'YVW tariffs'!F32</f>
        <v>0</v>
      </c>
      <c r="K101" s="11">
        <f>'YVW tariffs'!G32</f>
        <v>0</v>
      </c>
      <c r="L101" s="11">
        <f>'YVW tariffs'!H32</f>
        <v>0</v>
      </c>
      <c r="M101" s="11">
        <v>0</v>
      </c>
      <c r="N101" s="11">
        <v>0</v>
      </c>
      <c r="O101" s="11">
        <v>0</v>
      </c>
      <c r="P101" s="11">
        <v>0</v>
      </c>
      <c r="Q101" s="11">
        <v>0</v>
      </c>
      <c r="R101" s="11">
        <v>0</v>
      </c>
      <c r="S101" s="11">
        <v>0</v>
      </c>
      <c r="T101" s="11">
        <v>0</v>
      </c>
      <c r="U101" s="11">
        <v>0</v>
      </c>
      <c r="V101" s="11">
        <v>0</v>
      </c>
      <c r="W101" s="11">
        <v>0</v>
      </c>
      <c r="X101" s="11">
        <v>0</v>
      </c>
      <c r="Y101" s="11">
        <v>0</v>
      </c>
      <c r="Z101" s="11">
        <v>0</v>
      </c>
      <c r="AA101" s="11">
        <v>0</v>
      </c>
    </row>
    <row r="102" spans="1:27" x14ac:dyDescent="0.25">
      <c r="A102" s="14">
        <f>'Notes &amp; Assumptions'!A32</f>
        <v>19</v>
      </c>
      <c r="C102" s="1"/>
      <c r="D102" s="1"/>
      <c r="E102" t="s">
        <v>40</v>
      </c>
      <c r="F102" t="s">
        <v>41</v>
      </c>
      <c r="G102" s="43"/>
      <c r="H102" s="2">
        <f>G102*(1+$G$14)*(1+H101)</f>
        <v>0</v>
      </c>
      <c r="I102" s="2">
        <f t="shared" ref="I102:AA102" si="22">H102*(1+$G$14)*(1+I101)</f>
        <v>0</v>
      </c>
      <c r="J102" s="2">
        <f t="shared" si="22"/>
        <v>0</v>
      </c>
      <c r="K102" s="2">
        <f t="shared" si="22"/>
        <v>0</v>
      </c>
      <c r="L102" s="2">
        <f t="shared" si="22"/>
        <v>0</v>
      </c>
      <c r="M102" s="2">
        <f t="shared" si="22"/>
        <v>0</v>
      </c>
      <c r="N102" s="2">
        <f t="shared" si="22"/>
        <v>0</v>
      </c>
      <c r="O102" s="2">
        <f t="shared" si="22"/>
        <v>0</v>
      </c>
      <c r="P102" s="2">
        <f t="shared" si="22"/>
        <v>0</v>
      </c>
      <c r="Q102" s="2">
        <f t="shared" si="22"/>
        <v>0</v>
      </c>
      <c r="R102" s="2">
        <f t="shared" si="22"/>
        <v>0</v>
      </c>
      <c r="S102" s="2">
        <f t="shared" si="22"/>
        <v>0</v>
      </c>
      <c r="T102" s="2">
        <f t="shared" si="22"/>
        <v>0</v>
      </c>
      <c r="U102" s="2">
        <f t="shared" si="22"/>
        <v>0</v>
      </c>
      <c r="V102" s="2">
        <f t="shared" si="22"/>
        <v>0</v>
      </c>
      <c r="W102" s="2">
        <f t="shared" si="22"/>
        <v>0</v>
      </c>
      <c r="X102" s="2">
        <f t="shared" si="22"/>
        <v>0</v>
      </c>
      <c r="Y102" s="2">
        <f t="shared" si="22"/>
        <v>0</v>
      </c>
      <c r="Z102" s="2">
        <f t="shared" si="22"/>
        <v>0</v>
      </c>
      <c r="AA102" s="2">
        <f t="shared" si="22"/>
        <v>0</v>
      </c>
    </row>
    <row r="103" spans="1:27" x14ac:dyDescent="0.25">
      <c r="C103" s="1"/>
      <c r="D103" s="1"/>
      <c r="E103" t="s">
        <v>67</v>
      </c>
      <c r="F103" t="s">
        <v>143</v>
      </c>
      <c r="G103" s="20">
        <f>'YVW tariffs'!E22</f>
        <v>1.7391713999999998</v>
      </c>
      <c r="H103" s="21">
        <f>G103*(1+$G$14)*(1+H101)</f>
        <v>1.7004045738254396</v>
      </c>
      <c r="I103" s="21">
        <f t="shared" ref="I103:AA103" si="23">H103*(1+$G$14)*(1+I101)</f>
        <v>1.6885435717611774</v>
      </c>
      <c r="J103" s="21">
        <f>I103*(1+$G$14)*(1+J101)</f>
        <v>1.7240029867681619</v>
      </c>
      <c r="K103" s="21">
        <f t="shared" si="23"/>
        <v>1.7602070494902931</v>
      </c>
      <c r="L103" s="21">
        <f t="shared" si="23"/>
        <v>1.7971713975295891</v>
      </c>
      <c r="M103" s="21">
        <f t="shared" si="23"/>
        <v>1.8349119968777103</v>
      </c>
      <c r="N103" s="21">
        <f t="shared" si="23"/>
        <v>1.8734451488121422</v>
      </c>
      <c r="O103" s="21">
        <f t="shared" si="23"/>
        <v>1.912787496937197</v>
      </c>
      <c r="P103" s="21">
        <f t="shared" si="23"/>
        <v>1.952956034372878</v>
      </c>
      <c r="Q103" s="21">
        <f t="shared" si="23"/>
        <v>1.9939681110947083</v>
      </c>
      <c r="R103" s="21">
        <f t="shared" si="23"/>
        <v>2.0358414414276971</v>
      </c>
      <c r="S103" s="21">
        <f t="shared" si="23"/>
        <v>2.0785941116976785</v>
      </c>
      <c r="T103" s="21">
        <f t="shared" si="23"/>
        <v>2.1222445880433294</v>
      </c>
      <c r="U103" s="21">
        <f t="shared" si="23"/>
        <v>2.1668117243922391</v>
      </c>
      <c r="V103" s="21">
        <f t="shared" si="23"/>
        <v>2.2123147706044759</v>
      </c>
      <c r="W103" s="21">
        <f t="shared" si="23"/>
        <v>2.2587733807871695</v>
      </c>
      <c r="X103" s="21">
        <f t="shared" si="23"/>
        <v>2.3062076217836998</v>
      </c>
      <c r="Y103" s="21">
        <f t="shared" si="23"/>
        <v>2.3546379818411571</v>
      </c>
      <c r="Z103" s="21">
        <f t="shared" si="23"/>
        <v>2.4040853794598211</v>
      </c>
      <c r="AA103" s="21">
        <f t="shared" si="23"/>
        <v>2.4545711724284773</v>
      </c>
    </row>
    <row r="104" spans="1:27" x14ac:dyDescent="0.25">
      <c r="C104" s="1"/>
      <c r="D104" s="1"/>
      <c r="E104" t="s">
        <v>68</v>
      </c>
      <c r="F104" t="s">
        <v>143</v>
      </c>
      <c r="G104" s="20"/>
      <c r="H104" s="21">
        <f>G104*(1+$G$14)*(1+H101)</f>
        <v>0</v>
      </c>
      <c r="I104" s="21">
        <f t="shared" ref="I104:AA104" si="24">H104*(1+$G$14)*(1+I101)</f>
        <v>0</v>
      </c>
      <c r="J104" s="21">
        <f t="shared" si="24"/>
        <v>0</v>
      </c>
      <c r="K104" s="21">
        <f t="shared" si="24"/>
        <v>0</v>
      </c>
      <c r="L104" s="21">
        <f t="shared" si="24"/>
        <v>0</v>
      </c>
      <c r="M104" s="21">
        <f t="shared" si="24"/>
        <v>0</v>
      </c>
      <c r="N104" s="21">
        <f t="shared" si="24"/>
        <v>0</v>
      </c>
      <c r="O104" s="21">
        <f t="shared" si="24"/>
        <v>0</v>
      </c>
      <c r="P104" s="21">
        <f t="shared" si="24"/>
        <v>0</v>
      </c>
      <c r="Q104" s="21">
        <f t="shared" si="24"/>
        <v>0</v>
      </c>
      <c r="R104" s="21">
        <f t="shared" si="24"/>
        <v>0</v>
      </c>
      <c r="S104" s="21">
        <f t="shared" si="24"/>
        <v>0</v>
      </c>
      <c r="T104" s="21">
        <f t="shared" si="24"/>
        <v>0</v>
      </c>
      <c r="U104" s="21">
        <f t="shared" si="24"/>
        <v>0</v>
      </c>
      <c r="V104" s="21">
        <f t="shared" si="24"/>
        <v>0</v>
      </c>
      <c r="W104" s="21">
        <f t="shared" si="24"/>
        <v>0</v>
      </c>
      <c r="X104" s="21">
        <f t="shared" si="24"/>
        <v>0</v>
      </c>
      <c r="Y104" s="21">
        <f t="shared" si="24"/>
        <v>0</v>
      </c>
      <c r="Z104" s="21">
        <f t="shared" si="24"/>
        <v>0</v>
      </c>
      <c r="AA104" s="21">
        <f t="shared" si="24"/>
        <v>0</v>
      </c>
    </row>
    <row r="105" spans="1:27" x14ac:dyDescent="0.25">
      <c r="C105" s="1"/>
      <c r="D105" s="1"/>
      <c r="E105" t="s">
        <v>142</v>
      </c>
      <c r="F105" t="s">
        <v>143</v>
      </c>
      <c r="G105" s="20"/>
      <c r="H105" s="21">
        <f>G105*(1+$G$14)*(1+H101)</f>
        <v>0</v>
      </c>
      <c r="I105" s="21">
        <f t="shared" ref="I105:AA105" si="25">H105*(1+$G$14)*(1+I101)</f>
        <v>0</v>
      </c>
      <c r="J105" s="21">
        <f t="shared" si="25"/>
        <v>0</v>
      </c>
      <c r="K105" s="21">
        <f t="shared" si="25"/>
        <v>0</v>
      </c>
      <c r="L105" s="21">
        <f t="shared" si="25"/>
        <v>0</v>
      </c>
      <c r="M105" s="21">
        <f t="shared" si="25"/>
        <v>0</v>
      </c>
      <c r="N105" s="21">
        <f t="shared" si="25"/>
        <v>0</v>
      </c>
      <c r="O105" s="21">
        <f t="shared" si="25"/>
        <v>0</v>
      </c>
      <c r="P105" s="21">
        <f t="shared" si="25"/>
        <v>0</v>
      </c>
      <c r="Q105" s="21">
        <f t="shared" si="25"/>
        <v>0</v>
      </c>
      <c r="R105" s="21">
        <f t="shared" si="25"/>
        <v>0</v>
      </c>
      <c r="S105" s="21">
        <f t="shared" si="25"/>
        <v>0</v>
      </c>
      <c r="T105" s="21">
        <f t="shared" si="25"/>
        <v>0</v>
      </c>
      <c r="U105" s="21">
        <f t="shared" si="25"/>
        <v>0</v>
      </c>
      <c r="V105" s="21">
        <f t="shared" si="25"/>
        <v>0</v>
      </c>
      <c r="W105" s="21">
        <f t="shared" si="25"/>
        <v>0</v>
      </c>
      <c r="X105" s="21">
        <f t="shared" si="25"/>
        <v>0</v>
      </c>
      <c r="Y105" s="21">
        <f t="shared" si="25"/>
        <v>0</v>
      </c>
      <c r="Z105" s="21">
        <f t="shared" si="25"/>
        <v>0</v>
      </c>
      <c r="AA105" s="21">
        <f t="shared" si="25"/>
        <v>0</v>
      </c>
    </row>
    <row r="106" spans="1:27" x14ac:dyDescent="0.25">
      <c r="C106" s="1"/>
      <c r="D106" s="1"/>
    </row>
    <row r="107" spans="1:27" x14ac:dyDescent="0.25">
      <c r="C107" s="1"/>
      <c r="D107" s="1"/>
      <c r="E107" t="s">
        <v>69</v>
      </c>
      <c r="F107" t="s">
        <v>58</v>
      </c>
      <c r="H107" s="2">
        <f>SUM(H98:H100)/1000</f>
        <v>18.66</v>
      </c>
      <c r="I107" s="2">
        <f t="shared" ref="I107:AA107" si="26">SUM(I98:I100)/1000</f>
        <v>36.268000000000001</v>
      </c>
      <c r="J107" s="2">
        <f t="shared" si="26"/>
        <v>53.138600000000004</v>
      </c>
      <c r="K107" s="2">
        <f t="shared" si="26"/>
        <v>68.435000000000002</v>
      </c>
      <c r="L107" s="2">
        <f t="shared" si="26"/>
        <v>82.20559999999999</v>
      </c>
      <c r="M107" s="2">
        <f t="shared" si="26"/>
        <v>94.547599999999974</v>
      </c>
      <c r="N107" s="2">
        <f t="shared" si="26"/>
        <v>105.53299999999997</v>
      </c>
      <c r="O107" s="2">
        <f t="shared" si="26"/>
        <v>115.24319999999996</v>
      </c>
      <c r="P107" s="2">
        <f t="shared" si="26"/>
        <v>124.64299999999996</v>
      </c>
      <c r="Q107" s="2">
        <f t="shared" si="26"/>
        <v>133.66759999999994</v>
      </c>
      <c r="R107" s="2">
        <f t="shared" si="26"/>
        <v>143.22259999999994</v>
      </c>
      <c r="S107" s="2">
        <f t="shared" si="26"/>
        <v>153.34699999999995</v>
      </c>
      <c r="T107" s="2">
        <f t="shared" si="26"/>
        <v>164.07199999999995</v>
      </c>
      <c r="U107" s="2">
        <f t="shared" si="26"/>
        <v>174.72679999999994</v>
      </c>
      <c r="V107" s="2">
        <f t="shared" si="26"/>
        <v>185.30359999999993</v>
      </c>
      <c r="W107" s="2">
        <f t="shared" si="26"/>
        <v>185.30359999999993</v>
      </c>
      <c r="X107" s="2">
        <f t="shared" si="26"/>
        <v>185.30359999999993</v>
      </c>
      <c r="Y107" s="2">
        <f t="shared" si="26"/>
        <v>185.30359999999993</v>
      </c>
      <c r="Z107" s="2">
        <f t="shared" si="26"/>
        <v>185.30359999999993</v>
      </c>
      <c r="AA107" s="2">
        <f t="shared" si="26"/>
        <v>185.30359999999993</v>
      </c>
    </row>
    <row r="108" spans="1:27" x14ac:dyDescent="0.25">
      <c r="C108" s="1"/>
      <c r="D108" s="1"/>
      <c r="E108" t="s">
        <v>70</v>
      </c>
      <c r="F108" t="s">
        <v>7</v>
      </c>
      <c r="H108" s="2">
        <f>H91*H102+H98*H103+H99*H104+H100*H105</f>
        <v>31729.549347582702</v>
      </c>
      <c r="I108" s="2">
        <f t="shared" ref="I108:AA108" si="27">I91*I102+I98*I103+I99*I104+I100*I105</f>
        <v>61240.098260634382</v>
      </c>
      <c r="J108" s="2">
        <f t="shared" si="27"/>
        <v>91611.105112678662</v>
      </c>
      <c r="K108" s="2">
        <f t="shared" si="27"/>
        <v>120459.7694318682</v>
      </c>
      <c r="L108" s="2">
        <f t="shared" si="27"/>
        <v>147737.55303675839</v>
      </c>
      <c r="M108" s="2">
        <f t="shared" si="27"/>
        <v>173486.52551599496</v>
      </c>
      <c r="N108" s="2">
        <f t="shared" si="27"/>
        <v>197710.28688959175</v>
      </c>
      <c r="O108" s="2">
        <f t="shared" si="27"/>
        <v>220435.75206703268</v>
      </c>
      <c r="P108" s="2">
        <f t="shared" si="27"/>
        <v>243422.29899233856</v>
      </c>
      <c r="Q108" s="2">
        <f t="shared" si="27"/>
        <v>266528.9318865629</v>
      </c>
      <c r="R108" s="2">
        <f t="shared" si="27"/>
        <v>291578.50442902237</v>
      </c>
      <c r="S108" s="2">
        <f t="shared" si="27"/>
        <v>318746.17124650377</v>
      </c>
      <c r="T108" s="2">
        <f t="shared" si="27"/>
        <v>348200.91404944501</v>
      </c>
      <c r="U108" s="2">
        <f t="shared" si="27"/>
        <v>378600.07880553772</v>
      </c>
      <c r="V108" s="2">
        <f t="shared" si="27"/>
        <v>409949.89132618339</v>
      </c>
      <c r="W108" s="2">
        <f t="shared" si="27"/>
        <v>418558.83904403314</v>
      </c>
      <c r="X108" s="2">
        <f t="shared" si="27"/>
        <v>427348.57466395781</v>
      </c>
      <c r="Y108" s="2">
        <f t="shared" si="27"/>
        <v>436322.89473190083</v>
      </c>
      <c r="Z108" s="2">
        <f t="shared" si="27"/>
        <v>445485.67552127072</v>
      </c>
      <c r="AA108" s="2">
        <f t="shared" si="27"/>
        <v>454840.87470721739</v>
      </c>
    </row>
    <row r="109" spans="1:27" x14ac:dyDescent="0.25">
      <c r="C109" s="1"/>
      <c r="D109" s="1"/>
    </row>
    <row r="110" spans="1:27" x14ac:dyDescent="0.25">
      <c r="C110" s="1"/>
      <c r="D110" t="s">
        <v>71</v>
      </c>
    </row>
    <row r="111" spans="1:27" x14ac:dyDescent="0.25">
      <c r="A111" s="14">
        <f>'Notes &amp; Assumptions'!A33</f>
        <v>20</v>
      </c>
      <c r="C111" s="1"/>
      <c r="D111" s="1"/>
      <c r="E111" t="s">
        <v>87</v>
      </c>
      <c r="F111" t="s">
        <v>3</v>
      </c>
      <c r="H111" s="10">
        <v>0</v>
      </c>
      <c r="I111" s="10">
        <f>H111</f>
        <v>0</v>
      </c>
      <c r="J111" s="10">
        <f t="shared" ref="J111:V111" si="28">I111</f>
        <v>0</v>
      </c>
      <c r="K111" s="10">
        <f t="shared" si="28"/>
        <v>0</v>
      </c>
      <c r="L111" s="10">
        <f t="shared" si="28"/>
        <v>0</v>
      </c>
      <c r="M111" s="10">
        <f t="shared" si="28"/>
        <v>0</v>
      </c>
      <c r="N111" s="10">
        <f t="shared" si="28"/>
        <v>0</v>
      </c>
      <c r="O111" s="10">
        <f t="shared" si="28"/>
        <v>0</v>
      </c>
      <c r="P111" s="10">
        <f t="shared" si="28"/>
        <v>0</v>
      </c>
      <c r="Q111" s="10">
        <f t="shared" si="28"/>
        <v>0</v>
      </c>
      <c r="R111" s="10">
        <f t="shared" si="28"/>
        <v>0</v>
      </c>
      <c r="S111" s="10">
        <f t="shared" si="28"/>
        <v>0</v>
      </c>
      <c r="T111" s="10">
        <f t="shared" si="28"/>
        <v>0</v>
      </c>
      <c r="U111" s="10">
        <f t="shared" si="28"/>
        <v>0</v>
      </c>
      <c r="V111" s="10">
        <f t="shared" si="28"/>
        <v>0</v>
      </c>
    </row>
    <row r="112" spans="1:27" x14ac:dyDescent="0.25">
      <c r="C112" s="1"/>
      <c r="D112" s="1"/>
      <c r="E112" t="s">
        <v>60</v>
      </c>
      <c r="F112" t="s">
        <v>3</v>
      </c>
      <c r="H112" s="2">
        <f>G112+H111</f>
        <v>0</v>
      </c>
      <c r="I112" s="2">
        <f t="shared" ref="I112:AA112" si="29">H112+I111</f>
        <v>0</v>
      </c>
      <c r="J112" s="2">
        <f t="shared" si="29"/>
        <v>0</v>
      </c>
      <c r="K112" s="2">
        <f t="shared" si="29"/>
        <v>0</v>
      </c>
      <c r="L112" s="2">
        <f t="shared" si="29"/>
        <v>0</v>
      </c>
      <c r="M112" s="2">
        <f t="shared" si="29"/>
        <v>0</v>
      </c>
      <c r="N112" s="2">
        <f t="shared" si="29"/>
        <v>0</v>
      </c>
      <c r="O112" s="2">
        <f t="shared" si="29"/>
        <v>0</v>
      </c>
      <c r="P112" s="2">
        <f t="shared" si="29"/>
        <v>0</v>
      </c>
      <c r="Q112" s="2">
        <f t="shared" si="29"/>
        <v>0</v>
      </c>
      <c r="R112" s="2">
        <f t="shared" si="29"/>
        <v>0</v>
      </c>
      <c r="S112" s="2">
        <f t="shared" si="29"/>
        <v>0</v>
      </c>
      <c r="T112" s="2">
        <f t="shared" si="29"/>
        <v>0</v>
      </c>
      <c r="U112" s="2">
        <f t="shared" si="29"/>
        <v>0</v>
      </c>
      <c r="V112" s="2">
        <f t="shared" si="29"/>
        <v>0</v>
      </c>
      <c r="W112" s="2">
        <f t="shared" si="29"/>
        <v>0</v>
      </c>
      <c r="X112" s="2">
        <f t="shared" si="29"/>
        <v>0</v>
      </c>
      <c r="Y112" s="2">
        <f t="shared" si="29"/>
        <v>0</v>
      </c>
      <c r="Z112" s="2">
        <f t="shared" si="29"/>
        <v>0</v>
      </c>
      <c r="AA112" s="2">
        <f t="shared" si="29"/>
        <v>0</v>
      </c>
    </row>
    <row r="113" spans="1:27" x14ac:dyDescent="0.25">
      <c r="A113" s="14">
        <f>'Notes &amp; Assumptions'!A34</f>
        <v>21</v>
      </c>
      <c r="C113" s="1"/>
      <c r="D113" s="1"/>
      <c r="E113" t="s">
        <v>61</v>
      </c>
      <c r="F113" t="s">
        <v>3</v>
      </c>
      <c r="G113" s="10">
        <v>1</v>
      </c>
    </row>
    <row r="114" spans="1:27" x14ac:dyDescent="0.25">
      <c r="C114" s="1"/>
      <c r="D114" s="1"/>
      <c r="E114" t="s">
        <v>88</v>
      </c>
      <c r="F114" t="s">
        <v>3</v>
      </c>
      <c r="H114">
        <f>H111*$G113</f>
        <v>0</v>
      </c>
      <c r="I114">
        <f t="shared" ref="I114:AA114" si="30">I111*$G113</f>
        <v>0</v>
      </c>
      <c r="J114">
        <f t="shared" si="30"/>
        <v>0</v>
      </c>
      <c r="K114">
        <f t="shared" si="30"/>
        <v>0</v>
      </c>
      <c r="L114">
        <f t="shared" si="30"/>
        <v>0</v>
      </c>
      <c r="M114">
        <f t="shared" si="30"/>
        <v>0</v>
      </c>
      <c r="N114">
        <f t="shared" si="30"/>
        <v>0</v>
      </c>
      <c r="O114">
        <f t="shared" si="30"/>
        <v>0</v>
      </c>
      <c r="P114">
        <f t="shared" si="30"/>
        <v>0</v>
      </c>
      <c r="Q114">
        <f t="shared" si="30"/>
        <v>0</v>
      </c>
      <c r="R114">
        <f t="shared" si="30"/>
        <v>0</v>
      </c>
      <c r="S114">
        <f t="shared" si="30"/>
        <v>0</v>
      </c>
      <c r="T114">
        <f t="shared" si="30"/>
        <v>0</v>
      </c>
      <c r="U114">
        <f t="shared" si="30"/>
        <v>0</v>
      </c>
      <c r="V114">
        <f t="shared" si="30"/>
        <v>0</v>
      </c>
      <c r="W114">
        <f t="shared" si="30"/>
        <v>0</v>
      </c>
      <c r="X114">
        <f t="shared" si="30"/>
        <v>0</v>
      </c>
      <c r="Y114">
        <f t="shared" si="30"/>
        <v>0</v>
      </c>
      <c r="Z114">
        <f t="shared" si="30"/>
        <v>0</v>
      </c>
      <c r="AA114">
        <f t="shared" si="30"/>
        <v>0</v>
      </c>
    </row>
    <row r="115" spans="1:27" x14ac:dyDescent="0.25">
      <c r="C115" s="1"/>
      <c r="D115" s="1"/>
      <c r="E115" t="s">
        <v>89</v>
      </c>
      <c r="F115" t="s">
        <v>3</v>
      </c>
      <c r="H115">
        <f>H112*$G113</f>
        <v>0</v>
      </c>
      <c r="I115">
        <f t="shared" ref="I115:AA115" si="31">I112*$G113</f>
        <v>0</v>
      </c>
      <c r="J115">
        <f t="shared" si="31"/>
        <v>0</v>
      </c>
      <c r="K115">
        <f t="shared" si="31"/>
        <v>0</v>
      </c>
      <c r="L115">
        <f t="shared" si="31"/>
        <v>0</v>
      </c>
      <c r="M115">
        <f t="shared" si="31"/>
        <v>0</v>
      </c>
      <c r="N115">
        <f t="shared" si="31"/>
        <v>0</v>
      </c>
      <c r="O115">
        <f t="shared" si="31"/>
        <v>0</v>
      </c>
      <c r="P115">
        <f t="shared" si="31"/>
        <v>0</v>
      </c>
      <c r="Q115">
        <f t="shared" si="31"/>
        <v>0</v>
      </c>
      <c r="R115">
        <f t="shared" si="31"/>
        <v>0</v>
      </c>
      <c r="S115">
        <f t="shared" si="31"/>
        <v>0</v>
      </c>
      <c r="T115">
        <f t="shared" si="31"/>
        <v>0</v>
      </c>
      <c r="U115">
        <f t="shared" si="31"/>
        <v>0</v>
      </c>
      <c r="V115">
        <f t="shared" si="31"/>
        <v>0</v>
      </c>
      <c r="W115">
        <f t="shared" si="31"/>
        <v>0</v>
      </c>
      <c r="X115">
        <f t="shared" si="31"/>
        <v>0</v>
      </c>
      <c r="Y115">
        <f t="shared" si="31"/>
        <v>0</v>
      </c>
      <c r="Z115">
        <f t="shared" si="31"/>
        <v>0</v>
      </c>
      <c r="AA115">
        <f t="shared" si="31"/>
        <v>0</v>
      </c>
    </row>
    <row r="116" spans="1:27" x14ac:dyDescent="0.25">
      <c r="A116" s="14">
        <f>'Notes &amp; Assumptions'!A35</f>
        <v>22</v>
      </c>
      <c r="C116" s="1"/>
      <c r="D116" s="1"/>
      <c r="E116" t="s">
        <v>62</v>
      </c>
      <c r="F116" t="s">
        <v>43</v>
      </c>
      <c r="H116" s="10">
        <v>2873</v>
      </c>
      <c r="I116" s="10">
        <f>H116</f>
        <v>2873</v>
      </c>
      <c r="J116" s="10">
        <f t="shared" ref="J116:AA116" si="32">I116</f>
        <v>2873</v>
      </c>
      <c r="K116" s="10">
        <f t="shared" si="32"/>
        <v>2873</v>
      </c>
      <c r="L116" s="10">
        <f t="shared" si="32"/>
        <v>2873</v>
      </c>
      <c r="M116" s="10">
        <f t="shared" si="32"/>
        <v>2873</v>
      </c>
      <c r="N116" s="10">
        <f t="shared" si="32"/>
        <v>2873</v>
      </c>
      <c r="O116" s="10">
        <f t="shared" si="32"/>
        <v>2873</v>
      </c>
      <c r="P116" s="10">
        <f t="shared" si="32"/>
        <v>2873</v>
      </c>
      <c r="Q116" s="10">
        <f t="shared" si="32"/>
        <v>2873</v>
      </c>
      <c r="R116" s="10">
        <f t="shared" si="32"/>
        <v>2873</v>
      </c>
      <c r="S116" s="10">
        <f t="shared" si="32"/>
        <v>2873</v>
      </c>
      <c r="T116" s="10">
        <f t="shared" si="32"/>
        <v>2873</v>
      </c>
      <c r="U116" s="10">
        <f t="shared" si="32"/>
        <v>2873</v>
      </c>
      <c r="V116" s="10">
        <f t="shared" si="32"/>
        <v>2873</v>
      </c>
      <c r="W116" s="10">
        <f t="shared" si="32"/>
        <v>2873</v>
      </c>
      <c r="X116" s="10">
        <f t="shared" si="32"/>
        <v>2873</v>
      </c>
      <c r="Y116" s="10">
        <f t="shared" si="32"/>
        <v>2873</v>
      </c>
      <c r="Z116" s="10">
        <f t="shared" si="32"/>
        <v>2873</v>
      </c>
      <c r="AA116" s="10">
        <f t="shared" si="32"/>
        <v>2873</v>
      </c>
    </row>
    <row r="117" spans="1:27" x14ac:dyDescent="0.25">
      <c r="C117" s="1"/>
      <c r="D117" s="1"/>
      <c r="E117" t="s">
        <v>63</v>
      </c>
      <c r="F117" t="s">
        <v>43</v>
      </c>
      <c r="H117" s="10"/>
      <c r="I117" s="10"/>
      <c r="J117" s="10"/>
      <c r="K117" s="10"/>
      <c r="L117" s="10"/>
      <c r="M117" s="10"/>
      <c r="N117" s="10"/>
      <c r="O117" s="10"/>
      <c r="P117" s="10"/>
      <c r="Q117" s="10"/>
      <c r="R117" s="10"/>
      <c r="S117" s="10"/>
      <c r="T117" s="10"/>
      <c r="U117" s="10"/>
      <c r="V117" s="10"/>
      <c r="W117" s="10"/>
      <c r="X117" s="10"/>
      <c r="Y117" s="10"/>
      <c r="Z117" s="10"/>
      <c r="AA117" s="10"/>
    </row>
    <row r="118" spans="1:27" x14ac:dyDescent="0.25">
      <c r="C118" s="1"/>
      <c r="D118" s="1"/>
      <c r="E118" t="s">
        <v>140</v>
      </c>
      <c r="F118" t="s">
        <v>43</v>
      </c>
      <c r="H118" s="10"/>
      <c r="I118" s="10"/>
      <c r="J118" s="10"/>
      <c r="K118" s="10"/>
      <c r="L118" s="10"/>
      <c r="M118" s="10"/>
      <c r="N118" s="10"/>
      <c r="O118" s="10"/>
      <c r="P118" s="10"/>
      <c r="Q118" s="10"/>
      <c r="R118" s="10"/>
      <c r="S118" s="10"/>
      <c r="T118" s="10"/>
      <c r="U118" s="10"/>
      <c r="V118" s="10"/>
      <c r="W118" s="10"/>
      <c r="X118" s="10"/>
      <c r="Y118" s="10"/>
      <c r="Z118" s="10"/>
      <c r="AA118" s="10"/>
    </row>
    <row r="119" spans="1:27" x14ac:dyDescent="0.25">
      <c r="C119" s="1"/>
      <c r="D119" s="1"/>
      <c r="E119" t="s">
        <v>64</v>
      </c>
      <c r="F119" t="s">
        <v>144</v>
      </c>
      <c r="H119" s="2">
        <f>H112*H116</f>
        <v>0</v>
      </c>
      <c r="I119" s="2">
        <f t="shared" ref="I119:AA119" si="33">I112*I116</f>
        <v>0</v>
      </c>
      <c r="J119" s="2">
        <f t="shared" si="33"/>
        <v>0</v>
      </c>
      <c r="K119" s="2">
        <f t="shared" si="33"/>
        <v>0</v>
      </c>
      <c r="L119" s="2">
        <f t="shared" si="33"/>
        <v>0</v>
      </c>
      <c r="M119" s="2">
        <f t="shared" si="33"/>
        <v>0</v>
      </c>
      <c r="N119" s="2">
        <f t="shared" si="33"/>
        <v>0</v>
      </c>
      <c r="O119" s="2">
        <f t="shared" si="33"/>
        <v>0</v>
      </c>
      <c r="P119" s="2">
        <f t="shared" si="33"/>
        <v>0</v>
      </c>
      <c r="Q119" s="2">
        <f t="shared" si="33"/>
        <v>0</v>
      </c>
      <c r="R119" s="2">
        <f t="shared" si="33"/>
        <v>0</v>
      </c>
      <c r="S119" s="2">
        <f t="shared" si="33"/>
        <v>0</v>
      </c>
      <c r="T119" s="2">
        <f t="shared" si="33"/>
        <v>0</v>
      </c>
      <c r="U119" s="2">
        <f t="shared" si="33"/>
        <v>0</v>
      </c>
      <c r="V119" s="2">
        <f t="shared" si="33"/>
        <v>0</v>
      </c>
      <c r="W119" s="2">
        <f t="shared" si="33"/>
        <v>0</v>
      </c>
      <c r="X119" s="2">
        <f t="shared" si="33"/>
        <v>0</v>
      </c>
      <c r="Y119" s="2">
        <f t="shared" si="33"/>
        <v>0</v>
      </c>
      <c r="Z119" s="2">
        <f t="shared" si="33"/>
        <v>0</v>
      </c>
      <c r="AA119" s="2">
        <f t="shared" si="33"/>
        <v>0</v>
      </c>
    </row>
    <row r="120" spans="1:27" x14ac:dyDescent="0.25">
      <c r="C120" s="1"/>
      <c r="D120" s="1"/>
      <c r="E120" t="s">
        <v>65</v>
      </c>
      <c r="F120" t="s">
        <v>144</v>
      </c>
      <c r="H120" s="2">
        <f>H112*H117</f>
        <v>0</v>
      </c>
      <c r="I120" s="2">
        <f t="shared" ref="I120:AA120" si="34">I112*I117</f>
        <v>0</v>
      </c>
      <c r="J120" s="2">
        <f t="shared" si="34"/>
        <v>0</v>
      </c>
      <c r="K120" s="2">
        <f t="shared" si="34"/>
        <v>0</v>
      </c>
      <c r="L120" s="2">
        <f t="shared" si="34"/>
        <v>0</v>
      </c>
      <c r="M120" s="2">
        <f t="shared" si="34"/>
        <v>0</v>
      </c>
      <c r="N120" s="2">
        <f t="shared" si="34"/>
        <v>0</v>
      </c>
      <c r="O120" s="2">
        <f t="shared" si="34"/>
        <v>0</v>
      </c>
      <c r="P120" s="2">
        <f t="shared" si="34"/>
        <v>0</v>
      </c>
      <c r="Q120" s="2">
        <f t="shared" si="34"/>
        <v>0</v>
      </c>
      <c r="R120" s="2">
        <f t="shared" si="34"/>
        <v>0</v>
      </c>
      <c r="S120" s="2">
        <f t="shared" si="34"/>
        <v>0</v>
      </c>
      <c r="T120" s="2">
        <f t="shared" si="34"/>
        <v>0</v>
      </c>
      <c r="U120" s="2">
        <f t="shared" si="34"/>
        <v>0</v>
      </c>
      <c r="V120" s="2">
        <f t="shared" si="34"/>
        <v>0</v>
      </c>
      <c r="W120" s="2">
        <f t="shared" si="34"/>
        <v>0</v>
      </c>
      <c r="X120" s="2">
        <f t="shared" si="34"/>
        <v>0</v>
      </c>
      <c r="Y120" s="2">
        <f t="shared" si="34"/>
        <v>0</v>
      </c>
      <c r="Z120" s="2">
        <f t="shared" si="34"/>
        <v>0</v>
      </c>
      <c r="AA120" s="2">
        <f t="shared" si="34"/>
        <v>0</v>
      </c>
    </row>
    <row r="121" spans="1:27" x14ac:dyDescent="0.25">
      <c r="C121" s="1"/>
      <c r="D121" s="1"/>
      <c r="E121" t="s">
        <v>141</v>
      </c>
      <c r="F121" t="s">
        <v>144</v>
      </c>
      <c r="H121" s="2">
        <f>H112*H118</f>
        <v>0</v>
      </c>
      <c r="I121" s="2">
        <f t="shared" ref="I121:AA121" si="35">I112*I118</f>
        <v>0</v>
      </c>
      <c r="J121" s="2">
        <f t="shared" si="35"/>
        <v>0</v>
      </c>
      <c r="K121" s="2">
        <f t="shared" si="35"/>
        <v>0</v>
      </c>
      <c r="L121" s="2">
        <f t="shared" si="35"/>
        <v>0</v>
      </c>
      <c r="M121" s="2">
        <f t="shared" si="35"/>
        <v>0</v>
      </c>
      <c r="N121" s="2">
        <f t="shared" si="35"/>
        <v>0</v>
      </c>
      <c r="O121" s="2">
        <f t="shared" si="35"/>
        <v>0</v>
      </c>
      <c r="P121" s="2">
        <f t="shared" si="35"/>
        <v>0</v>
      </c>
      <c r="Q121" s="2">
        <f t="shared" si="35"/>
        <v>0</v>
      </c>
      <c r="R121" s="2">
        <f t="shared" si="35"/>
        <v>0</v>
      </c>
      <c r="S121" s="2">
        <f t="shared" si="35"/>
        <v>0</v>
      </c>
      <c r="T121" s="2">
        <f t="shared" si="35"/>
        <v>0</v>
      </c>
      <c r="U121" s="2">
        <f t="shared" si="35"/>
        <v>0</v>
      </c>
      <c r="V121" s="2">
        <f t="shared" si="35"/>
        <v>0</v>
      </c>
      <c r="W121" s="2">
        <f t="shared" si="35"/>
        <v>0</v>
      </c>
      <c r="X121" s="2">
        <f t="shared" si="35"/>
        <v>0</v>
      </c>
      <c r="Y121" s="2">
        <f t="shared" si="35"/>
        <v>0</v>
      </c>
      <c r="Z121" s="2">
        <f t="shared" si="35"/>
        <v>0</v>
      </c>
      <c r="AA121" s="2">
        <f t="shared" si="35"/>
        <v>0</v>
      </c>
    </row>
    <row r="122" spans="1:27" x14ac:dyDescent="0.25">
      <c r="A122" s="14">
        <f>'Notes &amp; Assumptions'!A36</f>
        <v>23</v>
      </c>
      <c r="C122" s="1"/>
      <c r="D122" s="1"/>
      <c r="E122" t="s">
        <v>66</v>
      </c>
      <c r="F122" t="s">
        <v>8</v>
      </c>
      <c r="H122" s="11">
        <f>'YVW tariffs'!D39</f>
        <v>-4.24E-2</v>
      </c>
      <c r="I122" s="11">
        <f>'YVW tariffs'!E39</f>
        <v>-2.7400000000000001E-2</v>
      </c>
      <c r="J122" s="11">
        <f>'YVW tariffs'!F39</f>
        <v>0</v>
      </c>
      <c r="K122" s="11">
        <f>'YVW tariffs'!G39</f>
        <v>0</v>
      </c>
      <c r="L122" s="11">
        <f>'YVW tariffs'!H39</f>
        <v>0</v>
      </c>
      <c r="M122" s="11"/>
      <c r="N122" s="11"/>
      <c r="O122" s="11"/>
      <c r="P122" s="11"/>
      <c r="Q122" s="11"/>
      <c r="R122" s="11"/>
      <c r="S122" s="11"/>
      <c r="T122" s="11"/>
      <c r="U122" s="11"/>
      <c r="V122" s="11"/>
      <c r="W122" s="11"/>
      <c r="X122" s="11"/>
      <c r="Y122" s="11"/>
      <c r="Z122" s="11"/>
      <c r="AA122" s="11"/>
    </row>
    <row r="123" spans="1:27" x14ac:dyDescent="0.25">
      <c r="A123" s="14">
        <f>'Notes &amp; Assumptions'!A37</f>
        <v>24</v>
      </c>
      <c r="C123" s="1"/>
      <c r="D123" s="1"/>
      <c r="E123" t="s">
        <v>40</v>
      </c>
      <c r="F123" t="s">
        <v>41</v>
      </c>
      <c r="G123" s="43"/>
      <c r="H123" s="2">
        <f>G123*(1+$G$14)*(1+H122)</f>
        <v>0</v>
      </c>
      <c r="I123" s="2">
        <f t="shared" ref="I123:AA123" si="36">H123*(1+$G$14)*(1+I122)</f>
        <v>0</v>
      </c>
      <c r="J123" s="2">
        <f t="shared" si="36"/>
        <v>0</v>
      </c>
      <c r="K123" s="2">
        <f t="shared" si="36"/>
        <v>0</v>
      </c>
      <c r="L123" s="2">
        <f t="shared" si="36"/>
        <v>0</v>
      </c>
      <c r="M123" s="2">
        <f t="shared" si="36"/>
        <v>0</v>
      </c>
      <c r="N123" s="2">
        <f t="shared" si="36"/>
        <v>0</v>
      </c>
      <c r="O123" s="2">
        <f t="shared" si="36"/>
        <v>0</v>
      </c>
      <c r="P123" s="2">
        <f t="shared" si="36"/>
        <v>0</v>
      </c>
      <c r="Q123" s="2">
        <f t="shared" si="36"/>
        <v>0</v>
      </c>
      <c r="R123" s="2">
        <f t="shared" si="36"/>
        <v>0</v>
      </c>
      <c r="S123" s="2">
        <f t="shared" si="36"/>
        <v>0</v>
      </c>
      <c r="T123" s="2">
        <f t="shared" si="36"/>
        <v>0</v>
      </c>
      <c r="U123" s="2">
        <f t="shared" si="36"/>
        <v>0</v>
      </c>
      <c r="V123" s="2">
        <f t="shared" si="36"/>
        <v>0</v>
      </c>
      <c r="W123" s="2">
        <f t="shared" si="36"/>
        <v>0</v>
      </c>
      <c r="X123" s="2">
        <f t="shared" si="36"/>
        <v>0</v>
      </c>
      <c r="Y123" s="2">
        <f t="shared" si="36"/>
        <v>0</v>
      </c>
      <c r="Z123" s="2">
        <f t="shared" si="36"/>
        <v>0</v>
      </c>
      <c r="AA123" s="2">
        <f t="shared" si="36"/>
        <v>0</v>
      </c>
    </row>
    <row r="124" spans="1:27" x14ac:dyDescent="0.25">
      <c r="C124" s="1"/>
      <c r="D124" s="1"/>
      <c r="E124" t="s">
        <v>67</v>
      </c>
      <c r="F124" t="s">
        <v>143</v>
      </c>
      <c r="G124" s="20">
        <f>G103</f>
        <v>1.7391713999999998</v>
      </c>
      <c r="H124" s="21">
        <f>G124*(1+$G$14)*(1+H122)</f>
        <v>1.7004045738254396</v>
      </c>
      <c r="I124" s="21">
        <f t="shared" ref="I124:AA124" si="37">H124*(1+$G$14)*(1+I122)</f>
        <v>1.6885435717611774</v>
      </c>
      <c r="J124" s="21">
        <f t="shared" si="37"/>
        <v>1.7240029867681619</v>
      </c>
      <c r="K124" s="21">
        <f t="shared" si="37"/>
        <v>1.7602070494902931</v>
      </c>
      <c r="L124" s="21">
        <f t="shared" si="37"/>
        <v>1.7971713975295891</v>
      </c>
      <c r="M124" s="21">
        <f t="shared" si="37"/>
        <v>1.8349119968777103</v>
      </c>
      <c r="N124" s="21">
        <f t="shared" si="37"/>
        <v>1.8734451488121422</v>
      </c>
      <c r="O124" s="21">
        <f t="shared" si="37"/>
        <v>1.912787496937197</v>
      </c>
      <c r="P124" s="21">
        <f t="shared" si="37"/>
        <v>1.952956034372878</v>
      </c>
      <c r="Q124" s="21">
        <f t="shared" si="37"/>
        <v>1.9939681110947083</v>
      </c>
      <c r="R124" s="21">
        <f t="shared" si="37"/>
        <v>2.0358414414276971</v>
      </c>
      <c r="S124" s="21">
        <f t="shared" si="37"/>
        <v>2.0785941116976785</v>
      </c>
      <c r="T124" s="21">
        <f t="shared" si="37"/>
        <v>2.1222445880433294</v>
      </c>
      <c r="U124" s="21">
        <f t="shared" si="37"/>
        <v>2.1668117243922391</v>
      </c>
      <c r="V124" s="21">
        <f t="shared" si="37"/>
        <v>2.2123147706044759</v>
      </c>
      <c r="W124" s="21">
        <f t="shared" si="37"/>
        <v>2.2587733807871695</v>
      </c>
      <c r="X124" s="21">
        <f t="shared" si="37"/>
        <v>2.3062076217836998</v>
      </c>
      <c r="Y124" s="21">
        <f t="shared" si="37"/>
        <v>2.3546379818411571</v>
      </c>
      <c r="Z124" s="21">
        <f t="shared" si="37"/>
        <v>2.4040853794598211</v>
      </c>
      <c r="AA124" s="21">
        <f t="shared" si="37"/>
        <v>2.4545711724284773</v>
      </c>
    </row>
    <row r="125" spans="1:27" x14ac:dyDescent="0.25">
      <c r="C125" s="1"/>
      <c r="D125" s="1"/>
      <c r="E125" t="s">
        <v>68</v>
      </c>
      <c r="F125" t="s">
        <v>143</v>
      </c>
      <c r="G125" s="20"/>
      <c r="H125" s="21">
        <f>G125*(1+$G$14)*(1+H122)</f>
        <v>0</v>
      </c>
      <c r="I125" s="21">
        <f t="shared" ref="I125:AA125" si="38">H125*(1+$G$14)*(1+I122)</f>
        <v>0</v>
      </c>
      <c r="J125" s="21">
        <f t="shared" si="38"/>
        <v>0</v>
      </c>
      <c r="K125" s="21">
        <f t="shared" si="38"/>
        <v>0</v>
      </c>
      <c r="L125" s="21">
        <f t="shared" si="38"/>
        <v>0</v>
      </c>
      <c r="M125" s="21">
        <f t="shared" si="38"/>
        <v>0</v>
      </c>
      <c r="N125" s="21">
        <f t="shared" si="38"/>
        <v>0</v>
      </c>
      <c r="O125" s="21">
        <f t="shared" si="38"/>
        <v>0</v>
      </c>
      <c r="P125" s="21">
        <f t="shared" si="38"/>
        <v>0</v>
      </c>
      <c r="Q125" s="21">
        <f t="shared" si="38"/>
        <v>0</v>
      </c>
      <c r="R125" s="21">
        <f t="shared" si="38"/>
        <v>0</v>
      </c>
      <c r="S125" s="21">
        <f t="shared" si="38"/>
        <v>0</v>
      </c>
      <c r="T125" s="21">
        <f t="shared" si="38"/>
        <v>0</v>
      </c>
      <c r="U125" s="21">
        <f t="shared" si="38"/>
        <v>0</v>
      </c>
      <c r="V125" s="21">
        <f t="shared" si="38"/>
        <v>0</v>
      </c>
      <c r="W125" s="21">
        <f t="shared" si="38"/>
        <v>0</v>
      </c>
      <c r="X125" s="21">
        <f t="shared" si="38"/>
        <v>0</v>
      </c>
      <c r="Y125" s="21">
        <f t="shared" si="38"/>
        <v>0</v>
      </c>
      <c r="Z125" s="21">
        <f t="shared" si="38"/>
        <v>0</v>
      </c>
      <c r="AA125" s="21">
        <f t="shared" si="38"/>
        <v>0</v>
      </c>
    </row>
    <row r="126" spans="1:27" x14ac:dyDescent="0.25">
      <c r="C126" s="1"/>
      <c r="D126" s="1"/>
      <c r="E126" t="s">
        <v>142</v>
      </c>
      <c r="F126" t="s">
        <v>143</v>
      </c>
      <c r="G126" s="20"/>
      <c r="H126" s="21">
        <f>G126*(1+$G$14)*(1+H122)</f>
        <v>0</v>
      </c>
      <c r="I126" s="21">
        <f t="shared" ref="I126:AA126" si="39">H126*(1+$G$14)*(1+I122)</f>
        <v>0</v>
      </c>
      <c r="J126" s="21">
        <f t="shared" si="39"/>
        <v>0</v>
      </c>
      <c r="K126" s="21">
        <f t="shared" si="39"/>
        <v>0</v>
      </c>
      <c r="L126" s="21">
        <f t="shared" si="39"/>
        <v>0</v>
      </c>
      <c r="M126" s="21">
        <f t="shared" si="39"/>
        <v>0</v>
      </c>
      <c r="N126" s="21">
        <f t="shared" si="39"/>
        <v>0</v>
      </c>
      <c r="O126" s="21">
        <f t="shared" si="39"/>
        <v>0</v>
      </c>
      <c r="P126" s="21">
        <f t="shared" si="39"/>
        <v>0</v>
      </c>
      <c r="Q126" s="21">
        <f t="shared" si="39"/>
        <v>0</v>
      </c>
      <c r="R126" s="21">
        <f t="shared" si="39"/>
        <v>0</v>
      </c>
      <c r="S126" s="21">
        <f t="shared" si="39"/>
        <v>0</v>
      </c>
      <c r="T126" s="21">
        <f t="shared" si="39"/>
        <v>0</v>
      </c>
      <c r="U126" s="21">
        <f t="shared" si="39"/>
        <v>0</v>
      </c>
      <c r="V126" s="21">
        <f t="shared" si="39"/>
        <v>0</v>
      </c>
      <c r="W126" s="21">
        <f t="shared" si="39"/>
        <v>0</v>
      </c>
      <c r="X126" s="21">
        <f t="shared" si="39"/>
        <v>0</v>
      </c>
      <c r="Y126" s="21">
        <f t="shared" si="39"/>
        <v>0</v>
      </c>
      <c r="Z126" s="21">
        <f t="shared" si="39"/>
        <v>0</v>
      </c>
      <c r="AA126" s="21">
        <f t="shared" si="39"/>
        <v>0</v>
      </c>
    </row>
    <row r="127" spans="1:27" x14ac:dyDescent="0.25">
      <c r="C127" s="1"/>
      <c r="D127" s="1"/>
    </row>
    <row r="128" spans="1:27" x14ac:dyDescent="0.25">
      <c r="C128" s="1"/>
      <c r="D128" s="1"/>
      <c r="E128" t="s">
        <v>72</v>
      </c>
      <c r="F128" t="s">
        <v>58</v>
      </c>
      <c r="H128" s="2">
        <f>SUM(H119:H121)/1000</f>
        <v>0</v>
      </c>
      <c r="I128" s="2">
        <f t="shared" ref="I128:AA128" si="40">SUM(I119:I121)/1000</f>
        <v>0</v>
      </c>
      <c r="J128" s="2">
        <f t="shared" si="40"/>
        <v>0</v>
      </c>
      <c r="K128" s="2">
        <f t="shared" si="40"/>
        <v>0</v>
      </c>
      <c r="L128" s="2">
        <f t="shared" si="40"/>
        <v>0</v>
      </c>
      <c r="M128" s="2">
        <f t="shared" si="40"/>
        <v>0</v>
      </c>
      <c r="N128" s="2">
        <f t="shared" si="40"/>
        <v>0</v>
      </c>
      <c r="O128" s="2">
        <f t="shared" si="40"/>
        <v>0</v>
      </c>
      <c r="P128" s="2">
        <f t="shared" si="40"/>
        <v>0</v>
      </c>
      <c r="Q128" s="2">
        <f t="shared" si="40"/>
        <v>0</v>
      </c>
      <c r="R128" s="2">
        <f t="shared" si="40"/>
        <v>0</v>
      </c>
      <c r="S128" s="2">
        <f t="shared" si="40"/>
        <v>0</v>
      </c>
      <c r="T128" s="2">
        <f t="shared" si="40"/>
        <v>0</v>
      </c>
      <c r="U128" s="2">
        <f t="shared" si="40"/>
        <v>0</v>
      </c>
      <c r="V128" s="2">
        <f t="shared" si="40"/>
        <v>0</v>
      </c>
      <c r="W128" s="2">
        <f t="shared" si="40"/>
        <v>0</v>
      </c>
      <c r="X128" s="2">
        <f t="shared" si="40"/>
        <v>0</v>
      </c>
      <c r="Y128" s="2">
        <f t="shared" si="40"/>
        <v>0</v>
      </c>
      <c r="Z128" s="2">
        <f t="shared" si="40"/>
        <v>0</v>
      </c>
      <c r="AA128" s="2">
        <f t="shared" si="40"/>
        <v>0</v>
      </c>
    </row>
    <row r="129" spans="1:27" x14ac:dyDescent="0.25">
      <c r="C129" s="1"/>
      <c r="D129" s="1"/>
      <c r="E129" t="s">
        <v>73</v>
      </c>
      <c r="F129" t="s">
        <v>7</v>
      </c>
      <c r="H129" s="2">
        <f>H112*H123+H119*H124+H120*H125+H121*H126</f>
        <v>0</v>
      </c>
      <c r="I129" s="2">
        <f t="shared" ref="I129:AA129" si="41">I112*I123+I119*I124+I120*I125+I121*I126</f>
        <v>0</v>
      </c>
      <c r="J129" s="2">
        <f t="shared" si="41"/>
        <v>0</v>
      </c>
      <c r="K129" s="2">
        <f t="shared" si="41"/>
        <v>0</v>
      </c>
      <c r="L129" s="2">
        <f t="shared" si="41"/>
        <v>0</v>
      </c>
      <c r="M129" s="2">
        <f t="shared" si="41"/>
        <v>0</v>
      </c>
      <c r="N129" s="2">
        <f t="shared" si="41"/>
        <v>0</v>
      </c>
      <c r="O129" s="2">
        <f t="shared" si="41"/>
        <v>0</v>
      </c>
      <c r="P129" s="2">
        <f t="shared" si="41"/>
        <v>0</v>
      </c>
      <c r="Q129" s="2">
        <f t="shared" si="41"/>
        <v>0</v>
      </c>
      <c r="R129" s="2">
        <f t="shared" si="41"/>
        <v>0</v>
      </c>
      <c r="S129" s="2">
        <f t="shared" si="41"/>
        <v>0</v>
      </c>
      <c r="T129" s="2">
        <f t="shared" si="41"/>
        <v>0</v>
      </c>
      <c r="U129" s="2">
        <f t="shared" si="41"/>
        <v>0</v>
      </c>
      <c r="V129" s="2">
        <f t="shared" si="41"/>
        <v>0</v>
      </c>
      <c r="W129" s="2">
        <f t="shared" si="41"/>
        <v>0</v>
      </c>
      <c r="X129" s="2">
        <f t="shared" si="41"/>
        <v>0</v>
      </c>
      <c r="Y129" s="2">
        <f t="shared" si="41"/>
        <v>0</v>
      </c>
      <c r="Z129" s="2">
        <f t="shared" si="41"/>
        <v>0</v>
      </c>
      <c r="AA129" s="2">
        <f t="shared" si="41"/>
        <v>0</v>
      </c>
    </row>
    <row r="130" spans="1:27" x14ac:dyDescent="0.25">
      <c r="C130" s="1"/>
      <c r="D130" s="1"/>
    </row>
    <row r="131" spans="1:27" x14ac:dyDescent="0.25">
      <c r="C131" s="1"/>
      <c r="D131" t="s">
        <v>74</v>
      </c>
    </row>
    <row r="132" spans="1:27" x14ac:dyDescent="0.25">
      <c r="A132" s="14">
        <f>'Notes &amp; Assumptions'!A38</f>
        <v>25</v>
      </c>
      <c r="C132" s="1"/>
      <c r="D132" s="1"/>
      <c r="E132" t="s">
        <v>87</v>
      </c>
      <c r="F132" t="s">
        <v>3</v>
      </c>
      <c r="H132" s="10">
        <v>0</v>
      </c>
      <c r="I132" s="10">
        <v>0</v>
      </c>
      <c r="J132" s="10">
        <v>0</v>
      </c>
      <c r="K132" s="10">
        <v>0</v>
      </c>
      <c r="L132" s="10">
        <v>0</v>
      </c>
      <c r="M132" s="10">
        <v>0</v>
      </c>
      <c r="N132" s="10">
        <v>0</v>
      </c>
      <c r="O132" s="10">
        <v>0</v>
      </c>
      <c r="P132" s="10">
        <v>0</v>
      </c>
      <c r="Q132" s="10">
        <v>0</v>
      </c>
      <c r="R132" s="10">
        <f>AVERAGE($O132:$Q132)</f>
        <v>0</v>
      </c>
      <c r="S132" s="10">
        <f t="shared" ref="S132:V132" si="42">AVERAGE($O132:$Q132)</f>
        <v>0</v>
      </c>
      <c r="T132" s="10">
        <f t="shared" si="42"/>
        <v>0</v>
      </c>
      <c r="U132" s="10">
        <f t="shared" si="42"/>
        <v>0</v>
      </c>
      <c r="V132" s="10">
        <f t="shared" si="42"/>
        <v>0</v>
      </c>
    </row>
    <row r="133" spans="1:27" x14ac:dyDescent="0.25">
      <c r="C133" s="1"/>
      <c r="D133" s="1"/>
      <c r="E133" t="s">
        <v>60</v>
      </c>
      <c r="F133" t="s">
        <v>3</v>
      </c>
      <c r="H133" s="2">
        <f>G133+H132</f>
        <v>0</v>
      </c>
      <c r="I133" s="2">
        <f t="shared" ref="I133:AA133" si="43">H133+I132</f>
        <v>0</v>
      </c>
      <c r="J133" s="2">
        <f t="shared" si="43"/>
        <v>0</v>
      </c>
      <c r="K133" s="2">
        <f t="shared" si="43"/>
        <v>0</v>
      </c>
      <c r="L133" s="2">
        <f t="shared" si="43"/>
        <v>0</v>
      </c>
      <c r="M133" s="2">
        <f t="shared" si="43"/>
        <v>0</v>
      </c>
      <c r="N133" s="2">
        <f t="shared" si="43"/>
        <v>0</v>
      </c>
      <c r="O133" s="2">
        <f t="shared" si="43"/>
        <v>0</v>
      </c>
      <c r="P133" s="2">
        <f t="shared" si="43"/>
        <v>0</v>
      </c>
      <c r="Q133" s="2">
        <f t="shared" si="43"/>
        <v>0</v>
      </c>
      <c r="R133" s="2">
        <f t="shared" si="43"/>
        <v>0</v>
      </c>
      <c r="S133" s="2">
        <f t="shared" si="43"/>
        <v>0</v>
      </c>
      <c r="T133" s="2">
        <f t="shared" si="43"/>
        <v>0</v>
      </c>
      <c r="U133" s="2">
        <f t="shared" si="43"/>
        <v>0</v>
      </c>
      <c r="V133" s="2">
        <f t="shared" si="43"/>
        <v>0</v>
      </c>
      <c r="W133" s="2">
        <f t="shared" si="43"/>
        <v>0</v>
      </c>
      <c r="X133" s="2">
        <f t="shared" si="43"/>
        <v>0</v>
      </c>
      <c r="Y133" s="2">
        <f t="shared" si="43"/>
        <v>0</v>
      </c>
      <c r="Z133" s="2">
        <f t="shared" si="43"/>
        <v>0</v>
      </c>
      <c r="AA133" s="2">
        <f t="shared" si="43"/>
        <v>0</v>
      </c>
    </row>
    <row r="134" spans="1:27" x14ac:dyDescent="0.25">
      <c r="A134" s="14">
        <f>'Notes &amp; Assumptions'!A39</f>
        <v>26</v>
      </c>
      <c r="C134" s="1"/>
      <c r="D134" s="1"/>
      <c r="E134" t="s">
        <v>61</v>
      </c>
      <c r="F134" t="s">
        <v>3</v>
      </c>
      <c r="G134" s="10">
        <v>1</v>
      </c>
    </row>
    <row r="135" spans="1:27" x14ac:dyDescent="0.25">
      <c r="C135" s="1"/>
      <c r="D135" s="1"/>
      <c r="E135" t="s">
        <v>88</v>
      </c>
      <c r="F135" t="s">
        <v>3</v>
      </c>
      <c r="H135">
        <f>H132*$G134</f>
        <v>0</v>
      </c>
      <c r="I135">
        <f t="shared" ref="I135:AA135" si="44">I132*$G134</f>
        <v>0</v>
      </c>
      <c r="J135">
        <f t="shared" si="44"/>
        <v>0</v>
      </c>
      <c r="K135">
        <f t="shared" si="44"/>
        <v>0</v>
      </c>
      <c r="L135">
        <f t="shared" si="44"/>
        <v>0</v>
      </c>
      <c r="M135">
        <f t="shared" si="44"/>
        <v>0</v>
      </c>
      <c r="N135">
        <f t="shared" si="44"/>
        <v>0</v>
      </c>
      <c r="O135">
        <f t="shared" si="44"/>
        <v>0</v>
      </c>
      <c r="P135">
        <f t="shared" si="44"/>
        <v>0</v>
      </c>
      <c r="Q135">
        <f t="shared" si="44"/>
        <v>0</v>
      </c>
      <c r="R135">
        <f t="shared" si="44"/>
        <v>0</v>
      </c>
      <c r="S135">
        <f t="shared" si="44"/>
        <v>0</v>
      </c>
      <c r="T135">
        <f t="shared" si="44"/>
        <v>0</v>
      </c>
      <c r="U135">
        <f t="shared" si="44"/>
        <v>0</v>
      </c>
      <c r="V135">
        <f t="shared" si="44"/>
        <v>0</v>
      </c>
      <c r="W135">
        <f t="shared" si="44"/>
        <v>0</v>
      </c>
      <c r="X135">
        <f t="shared" si="44"/>
        <v>0</v>
      </c>
      <c r="Y135">
        <f t="shared" si="44"/>
        <v>0</v>
      </c>
      <c r="Z135">
        <f t="shared" si="44"/>
        <v>0</v>
      </c>
      <c r="AA135">
        <f t="shared" si="44"/>
        <v>0</v>
      </c>
    </row>
    <row r="136" spans="1:27" x14ac:dyDescent="0.25">
      <c r="C136" s="1"/>
      <c r="D136" s="1"/>
      <c r="E136" t="s">
        <v>89</v>
      </c>
      <c r="F136" t="s">
        <v>3</v>
      </c>
      <c r="H136">
        <f>H133*$G134</f>
        <v>0</v>
      </c>
      <c r="I136">
        <f t="shared" ref="I136:AA136" si="45">I133*$G134</f>
        <v>0</v>
      </c>
      <c r="J136">
        <f t="shared" si="45"/>
        <v>0</v>
      </c>
      <c r="K136">
        <f t="shared" si="45"/>
        <v>0</v>
      </c>
      <c r="L136">
        <f t="shared" si="45"/>
        <v>0</v>
      </c>
      <c r="M136">
        <f t="shared" si="45"/>
        <v>0</v>
      </c>
      <c r="N136">
        <f t="shared" si="45"/>
        <v>0</v>
      </c>
      <c r="O136">
        <f t="shared" si="45"/>
        <v>0</v>
      </c>
      <c r="P136">
        <f t="shared" si="45"/>
        <v>0</v>
      </c>
      <c r="Q136">
        <f t="shared" si="45"/>
        <v>0</v>
      </c>
      <c r="R136">
        <f t="shared" si="45"/>
        <v>0</v>
      </c>
      <c r="S136">
        <f t="shared" si="45"/>
        <v>0</v>
      </c>
      <c r="T136">
        <f t="shared" si="45"/>
        <v>0</v>
      </c>
      <c r="U136">
        <f t="shared" si="45"/>
        <v>0</v>
      </c>
      <c r="V136">
        <f t="shared" si="45"/>
        <v>0</v>
      </c>
      <c r="W136">
        <f t="shared" si="45"/>
        <v>0</v>
      </c>
      <c r="X136">
        <f t="shared" si="45"/>
        <v>0</v>
      </c>
      <c r="Y136">
        <f t="shared" si="45"/>
        <v>0</v>
      </c>
      <c r="Z136">
        <f t="shared" si="45"/>
        <v>0</v>
      </c>
      <c r="AA136">
        <f t="shared" si="45"/>
        <v>0</v>
      </c>
    </row>
    <row r="137" spans="1:27" x14ac:dyDescent="0.25">
      <c r="A137" s="14">
        <f>'Notes &amp; Assumptions'!A40</f>
        <v>27</v>
      </c>
      <c r="C137" s="1"/>
      <c r="D137" s="1"/>
      <c r="E137" t="s">
        <v>62</v>
      </c>
      <c r="F137" t="s">
        <v>43</v>
      </c>
      <c r="H137" s="10"/>
      <c r="I137" s="10"/>
      <c r="J137" s="10"/>
      <c r="K137" s="10"/>
      <c r="L137" s="10"/>
      <c r="M137" s="10"/>
      <c r="N137" s="10"/>
      <c r="O137" s="10"/>
      <c r="P137" s="10"/>
      <c r="Q137" s="10"/>
      <c r="R137" s="10"/>
      <c r="S137" s="10"/>
      <c r="T137" s="10"/>
      <c r="U137" s="10"/>
      <c r="V137" s="10"/>
      <c r="W137" s="10"/>
      <c r="X137" s="10"/>
      <c r="Y137" s="10"/>
      <c r="Z137" s="10"/>
      <c r="AA137" s="10"/>
    </row>
    <row r="138" spans="1:27" x14ac:dyDescent="0.25">
      <c r="C138" s="1"/>
      <c r="D138" s="1"/>
      <c r="E138" t="s">
        <v>63</v>
      </c>
      <c r="F138" t="s">
        <v>43</v>
      </c>
      <c r="H138" s="10"/>
      <c r="I138" s="10"/>
      <c r="J138" s="10"/>
      <c r="K138" s="10"/>
      <c r="L138" s="10"/>
      <c r="M138" s="10"/>
      <c r="N138" s="10"/>
      <c r="O138" s="10"/>
      <c r="P138" s="10"/>
      <c r="Q138" s="10"/>
      <c r="R138" s="10"/>
      <c r="S138" s="10"/>
      <c r="T138" s="10"/>
      <c r="U138" s="10"/>
      <c r="V138" s="10"/>
      <c r="W138" s="10"/>
      <c r="X138" s="10"/>
      <c r="Y138" s="10"/>
      <c r="Z138" s="10"/>
      <c r="AA138" s="10"/>
    </row>
    <row r="139" spans="1:27" x14ac:dyDescent="0.25">
      <c r="A139" s="14">
        <f>'Notes &amp; Assumptions'!A41</f>
        <v>28</v>
      </c>
      <c r="C139" s="1"/>
      <c r="D139" s="1"/>
      <c r="E139" t="s">
        <v>140</v>
      </c>
      <c r="F139" t="s">
        <v>43</v>
      </c>
      <c r="H139" s="10"/>
      <c r="I139" s="10"/>
      <c r="J139" s="10"/>
      <c r="K139" s="10"/>
      <c r="L139" s="10"/>
      <c r="M139" s="10"/>
      <c r="N139" s="10"/>
      <c r="O139" s="10"/>
      <c r="P139" s="10"/>
      <c r="Q139" s="10"/>
      <c r="R139" s="10"/>
      <c r="S139" s="10"/>
      <c r="T139" s="10"/>
      <c r="U139" s="10"/>
      <c r="V139" s="10"/>
      <c r="W139" s="10"/>
      <c r="X139" s="10"/>
      <c r="Y139" s="10"/>
      <c r="Z139" s="10"/>
      <c r="AA139" s="10"/>
    </row>
    <row r="140" spans="1:27" x14ac:dyDescent="0.25">
      <c r="C140" s="1"/>
      <c r="D140" s="1"/>
      <c r="E140" t="s">
        <v>64</v>
      </c>
      <c r="F140" t="s">
        <v>144</v>
      </c>
      <c r="H140" s="2">
        <f>H133*H137</f>
        <v>0</v>
      </c>
      <c r="I140" s="2">
        <f t="shared" ref="I140:AA140" si="46">I133*I137</f>
        <v>0</v>
      </c>
      <c r="J140" s="2">
        <f t="shared" si="46"/>
        <v>0</v>
      </c>
      <c r="K140" s="2">
        <f t="shared" si="46"/>
        <v>0</v>
      </c>
      <c r="L140" s="2">
        <f t="shared" si="46"/>
        <v>0</v>
      </c>
      <c r="M140" s="2">
        <f t="shared" si="46"/>
        <v>0</v>
      </c>
      <c r="N140" s="2">
        <f t="shared" si="46"/>
        <v>0</v>
      </c>
      <c r="O140" s="2">
        <f t="shared" si="46"/>
        <v>0</v>
      </c>
      <c r="P140" s="2">
        <f t="shared" si="46"/>
        <v>0</v>
      </c>
      <c r="Q140" s="2">
        <f t="shared" si="46"/>
        <v>0</v>
      </c>
      <c r="R140" s="2">
        <f t="shared" si="46"/>
        <v>0</v>
      </c>
      <c r="S140" s="2">
        <f t="shared" si="46"/>
        <v>0</v>
      </c>
      <c r="T140" s="2">
        <f t="shared" si="46"/>
        <v>0</v>
      </c>
      <c r="U140" s="2">
        <f t="shared" si="46"/>
        <v>0</v>
      </c>
      <c r="V140" s="2">
        <f t="shared" si="46"/>
        <v>0</v>
      </c>
      <c r="W140" s="2">
        <f t="shared" si="46"/>
        <v>0</v>
      </c>
      <c r="X140" s="2">
        <f t="shared" si="46"/>
        <v>0</v>
      </c>
      <c r="Y140" s="2">
        <f t="shared" si="46"/>
        <v>0</v>
      </c>
      <c r="Z140" s="2">
        <f t="shared" si="46"/>
        <v>0</v>
      </c>
      <c r="AA140" s="2">
        <f t="shared" si="46"/>
        <v>0</v>
      </c>
    </row>
    <row r="141" spans="1:27" x14ac:dyDescent="0.25">
      <c r="C141" s="1"/>
      <c r="D141" s="1"/>
      <c r="E141" t="s">
        <v>65</v>
      </c>
      <c r="F141" t="s">
        <v>144</v>
      </c>
      <c r="H141" s="2">
        <f>H133*H138</f>
        <v>0</v>
      </c>
      <c r="I141" s="2">
        <f t="shared" ref="I141:AA141" si="47">I133*I138</f>
        <v>0</v>
      </c>
      <c r="J141" s="2">
        <f t="shared" si="47"/>
        <v>0</v>
      </c>
      <c r="K141" s="2">
        <f t="shared" si="47"/>
        <v>0</v>
      </c>
      <c r="L141" s="2">
        <f t="shared" si="47"/>
        <v>0</v>
      </c>
      <c r="M141" s="2">
        <f t="shared" si="47"/>
        <v>0</v>
      </c>
      <c r="N141" s="2">
        <f t="shared" si="47"/>
        <v>0</v>
      </c>
      <c r="O141" s="2">
        <f t="shared" si="47"/>
        <v>0</v>
      </c>
      <c r="P141" s="2">
        <f t="shared" si="47"/>
        <v>0</v>
      </c>
      <c r="Q141" s="2">
        <f t="shared" si="47"/>
        <v>0</v>
      </c>
      <c r="R141" s="2">
        <f t="shared" si="47"/>
        <v>0</v>
      </c>
      <c r="S141" s="2">
        <f t="shared" si="47"/>
        <v>0</v>
      </c>
      <c r="T141" s="2">
        <f t="shared" si="47"/>
        <v>0</v>
      </c>
      <c r="U141" s="2">
        <f t="shared" si="47"/>
        <v>0</v>
      </c>
      <c r="V141" s="2">
        <f t="shared" si="47"/>
        <v>0</v>
      </c>
      <c r="W141" s="2">
        <f t="shared" si="47"/>
        <v>0</v>
      </c>
      <c r="X141" s="2">
        <f t="shared" si="47"/>
        <v>0</v>
      </c>
      <c r="Y141" s="2">
        <f t="shared" si="47"/>
        <v>0</v>
      </c>
      <c r="Z141" s="2">
        <f t="shared" si="47"/>
        <v>0</v>
      </c>
      <c r="AA141" s="2">
        <f t="shared" si="47"/>
        <v>0</v>
      </c>
    </row>
    <row r="142" spans="1:27" x14ac:dyDescent="0.25">
      <c r="C142" s="1"/>
      <c r="D142" s="1"/>
      <c r="E142" t="s">
        <v>141</v>
      </c>
      <c r="F142" t="s">
        <v>144</v>
      </c>
      <c r="H142" s="2">
        <f>H133*H139</f>
        <v>0</v>
      </c>
      <c r="I142" s="2">
        <f t="shared" ref="I142:AA142" si="48">I133*I139</f>
        <v>0</v>
      </c>
      <c r="J142" s="2">
        <f t="shared" si="48"/>
        <v>0</v>
      </c>
      <c r="K142" s="2">
        <f t="shared" si="48"/>
        <v>0</v>
      </c>
      <c r="L142" s="2">
        <f t="shared" si="48"/>
        <v>0</v>
      </c>
      <c r="M142" s="2">
        <f t="shared" si="48"/>
        <v>0</v>
      </c>
      <c r="N142" s="2">
        <f t="shared" si="48"/>
        <v>0</v>
      </c>
      <c r="O142" s="2">
        <f t="shared" si="48"/>
        <v>0</v>
      </c>
      <c r="P142" s="2">
        <f t="shared" si="48"/>
        <v>0</v>
      </c>
      <c r="Q142" s="2">
        <f t="shared" si="48"/>
        <v>0</v>
      </c>
      <c r="R142" s="2">
        <f t="shared" si="48"/>
        <v>0</v>
      </c>
      <c r="S142" s="2">
        <f t="shared" si="48"/>
        <v>0</v>
      </c>
      <c r="T142" s="2">
        <f t="shared" si="48"/>
        <v>0</v>
      </c>
      <c r="U142" s="2">
        <f t="shared" si="48"/>
        <v>0</v>
      </c>
      <c r="V142" s="2">
        <f t="shared" si="48"/>
        <v>0</v>
      </c>
      <c r="W142" s="2">
        <f t="shared" si="48"/>
        <v>0</v>
      </c>
      <c r="X142" s="2">
        <f t="shared" si="48"/>
        <v>0</v>
      </c>
      <c r="Y142" s="2">
        <f t="shared" si="48"/>
        <v>0</v>
      </c>
      <c r="Z142" s="2">
        <f t="shared" si="48"/>
        <v>0</v>
      </c>
      <c r="AA142" s="2">
        <f t="shared" si="48"/>
        <v>0</v>
      </c>
    </row>
    <row r="143" spans="1:27" x14ac:dyDescent="0.25">
      <c r="A143" s="14">
        <f>'Notes &amp; Assumptions'!A42</f>
        <v>29</v>
      </c>
      <c r="C143" s="1"/>
      <c r="D143" s="1"/>
      <c r="E143" t="s">
        <v>66</v>
      </c>
      <c r="F143" t="s">
        <v>8</v>
      </c>
      <c r="H143" s="11"/>
      <c r="I143" s="11"/>
      <c r="J143" s="11"/>
      <c r="K143" s="11"/>
      <c r="L143" s="11"/>
      <c r="M143" s="11"/>
      <c r="N143" s="11"/>
      <c r="O143" s="11"/>
      <c r="P143" s="11"/>
      <c r="Q143" s="11"/>
      <c r="R143" s="11"/>
      <c r="S143" s="11"/>
      <c r="T143" s="11"/>
      <c r="U143" s="11"/>
      <c r="V143" s="11"/>
      <c r="W143" s="11"/>
      <c r="X143" s="11"/>
      <c r="Y143" s="11"/>
      <c r="Z143" s="11"/>
      <c r="AA143" s="11"/>
    </row>
    <row r="144" spans="1:27" x14ac:dyDescent="0.25">
      <c r="A144" s="14">
        <f>'Notes &amp; Assumptions'!A43</f>
        <v>30</v>
      </c>
      <c r="C144" s="1"/>
      <c r="D144" s="1"/>
      <c r="E144" t="s">
        <v>40</v>
      </c>
      <c r="F144" t="s">
        <v>41</v>
      </c>
      <c r="G144" s="10"/>
      <c r="H144" s="2">
        <f>G144*(1+$G$14)*(1+H143)</f>
        <v>0</v>
      </c>
      <c r="I144" s="2">
        <f t="shared" ref="I144:AA144" si="49">H144*(1+$G$14)*(1+I143)</f>
        <v>0</v>
      </c>
      <c r="J144" s="2">
        <f t="shared" si="49"/>
        <v>0</v>
      </c>
      <c r="K144" s="2">
        <f t="shared" si="49"/>
        <v>0</v>
      </c>
      <c r="L144" s="2">
        <f t="shared" si="49"/>
        <v>0</v>
      </c>
      <c r="M144" s="2">
        <f t="shared" si="49"/>
        <v>0</v>
      </c>
      <c r="N144" s="2">
        <f t="shared" si="49"/>
        <v>0</v>
      </c>
      <c r="O144" s="2">
        <f t="shared" si="49"/>
        <v>0</v>
      </c>
      <c r="P144" s="2">
        <f t="shared" si="49"/>
        <v>0</v>
      </c>
      <c r="Q144" s="2">
        <f t="shared" si="49"/>
        <v>0</v>
      </c>
      <c r="R144" s="2">
        <f t="shared" si="49"/>
        <v>0</v>
      </c>
      <c r="S144" s="2">
        <f t="shared" si="49"/>
        <v>0</v>
      </c>
      <c r="T144" s="2">
        <f t="shared" si="49"/>
        <v>0</v>
      </c>
      <c r="U144" s="2">
        <f t="shared" si="49"/>
        <v>0</v>
      </c>
      <c r="V144" s="2">
        <f t="shared" si="49"/>
        <v>0</v>
      </c>
      <c r="W144" s="2">
        <f t="shared" si="49"/>
        <v>0</v>
      </c>
      <c r="X144" s="2">
        <f t="shared" si="49"/>
        <v>0</v>
      </c>
      <c r="Y144" s="2">
        <f t="shared" si="49"/>
        <v>0</v>
      </c>
      <c r="Z144" s="2">
        <f t="shared" si="49"/>
        <v>0</v>
      </c>
      <c r="AA144" s="2">
        <f t="shared" si="49"/>
        <v>0</v>
      </c>
    </row>
    <row r="145" spans="1:27" x14ac:dyDescent="0.25">
      <c r="C145" s="1"/>
      <c r="D145" s="1"/>
      <c r="E145" t="s">
        <v>67</v>
      </c>
      <c r="F145" t="s">
        <v>143</v>
      </c>
      <c r="G145" s="20"/>
      <c r="H145" s="21">
        <f>G145*(1+$G$14)*(1+H143)</f>
        <v>0</v>
      </c>
      <c r="I145" s="21">
        <f t="shared" ref="I145:AA145" si="50">H145*(1+$G$14)*(1+I143)</f>
        <v>0</v>
      </c>
      <c r="J145" s="21">
        <f t="shared" si="50"/>
        <v>0</v>
      </c>
      <c r="K145" s="21">
        <f t="shared" si="50"/>
        <v>0</v>
      </c>
      <c r="L145" s="21">
        <f t="shared" si="50"/>
        <v>0</v>
      </c>
      <c r="M145" s="21">
        <f t="shared" si="50"/>
        <v>0</v>
      </c>
      <c r="N145" s="21">
        <f t="shared" si="50"/>
        <v>0</v>
      </c>
      <c r="O145" s="21">
        <f t="shared" si="50"/>
        <v>0</v>
      </c>
      <c r="P145" s="21">
        <f t="shared" si="50"/>
        <v>0</v>
      </c>
      <c r="Q145" s="21">
        <f t="shared" si="50"/>
        <v>0</v>
      </c>
      <c r="R145" s="21">
        <f t="shared" si="50"/>
        <v>0</v>
      </c>
      <c r="S145" s="21">
        <f t="shared" si="50"/>
        <v>0</v>
      </c>
      <c r="T145" s="21">
        <f t="shared" si="50"/>
        <v>0</v>
      </c>
      <c r="U145" s="21">
        <f t="shared" si="50"/>
        <v>0</v>
      </c>
      <c r="V145" s="21">
        <f t="shared" si="50"/>
        <v>0</v>
      </c>
      <c r="W145" s="21">
        <f t="shared" si="50"/>
        <v>0</v>
      </c>
      <c r="X145" s="21">
        <f t="shared" si="50"/>
        <v>0</v>
      </c>
      <c r="Y145" s="21">
        <f t="shared" si="50"/>
        <v>0</v>
      </c>
      <c r="Z145" s="21">
        <f t="shared" si="50"/>
        <v>0</v>
      </c>
      <c r="AA145" s="21">
        <f t="shared" si="50"/>
        <v>0</v>
      </c>
    </row>
    <row r="146" spans="1:27" x14ac:dyDescent="0.25">
      <c r="C146" s="1"/>
      <c r="D146" s="1"/>
      <c r="E146" t="s">
        <v>68</v>
      </c>
      <c r="F146" t="s">
        <v>143</v>
      </c>
      <c r="G146" s="20"/>
      <c r="H146" s="21">
        <f>G146*(1+$G$14)*(1+H143)</f>
        <v>0</v>
      </c>
      <c r="I146" s="21">
        <f t="shared" ref="I146:AA146" si="51">H146*(1+$G$14)*(1+I143)</f>
        <v>0</v>
      </c>
      <c r="J146" s="21">
        <f t="shared" si="51"/>
        <v>0</v>
      </c>
      <c r="K146" s="21">
        <f t="shared" si="51"/>
        <v>0</v>
      </c>
      <c r="L146" s="21">
        <f t="shared" si="51"/>
        <v>0</v>
      </c>
      <c r="M146" s="21">
        <f t="shared" si="51"/>
        <v>0</v>
      </c>
      <c r="N146" s="21">
        <f t="shared" si="51"/>
        <v>0</v>
      </c>
      <c r="O146" s="21">
        <f t="shared" si="51"/>
        <v>0</v>
      </c>
      <c r="P146" s="21">
        <f t="shared" si="51"/>
        <v>0</v>
      </c>
      <c r="Q146" s="21">
        <f t="shared" si="51"/>
        <v>0</v>
      </c>
      <c r="R146" s="21">
        <f t="shared" si="51"/>
        <v>0</v>
      </c>
      <c r="S146" s="21">
        <f t="shared" si="51"/>
        <v>0</v>
      </c>
      <c r="T146" s="21">
        <f t="shared" si="51"/>
        <v>0</v>
      </c>
      <c r="U146" s="21">
        <f t="shared" si="51"/>
        <v>0</v>
      </c>
      <c r="V146" s="21">
        <f t="shared" si="51"/>
        <v>0</v>
      </c>
      <c r="W146" s="21">
        <f t="shared" si="51"/>
        <v>0</v>
      </c>
      <c r="X146" s="21">
        <f t="shared" si="51"/>
        <v>0</v>
      </c>
      <c r="Y146" s="21">
        <f t="shared" si="51"/>
        <v>0</v>
      </c>
      <c r="Z146" s="21">
        <f t="shared" si="51"/>
        <v>0</v>
      </c>
      <c r="AA146" s="21">
        <f t="shared" si="51"/>
        <v>0</v>
      </c>
    </row>
    <row r="147" spans="1:27" x14ac:dyDescent="0.25">
      <c r="C147" s="1"/>
      <c r="D147" s="1"/>
      <c r="E147" t="s">
        <v>142</v>
      </c>
      <c r="F147" t="s">
        <v>143</v>
      </c>
      <c r="G147" s="20"/>
      <c r="H147" s="21">
        <f>G147*(1+$G$14)*(1+H143)</f>
        <v>0</v>
      </c>
      <c r="I147" s="21">
        <f t="shared" ref="I147:AA147" si="52">H147*(1+$G$14)*(1+I143)</f>
        <v>0</v>
      </c>
      <c r="J147" s="21">
        <f t="shared" si="52"/>
        <v>0</v>
      </c>
      <c r="K147" s="21">
        <f t="shared" si="52"/>
        <v>0</v>
      </c>
      <c r="L147" s="21">
        <f t="shared" si="52"/>
        <v>0</v>
      </c>
      <c r="M147" s="21">
        <f t="shared" si="52"/>
        <v>0</v>
      </c>
      <c r="N147" s="21">
        <f t="shared" si="52"/>
        <v>0</v>
      </c>
      <c r="O147" s="21">
        <f t="shared" si="52"/>
        <v>0</v>
      </c>
      <c r="P147" s="21">
        <f t="shared" si="52"/>
        <v>0</v>
      </c>
      <c r="Q147" s="21">
        <f t="shared" si="52"/>
        <v>0</v>
      </c>
      <c r="R147" s="21">
        <f t="shared" si="52"/>
        <v>0</v>
      </c>
      <c r="S147" s="21">
        <f t="shared" si="52"/>
        <v>0</v>
      </c>
      <c r="T147" s="21">
        <f t="shared" si="52"/>
        <v>0</v>
      </c>
      <c r="U147" s="21">
        <f t="shared" si="52"/>
        <v>0</v>
      </c>
      <c r="V147" s="21">
        <f t="shared" si="52"/>
        <v>0</v>
      </c>
      <c r="W147" s="21">
        <f t="shared" si="52"/>
        <v>0</v>
      </c>
      <c r="X147" s="21">
        <f t="shared" si="52"/>
        <v>0</v>
      </c>
      <c r="Y147" s="21">
        <f t="shared" si="52"/>
        <v>0</v>
      </c>
      <c r="Z147" s="21">
        <f t="shared" si="52"/>
        <v>0</v>
      </c>
      <c r="AA147" s="21">
        <f t="shared" si="52"/>
        <v>0</v>
      </c>
    </row>
    <row r="148" spans="1:27" x14ac:dyDescent="0.25">
      <c r="C148" s="1"/>
      <c r="D148" s="1"/>
    </row>
    <row r="149" spans="1:27" x14ac:dyDescent="0.25">
      <c r="C149" s="1"/>
      <c r="D149" s="1"/>
      <c r="E149" t="s">
        <v>75</v>
      </c>
      <c r="F149" t="s">
        <v>58</v>
      </c>
      <c r="H149" s="2">
        <f>SUM(H140:H142)/1000</f>
        <v>0</v>
      </c>
      <c r="I149" s="2">
        <f t="shared" ref="I149:AA149" si="53">SUM(I140:I142)/1000</f>
        <v>0</v>
      </c>
      <c r="J149" s="2">
        <f t="shared" si="53"/>
        <v>0</v>
      </c>
      <c r="K149" s="2">
        <f t="shared" si="53"/>
        <v>0</v>
      </c>
      <c r="L149" s="2">
        <f t="shared" si="53"/>
        <v>0</v>
      </c>
      <c r="M149" s="2">
        <f t="shared" si="53"/>
        <v>0</v>
      </c>
      <c r="N149" s="2">
        <f t="shared" si="53"/>
        <v>0</v>
      </c>
      <c r="O149" s="2">
        <f t="shared" si="53"/>
        <v>0</v>
      </c>
      <c r="P149" s="2">
        <f t="shared" si="53"/>
        <v>0</v>
      </c>
      <c r="Q149" s="2">
        <f t="shared" si="53"/>
        <v>0</v>
      </c>
      <c r="R149" s="2">
        <f t="shared" si="53"/>
        <v>0</v>
      </c>
      <c r="S149" s="2">
        <f t="shared" si="53"/>
        <v>0</v>
      </c>
      <c r="T149" s="2">
        <f t="shared" si="53"/>
        <v>0</v>
      </c>
      <c r="U149" s="2">
        <f t="shared" si="53"/>
        <v>0</v>
      </c>
      <c r="V149" s="2">
        <f t="shared" si="53"/>
        <v>0</v>
      </c>
      <c r="W149" s="2">
        <f t="shared" si="53"/>
        <v>0</v>
      </c>
      <c r="X149" s="2">
        <f t="shared" si="53"/>
        <v>0</v>
      </c>
      <c r="Y149" s="2">
        <f t="shared" si="53"/>
        <v>0</v>
      </c>
      <c r="Z149" s="2">
        <f t="shared" si="53"/>
        <v>0</v>
      </c>
      <c r="AA149" s="2">
        <f t="shared" si="53"/>
        <v>0</v>
      </c>
    </row>
    <row r="150" spans="1:27" x14ac:dyDescent="0.25">
      <c r="C150" s="1"/>
      <c r="D150" s="1"/>
      <c r="E150" t="s">
        <v>76</v>
      </c>
      <c r="F150" t="s">
        <v>7</v>
      </c>
      <c r="H150" s="2">
        <f>H133*H144+H140*H145+H141*H146+H142*H147</f>
        <v>0</v>
      </c>
      <c r="I150" s="2">
        <f t="shared" ref="I150:AA150" si="54">I133*I144+I140*I145+I141*I146+I142*I147</f>
        <v>0</v>
      </c>
      <c r="J150" s="2">
        <f t="shared" si="54"/>
        <v>0</v>
      </c>
      <c r="K150" s="2">
        <f t="shared" si="54"/>
        <v>0</v>
      </c>
      <c r="L150" s="2">
        <f t="shared" si="54"/>
        <v>0</v>
      </c>
      <c r="M150" s="2">
        <f t="shared" si="54"/>
        <v>0</v>
      </c>
      <c r="N150" s="2">
        <f t="shared" si="54"/>
        <v>0</v>
      </c>
      <c r="O150" s="2">
        <f t="shared" si="54"/>
        <v>0</v>
      </c>
      <c r="P150" s="2">
        <f t="shared" si="54"/>
        <v>0</v>
      </c>
      <c r="Q150" s="2">
        <f t="shared" si="54"/>
        <v>0</v>
      </c>
      <c r="R150" s="2">
        <f t="shared" si="54"/>
        <v>0</v>
      </c>
      <c r="S150" s="2">
        <f t="shared" si="54"/>
        <v>0</v>
      </c>
      <c r="T150" s="2">
        <f t="shared" si="54"/>
        <v>0</v>
      </c>
      <c r="U150" s="2">
        <f t="shared" si="54"/>
        <v>0</v>
      </c>
      <c r="V150" s="2">
        <f t="shared" si="54"/>
        <v>0</v>
      </c>
      <c r="W150" s="2">
        <f t="shared" si="54"/>
        <v>0</v>
      </c>
      <c r="X150" s="2">
        <f t="shared" si="54"/>
        <v>0</v>
      </c>
      <c r="Y150" s="2">
        <f t="shared" si="54"/>
        <v>0</v>
      </c>
      <c r="Z150" s="2">
        <f t="shared" si="54"/>
        <v>0</v>
      </c>
      <c r="AA150" s="2">
        <f t="shared" si="54"/>
        <v>0</v>
      </c>
    </row>
    <row r="151" spans="1:27" x14ac:dyDescent="0.25">
      <c r="C151" s="1"/>
      <c r="D151" s="1"/>
    </row>
    <row r="152" spans="1:27" x14ac:dyDescent="0.25">
      <c r="C152" s="1"/>
      <c r="D152" t="s">
        <v>77</v>
      </c>
    </row>
    <row r="153" spans="1:27" x14ac:dyDescent="0.25">
      <c r="A153" s="14">
        <f>'Notes &amp; Assumptions'!A44</f>
        <v>31</v>
      </c>
      <c r="C153" s="1"/>
      <c r="D153" s="1"/>
      <c r="E153" t="s">
        <v>87</v>
      </c>
      <c r="F153" t="s">
        <v>3</v>
      </c>
      <c r="H153" s="10">
        <v>0</v>
      </c>
      <c r="I153" s="10">
        <v>0</v>
      </c>
      <c r="J153" s="10">
        <v>0</v>
      </c>
      <c r="K153" s="10">
        <v>0</v>
      </c>
      <c r="L153" s="10">
        <v>0</v>
      </c>
      <c r="M153" s="10">
        <v>0</v>
      </c>
      <c r="N153" s="10">
        <v>0</v>
      </c>
      <c r="O153" s="10">
        <v>0</v>
      </c>
      <c r="P153" s="10">
        <v>0</v>
      </c>
      <c r="Q153" s="10">
        <v>0</v>
      </c>
      <c r="R153" s="10">
        <f>AVERAGE($O153:$Q153)</f>
        <v>0</v>
      </c>
      <c r="S153" s="10">
        <f t="shared" ref="S153:V153" si="55">AVERAGE($O153:$Q153)</f>
        <v>0</v>
      </c>
      <c r="T153" s="10">
        <f t="shared" si="55"/>
        <v>0</v>
      </c>
      <c r="U153" s="10">
        <f t="shared" si="55"/>
        <v>0</v>
      </c>
      <c r="V153" s="10">
        <f t="shared" si="55"/>
        <v>0</v>
      </c>
    </row>
    <row r="154" spans="1:27" x14ac:dyDescent="0.25">
      <c r="C154" s="1"/>
      <c r="D154" s="1"/>
      <c r="E154" t="s">
        <v>60</v>
      </c>
      <c r="F154" t="s">
        <v>3</v>
      </c>
      <c r="H154" s="2">
        <f>G154+H153</f>
        <v>0</v>
      </c>
      <c r="I154" s="2">
        <f t="shared" ref="I154:AA154" si="56">H154+I153</f>
        <v>0</v>
      </c>
      <c r="J154" s="2">
        <f t="shared" si="56"/>
        <v>0</v>
      </c>
      <c r="K154" s="2">
        <f t="shared" si="56"/>
        <v>0</v>
      </c>
      <c r="L154" s="2">
        <f t="shared" si="56"/>
        <v>0</v>
      </c>
      <c r="M154" s="2">
        <f t="shared" si="56"/>
        <v>0</v>
      </c>
      <c r="N154" s="2">
        <f t="shared" si="56"/>
        <v>0</v>
      </c>
      <c r="O154" s="2">
        <f t="shared" si="56"/>
        <v>0</v>
      </c>
      <c r="P154" s="2">
        <f t="shared" si="56"/>
        <v>0</v>
      </c>
      <c r="Q154" s="2">
        <f t="shared" si="56"/>
        <v>0</v>
      </c>
      <c r="R154" s="2">
        <f t="shared" si="56"/>
        <v>0</v>
      </c>
      <c r="S154" s="2">
        <f t="shared" si="56"/>
        <v>0</v>
      </c>
      <c r="T154" s="2">
        <f t="shared" si="56"/>
        <v>0</v>
      </c>
      <c r="U154" s="2">
        <f t="shared" si="56"/>
        <v>0</v>
      </c>
      <c r="V154" s="2">
        <f t="shared" si="56"/>
        <v>0</v>
      </c>
      <c r="W154" s="2">
        <f t="shared" si="56"/>
        <v>0</v>
      </c>
      <c r="X154" s="2">
        <f t="shared" si="56"/>
        <v>0</v>
      </c>
      <c r="Y154" s="2">
        <f t="shared" si="56"/>
        <v>0</v>
      </c>
      <c r="Z154" s="2">
        <f t="shared" si="56"/>
        <v>0</v>
      </c>
      <c r="AA154" s="2">
        <f t="shared" si="56"/>
        <v>0</v>
      </c>
    </row>
    <row r="155" spans="1:27" x14ac:dyDescent="0.25">
      <c r="A155" s="14">
        <f>'Notes &amp; Assumptions'!A45</f>
        <v>32</v>
      </c>
      <c r="C155" s="1"/>
      <c r="D155" s="1"/>
      <c r="E155" t="s">
        <v>61</v>
      </c>
      <c r="F155" t="s">
        <v>3</v>
      </c>
      <c r="G155" s="10">
        <v>1</v>
      </c>
    </row>
    <row r="156" spans="1:27" x14ac:dyDescent="0.25">
      <c r="C156" s="1"/>
      <c r="D156" s="1"/>
      <c r="E156" t="s">
        <v>88</v>
      </c>
      <c r="F156" t="s">
        <v>3</v>
      </c>
      <c r="H156">
        <f>H153*$G155</f>
        <v>0</v>
      </c>
      <c r="I156">
        <f t="shared" ref="I156:AA156" si="57">I153*$G155</f>
        <v>0</v>
      </c>
      <c r="J156">
        <f t="shared" si="57"/>
        <v>0</v>
      </c>
      <c r="K156">
        <f t="shared" si="57"/>
        <v>0</v>
      </c>
      <c r="L156">
        <f t="shared" si="57"/>
        <v>0</v>
      </c>
      <c r="M156">
        <f t="shared" si="57"/>
        <v>0</v>
      </c>
      <c r="N156">
        <f t="shared" si="57"/>
        <v>0</v>
      </c>
      <c r="O156">
        <f t="shared" si="57"/>
        <v>0</v>
      </c>
      <c r="P156">
        <f t="shared" si="57"/>
        <v>0</v>
      </c>
      <c r="Q156">
        <f t="shared" si="57"/>
        <v>0</v>
      </c>
      <c r="R156">
        <f t="shared" si="57"/>
        <v>0</v>
      </c>
      <c r="S156">
        <f t="shared" si="57"/>
        <v>0</v>
      </c>
      <c r="T156">
        <f t="shared" si="57"/>
        <v>0</v>
      </c>
      <c r="U156">
        <f t="shared" si="57"/>
        <v>0</v>
      </c>
      <c r="V156">
        <f t="shared" si="57"/>
        <v>0</v>
      </c>
      <c r="W156">
        <f t="shared" si="57"/>
        <v>0</v>
      </c>
      <c r="X156">
        <f t="shared" si="57"/>
        <v>0</v>
      </c>
      <c r="Y156">
        <f t="shared" si="57"/>
        <v>0</v>
      </c>
      <c r="Z156">
        <f t="shared" si="57"/>
        <v>0</v>
      </c>
      <c r="AA156">
        <f t="shared" si="57"/>
        <v>0</v>
      </c>
    </row>
    <row r="157" spans="1:27" x14ac:dyDescent="0.25">
      <c r="C157" s="1"/>
      <c r="D157" s="1"/>
      <c r="E157" t="s">
        <v>89</v>
      </c>
      <c r="F157" t="s">
        <v>3</v>
      </c>
      <c r="H157">
        <f>H154*$G155</f>
        <v>0</v>
      </c>
      <c r="I157">
        <f t="shared" ref="I157:AA157" si="58">I154*$G155</f>
        <v>0</v>
      </c>
      <c r="J157">
        <f t="shared" si="58"/>
        <v>0</v>
      </c>
      <c r="K157">
        <f t="shared" si="58"/>
        <v>0</v>
      </c>
      <c r="L157">
        <f t="shared" si="58"/>
        <v>0</v>
      </c>
      <c r="M157">
        <f t="shared" si="58"/>
        <v>0</v>
      </c>
      <c r="N157">
        <f t="shared" si="58"/>
        <v>0</v>
      </c>
      <c r="O157">
        <f t="shared" si="58"/>
        <v>0</v>
      </c>
      <c r="P157">
        <f t="shared" si="58"/>
        <v>0</v>
      </c>
      <c r="Q157">
        <f t="shared" si="58"/>
        <v>0</v>
      </c>
      <c r="R157">
        <f t="shared" si="58"/>
        <v>0</v>
      </c>
      <c r="S157">
        <f t="shared" si="58"/>
        <v>0</v>
      </c>
      <c r="T157">
        <f t="shared" si="58"/>
        <v>0</v>
      </c>
      <c r="U157">
        <f t="shared" si="58"/>
        <v>0</v>
      </c>
      <c r="V157">
        <f t="shared" si="58"/>
        <v>0</v>
      </c>
      <c r="W157">
        <f t="shared" si="58"/>
        <v>0</v>
      </c>
      <c r="X157">
        <f t="shared" si="58"/>
        <v>0</v>
      </c>
      <c r="Y157">
        <f t="shared" si="58"/>
        <v>0</v>
      </c>
      <c r="Z157">
        <f t="shared" si="58"/>
        <v>0</v>
      </c>
      <c r="AA157">
        <f t="shared" si="58"/>
        <v>0</v>
      </c>
    </row>
    <row r="158" spans="1:27" x14ac:dyDescent="0.25">
      <c r="A158" s="14">
        <f>'Notes &amp; Assumptions'!A46</f>
        <v>33</v>
      </c>
      <c r="C158" s="1"/>
      <c r="D158" s="1"/>
      <c r="E158" t="s">
        <v>62</v>
      </c>
      <c r="F158" t="s">
        <v>43</v>
      </c>
      <c r="H158" s="10"/>
      <c r="I158" s="10"/>
      <c r="J158" s="10"/>
      <c r="K158" s="10"/>
      <c r="L158" s="10"/>
      <c r="M158" s="10"/>
      <c r="N158" s="10"/>
      <c r="O158" s="10"/>
      <c r="P158" s="10"/>
      <c r="Q158" s="10"/>
      <c r="R158" s="10"/>
      <c r="S158" s="10"/>
      <c r="T158" s="10"/>
      <c r="U158" s="10"/>
      <c r="V158" s="10"/>
      <c r="W158" s="10"/>
      <c r="X158" s="10"/>
      <c r="Y158" s="10"/>
      <c r="Z158" s="10"/>
      <c r="AA158" s="10"/>
    </row>
    <row r="159" spans="1:27" x14ac:dyDescent="0.25">
      <c r="C159" s="1"/>
      <c r="D159" s="1"/>
      <c r="E159" t="s">
        <v>63</v>
      </c>
      <c r="F159" t="s">
        <v>43</v>
      </c>
      <c r="H159" s="10"/>
      <c r="I159" s="10"/>
      <c r="J159" s="10"/>
      <c r="K159" s="10"/>
      <c r="L159" s="10"/>
      <c r="M159" s="10"/>
      <c r="N159" s="10"/>
      <c r="O159" s="10"/>
      <c r="P159" s="10"/>
      <c r="Q159" s="10"/>
      <c r="R159" s="10"/>
      <c r="S159" s="10"/>
      <c r="T159" s="10"/>
      <c r="U159" s="10"/>
      <c r="V159" s="10"/>
      <c r="W159" s="10"/>
      <c r="X159" s="10"/>
      <c r="Y159" s="10"/>
      <c r="Z159" s="10"/>
      <c r="AA159" s="10"/>
    </row>
    <row r="160" spans="1:27" x14ac:dyDescent="0.25">
      <c r="A160" s="14">
        <f>'Notes &amp; Assumptions'!A47</f>
        <v>34</v>
      </c>
      <c r="C160" s="1"/>
      <c r="D160" s="1"/>
      <c r="E160" t="s">
        <v>140</v>
      </c>
      <c r="F160" t="s">
        <v>43</v>
      </c>
      <c r="H160" s="10"/>
      <c r="I160" s="10"/>
      <c r="J160" s="10"/>
      <c r="K160" s="10"/>
      <c r="L160" s="10"/>
      <c r="M160" s="10"/>
      <c r="N160" s="10"/>
      <c r="O160" s="10"/>
      <c r="P160" s="10"/>
      <c r="Q160" s="10"/>
      <c r="R160" s="10"/>
      <c r="S160" s="10"/>
      <c r="T160" s="10"/>
      <c r="U160" s="10"/>
      <c r="V160" s="10"/>
      <c r="W160" s="10"/>
      <c r="X160" s="10"/>
      <c r="Y160" s="10"/>
      <c r="Z160" s="10"/>
      <c r="AA160" s="10"/>
    </row>
    <row r="161" spans="1:27" x14ac:dyDescent="0.25">
      <c r="C161" s="1"/>
      <c r="D161" s="1"/>
      <c r="E161" t="s">
        <v>64</v>
      </c>
      <c r="F161" t="s">
        <v>144</v>
      </c>
      <c r="H161" s="2">
        <f>H154*H158</f>
        <v>0</v>
      </c>
      <c r="I161" s="2">
        <f t="shared" ref="I161:AA161" si="59">I154*I158</f>
        <v>0</v>
      </c>
      <c r="J161" s="2">
        <f t="shared" si="59"/>
        <v>0</v>
      </c>
      <c r="K161" s="2">
        <f t="shared" si="59"/>
        <v>0</v>
      </c>
      <c r="L161" s="2">
        <f t="shared" si="59"/>
        <v>0</v>
      </c>
      <c r="M161" s="2">
        <f t="shared" si="59"/>
        <v>0</v>
      </c>
      <c r="N161" s="2">
        <f t="shared" si="59"/>
        <v>0</v>
      </c>
      <c r="O161" s="2">
        <f t="shared" si="59"/>
        <v>0</v>
      </c>
      <c r="P161" s="2">
        <f t="shared" si="59"/>
        <v>0</v>
      </c>
      <c r="Q161" s="2">
        <f t="shared" si="59"/>
        <v>0</v>
      </c>
      <c r="R161" s="2">
        <f t="shared" si="59"/>
        <v>0</v>
      </c>
      <c r="S161" s="2">
        <f t="shared" si="59"/>
        <v>0</v>
      </c>
      <c r="T161" s="2">
        <f t="shared" si="59"/>
        <v>0</v>
      </c>
      <c r="U161" s="2">
        <f t="shared" si="59"/>
        <v>0</v>
      </c>
      <c r="V161" s="2">
        <f t="shared" si="59"/>
        <v>0</v>
      </c>
      <c r="W161" s="2">
        <f t="shared" si="59"/>
        <v>0</v>
      </c>
      <c r="X161" s="2">
        <f t="shared" si="59"/>
        <v>0</v>
      </c>
      <c r="Y161" s="2">
        <f t="shared" si="59"/>
        <v>0</v>
      </c>
      <c r="Z161" s="2">
        <f t="shared" si="59"/>
        <v>0</v>
      </c>
      <c r="AA161" s="2">
        <f t="shared" si="59"/>
        <v>0</v>
      </c>
    </row>
    <row r="162" spans="1:27" x14ac:dyDescent="0.25">
      <c r="C162" s="1"/>
      <c r="D162" s="1"/>
      <c r="E162" t="s">
        <v>65</v>
      </c>
      <c r="F162" t="s">
        <v>144</v>
      </c>
      <c r="H162" s="2">
        <f>H154*H159</f>
        <v>0</v>
      </c>
      <c r="I162" s="2">
        <f t="shared" ref="I162:AA162" si="60">I154*I159</f>
        <v>0</v>
      </c>
      <c r="J162" s="2">
        <f t="shared" si="60"/>
        <v>0</v>
      </c>
      <c r="K162" s="2">
        <f t="shared" si="60"/>
        <v>0</v>
      </c>
      <c r="L162" s="2">
        <f t="shared" si="60"/>
        <v>0</v>
      </c>
      <c r="M162" s="2">
        <f t="shared" si="60"/>
        <v>0</v>
      </c>
      <c r="N162" s="2">
        <f t="shared" si="60"/>
        <v>0</v>
      </c>
      <c r="O162" s="2">
        <f t="shared" si="60"/>
        <v>0</v>
      </c>
      <c r="P162" s="2">
        <f t="shared" si="60"/>
        <v>0</v>
      </c>
      <c r="Q162" s="2">
        <f t="shared" si="60"/>
        <v>0</v>
      </c>
      <c r="R162" s="2">
        <f t="shared" si="60"/>
        <v>0</v>
      </c>
      <c r="S162" s="2">
        <f t="shared" si="60"/>
        <v>0</v>
      </c>
      <c r="T162" s="2">
        <f t="shared" si="60"/>
        <v>0</v>
      </c>
      <c r="U162" s="2">
        <f t="shared" si="60"/>
        <v>0</v>
      </c>
      <c r="V162" s="2">
        <f t="shared" si="60"/>
        <v>0</v>
      </c>
      <c r="W162" s="2">
        <f t="shared" si="60"/>
        <v>0</v>
      </c>
      <c r="X162" s="2">
        <f t="shared" si="60"/>
        <v>0</v>
      </c>
      <c r="Y162" s="2">
        <f t="shared" si="60"/>
        <v>0</v>
      </c>
      <c r="Z162" s="2">
        <f t="shared" si="60"/>
        <v>0</v>
      </c>
      <c r="AA162" s="2">
        <f t="shared" si="60"/>
        <v>0</v>
      </c>
    </row>
    <row r="163" spans="1:27" x14ac:dyDescent="0.25">
      <c r="C163" s="1"/>
      <c r="D163" s="1"/>
      <c r="E163" t="s">
        <v>141</v>
      </c>
      <c r="F163" t="s">
        <v>144</v>
      </c>
      <c r="H163" s="2">
        <f>H154*H160</f>
        <v>0</v>
      </c>
      <c r="I163" s="2">
        <f t="shared" ref="I163:AA163" si="61">I154*I160</f>
        <v>0</v>
      </c>
      <c r="J163" s="2">
        <f t="shared" si="61"/>
        <v>0</v>
      </c>
      <c r="K163" s="2">
        <f t="shared" si="61"/>
        <v>0</v>
      </c>
      <c r="L163" s="2">
        <f t="shared" si="61"/>
        <v>0</v>
      </c>
      <c r="M163" s="2">
        <f t="shared" si="61"/>
        <v>0</v>
      </c>
      <c r="N163" s="2">
        <f t="shared" si="61"/>
        <v>0</v>
      </c>
      <c r="O163" s="2">
        <f t="shared" si="61"/>
        <v>0</v>
      </c>
      <c r="P163" s="2">
        <f t="shared" si="61"/>
        <v>0</v>
      </c>
      <c r="Q163" s="2">
        <f t="shared" si="61"/>
        <v>0</v>
      </c>
      <c r="R163" s="2">
        <f t="shared" si="61"/>
        <v>0</v>
      </c>
      <c r="S163" s="2">
        <f t="shared" si="61"/>
        <v>0</v>
      </c>
      <c r="T163" s="2">
        <f t="shared" si="61"/>
        <v>0</v>
      </c>
      <c r="U163" s="2">
        <f t="shared" si="61"/>
        <v>0</v>
      </c>
      <c r="V163" s="2">
        <f t="shared" si="61"/>
        <v>0</v>
      </c>
      <c r="W163" s="2">
        <f t="shared" si="61"/>
        <v>0</v>
      </c>
      <c r="X163" s="2">
        <f t="shared" si="61"/>
        <v>0</v>
      </c>
      <c r="Y163" s="2">
        <f t="shared" si="61"/>
        <v>0</v>
      </c>
      <c r="Z163" s="2">
        <f t="shared" si="61"/>
        <v>0</v>
      </c>
      <c r="AA163" s="2">
        <f t="shared" si="61"/>
        <v>0</v>
      </c>
    </row>
    <row r="164" spans="1:27" x14ac:dyDescent="0.25">
      <c r="A164" s="14">
        <f>'Notes &amp; Assumptions'!A48</f>
        <v>35</v>
      </c>
      <c r="C164" s="1"/>
      <c r="D164" s="1"/>
      <c r="E164" t="s">
        <v>66</v>
      </c>
      <c r="F164" t="s">
        <v>8</v>
      </c>
      <c r="H164" s="11"/>
      <c r="I164" s="11"/>
      <c r="J164" s="11"/>
      <c r="K164" s="11"/>
      <c r="L164" s="11"/>
      <c r="M164" s="11"/>
      <c r="N164" s="11"/>
      <c r="O164" s="11"/>
      <c r="P164" s="11"/>
      <c r="Q164" s="11"/>
      <c r="R164" s="11"/>
      <c r="S164" s="11"/>
      <c r="T164" s="11"/>
      <c r="U164" s="11"/>
      <c r="V164" s="11"/>
      <c r="W164" s="11"/>
      <c r="X164" s="11"/>
      <c r="Y164" s="11"/>
      <c r="Z164" s="11"/>
      <c r="AA164" s="11"/>
    </row>
    <row r="165" spans="1:27" x14ac:dyDescent="0.25">
      <c r="A165" s="14">
        <f>'Notes &amp; Assumptions'!A49</f>
        <v>36</v>
      </c>
      <c r="C165" s="1"/>
      <c r="D165" s="1"/>
      <c r="E165" t="s">
        <v>40</v>
      </c>
      <c r="F165" t="s">
        <v>41</v>
      </c>
      <c r="G165" s="10"/>
      <c r="H165" s="2">
        <f>G165*(1+$G$14)*(1+H164)</f>
        <v>0</v>
      </c>
      <c r="I165" s="2">
        <f t="shared" ref="I165:AA165" si="62">H165*(1+$G$14)*(1+I164)</f>
        <v>0</v>
      </c>
      <c r="J165" s="2">
        <f t="shared" si="62"/>
        <v>0</v>
      </c>
      <c r="K165" s="2">
        <f t="shared" si="62"/>
        <v>0</v>
      </c>
      <c r="L165" s="2">
        <f t="shared" si="62"/>
        <v>0</v>
      </c>
      <c r="M165" s="2">
        <f t="shared" si="62"/>
        <v>0</v>
      </c>
      <c r="N165" s="2">
        <f t="shared" si="62"/>
        <v>0</v>
      </c>
      <c r="O165" s="2">
        <f t="shared" si="62"/>
        <v>0</v>
      </c>
      <c r="P165" s="2">
        <f t="shared" si="62"/>
        <v>0</v>
      </c>
      <c r="Q165" s="2">
        <f t="shared" si="62"/>
        <v>0</v>
      </c>
      <c r="R165" s="2">
        <f t="shared" si="62"/>
        <v>0</v>
      </c>
      <c r="S165" s="2">
        <f t="shared" si="62"/>
        <v>0</v>
      </c>
      <c r="T165" s="2">
        <f t="shared" si="62"/>
        <v>0</v>
      </c>
      <c r="U165" s="2">
        <f t="shared" si="62"/>
        <v>0</v>
      </c>
      <c r="V165" s="2">
        <f t="shared" si="62"/>
        <v>0</v>
      </c>
      <c r="W165" s="2">
        <f t="shared" si="62"/>
        <v>0</v>
      </c>
      <c r="X165" s="2">
        <f t="shared" si="62"/>
        <v>0</v>
      </c>
      <c r="Y165" s="2">
        <f t="shared" si="62"/>
        <v>0</v>
      </c>
      <c r="Z165" s="2">
        <f t="shared" si="62"/>
        <v>0</v>
      </c>
      <c r="AA165" s="2">
        <f t="shared" si="62"/>
        <v>0</v>
      </c>
    </row>
    <row r="166" spans="1:27" x14ac:dyDescent="0.25">
      <c r="C166" s="1"/>
      <c r="D166" s="1"/>
      <c r="E166" t="s">
        <v>67</v>
      </c>
      <c r="F166" t="s">
        <v>143</v>
      </c>
      <c r="G166" s="20"/>
      <c r="H166" s="21">
        <f>G166*(1+$G$14)*(1+H164)</f>
        <v>0</v>
      </c>
      <c r="I166" s="21">
        <f t="shared" ref="I166:AA166" si="63">H166*(1+$G$14)*(1+I164)</f>
        <v>0</v>
      </c>
      <c r="J166" s="21">
        <f t="shared" si="63"/>
        <v>0</v>
      </c>
      <c r="K166" s="21">
        <f t="shared" si="63"/>
        <v>0</v>
      </c>
      <c r="L166" s="21">
        <f t="shared" si="63"/>
        <v>0</v>
      </c>
      <c r="M166" s="21">
        <f t="shared" si="63"/>
        <v>0</v>
      </c>
      <c r="N166" s="21">
        <f t="shared" si="63"/>
        <v>0</v>
      </c>
      <c r="O166" s="21">
        <f t="shared" si="63"/>
        <v>0</v>
      </c>
      <c r="P166" s="21">
        <f t="shared" si="63"/>
        <v>0</v>
      </c>
      <c r="Q166" s="21">
        <f t="shared" si="63"/>
        <v>0</v>
      </c>
      <c r="R166" s="21">
        <f t="shared" si="63"/>
        <v>0</v>
      </c>
      <c r="S166" s="21">
        <f t="shared" si="63"/>
        <v>0</v>
      </c>
      <c r="T166" s="21">
        <f t="shared" si="63"/>
        <v>0</v>
      </c>
      <c r="U166" s="21">
        <f t="shared" si="63"/>
        <v>0</v>
      </c>
      <c r="V166" s="21">
        <f t="shared" si="63"/>
        <v>0</v>
      </c>
      <c r="W166" s="21">
        <f t="shared" si="63"/>
        <v>0</v>
      </c>
      <c r="X166" s="21">
        <f t="shared" si="63"/>
        <v>0</v>
      </c>
      <c r="Y166" s="21">
        <f t="shared" si="63"/>
        <v>0</v>
      </c>
      <c r="Z166" s="21">
        <f t="shared" si="63"/>
        <v>0</v>
      </c>
      <c r="AA166" s="21">
        <f t="shared" si="63"/>
        <v>0</v>
      </c>
    </row>
    <row r="167" spans="1:27" x14ac:dyDescent="0.25">
      <c r="C167" s="1"/>
      <c r="D167" s="1"/>
      <c r="E167" t="s">
        <v>68</v>
      </c>
      <c r="F167" t="s">
        <v>143</v>
      </c>
      <c r="G167" s="20"/>
      <c r="H167" s="21">
        <f>G167*(1+$G$14)*(1+H164)</f>
        <v>0</v>
      </c>
      <c r="I167" s="21">
        <f t="shared" ref="I167:AA167" si="64">H167*(1+$G$14)*(1+I164)</f>
        <v>0</v>
      </c>
      <c r="J167" s="21">
        <f t="shared" si="64"/>
        <v>0</v>
      </c>
      <c r="K167" s="21">
        <f t="shared" si="64"/>
        <v>0</v>
      </c>
      <c r="L167" s="21">
        <f t="shared" si="64"/>
        <v>0</v>
      </c>
      <c r="M167" s="21">
        <f t="shared" si="64"/>
        <v>0</v>
      </c>
      <c r="N167" s="21">
        <f t="shared" si="64"/>
        <v>0</v>
      </c>
      <c r="O167" s="21">
        <f t="shared" si="64"/>
        <v>0</v>
      </c>
      <c r="P167" s="21">
        <f t="shared" si="64"/>
        <v>0</v>
      </c>
      <c r="Q167" s="21">
        <f t="shared" si="64"/>
        <v>0</v>
      </c>
      <c r="R167" s="21">
        <f t="shared" si="64"/>
        <v>0</v>
      </c>
      <c r="S167" s="21">
        <f t="shared" si="64"/>
        <v>0</v>
      </c>
      <c r="T167" s="21">
        <f t="shared" si="64"/>
        <v>0</v>
      </c>
      <c r="U167" s="21">
        <f t="shared" si="64"/>
        <v>0</v>
      </c>
      <c r="V167" s="21">
        <f t="shared" si="64"/>
        <v>0</v>
      </c>
      <c r="W167" s="21">
        <f t="shared" si="64"/>
        <v>0</v>
      </c>
      <c r="X167" s="21">
        <f t="shared" si="64"/>
        <v>0</v>
      </c>
      <c r="Y167" s="21">
        <f t="shared" si="64"/>
        <v>0</v>
      </c>
      <c r="Z167" s="21">
        <f t="shared" si="64"/>
        <v>0</v>
      </c>
      <c r="AA167" s="21">
        <f t="shared" si="64"/>
        <v>0</v>
      </c>
    </row>
    <row r="168" spans="1:27" x14ac:dyDescent="0.25">
      <c r="C168" s="1"/>
      <c r="D168" s="1"/>
      <c r="E168" t="s">
        <v>142</v>
      </c>
      <c r="F168" t="s">
        <v>143</v>
      </c>
      <c r="G168" s="20"/>
      <c r="H168" s="21">
        <f>G168*(1+$G$14)*(1+H164)</f>
        <v>0</v>
      </c>
      <c r="I168" s="21">
        <f t="shared" ref="I168:AA168" si="65">H168*(1+$G$14)*(1+I164)</f>
        <v>0</v>
      </c>
      <c r="J168" s="21">
        <f t="shared" si="65"/>
        <v>0</v>
      </c>
      <c r="K168" s="21">
        <f t="shared" si="65"/>
        <v>0</v>
      </c>
      <c r="L168" s="21">
        <f t="shared" si="65"/>
        <v>0</v>
      </c>
      <c r="M168" s="21">
        <f t="shared" si="65"/>
        <v>0</v>
      </c>
      <c r="N168" s="21">
        <f t="shared" si="65"/>
        <v>0</v>
      </c>
      <c r="O168" s="21">
        <f t="shared" si="65"/>
        <v>0</v>
      </c>
      <c r="P168" s="21">
        <f t="shared" si="65"/>
        <v>0</v>
      </c>
      <c r="Q168" s="21">
        <f t="shared" si="65"/>
        <v>0</v>
      </c>
      <c r="R168" s="21">
        <f t="shared" si="65"/>
        <v>0</v>
      </c>
      <c r="S168" s="21">
        <f t="shared" si="65"/>
        <v>0</v>
      </c>
      <c r="T168" s="21">
        <f t="shared" si="65"/>
        <v>0</v>
      </c>
      <c r="U168" s="21">
        <f t="shared" si="65"/>
        <v>0</v>
      </c>
      <c r="V168" s="21">
        <f t="shared" si="65"/>
        <v>0</v>
      </c>
      <c r="W168" s="21">
        <f t="shared" si="65"/>
        <v>0</v>
      </c>
      <c r="X168" s="21">
        <f t="shared" si="65"/>
        <v>0</v>
      </c>
      <c r="Y168" s="21">
        <f t="shared" si="65"/>
        <v>0</v>
      </c>
      <c r="Z168" s="21">
        <f t="shared" si="65"/>
        <v>0</v>
      </c>
      <c r="AA168" s="21">
        <f t="shared" si="65"/>
        <v>0</v>
      </c>
    </row>
    <row r="169" spans="1:27" x14ac:dyDescent="0.25">
      <c r="C169" s="1"/>
      <c r="D169" s="1"/>
    </row>
    <row r="170" spans="1:27" x14ac:dyDescent="0.25">
      <c r="C170" s="1"/>
      <c r="D170" s="1"/>
      <c r="E170" t="s">
        <v>78</v>
      </c>
      <c r="F170" t="s">
        <v>58</v>
      </c>
      <c r="H170" s="2">
        <f>SUM(H161:H163)/1000</f>
        <v>0</v>
      </c>
      <c r="I170" s="2">
        <f t="shared" ref="I170:AA170" si="66">SUM(I161:I163)/1000</f>
        <v>0</v>
      </c>
      <c r="J170" s="2">
        <f t="shared" si="66"/>
        <v>0</v>
      </c>
      <c r="K170" s="2">
        <f t="shared" si="66"/>
        <v>0</v>
      </c>
      <c r="L170" s="2">
        <f t="shared" si="66"/>
        <v>0</v>
      </c>
      <c r="M170" s="2">
        <f t="shared" si="66"/>
        <v>0</v>
      </c>
      <c r="N170" s="2">
        <f t="shared" si="66"/>
        <v>0</v>
      </c>
      <c r="O170" s="2">
        <f t="shared" si="66"/>
        <v>0</v>
      </c>
      <c r="P170" s="2">
        <f t="shared" si="66"/>
        <v>0</v>
      </c>
      <c r="Q170" s="2">
        <f t="shared" si="66"/>
        <v>0</v>
      </c>
      <c r="R170" s="2">
        <f t="shared" si="66"/>
        <v>0</v>
      </c>
      <c r="S170" s="2">
        <f t="shared" si="66"/>
        <v>0</v>
      </c>
      <c r="T170" s="2">
        <f t="shared" si="66"/>
        <v>0</v>
      </c>
      <c r="U170" s="2">
        <f t="shared" si="66"/>
        <v>0</v>
      </c>
      <c r="V170" s="2">
        <f t="shared" si="66"/>
        <v>0</v>
      </c>
      <c r="W170" s="2">
        <f t="shared" si="66"/>
        <v>0</v>
      </c>
      <c r="X170" s="2">
        <f t="shared" si="66"/>
        <v>0</v>
      </c>
      <c r="Y170" s="2">
        <f t="shared" si="66"/>
        <v>0</v>
      </c>
      <c r="Z170" s="2">
        <f t="shared" si="66"/>
        <v>0</v>
      </c>
      <c r="AA170" s="2">
        <f t="shared" si="66"/>
        <v>0</v>
      </c>
    </row>
    <row r="171" spans="1:27" x14ac:dyDescent="0.25">
      <c r="C171" s="1"/>
      <c r="D171" s="1"/>
      <c r="E171" t="s">
        <v>79</v>
      </c>
      <c r="F171" t="s">
        <v>7</v>
      </c>
      <c r="H171" s="2">
        <f>H154*H165+H161*H166+H162*H167+H163*H168</f>
        <v>0</v>
      </c>
      <c r="I171" s="2">
        <f t="shared" ref="I171:AA171" si="67">I154*I165+I161*I166+I162*I167+I163*I168</f>
        <v>0</v>
      </c>
      <c r="J171" s="2">
        <f t="shared" si="67"/>
        <v>0</v>
      </c>
      <c r="K171" s="2">
        <f t="shared" si="67"/>
        <v>0</v>
      </c>
      <c r="L171" s="2">
        <f t="shared" si="67"/>
        <v>0</v>
      </c>
      <c r="M171" s="2">
        <f t="shared" si="67"/>
        <v>0</v>
      </c>
      <c r="N171" s="2">
        <f t="shared" si="67"/>
        <v>0</v>
      </c>
      <c r="O171" s="2">
        <f t="shared" si="67"/>
        <v>0</v>
      </c>
      <c r="P171" s="2">
        <f t="shared" si="67"/>
        <v>0</v>
      </c>
      <c r="Q171" s="2">
        <f t="shared" si="67"/>
        <v>0</v>
      </c>
      <c r="R171" s="2">
        <f t="shared" si="67"/>
        <v>0</v>
      </c>
      <c r="S171" s="2">
        <f t="shared" si="67"/>
        <v>0</v>
      </c>
      <c r="T171" s="2">
        <f t="shared" si="67"/>
        <v>0</v>
      </c>
      <c r="U171" s="2">
        <f t="shared" si="67"/>
        <v>0</v>
      </c>
      <c r="V171" s="2">
        <f t="shared" si="67"/>
        <v>0</v>
      </c>
      <c r="W171" s="2">
        <f t="shared" si="67"/>
        <v>0</v>
      </c>
      <c r="X171" s="2">
        <f t="shared" si="67"/>
        <v>0</v>
      </c>
      <c r="Y171" s="2">
        <f t="shared" si="67"/>
        <v>0</v>
      </c>
      <c r="Z171" s="2">
        <f t="shared" si="67"/>
        <v>0</v>
      </c>
      <c r="AA171" s="2">
        <f t="shared" si="67"/>
        <v>0</v>
      </c>
    </row>
    <row r="172" spans="1:27" x14ac:dyDescent="0.25">
      <c r="C172" s="1"/>
      <c r="D172" s="1"/>
    </row>
    <row r="173" spans="1:27" x14ac:dyDescent="0.25">
      <c r="C173" s="1"/>
      <c r="D173" t="s">
        <v>80</v>
      </c>
    </row>
    <row r="174" spans="1:27" x14ac:dyDescent="0.25">
      <c r="C174" s="1"/>
      <c r="E174" t="s">
        <v>91</v>
      </c>
      <c r="F174" t="s">
        <v>3</v>
      </c>
      <c r="H174">
        <f t="shared" ref="H174:AA175" si="68">SUM(H93,H114,H135,H156)</f>
        <v>466.5</v>
      </c>
      <c r="I174">
        <f t="shared" si="68"/>
        <v>440.20000000000005</v>
      </c>
      <c r="J174">
        <f t="shared" si="68"/>
        <v>421.76499999999999</v>
      </c>
      <c r="K174">
        <f t="shared" si="68"/>
        <v>382.40999999999997</v>
      </c>
      <c r="L174">
        <f t="shared" si="68"/>
        <v>344.26499999999993</v>
      </c>
      <c r="M174">
        <f t="shared" si="68"/>
        <v>308.54999999999995</v>
      </c>
      <c r="N174">
        <f t="shared" si="68"/>
        <v>274.63499999999993</v>
      </c>
      <c r="O174">
        <f t="shared" si="68"/>
        <v>242.75499999999988</v>
      </c>
      <c r="P174">
        <f t="shared" si="68"/>
        <v>234.99499999999989</v>
      </c>
      <c r="Q174">
        <f t="shared" si="68"/>
        <v>225.61499999999992</v>
      </c>
      <c r="R174">
        <f t="shared" si="68"/>
        <v>238.87499999999991</v>
      </c>
      <c r="S174">
        <f t="shared" si="68"/>
        <v>253.1099999999999</v>
      </c>
      <c r="T174">
        <f t="shared" si="68"/>
        <v>268.12499999999994</v>
      </c>
      <c r="U174">
        <f t="shared" si="68"/>
        <v>266.36999999999989</v>
      </c>
      <c r="V174">
        <f t="shared" si="68"/>
        <v>264.4199999999999</v>
      </c>
      <c r="W174">
        <f t="shared" si="68"/>
        <v>0</v>
      </c>
      <c r="X174">
        <f t="shared" si="68"/>
        <v>0</v>
      </c>
      <c r="Y174">
        <f t="shared" si="68"/>
        <v>0</v>
      </c>
      <c r="Z174">
        <f t="shared" si="68"/>
        <v>0</v>
      </c>
      <c r="AA174">
        <f t="shared" si="68"/>
        <v>0</v>
      </c>
    </row>
    <row r="175" spans="1:27" x14ac:dyDescent="0.25">
      <c r="C175" s="1"/>
      <c r="D175" s="1"/>
      <c r="E175" t="s">
        <v>90</v>
      </c>
      <c r="F175" t="s">
        <v>3</v>
      </c>
      <c r="H175">
        <f t="shared" si="68"/>
        <v>466.5</v>
      </c>
      <c r="I175">
        <f t="shared" si="68"/>
        <v>906.7</v>
      </c>
      <c r="J175">
        <f t="shared" si="68"/>
        <v>1328.4650000000001</v>
      </c>
      <c r="K175">
        <f t="shared" si="68"/>
        <v>1710.875</v>
      </c>
      <c r="L175">
        <f t="shared" si="68"/>
        <v>2055.14</v>
      </c>
      <c r="M175">
        <f t="shared" si="68"/>
        <v>2363.6899999999996</v>
      </c>
      <c r="N175">
        <f t="shared" si="68"/>
        <v>2638.3249999999994</v>
      </c>
      <c r="O175">
        <f t="shared" si="68"/>
        <v>2881.079999999999</v>
      </c>
      <c r="P175">
        <f t="shared" si="68"/>
        <v>3116.0749999999989</v>
      </c>
      <c r="Q175">
        <f t="shared" si="68"/>
        <v>3341.6899999999987</v>
      </c>
      <c r="R175">
        <f t="shared" si="68"/>
        <v>3580.5649999999987</v>
      </c>
      <c r="S175">
        <f t="shared" si="68"/>
        <v>3833.6749999999984</v>
      </c>
      <c r="T175">
        <f t="shared" si="68"/>
        <v>4101.7999999999984</v>
      </c>
      <c r="U175">
        <f t="shared" si="68"/>
        <v>4368.1699999999983</v>
      </c>
      <c r="V175">
        <f t="shared" si="68"/>
        <v>4632.5899999999983</v>
      </c>
      <c r="W175">
        <f t="shared" si="68"/>
        <v>4632.5899999999983</v>
      </c>
      <c r="X175">
        <f t="shared" si="68"/>
        <v>4632.5899999999983</v>
      </c>
      <c r="Y175">
        <f t="shared" si="68"/>
        <v>4632.5899999999983</v>
      </c>
      <c r="Z175">
        <f t="shared" si="68"/>
        <v>4632.5899999999983</v>
      </c>
      <c r="AA175">
        <f t="shared" si="68"/>
        <v>4632.5899999999983</v>
      </c>
    </row>
    <row r="176" spans="1:27" x14ac:dyDescent="0.25">
      <c r="C176" s="1"/>
      <c r="D176" s="1"/>
      <c r="E176" t="s">
        <v>81</v>
      </c>
      <c r="F176" t="s">
        <v>58</v>
      </c>
      <c r="H176" s="2">
        <f t="shared" ref="H176:AA177" si="69">SUM(H107,H128,H149,H170)</f>
        <v>18.66</v>
      </c>
      <c r="I176" s="2">
        <f>SUM(I107,I128,I149,I170)</f>
        <v>36.268000000000001</v>
      </c>
      <c r="J176" s="2">
        <f t="shared" si="69"/>
        <v>53.138600000000004</v>
      </c>
      <c r="K176" s="2">
        <f t="shared" si="69"/>
        <v>68.435000000000002</v>
      </c>
      <c r="L176" s="2">
        <f t="shared" si="69"/>
        <v>82.20559999999999</v>
      </c>
      <c r="M176" s="2">
        <f t="shared" si="69"/>
        <v>94.547599999999974</v>
      </c>
      <c r="N176" s="2">
        <f t="shared" si="69"/>
        <v>105.53299999999997</v>
      </c>
      <c r="O176" s="2">
        <f t="shared" si="69"/>
        <v>115.24319999999996</v>
      </c>
      <c r="P176" s="2">
        <f t="shared" si="69"/>
        <v>124.64299999999996</v>
      </c>
      <c r="Q176" s="2">
        <f t="shared" si="69"/>
        <v>133.66759999999994</v>
      </c>
      <c r="R176" s="2">
        <f t="shared" si="69"/>
        <v>143.22259999999994</v>
      </c>
      <c r="S176" s="2">
        <f t="shared" si="69"/>
        <v>153.34699999999995</v>
      </c>
      <c r="T176" s="2">
        <f t="shared" si="69"/>
        <v>164.07199999999995</v>
      </c>
      <c r="U176" s="2">
        <f t="shared" si="69"/>
        <v>174.72679999999994</v>
      </c>
      <c r="V176" s="2">
        <f t="shared" si="69"/>
        <v>185.30359999999993</v>
      </c>
      <c r="W176" s="2">
        <f t="shared" si="69"/>
        <v>185.30359999999993</v>
      </c>
      <c r="X176" s="2">
        <f t="shared" si="69"/>
        <v>185.30359999999993</v>
      </c>
      <c r="Y176" s="2">
        <f t="shared" si="69"/>
        <v>185.30359999999993</v>
      </c>
      <c r="Z176" s="2">
        <f t="shared" si="69"/>
        <v>185.30359999999993</v>
      </c>
      <c r="AA176" s="2">
        <f t="shared" si="69"/>
        <v>185.30359999999993</v>
      </c>
    </row>
    <row r="177" spans="1:27" x14ac:dyDescent="0.25">
      <c r="C177" s="1"/>
      <c r="D177" s="1"/>
      <c r="E177" t="s">
        <v>82</v>
      </c>
      <c r="F177" t="s">
        <v>7</v>
      </c>
      <c r="H177" s="2">
        <f t="shared" si="69"/>
        <v>31729.549347582702</v>
      </c>
      <c r="I177" s="2">
        <f t="shared" si="69"/>
        <v>61240.098260634382</v>
      </c>
      <c r="J177" s="2">
        <f t="shared" si="69"/>
        <v>91611.105112678662</v>
      </c>
      <c r="K177" s="2">
        <f t="shared" si="69"/>
        <v>120459.7694318682</v>
      </c>
      <c r="L177" s="2">
        <f t="shared" si="69"/>
        <v>147737.55303675839</v>
      </c>
      <c r="M177" s="2">
        <f t="shared" si="69"/>
        <v>173486.52551599496</v>
      </c>
      <c r="N177" s="2">
        <f t="shared" si="69"/>
        <v>197710.28688959175</v>
      </c>
      <c r="O177" s="2">
        <f t="shared" si="69"/>
        <v>220435.75206703268</v>
      </c>
      <c r="P177" s="2">
        <f t="shared" si="69"/>
        <v>243422.29899233856</v>
      </c>
      <c r="Q177" s="2">
        <f t="shared" si="69"/>
        <v>266528.9318865629</v>
      </c>
      <c r="R177" s="2">
        <f t="shared" si="69"/>
        <v>291578.50442902237</v>
      </c>
      <c r="S177" s="2">
        <f t="shared" si="69"/>
        <v>318746.17124650377</v>
      </c>
      <c r="T177" s="2">
        <f t="shared" si="69"/>
        <v>348200.91404944501</v>
      </c>
      <c r="U177" s="2">
        <f t="shared" si="69"/>
        <v>378600.07880553772</v>
      </c>
      <c r="V177" s="2">
        <f t="shared" si="69"/>
        <v>409949.89132618339</v>
      </c>
      <c r="W177" s="2">
        <f t="shared" si="69"/>
        <v>418558.83904403314</v>
      </c>
      <c r="X177" s="2">
        <f t="shared" si="69"/>
        <v>427348.57466395781</v>
      </c>
      <c r="Y177" s="2">
        <f t="shared" si="69"/>
        <v>436322.89473190083</v>
      </c>
      <c r="Z177" s="2">
        <f t="shared" si="69"/>
        <v>445485.67552127072</v>
      </c>
      <c r="AA177" s="2">
        <f t="shared" si="69"/>
        <v>454840.87470721739</v>
      </c>
    </row>
    <row r="178" spans="1:27" x14ac:dyDescent="0.25">
      <c r="C178" s="1"/>
      <c r="D178" s="1"/>
    </row>
    <row r="179" spans="1:27" x14ac:dyDescent="0.25">
      <c r="C179" s="1"/>
      <c r="D179" s="1"/>
      <c r="E179" s="3" t="s">
        <v>84</v>
      </c>
      <c r="F179" s="3" t="s">
        <v>85</v>
      </c>
      <c r="G179" s="3"/>
      <c r="H179" s="9">
        <f>H176*1000/H175</f>
        <v>40</v>
      </c>
      <c r="I179" s="9">
        <f t="shared" ref="I179:AA179" si="70">I176*1000/I175</f>
        <v>40</v>
      </c>
      <c r="J179" s="9">
        <f t="shared" si="70"/>
        <v>40</v>
      </c>
      <c r="K179" s="9">
        <f t="shared" si="70"/>
        <v>40</v>
      </c>
      <c r="L179" s="9">
        <f t="shared" si="70"/>
        <v>40</v>
      </c>
      <c r="M179" s="9">
        <f t="shared" si="70"/>
        <v>40</v>
      </c>
      <c r="N179" s="9">
        <f t="shared" si="70"/>
        <v>40</v>
      </c>
      <c r="O179" s="9">
        <f t="shared" si="70"/>
        <v>40</v>
      </c>
      <c r="P179" s="9">
        <f t="shared" si="70"/>
        <v>40</v>
      </c>
      <c r="Q179" s="9">
        <f t="shared" si="70"/>
        <v>40</v>
      </c>
      <c r="R179" s="9">
        <f t="shared" si="70"/>
        <v>40</v>
      </c>
      <c r="S179" s="9">
        <f t="shared" si="70"/>
        <v>40</v>
      </c>
      <c r="T179" s="9">
        <f t="shared" si="70"/>
        <v>40</v>
      </c>
      <c r="U179" s="9">
        <f t="shared" si="70"/>
        <v>40</v>
      </c>
      <c r="V179" s="9">
        <f t="shared" si="70"/>
        <v>40</v>
      </c>
      <c r="W179" s="9">
        <f t="shared" si="70"/>
        <v>40</v>
      </c>
      <c r="X179" s="9">
        <f t="shared" si="70"/>
        <v>40</v>
      </c>
      <c r="Y179" s="9">
        <f t="shared" si="70"/>
        <v>40</v>
      </c>
      <c r="Z179" s="9">
        <f t="shared" si="70"/>
        <v>40</v>
      </c>
      <c r="AA179" s="9">
        <f t="shared" si="70"/>
        <v>40</v>
      </c>
    </row>
    <row r="180" spans="1:27" x14ac:dyDescent="0.25">
      <c r="C180" s="1"/>
      <c r="D180" s="1"/>
      <c r="E180" s="3" t="s">
        <v>83</v>
      </c>
      <c r="F180" s="3" t="s">
        <v>22</v>
      </c>
      <c r="G180" s="3"/>
      <c r="H180" s="9">
        <f>H177/H175</f>
        <v>68.016182953017577</v>
      </c>
      <c r="I180" s="9">
        <f t="shared" ref="I180:AA180" si="71">I177/I175</f>
        <v>67.541742870447095</v>
      </c>
      <c r="J180" s="9">
        <f t="shared" si="71"/>
        <v>68.960119470726482</v>
      </c>
      <c r="K180" s="9">
        <f t="shared" si="71"/>
        <v>70.408281979611715</v>
      </c>
      <c r="L180" s="9">
        <f t="shared" si="71"/>
        <v>71.886855901183566</v>
      </c>
      <c r="M180" s="9">
        <f t="shared" si="71"/>
        <v>73.396479875108412</v>
      </c>
      <c r="N180" s="9">
        <f t="shared" si="71"/>
        <v>74.937805952485689</v>
      </c>
      <c r="O180" s="9">
        <f t="shared" si="71"/>
        <v>76.511499877487864</v>
      </c>
      <c r="P180" s="9">
        <f t="shared" si="71"/>
        <v>78.118241374915129</v>
      </c>
      <c r="Q180" s="9">
        <f t="shared" si="71"/>
        <v>79.758724443788324</v>
      </c>
      <c r="R180" s="9">
        <f t="shared" si="71"/>
        <v>81.433657657107887</v>
      </c>
      <c r="S180" s="9">
        <f t="shared" si="71"/>
        <v>83.143764467907147</v>
      </c>
      <c r="T180" s="9">
        <f t="shared" si="71"/>
        <v>84.889783521733179</v>
      </c>
      <c r="U180" s="9">
        <f t="shared" si="71"/>
        <v>86.672468975689554</v>
      </c>
      <c r="V180" s="9">
        <f t="shared" si="71"/>
        <v>88.492590824179032</v>
      </c>
      <c r="W180" s="9">
        <f t="shared" si="71"/>
        <v>90.350935231486773</v>
      </c>
      <c r="X180" s="9">
        <f t="shared" si="71"/>
        <v>92.248304871347983</v>
      </c>
      <c r="Y180" s="9">
        <f t="shared" si="71"/>
        <v>94.185519273646278</v>
      </c>
      <c r="Z180" s="9">
        <f t="shared" si="71"/>
        <v>96.163415178392839</v>
      </c>
      <c r="AA180" s="9">
        <f t="shared" si="71"/>
        <v>98.182846897139086</v>
      </c>
    </row>
    <row r="181" spans="1:27" x14ac:dyDescent="0.25">
      <c r="C181" s="1"/>
      <c r="D181" s="1"/>
      <c r="E181" s="3" t="s">
        <v>86</v>
      </c>
      <c r="F181" s="3" t="s">
        <v>4</v>
      </c>
      <c r="G181" s="3"/>
      <c r="H181" s="9">
        <f>H177/H176</f>
        <v>1700.4045738254395</v>
      </c>
      <c r="I181" s="9">
        <f t="shared" ref="I181:AA181" si="72">I177/I176</f>
        <v>1688.5435717611774</v>
      </c>
      <c r="J181" s="9">
        <f t="shared" si="72"/>
        <v>1724.0029867681621</v>
      </c>
      <c r="K181" s="9">
        <f t="shared" si="72"/>
        <v>1760.207049490293</v>
      </c>
      <c r="L181" s="9">
        <f t="shared" si="72"/>
        <v>1797.1713975295893</v>
      </c>
      <c r="M181" s="9">
        <f t="shared" si="72"/>
        <v>1834.9119968777104</v>
      </c>
      <c r="N181" s="9">
        <f t="shared" si="72"/>
        <v>1873.4451488121422</v>
      </c>
      <c r="O181" s="9">
        <f t="shared" si="72"/>
        <v>1912.7874969371967</v>
      </c>
      <c r="P181" s="9">
        <f t="shared" si="72"/>
        <v>1952.9560343728781</v>
      </c>
      <c r="Q181" s="9">
        <f t="shared" si="72"/>
        <v>1993.9681110947083</v>
      </c>
      <c r="R181" s="9">
        <f t="shared" si="72"/>
        <v>2035.8414414276972</v>
      </c>
      <c r="S181" s="9">
        <f t="shared" si="72"/>
        <v>2078.5941116976783</v>
      </c>
      <c r="T181" s="9">
        <f t="shared" si="72"/>
        <v>2122.2445880433293</v>
      </c>
      <c r="U181" s="9">
        <f t="shared" si="72"/>
        <v>2166.8117243922388</v>
      </c>
      <c r="V181" s="9">
        <f t="shared" si="72"/>
        <v>2212.3147706044756</v>
      </c>
      <c r="W181" s="9">
        <f t="shared" si="72"/>
        <v>2258.7733807871691</v>
      </c>
      <c r="X181" s="9">
        <f t="shared" si="72"/>
        <v>2306.2076217836998</v>
      </c>
      <c r="Y181" s="9">
        <f t="shared" si="72"/>
        <v>2354.6379818411569</v>
      </c>
      <c r="Z181" s="9">
        <f t="shared" si="72"/>
        <v>2404.0853794598211</v>
      </c>
      <c r="AA181" s="9">
        <f t="shared" si="72"/>
        <v>2454.571172428477</v>
      </c>
    </row>
    <row r="182" spans="1:27" x14ac:dyDescent="0.25">
      <c r="C182" s="1"/>
      <c r="D182" s="1"/>
    </row>
    <row r="183" spans="1:27" x14ac:dyDescent="0.25">
      <c r="C183" s="1" t="str">
        <f>"Incremental "&amp;VLOOKUP(G4,E320:F322,2,FALSE)&amp;" Charges"</f>
        <v>Incremental Bulk Recycled Water Processing Charges</v>
      </c>
      <c r="H183" s="2"/>
      <c r="I183" s="2"/>
      <c r="J183" s="2"/>
      <c r="K183" s="2"/>
      <c r="L183" s="2"/>
      <c r="M183" s="2"/>
      <c r="N183" s="2"/>
      <c r="O183" s="2"/>
      <c r="P183" s="2"/>
      <c r="Q183" s="2"/>
      <c r="R183" s="2"/>
      <c r="S183" s="2"/>
      <c r="T183" s="2"/>
      <c r="U183" s="2"/>
      <c r="V183" s="2"/>
      <c r="W183" s="2"/>
      <c r="X183" s="2"/>
      <c r="Y183" s="2"/>
      <c r="Z183" s="2"/>
      <c r="AA183" s="2"/>
    </row>
    <row r="184" spans="1:27" x14ac:dyDescent="0.25">
      <c r="A184" s="14">
        <f>'Notes &amp; Assumptions'!A50</f>
        <v>37</v>
      </c>
      <c r="E184" t="s">
        <v>118</v>
      </c>
      <c r="F184" t="s">
        <v>8</v>
      </c>
      <c r="H184" s="11"/>
      <c r="I184" s="11"/>
      <c r="J184" s="11"/>
      <c r="K184" s="11"/>
      <c r="L184" s="11"/>
      <c r="M184" s="11"/>
      <c r="N184" s="11"/>
      <c r="O184" s="11"/>
      <c r="P184" s="11"/>
      <c r="Q184" s="11"/>
      <c r="R184" s="11"/>
      <c r="S184" s="11"/>
      <c r="T184" s="11"/>
      <c r="U184" s="11"/>
      <c r="V184" s="11"/>
      <c r="W184" s="11"/>
      <c r="X184" s="11"/>
      <c r="Y184" s="11"/>
      <c r="Z184" s="11"/>
      <c r="AA184" s="11"/>
    </row>
    <row r="185" spans="1:27" x14ac:dyDescent="0.25">
      <c r="A185" s="14">
        <f>'Notes &amp; Assumptions'!A51</f>
        <v>38</v>
      </c>
      <c r="E185" t="s">
        <v>122</v>
      </c>
      <c r="F185" t="s">
        <v>4</v>
      </c>
      <c r="G185" s="10"/>
      <c r="H185" s="2">
        <f t="shared" ref="H185:AA185" si="73">G185*(1+$G$14)*(1+H184)</f>
        <v>0</v>
      </c>
      <c r="I185" s="2">
        <f t="shared" si="73"/>
        <v>0</v>
      </c>
      <c r="J185" s="2">
        <f t="shared" si="73"/>
        <v>0</v>
      </c>
      <c r="K185" s="2">
        <f t="shared" si="73"/>
        <v>0</v>
      </c>
      <c r="L185" s="2">
        <f t="shared" si="73"/>
        <v>0</v>
      </c>
      <c r="M185" s="2">
        <f t="shared" si="73"/>
        <v>0</v>
      </c>
      <c r="N185" s="2">
        <f t="shared" si="73"/>
        <v>0</v>
      </c>
      <c r="O185" s="2">
        <f t="shared" si="73"/>
        <v>0</v>
      </c>
      <c r="P185" s="2">
        <f t="shared" si="73"/>
        <v>0</v>
      </c>
      <c r="Q185" s="2">
        <f t="shared" si="73"/>
        <v>0</v>
      </c>
      <c r="R185" s="2">
        <f t="shared" si="73"/>
        <v>0</v>
      </c>
      <c r="S185" s="2">
        <f t="shared" si="73"/>
        <v>0</v>
      </c>
      <c r="T185" s="2">
        <f t="shared" si="73"/>
        <v>0</v>
      </c>
      <c r="U185" s="2">
        <f t="shared" si="73"/>
        <v>0</v>
      </c>
      <c r="V185" s="2">
        <f t="shared" si="73"/>
        <v>0</v>
      </c>
      <c r="W185" s="2">
        <f t="shared" si="73"/>
        <v>0</v>
      </c>
      <c r="X185" s="2">
        <f t="shared" si="73"/>
        <v>0</v>
      </c>
      <c r="Y185" s="2">
        <f t="shared" si="73"/>
        <v>0</v>
      </c>
      <c r="Z185" s="2">
        <f t="shared" si="73"/>
        <v>0</v>
      </c>
      <c r="AA185" s="2">
        <f t="shared" si="73"/>
        <v>0</v>
      </c>
    </row>
    <row r="186" spans="1:27" x14ac:dyDescent="0.25">
      <c r="A186" s="14">
        <f>'Notes &amp; Assumptions'!A52</f>
        <v>39</v>
      </c>
      <c r="E186" t="s">
        <v>123</v>
      </c>
      <c r="F186" t="s">
        <v>7</v>
      </c>
      <c r="G186" s="2"/>
      <c r="H186" s="10"/>
      <c r="I186" s="10"/>
      <c r="J186" s="10"/>
      <c r="K186" s="10"/>
      <c r="L186" s="10"/>
      <c r="M186" s="10"/>
      <c r="N186" s="10"/>
      <c r="O186" s="10"/>
      <c r="P186" s="10"/>
      <c r="Q186" s="10"/>
      <c r="R186" s="10"/>
      <c r="S186" s="10"/>
      <c r="T186" s="10"/>
      <c r="U186" s="10"/>
      <c r="V186" s="10"/>
      <c r="W186" s="10"/>
      <c r="X186" s="10"/>
      <c r="Y186" s="10"/>
      <c r="Z186" s="10"/>
      <c r="AA186" s="10"/>
    </row>
    <row r="187" spans="1:27" x14ac:dyDescent="0.25">
      <c r="E187" t="s">
        <v>57</v>
      </c>
      <c r="F187" t="s">
        <v>7</v>
      </c>
      <c r="H187" s="2">
        <f>H185*H176+H186</f>
        <v>0</v>
      </c>
      <c r="I187" s="2">
        <f t="shared" ref="I187:AA187" si="74">I185*I176+I186</f>
        <v>0</v>
      </c>
      <c r="J187" s="2">
        <f t="shared" si="74"/>
        <v>0</v>
      </c>
      <c r="K187" s="2">
        <f t="shared" si="74"/>
        <v>0</v>
      </c>
      <c r="L187" s="2">
        <f t="shared" si="74"/>
        <v>0</v>
      </c>
      <c r="M187" s="2">
        <f t="shared" si="74"/>
        <v>0</v>
      </c>
      <c r="N187" s="2">
        <f t="shared" si="74"/>
        <v>0</v>
      </c>
      <c r="O187" s="2">
        <f t="shared" si="74"/>
        <v>0</v>
      </c>
      <c r="P187" s="2">
        <f t="shared" si="74"/>
        <v>0</v>
      </c>
      <c r="Q187" s="2">
        <f t="shared" si="74"/>
        <v>0</v>
      </c>
      <c r="R187" s="2">
        <f t="shared" si="74"/>
        <v>0</v>
      </c>
      <c r="S187" s="2">
        <f t="shared" si="74"/>
        <v>0</v>
      </c>
      <c r="T187" s="2">
        <f t="shared" si="74"/>
        <v>0</v>
      </c>
      <c r="U187" s="2">
        <f t="shared" si="74"/>
        <v>0</v>
      </c>
      <c r="V187" s="2">
        <f t="shared" si="74"/>
        <v>0</v>
      </c>
      <c r="W187" s="2">
        <f t="shared" si="74"/>
        <v>0</v>
      </c>
      <c r="X187" s="2">
        <f t="shared" si="74"/>
        <v>0</v>
      </c>
      <c r="Y187" s="2">
        <f t="shared" si="74"/>
        <v>0</v>
      </c>
      <c r="Z187" s="2">
        <f t="shared" si="74"/>
        <v>0</v>
      </c>
      <c r="AA187" s="2">
        <f t="shared" si="74"/>
        <v>0</v>
      </c>
    </row>
    <row r="188" spans="1:27" x14ac:dyDescent="0.25">
      <c r="H188" s="2"/>
      <c r="I188" s="2"/>
      <c r="J188" s="2"/>
      <c r="K188" s="2"/>
      <c r="L188" s="2"/>
      <c r="M188" s="2"/>
      <c r="N188" s="2"/>
      <c r="O188" s="2"/>
      <c r="P188" s="2"/>
      <c r="Q188" s="2"/>
      <c r="R188" s="2"/>
      <c r="S188" s="2"/>
      <c r="T188" s="2"/>
      <c r="U188" s="2"/>
      <c r="V188" s="2"/>
      <c r="W188" s="2"/>
      <c r="X188" s="2"/>
      <c r="Y188" s="2"/>
      <c r="Z188" s="2"/>
      <c r="AA188" s="2"/>
    </row>
    <row r="189" spans="1:27" x14ac:dyDescent="0.25">
      <c r="C189" s="1" t="s">
        <v>10</v>
      </c>
      <c r="G189" s="2"/>
    </row>
    <row r="190" spans="1:27" x14ac:dyDescent="0.25">
      <c r="C190" s="1"/>
      <c r="D190" t="s">
        <v>149</v>
      </c>
      <c r="G190" s="2"/>
    </row>
    <row r="191" spans="1:27" x14ac:dyDescent="0.25">
      <c r="A191" s="14">
        <f>'Notes &amp; Assumptions'!A53</f>
        <v>40</v>
      </c>
      <c r="C191" s="1"/>
      <c r="E191" t="s">
        <v>125</v>
      </c>
      <c r="G191" s="2"/>
      <c r="H191" s="11"/>
      <c r="I191" s="11"/>
      <c r="J191" s="11"/>
      <c r="K191" s="11"/>
      <c r="L191" s="11"/>
      <c r="M191" s="11"/>
      <c r="N191" s="11"/>
      <c r="O191" s="11"/>
      <c r="P191" s="11"/>
      <c r="Q191" s="11"/>
      <c r="R191" s="11"/>
      <c r="S191" s="11"/>
      <c r="T191" s="11"/>
      <c r="U191" s="11"/>
      <c r="V191" s="11"/>
      <c r="W191" s="11"/>
      <c r="X191" s="11"/>
      <c r="Y191" s="11"/>
      <c r="Z191" s="11"/>
      <c r="AA191" s="11"/>
    </row>
    <row r="192" spans="1:27" x14ac:dyDescent="0.25">
      <c r="A192" s="14">
        <f>'Notes &amp; Assumptions'!A54</f>
        <v>41</v>
      </c>
      <c r="E192" t="s">
        <v>26</v>
      </c>
      <c r="F192" t="s">
        <v>22</v>
      </c>
      <c r="G192" s="10">
        <f>'Key assumptions'!B14</f>
        <v>120</v>
      </c>
      <c r="H192" s="2">
        <f t="shared" ref="H192:W193" si="75">G192*(1+$G$14)*(1+H$191)</f>
        <v>122.51999999999998</v>
      </c>
      <c r="I192" s="2">
        <f t="shared" si="75"/>
        <v>125.09291999999996</v>
      </c>
      <c r="J192" s="2">
        <f t="shared" si="75"/>
        <v>127.71987131999995</v>
      </c>
      <c r="K192" s="2">
        <f t="shared" si="75"/>
        <v>130.40198861771995</v>
      </c>
      <c r="L192" s="2">
        <f t="shared" si="75"/>
        <v>133.14043037869206</v>
      </c>
      <c r="M192" s="2">
        <f t="shared" si="75"/>
        <v>135.93637941664457</v>
      </c>
      <c r="N192" s="2">
        <f t="shared" si="75"/>
        <v>138.7910433843941</v>
      </c>
      <c r="O192" s="2">
        <f t="shared" si="75"/>
        <v>141.70565529546636</v>
      </c>
      <c r="P192" s="2">
        <f t="shared" si="75"/>
        <v>144.68147405667114</v>
      </c>
      <c r="Q192" s="2">
        <f t="shared" si="75"/>
        <v>147.71978501186121</v>
      </c>
      <c r="R192" s="2">
        <f t="shared" si="75"/>
        <v>150.82190049711028</v>
      </c>
      <c r="S192" s="2">
        <f t="shared" si="75"/>
        <v>153.98916040754958</v>
      </c>
      <c r="T192" s="2">
        <f t="shared" si="75"/>
        <v>157.22293277610811</v>
      </c>
      <c r="U192" s="2">
        <f t="shared" si="75"/>
        <v>160.52461436440637</v>
      </c>
      <c r="V192" s="2">
        <f t="shared" si="75"/>
        <v>163.8956312660589</v>
      </c>
      <c r="W192" s="2">
        <f t="shared" si="75"/>
        <v>167.33743952264612</v>
      </c>
      <c r="X192" s="2">
        <f t="shared" ref="X192:AA193" si="76">W192*(1+$G$14)*(1+X$191)</f>
        <v>170.85152575262168</v>
      </c>
      <c r="Y192" s="2">
        <f t="shared" si="76"/>
        <v>174.43940779342671</v>
      </c>
      <c r="Z192" s="2">
        <f t="shared" si="76"/>
        <v>178.10263535708864</v>
      </c>
      <c r="AA192" s="2">
        <f t="shared" si="76"/>
        <v>181.84279069958748</v>
      </c>
    </row>
    <row r="193" spans="1:29" x14ac:dyDescent="0.25">
      <c r="A193" s="14">
        <f>'Notes &amp; Assumptions'!A55</f>
        <v>42</v>
      </c>
      <c r="E193" t="s">
        <v>27</v>
      </c>
      <c r="F193" t="s">
        <v>4</v>
      </c>
      <c r="G193" s="10">
        <f>'Key assumptions'!B17</f>
        <v>0</v>
      </c>
      <c r="H193" s="2">
        <f t="shared" si="75"/>
        <v>0</v>
      </c>
      <c r="I193" s="2">
        <f t="shared" si="75"/>
        <v>0</v>
      </c>
      <c r="J193" s="2">
        <f t="shared" si="75"/>
        <v>0</v>
      </c>
      <c r="K193" s="2">
        <f t="shared" si="75"/>
        <v>0</v>
      </c>
      <c r="L193" s="2">
        <f t="shared" si="75"/>
        <v>0</v>
      </c>
      <c r="M193" s="2">
        <f t="shared" si="75"/>
        <v>0</v>
      </c>
      <c r="N193" s="2">
        <f t="shared" si="75"/>
        <v>0</v>
      </c>
      <c r="O193" s="2">
        <f t="shared" si="75"/>
        <v>0</v>
      </c>
      <c r="P193" s="2">
        <f t="shared" si="75"/>
        <v>0</v>
      </c>
      <c r="Q193" s="2">
        <f t="shared" si="75"/>
        <v>0</v>
      </c>
      <c r="R193" s="2">
        <f t="shared" si="75"/>
        <v>0</v>
      </c>
      <c r="S193" s="2">
        <f t="shared" si="75"/>
        <v>0</v>
      </c>
      <c r="T193" s="2">
        <f t="shared" si="75"/>
        <v>0</v>
      </c>
      <c r="U193" s="2">
        <f t="shared" si="75"/>
        <v>0</v>
      </c>
      <c r="V193" s="2">
        <f t="shared" si="75"/>
        <v>0</v>
      </c>
      <c r="W193" s="2">
        <f t="shared" si="75"/>
        <v>0</v>
      </c>
      <c r="X193" s="2">
        <f t="shared" si="76"/>
        <v>0</v>
      </c>
      <c r="Y193" s="2">
        <f t="shared" si="76"/>
        <v>0</v>
      </c>
      <c r="Z193" s="2">
        <f t="shared" si="76"/>
        <v>0</v>
      </c>
      <c r="AA193" s="2">
        <f t="shared" si="76"/>
        <v>0</v>
      </c>
    </row>
    <row r="194" spans="1:29" x14ac:dyDescent="0.25">
      <c r="A194" s="14">
        <f>'Notes &amp; Assumptions'!A56</f>
        <v>43</v>
      </c>
      <c r="E194" t="s">
        <v>39</v>
      </c>
      <c r="F194" t="s">
        <v>7</v>
      </c>
      <c r="G194" s="2"/>
      <c r="H194" s="43"/>
      <c r="I194" s="10"/>
      <c r="J194" s="10"/>
      <c r="K194" s="10"/>
      <c r="L194" s="10"/>
      <c r="M194" s="10"/>
      <c r="N194" s="10"/>
      <c r="O194" s="10"/>
      <c r="P194" s="10"/>
      <c r="Q194" s="10"/>
      <c r="R194" s="10"/>
      <c r="S194" s="10"/>
      <c r="T194" s="10"/>
      <c r="U194" s="10"/>
      <c r="V194" s="10"/>
      <c r="W194" s="10"/>
      <c r="X194" s="10"/>
      <c r="Y194" s="10"/>
      <c r="Z194" s="10"/>
      <c r="AA194" s="10"/>
    </row>
    <row r="195" spans="1:29" x14ac:dyDescent="0.25">
      <c r="B195" s="14"/>
      <c r="C195" s="14"/>
      <c r="D195" s="14"/>
      <c r="E195" s="14"/>
      <c r="F195" s="14"/>
      <c r="G195" s="14"/>
      <c r="H195" s="14"/>
      <c r="I195" s="14"/>
      <c r="J195" s="14"/>
      <c r="K195" s="14"/>
      <c r="L195" s="14"/>
      <c r="M195" s="14"/>
      <c r="N195" s="14"/>
      <c r="O195" s="14"/>
      <c r="P195" s="14"/>
      <c r="Q195" s="14"/>
      <c r="R195" s="14"/>
      <c r="S195" s="14"/>
      <c r="T195" s="14"/>
      <c r="U195" s="14"/>
      <c r="V195" s="14"/>
      <c r="W195" s="14"/>
      <c r="X195" s="14"/>
      <c r="Y195" s="14"/>
      <c r="Z195" s="14"/>
      <c r="AA195" s="14"/>
      <c r="AB195" s="14"/>
      <c r="AC195" s="14"/>
    </row>
    <row r="196" spans="1:29" x14ac:dyDescent="0.25">
      <c r="D196" t="s">
        <v>124</v>
      </c>
      <c r="G196" s="14"/>
      <c r="H196" s="14"/>
      <c r="I196" s="14"/>
      <c r="J196" s="14"/>
      <c r="K196" s="14"/>
      <c r="L196" s="14"/>
      <c r="M196" s="14"/>
      <c r="N196" s="14"/>
      <c r="O196" s="14"/>
      <c r="P196" s="14"/>
      <c r="Q196" s="14"/>
      <c r="R196" s="14"/>
      <c r="S196" s="14"/>
      <c r="T196" s="14"/>
      <c r="U196" s="14"/>
      <c r="V196" s="14"/>
      <c r="W196" s="14"/>
      <c r="X196" s="14"/>
      <c r="Y196" s="14"/>
      <c r="Z196" s="14"/>
      <c r="AA196" s="14"/>
    </row>
    <row r="197" spans="1:29" x14ac:dyDescent="0.25">
      <c r="A197" s="14">
        <f>'Notes &amp; Assumptions'!A57</f>
        <v>44</v>
      </c>
      <c r="E197" t="s">
        <v>27</v>
      </c>
      <c r="F197" t="s">
        <v>4</v>
      </c>
      <c r="G197" s="14"/>
      <c r="H197" s="10"/>
      <c r="I197" s="10"/>
      <c r="J197" s="10"/>
      <c r="K197" s="10"/>
      <c r="L197" s="10"/>
      <c r="M197" s="10"/>
      <c r="N197" s="10"/>
      <c r="O197" s="10"/>
      <c r="P197" s="10"/>
      <c r="Q197" s="10"/>
      <c r="R197" s="10"/>
      <c r="S197" s="10"/>
      <c r="T197" s="10"/>
      <c r="U197" s="10"/>
      <c r="V197" s="10"/>
      <c r="W197" s="10"/>
      <c r="X197" s="10"/>
      <c r="Y197" s="10"/>
      <c r="Z197" s="10"/>
      <c r="AA197" s="10"/>
    </row>
    <row r="198" spans="1:29" x14ac:dyDescent="0.25">
      <c r="A198" s="14">
        <f>'Notes &amp; Assumptions'!A58</f>
        <v>45</v>
      </c>
      <c r="E198" t="s">
        <v>39</v>
      </c>
      <c r="F198" t="s">
        <v>7</v>
      </c>
      <c r="G198" s="2"/>
      <c r="H198" s="10"/>
      <c r="I198" s="10"/>
      <c r="J198" s="10"/>
      <c r="K198" s="10"/>
      <c r="L198" s="10"/>
      <c r="M198" s="10"/>
      <c r="N198" s="10"/>
      <c r="O198" s="10"/>
      <c r="P198" s="10"/>
      <c r="Q198" s="10"/>
      <c r="R198" s="10"/>
      <c r="S198" s="10"/>
      <c r="T198" s="10"/>
      <c r="U198" s="10"/>
      <c r="V198" s="10"/>
      <c r="W198" s="10"/>
      <c r="X198" s="10"/>
      <c r="Y198" s="10"/>
      <c r="Z198" s="10"/>
      <c r="AA198" s="10"/>
    </row>
    <row r="199" spans="1:29" x14ac:dyDescent="0.25">
      <c r="G199" s="2"/>
    </row>
    <row r="200" spans="1:29" x14ac:dyDescent="0.25">
      <c r="E200" t="s">
        <v>10</v>
      </c>
      <c r="F200" t="s">
        <v>7</v>
      </c>
      <c r="G200" s="2"/>
      <c r="H200" s="2">
        <f>H192*H175+(H193+H197)*H176+H194+H198</f>
        <v>57155.579999999994</v>
      </c>
      <c r="I200" s="2">
        <f t="shared" ref="I200:AA200" si="77">I192*I175+(I193+I197)*I176+I194+I198</f>
        <v>113421.75056399997</v>
      </c>
      <c r="J200" s="2">
        <f t="shared" si="77"/>
        <v>169671.37885312375</v>
      </c>
      <c r="K200" s="2">
        <f t="shared" si="77"/>
        <v>223101.50227634163</v>
      </c>
      <c r="L200" s="2">
        <f t="shared" si="77"/>
        <v>273622.22408846515</v>
      </c>
      <c r="M200" s="2">
        <f t="shared" si="77"/>
        <v>321311.46066332853</v>
      </c>
      <c r="N200" s="2">
        <f t="shared" si="77"/>
        <v>366175.87953713146</v>
      </c>
      <c r="O200" s="2">
        <f t="shared" si="77"/>
        <v>408265.32935866207</v>
      </c>
      <c r="P200" s="2">
        <f t="shared" si="77"/>
        <v>450838.32427114138</v>
      </c>
      <c r="Q200" s="2">
        <f t="shared" si="77"/>
        <v>493633.72837628628</v>
      </c>
      <c r="R200" s="2">
        <f t="shared" si="77"/>
        <v>540027.61815343541</v>
      </c>
      <c r="S200" s="2">
        <f t="shared" si="77"/>
        <v>590344.39452541235</v>
      </c>
      <c r="T200" s="2">
        <f t="shared" si="77"/>
        <v>644897.02566103998</v>
      </c>
      <c r="U200" s="2">
        <f t="shared" si="77"/>
        <v>701198.80472816876</v>
      </c>
      <c r="V200" s="2">
        <f t="shared" si="77"/>
        <v>759261.26244683156</v>
      </c>
      <c r="W200" s="2">
        <f t="shared" si="77"/>
        <v>775205.74895821488</v>
      </c>
      <c r="X200" s="2">
        <f t="shared" si="77"/>
        <v>791485.06968633737</v>
      </c>
      <c r="Y200" s="2">
        <f t="shared" si="77"/>
        <v>808106.25614975032</v>
      </c>
      <c r="Z200" s="2">
        <f t="shared" si="77"/>
        <v>825076.48752889503</v>
      </c>
      <c r="AA200" s="2">
        <f t="shared" si="77"/>
        <v>842403.09376700164</v>
      </c>
    </row>
    <row r="201" spans="1:29" x14ac:dyDescent="0.25">
      <c r="G201" s="2"/>
      <c r="H201" s="2"/>
      <c r="I201" s="2"/>
      <c r="J201" s="2"/>
      <c r="K201" s="2"/>
      <c r="L201" s="2"/>
      <c r="M201" s="2"/>
      <c r="N201" s="2"/>
      <c r="O201" s="2"/>
      <c r="P201" s="2"/>
      <c r="Q201" s="2"/>
      <c r="R201" s="2"/>
      <c r="S201" s="2"/>
      <c r="T201" s="2"/>
      <c r="U201" s="2"/>
      <c r="V201" s="2"/>
      <c r="W201" s="2"/>
      <c r="X201" s="2"/>
      <c r="Y201" s="2"/>
      <c r="Z201" s="2"/>
      <c r="AA201" s="2"/>
    </row>
    <row r="202" spans="1:29" x14ac:dyDescent="0.25">
      <c r="C202" s="1" t="s">
        <v>48</v>
      </c>
      <c r="G202" s="2"/>
      <c r="H202" s="2"/>
      <c r="I202" s="2"/>
      <c r="J202" s="2"/>
      <c r="K202" s="2"/>
      <c r="L202" s="2"/>
      <c r="M202" s="2"/>
      <c r="N202" s="2"/>
      <c r="O202" s="2"/>
      <c r="P202" s="2"/>
      <c r="Q202" s="2"/>
      <c r="R202" s="2"/>
      <c r="S202" s="2"/>
      <c r="T202" s="2"/>
      <c r="U202" s="2"/>
      <c r="V202" s="2"/>
      <c r="W202" s="2"/>
      <c r="X202" s="2"/>
      <c r="Y202" s="2"/>
      <c r="Z202" s="2"/>
      <c r="AA202" s="2"/>
    </row>
    <row r="203" spans="1:29" x14ac:dyDescent="0.25">
      <c r="A203" s="14">
        <f>'Notes &amp; Assumptions'!A59</f>
        <v>46</v>
      </c>
      <c r="E203" s="10" t="s">
        <v>44</v>
      </c>
      <c r="F203" t="s">
        <v>7</v>
      </c>
      <c r="G203" s="2"/>
      <c r="H203" s="10"/>
      <c r="I203" s="10"/>
      <c r="J203" s="10"/>
      <c r="K203" s="10"/>
      <c r="L203" s="10"/>
      <c r="M203" s="10"/>
      <c r="N203" s="10"/>
      <c r="O203" s="10"/>
      <c r="P203" s="10"/>
      <c r="Q203" s="10"/>
      <c r="R203" s="10"/>
      <c r="S203" s="10"/>
      <c r="T203" s="10"/>
      <c r="U203" s="10"/>
      <c r="V203" s="10"/>
      <c r="W203" s="10"/>
      <c r="X203" s="10"/>
      <c r="Y203" s="10"/>
      <c r="Z203" s="10"/>
      <c r="AA203" s="10"/>
    </row>
    <row r="204" spans="1:29" x14ac:dyDescent="0.25">
      <c r="A204" s="14">
        <f>'Notes &amp; Assumptions'!A60</f>
        <v>47</v>
      </c>
      <c r="E204" s="10" t="s">
        <v>45</v>
      </c>
      <c r="F204" t="s">
        <v>7</v>
      </c>
      <c r="G204" s="2"/>
      <c r="H204" s="10"/>
      <c r="I204" s="10"/>
      <c r="J204" s="10"/>
      <c r="K204" s="10"/>
      <c r="L204" s="10"/>
      <c r="M204" s="10"/>
      <c r="N204" s="10"/>
      <c r="O204" s="10"/>
      <c r="P204" s="10"/>
      <c r="Q204" s="10"/>
      <c r="R204" s="10"/>
      <c r="S204" s="10"/>
      <c r="T204" s="10"/>
      <c r="U204" s="10"/>
      <c r="V204" s="10"/>
      <c r="W204" s="10"/>
      <c r="X204" s="10"/>
      <c r="Y204" s="10"/>
      <c r="Z204" s="10"/>
      <c r="AA204" s="10"/>
    </row>
    <row r="205" spans="1:29" x14ac:dyDescent="0.25">
      <c r="A205" s="14">
        <f>'Notes &amp; Assumptions'!A61</f>
        <v>48</v>
      </c>
      <c r="E205" s="10" t="s">
        <v>46</v>
      </c>
      <c r="F205" t="s">
        <v>7</v>
      </c>
      <c r="G205" s="2"/>
      <c r="H205" s="10"/>
      <c r="I205" s="10"/>
      <c r="J205" s="10"/>
      <c r="K205" s="10"/>
      <c r="L205" s="10"/>
      <c r="M205" s="10"/>
      <c r="N205" s="10"/>
      <c r="O205" s="10"/>
      <c r="P205" s="10"/>
      <c r="Q205" s="10"/>
      <c r="R205" s="10"/>
      <c r="S205" s="10"/>
      <c r="T205" s="10"/>
      <c r="U205" s="10"/>
      <c r="V205" s="10"/>
      <c r="W205" s="10"/>
      <c r="X205" s="10"/>
      <c r="Y205" s="10"/>
      <c r="Z205" s="10"/>
      <c r="AA205" s="10"/>
    </row>
    <row r="206" spans="1:29" x14ac:dyDescent="0.25">
      <c r="A206" s="14">
        <f>'Notes &amp; Assumptions'!A62</f>
        <v>49</v>
      </c>
      <c r="E206" s="10" t="s">
        <v>47</v>
      </c>
      <c r="F206" t="s">
        <v>7</v>
      </c>
      <c r="G206" s="2"/>
      <c r="H206" s="10"/>
      <c r="I206" s="10"/>
      <c r="J206" s="10"/>
      <c r="K206" s="10"/>
      <c r="L206" s="10"/>
      <c r="M206" s="10"/>
      <c r="N206" s="10"/>
      <c r="O206" s="10"/>
      <c r="P206" s="10"/>
      <c r="Q206" s="10"/>
      <c r="R206" s="10"/>
      <c r="S206" s="10"/>
      <c r="T206" s="10"/>
      <c r="U206" s="10"/>
      <c r="V206" s="10"/>
      <c r="W206" s="10"/>
      <c r="X206" s="10"/>
      <c r="Y206" s="10"/>
      <c r="Z206" s="10"/>
      <c r="AA206" s="10"/>
    </row>
    <row r="207" spans="1:29" x14ac:dyDescent="0.25">
      <c r="E207" t="s">
        <v>17</v>
      </c>
      <c r="G207" s="2"/>
      <c r="H207" s="2">
        <f>SUM(H203:H206)</f>
        <v>0</v>
      </c>
      <c r="I207" s="2">
        <f t="shared" ref="I207:AA207" si="78">SUM(I203:I206)</f>
        <v>0</v>
      </c>
      <c r="J207" s="2">
        <f t="shared" si="78"/>
        <v>0</v>
      </c>
      <c r="K207" s="2">
        <f t="shared" si="78"/>
        <v>0</v>
      </c>
      <c r="L207" s="2">
        <f t="shared" si="78"/>
        <v>0</v>
      </c>
      <c r="M207" s="2">
        <f t="shared" si="78"/>
        <v>0</v>
      </c>
      <c r="N207" s="2">
        <f t="shared" si="78"/>
        <v>0</v>
      </c>
      <c r="O207" s="2">
        <f t="shared" si="78"/>
        <v>0</v>
      </c>
      <c r="P207" s="2">
        <f t="shared" si="78"/>
        <v>0</v>
      </c>
      <c r="Q207" s="2">
        <f t="shared" si="78"/>
        <v>0</v>
      </c>
      <c r="R207" s="2">
        <f t="shared" si="78"/>
        <v>0</v>
      </c>
      <c r="S207" s="2">
        <f t="shared" si="78"/>
        <v>0</v>
      </c>
      <c r="T207" s="2">
        <f t="shared" si="78"/>
        <v>0</v>
      </c>
      <c r="U207" s="2">
        <f t="shared" si="78"/>
        <v>0</v>
      </c>
      <c r="V207" s="2">
        <f t="shared" si="78"/>
        <v>0</v>
      </c>
      <c r="W207" s="2">
        <f t="shared" si="78"/>
        <v>0</v>
      </c>
      <c r="X207" s="2">
        <f t="shared" si="78"/>
        <v>0</v>
      </c>
      <c r="Y207" s="2">
        <f t="shared" si="78"/>
        <v>0</v>
      </c>
      <c r="Z207" s="2">
        <f t="shared" si="78"/>
        <v>0</v>
      </c>
      <c r="AA207" s="2">
        <f t="shared" si="78"/>
        <v>0</v>
      </c>
    </row>
    <row r="208" spans="1:29" x14ac:dyDescent="0.25">
      <c r="G208" s="2"/>
      <c r="H208" s="2"/>
      <c r="I208" s="2"/>
      <c r="J208" s="2"/>
      <c r="K208" s="2"/>
      <c r="L208" s="2"/>
      <c r="M208" s="2"/>
      <c r="N208" s="2"/>
      <c r="O208" s="2"/>
      <c r="P208" s="2"/>
      <c r="Q208" s="2"/>
      <c r="R208" s="2"/>
      <c r="S208" s="2"/>
      <c r="T208" s="2"/>
      <c r="U208" s="2"/>
      <c r="V208" s="2"/>
      <c r="W208" s="2"/>
      <c r="X208" s="2"/>
      <c r="Y208" s="2"/>
      <c r="Z208" s="2"/>
      <c r="AA208" s="2"/>
    </row>
    <row r="209" spans="1:27" x14ac:dyDescent="0.25">
      <c r="C209" s="1" t="s">
        <v>49</v>
      </c>
      <c r="G209" s="2"/>
      <c r="H209" s="2"/>
      <c r="I209" s="2"/>
      <c r="J209" s="2"/>
      <c r="K209" s="2"/>
      <c r="L209" s="2"/>
      <c r="M209" s="2"/>
      <c r="N209" s="2"/>
      <c r="O209" s="2"/>
      <c r="P209" s="2"/>
      <c r="Q209" s="2"/>
      <c r="R209" s="2"/>
      <c r="S209" s="2"/>
      <c r="T209" s="2"/>
      <c r="U209" s="2"/>
      <c r="V209" s="2"/>
      <c r="W209" s="2"/>
      <c r="X209" s="2"/>
      <c r="Y209" s="2"/>
      <c r="Z209" s="2"/>
      <c r="AA209" s="2"/>
    </row>
    <row r="210" spans="1:27" x14ac:dyDescent="0.25">
      <c r="A210" s="14">
        <f>'Notes &amp; Assumptions'!A63</f>
        <v>50</v>
      </c>
      <c r="E210" s="10" t="s">
        <v>239</v>
      </c>
      <c r="F210" t="s">
        <v>7</v>
      </c>
      <c r="G210" s="2"/>
      <c r="H210" s="10"/>
      <c r="I210" s="10"/>
      <c r="J210" s="10"/>
      <c r="K210" s="10"/>
      <c r="L210" s="10"/>
      <c r="M210" s="10"/>
      <c r="N210" s="10"/>
      <c r="O210" s="10"/>
      <c r="P210" s="10"/>
      <c r="Q210" s="10"/>
      <c r="R210" s="10"/>
      <c r="S210" s="10"/>
      <c r="T210" s="10"/>
      <c r="U210" s="10"/>
      <c r="V210" s="10"/>
      <c r="W210" s="10"/>
      <c r="X210" s="10"/>
      <c r="Y210" s="10"/>
      <c r="Z210" s="10"/>
      <c r="AA210" s="10"/>
    </row>
    <row r="211" spans="1:27" x14ac:dyDescent="0.25">
      <c r="A211" s="14">
        <f>'Notes &amp; Assumptions'!A64</f>
        <v>51</v>
      </c>
      <c r="E211" s="10" t="s">
        <v>50</v>
      </c>
      <c r="F211" t="s">
        <v>7</v>
      </c>
      <c r="G211" s="2"/>
      <c r="H211" s="10"/>
      <c r="I211" s="10"/>
      <c r="J211" s="10"/>
      <c r="K211" s="10"/>
      <c r="L211" s="10"/>
      <c r="M211" s="10"/>
      <c r="N211" s="10"/>
      <c r="O211" s="10"/>
      <c r="P211" s="10"/>
      <c r="Q211" s="10"/>
      <c r="R211" s="10"/>
      <c r="S211" s="10"/>
      <c r="T211" s="10"/>
      <c r="U211" s="10"/>
      <c r="V211" s="10"/>
      <c r="W211" s="10"/>
      <c r="X211" s="10"/>
      <c r="Y211" s="10"/>
      <c r="Z211" s="10"/>
      <c r="AA211" s="10"/>
    </row>
    <row r="212" spans="1:27" x14ac:dyDescent="0.25">
      <c r="A212" s="14">
        <f>'Notes &amp; Assumptions'!A65</f>
        <v>52</v>
      </c>
      <c r="E212" s="10" t="s">
        <v>51</v>
      </c>
      <c r="F212" t="s">
        <v>7</v>
      </c>
      <c r="G212" s="2"/>
      <c r="H212" s="10"/>
      <c r="I212" s="10"/>
      <c r="J212" s="10"/>
      <c r="K212" s="10"/>
      <c r="L212" s="10"/>
      <c r="M212" s="10"/>
      <c r="N212" s="10"/>
      <c r="O212" s="10"/>
      <c r="P212" s="10"/>
      <c r="Q212" s="10"/>
      <c r="R212" s="10"/>
      <c r="S212" s="10"/>
      <c r="T212" s="10"/>
      <c r="U212" s="10"/>
      <c r="V212" s="10"/>
      <c r="W212" s="10"/>
      <c r="X212" s="10"/>
      <c r="Y212" s="10"/>
      <c r="Z212" s="10"/>
      <c r="AA212" s="10"/>
    </row>
    <row r="213" spans="1:27" x14ac:dyDescent="0.25">
      <c r="A213" s="14">
        <f>'Notes &amp; Assumptions'!A66</f>
        <v>53</v>
      </c>
      <c r="E213" s="10" t="s">
        <v>52</v>
      </c>
      <c r="F213" t="s">
        <v>7</v>
      </c>
      <c r="G213" s="2"/>
      <c r="H213" s="10"/>
      <c r="I213" s="10"/>
      <c r="J213" s="10"/>
      <c r="K213" s="10"/>
      <c r="L213" s="10"/>
      <c r="M213" s="10"/>
      <c r="N213" s="10"/>
      <c r="O213" s="10"/>
      <c r="P213" s="10"/>
      <c r="Q213" s="10"/>
      <c r="R213" s="10"/>
      <c r="S213" s="10"/>
      <c r="T213" s="10"/>
      <c r="U213" s="10"/>
      <c r="V213" s="10"/>
      <c r="W213" s="10"/>
      <c r="X213" s="10"/>
      <c r="Y213" s="10"/>
      <c r="Z213" s="10"/>
      <c r="AA213" s="10"/>
    </row>
    <row r="214" spans="1:27" x14ac:dyDescent="0.25">
      <c r="E214" t="s">
        <v>17</v>
      </c>
      <c r="G214" s="2"/>
      <c r="H214" s="2">
        <f>SUM(H210:H213)</f>
        <v>0</v>
      </c>
      <c r="I214" s="2">
        <f t="shared" ref="I214:AA214" si="79">SUM(I210:I213)</f>
        <v>0</v>
      </c>
      <c r="J214" s="2">
        <f t="shared" si="79"/>
        <v>0</v>
      </c>
      <c r="K214" s="2">
        <f t="shared" si="79"/>
        <v>0</v>
      </c>
      <c r="L214" s="2">
        <f t="shared" si="79"/>
        <v>0</v>
      </c>
      <c r="M214" s="2">
        <f t="shared" si="79"/>
        <v>0</v>
      </c>
      <c r="N214" s="2">
        <f t="shared" si="79"/>
        <v>0</v>
      </c>
      <c r="O214" s="2">
        <f t="shared" si="79"/>
        <v>0</v>
      </c>
      <c r="P214" s="2">
        <f t="shared" si="79"/>
        <v>0</v>
      </c>
      <c r="Q214" s="2">
        <f t="shared" si="79"/>
        <v>0</v>
      </c>
      <c r="R214" s="2">
        <f t="shared" si="79"/>
        <v>0</v>
      </c>
      <c r="S214" s="2">
        <f t="shared" si="79"/>
        <v>0</v>
      </c>
      <c r="T214" s="2">
        <f t="shared" si="79"/>
        <v>0</v>
      </c>
      <c r="U214" s="2">
        <f t="shared" si="79"/>
        <v>0</v>
      </c>
      <c r="V214" s="2">
        <f t="shared" si="79"/>
        <v>0</v>
      </c>
      <c r="W214" s="2">
        <f t="shared" si="79"/>
        <v>0</v>
      </c>
      <c r="X214" s="2">
        <f t="shared" si="79"/>
        <v>0</v>
      </c>
      <c r="Y214" s="2">
        <f t="shared" si="79"/>
        <v>0</v>
      </c>
      <c r="Z214" s="2">
        <f t="shared" si="79"/>
        <v>0</v>
      </c>
      <c r="AA214" s="2">
        <f t="shared" si="79"/>
        <v>0</v>
      </c>
    </row>
    <row r="215" spans="1:27" x14ac:dyDescent="0.25">
      <c r="G215" s="2"/>
      <c r="H215" s="2"/>
      <c r="I215" s="2"/>
      <c r="J215" s="2"/>
      <c r="K215" s="2"/>
      <c r="L215" s="2"/>
      <c r="M215" s="2"/>
      <c r="N215" s="2"/>
      <c r="O215" s="2"/>
      <c r="P215" s="2"/>
      <c r="Q215" s="2"/>
      <c r="R215" s="2"/>
      <c r="S215" s="2"/>
      <c r="T215" s="2"/>
      <c r="U215" s="2"/>
      <c r="V215" s="2"/>
      <c r="W215" s="2"/>
      <c r="X215" s="2"/>
      <c r="Y215" s="2"/>
      <c r="Z215" s="2"/>
      <c r="AA215" s="2"/>
    </row>
    <row r="216" spans="1:27" x14ac:dyDescent="0.25">
      <c r="C216" s="1" t="s">
        <v>33</v>
      </c>
      <c r="G216" s="2"/>
      <c r="H216" s="2"/>
      <c r="I216" s="2"/>
      <c r="J216" s="2"/>
      <c r="K216" s="2"/>
      <c r="L216" s="2"/>
      <c r="M216" s="2"/>
      <c r="N216" s="2"/>
      <c r="O216" s="2"/>
      <c r="P216" s="2"/>
      <c r="Q216" s="2"/>
      <c r="R216" s="2"/>
      <c r="S216" s="2"/>
      <c r="T216" s="2"/>
      <c r="U216" s="2"/>
      <c r="V216" s="2"/>
      <c r="W216" s="2"/>
      <c r="X216" s="2"/>
      <c r="Y216" s="2"/>
      <c r="Z216" s="2"/>
      <c r="AA216" s="2"/>
    </row>
    <row r="217" spans="1:27" x14ac:dyDescent="0.25">
      <c r="C217" s="1"/>
      <c r="D217" s="1"/>
      <c r="E217" t="s">
        <v>29</v>
      </c>
      <c r="F217" t="s">
        <v>3</v>
      </c>
      <c r="G217" s="44"/>
      <c r="H217" s="2">
        <f>H174</f>
        <v>466.5</v>
      </c>
      <c r="I217" s="2">
        <f t="shared" ref="I217:AA217" si="80">I174</f>
        <v>440.20000000000005</v>
      </c>
      <c r="J217" s="2">
        <f t="shared" si="80"/>
        <v>421.76499999999999</v>
      </c>
      <c r="K217" s="2">
        <f t="shared" si="80"/>
        <v>382.40999999999997</v>
      </c>
      <c r="L217" s="2">
        <f t="shared" si="80"/>
        <v>344.26499999999993</v>
      </c>
      <c r="M217" s="2">
        <f t="shared" si="80"/>
        <v>308.54999999999995</v>
      </c>
      <c r="N217" s="2">
        <f t="shared" si="80"/>
        <v>274.63499999999993</v>
      </c>
      <c r="O217" s="2">
        <f t="shared" si="80"/>
        <v>242.75499999999988</v>
      </c>
      <c r="P217" s="2">
        <f t="shared" si="80"/>
        <v>234.99499999999989</v>
      </c>
      <c r="Q217" s="2">
        <f t="shared" si="80"/>
        <v>225.61499999999992</v>
      </c>
      <c r="R217" s="2">
        <f t="shared" si="80"/>
        <v>238.87499999999991</v>
      </c>
      <c r="S217" s="2">
        <f t="shared" si="80"/>
        <v>253.1099999999999</v>
      </c>
      <c r="T217" s="2">
        <f t="shared" si="80"/>
        <v>268.12499999999994</v>
      </c>
      <c r="U217" s="2">
        <f t="shared" si="80"/>
        <v>266.36999999999989</v>
      </c>
      <c r="V217" s="2">
        <f t="shared" si="80"/>
        <v>264.4199999999999</v>
      </c>
      <c r="W217" s="2">
        <f t="shared" si="80"/>
        <v>0</v>
      </c>
      <c r="X217" s="2">
        <f t="shared" si="80"/>
        <v>0</v>
      </c>
      <c r="Y217" s="2">
        <f t="shared" si="80"/>
        <v>0</v>
      </c>
      <c r="Z217" s="2">
        <f t="shared" si="80"/>
        <v>0</v>
      </c>
      <c r="AA217" s="2">
        <f t="shared" si="80"/>
        <v>0</v>
      </c>
    </row>
    <row r="218" spans="1:27" x14ac:dyDescent="0.25">
      <c r="E218" t="s">
        <v>18</v>
      </c>
      <c r="F218" t="s">
        <v>22</v>
      </c>
      <c r="G218" s="8">
        <f ca="1">MAX(0,-G245/(NPV($G$16,H217:AA217)))</f>
        <v>8517.5112584061262</v>
      </c>
      <c r="H218" s="2">
        <f ca="1">G218*(1+$G$14)</f>
        <v>8696.3789948326539</v>
      </c>
      <c r="I218" s="2">
        <f t="shared" ref="I218:AA218" ca="1" si="81">H218*(1+$G$14)</f>
        <v>8879.0029537241389</v>
      </c>
      <c r="J218" s="2">
        <f t="shared" ca="1" si="81"/>
        <v>9065.4620157523459</v>
      </c>
      <c r="K218" s="2">
        <f t="shared" ca="1" si="81"/>
        <v>9255.8367180831447</v>
      </c>
      <c r="L218" s="2">
        <f t="shared" ca="1" si="81"/>
        <v>9450.209289162889</v>
      </c>
      <c r="M218" s="2">
        <f t="shared" ca="1" si="81"/>
        <v>9648.6636842353091</v>
      </c>
      <c r="N218" s="2">
        <f t="shared" ca="1" si="81"/>
        <v>9851.2856216042492</v>
      </c>
      <c r="O218" s="2">
        <f t="shared" ca="1" si="81"/>
        <v>10058.162619657938</v>
      </c>
      <c r="P218" s="2">
        <f t="shared" ca="1" si="81"/>
        <v>10269.384034670755</v>
      </c>
      <c r="Q218" s="2">
        <f t="shared" ca="1" si="81"/>
        <v>10485.041099398839</v>
      </c>
      <c r="R218" s="2">
        <f t="shared" ca="1" si="81"/>
        <v>10705.226962486213</v>
      </c>
      <c r="S218" s="2">
        <f t="shared" ca="1" si="81"/>
        <v>10930.036728698422</v>
      </c>
      <c r="T218" s="2">
        <f t="shared" ca="1" si="81"/>
        <v>11159.567500001087</v>
      </c>
      <c r="U218" s="2">
        <f t="shared" ca="1" si="81"/>
        <v>11393.918417501109</v>
      </c>
      <c r="V218" s="2">
        <f t="shared" ca="1" si="81"/>
        <v>11633.190704268631</v>
      </c>
      <c r="W218" s="2">
        <f t="shared" ca="1" si="81"/>
        <v>11877.48770905827</v>
      </c>
      <c r="X218" s="2">
        <f t="shared" ca="1" si="81"/>
        <v>12126.914950948492</v>
      </c>
      <c r="Y218" s="2">
        <f t="shared" ca="1" si="81"/>
        <v>12381.58016491841</v>
      </c>
      <c r="Z218" s="2">
        <f t="shared" ca="1" si="81"/>
        <v>12641.593348381695</v>
      </c>
      <c r="AA218" s="2">
        <f t="shared" ca="1" si="81"/>
        <v>12907.066808697709</v>
      </c>
    </row>
    <row r="219" spans="1:27" x14ac:dyDescent="0.25">
      <c r="E219" t="s">
        <v>21</v>
      </c>
      <c r="F219" t="s">
        <v>7</v>
      </c>
      <c r="H219" s="2">
        <f ca="1">H218*H217</f>
        <v>4056860.801089433</v>
      </c>
      <c r="I219" s="2">
        <f t="shared" ref="I219:AA219" ca="1" si="82">I218*I217</f>
        <v>3908537.1002293662</v>
      </c>
      <c r="J219" s="2">
        <f t="shared" ca="1" si="82"/>
        <v>3823494.587073788</v>
      </c>
      <c r="K219" s="2">
        <f t="shared" ca="1" si="82"/>
        <v>3539524.5193621749</v>
      </c>
      <c r="L219" s="2">
        <f t="shared" ca="1" si="82"/>
        <v>3253376.3009336614</v>
      </c>
      <c r="M219" s="2">
        <f t="shared" ca="1" si="82"/>
        <v>2977095.179770804</v>
      </c>
      <c r="N219" s="2">
        <f t="shared" ca="1" si="82"/>
        <v>2705507.8266892824</v>
      </c>
      <c r="O219" s="2">
        <f t="shared" ca="1" si="82"/>
        <v>2441669.2667350615</v>
      </c>
      <c r="P219" s="2">
        <f t="shared" ca="1" si="82"/>
        <v>2413253.9012274528</v>
      </c>
      <c r="Q219" s="2">
        <f t="shared" ca="1" si="82"/>
        <v>2365582.5476408685</v>
      </c>
      <c r="R219" s="2">
        <f t="shared" ca="1" si="82"/>
        <v>2557211.0906638931</v>
      </c>
      <c r="S219" s="2">
        <f t="shared" ca="1" si="82"/>
        <v>2766501.5964008565</v>
      </c>
      <c r="T219" s="2">
        <f t="shared" ca="1" si="82"/>
        <v>2992159.0359377908</v>
      </c>
      <c r="U219" s="2">
        <f t="shared" ca="1" si="82"/>
        <v>3034998.0488697691</v>
      </c>
      <c r="V219" s="2">
        <f t="shared" ca="1" si="82"/>
        <v>3076048.2860227101</v>
      </c>
      <c r="W219" s="2">
        <f t="shared" ca="1" si="82"/>
        <v>0</v>
      </c>
      <c r="X219" s="2">
        <f t="shared" ca="1" si="82"/>
        <v>0</v>
      </c>
      <c r="Y219" s="2">
        <f t="shared" ca="1" si="82"/>
        <v>0</v>
      </c>
      <c r="Z219" s="2">
        <f t="shared" ca="1" si="82"/>
        <v>0</v>
      </c>
      <c r="AA219" s="2">
        <f t="shared" ca="1" si="82"/>
        <v>0</v>
      </c>
    </row>
    <row r="220" spans="1:27" x14ac:dyDescent="0.25">
      <c r="G220" s="8">
        <f ca="1">-G245/(NPV($G$16,H217:AA217))</f>
        <v>8517.5112584061262</v>
      </c>
    </row>
    <row r="221" spans="1:27" x14ac:dyDescent="0.25">
      <c r="D221" t="s">
        <v>9</v>
      </c>
    </row>
    <row r="222" spans="1:27" x14ac:dyDescent="0.25">
      <c r="E222" t="s">
        <v>107</v>
      </c>
      <c r="F222" t="s">
        <v>7</v>
      </c>
      <c r="G222" s="2">
        <f t="shared" ref="G222:AA222" si="83">G42</f>
        <v>0</v>
      </c>
      <c r="H222" s="2">
        <f t="shared" si="83"/>
        <v>1667037.7499999998</v>
      </c>
      <c r="I222" s="2">
        <f t="shared" si="83"/>
        <v>1606088.8486999997</v>
      </c>
      <c r="J222" s="2">
        <f t="shared" si="83"/>
        <v>1571143.336212327</v>
      </c>
      <c r="K222" s="2">
        <f t="shared" si="83"/>
        <v>1454454.8802963162</v>
      </c>
      <c r="L222" s="2">
        <f t="shared" si="83"/>
        <v>1336871.3827093451</v>
      </c>
      <c r="M222" s="2">
        <f t="shared" si="83"/>
        <v>1223342.4545126655</v>
      </c>
      <c r="N222" s="2">
        <f t="shared" si="83"/>
        <v>1111742.280829631</v>
      </c>
      <c r="O222" s="2">
        <f t="shared" si="83"/>
        <v>1003326.226911485</v>
      </c>
      <c r="P222" s="2">
        <f t="shared" si="83"/>
        <v>991649.83738179936</v>
      </c>
      <c r="Q222" s="2">
        <f t="shared" si="83"/>
        <v>972060.81278398889</v>
      </c>
      <c r="R222" s="2">
        <f t="shared" si="83"/>
        <v>1050804.45986971</v>
      </c>
      <c r="S222" s="2">
        <f t="shared" si="83"/>
        <v>1136805.728063683</v>
      </c>
      <c r="T222" s="2">
        <f t="shared" si="83"/>
        <v>1229532.4664756572</v>
      </c>
      <c r="U222" s="2">
        <f t="shared" si="83"/>
        <v>1247135.7945738677</v>
      </c>
      <c r="V222" s="2">
        <f t="shared" si="83"/>
        <v>1264004.0822316618</v>
      </c>
      <c r="W222" s="2">
        <f t="shared" si="83"/>
        <v>0</v>
      </c>
      <c r="X222" s="2">
        <f t="shared" si="83"/>
        <v>0</v>
      </c>
      <c r="Y222" s="2">
        <f t="shared" si="83"/>
        <v>0</v>
      </c>
      <c r="Z222" s="2">
        <f t="shared" si="83"/>
        <v>0</v>
      </c>
      <c r="AA222" s="2">
        <f t="shared" si="83"/>
        <v>0</v>
      </c>
    </row>
    <row r="223" spans="1:27" x14ac:dyDescent="0.25">
      <c r="E223" t="s">
        <v>11</v>
      </c>
      <c r="F223" t="s">
        <v>7</v>
      </c>
      <c r="G223" s="2">
        <f t="shared" ref="G223:AA223" si="84">G177</f>
        <v>0</v>
      </c>
      <c r="H223" s="2">
        <f t="shared" si="84"/>
        <v>31729.549347582702</v>
      </c>
      <c r="I223" s="2">
        <f t="shared" si="84"/>
        <v>61240.098260634382</v>
      </c>
      <c r="J223" s="2">
        <f t="shared" si="84"/>
        <v>91611.105112678662</v>
      </c>
      <c r="K223" s="2">
        <f t="shared" si="84"/>
        <v>120459.7694318682</v>
      </c>
      <c r="L223" s="2">
        <f t="shared" si="84"/>
        <v>147737.55303675839</v>
      </c>
      <c r="M223" s="2">
        <f t="shared" si="84"/>
        <v>173486.52551599496</v>
      </c>
      <c r="N223" s="2">
        <f t="shared" si="84"/>
        <v>197710.28688959175</v>
      </c>
      <c r="O223" s="2">
        <f t="shared" si="84"/>
        <v>220435.75206703268</v>
      </c>
      <c r="P223" s="2">
        <f t="shared" si="84"/>
        <v>243422.29899233856</v>
      </c>
      <c r="Q223" s="2">
        <f t="shared" si="84"/>
        <v>266528.9318865629</v>
      </c>
      <c r="R223" s="2">
        <f t="shared" si="84"/>
        <v>291578.50442902237</v>
      </c>
      <c r="S223" s="2">
        <f t="shared" si="84"/>
        <v>318746.17124650377</v>
      </c>
      <c r="T223" s="2">
        <f t="shared" si="84"/>
        <v>348200.91404944501</v>
      </c>
      <c r="U223" s="2">
        <f t="shared" si="84"/>
        <v>378600.07880553772</v>
      </c>
      <c r="V223" s="2">
        <f t="shared" si="84"/>
        <v>409949.89132618339</v>
      </c>
      <c r="W223" s="2">
        <f t="shared" si="84"/>
        <v>418558.83904403314</v>
      </c>
      <c r="X223" s="2">
        <f t="shared" si="84"/>
        <v>427348.57466395781</v>
      </c>
      <c r="Y223" s="2">
        <f t="shared" si="84"/>
        <v>436322.89473190083</v>
      </c>
      <c r="Z223" s="2">
        <f t="shared" si="84"/>
        <v>445485.67552127072</v>
      </c>
      <c r="AA223" s="2">
        <f t="shared" si="84"/>
        <v>454840.87470721739</v>
      </c>
    </row>
    <row r="224" spans="1:27" x14ac:dyDescent="0.25">
      <c r="E224" t="s">
        <v>57</v>
      </c>
      <c r="F224" t="s">
        <v>7</v>
      </c>
      <c r="G224" s="2">
        <f t="shared" ref="G224:AA224" si="85">-G187</f>
        <v>0</v>
      </c>
      <c r="H224" s="2">
        <f t="shared" si="85"/>
        <v>0</v>
      </c>
      <c r="I224" s="2">
        <f t="shared" si="85"/>
        <v>0</v>
      </c>
      <c r="J224" s="2">
        <f t="shared" si="85"/>
        <v>0</v>
      </c>
      <c r="K224" s="2">
        <f t="shared" si="85"/>
        <v>0</v>
      </c>
      <c r="L224" s="2">
        <f t="shared" si="85"/>
        <v>0</v>
      </c>
      <c r="M224" s="2">
        <f t="shared" si="85"/>
        <v>0</v>
      </c>
      <c r="N224" s="2">
        <f t="shared" si="85"/>
        <v>0</v>
      </c>
      <c r="O224" s="2">
        <f t="shared" si="85"/>
        <v>0</v>
      </c>
      <c r="P224" s="2">
        <f t="shared" si="85"/>
        <v>0</v>
      </c>
      <c r="Q224" s="2">
        <f t="shared" si="85"/>
        <v>0</v>
      </c>
      <c r="R224" s="2">
        <f t="shared" si="85"/>
        <v>0</v>
      </c>
      <c r="S224" s="2">
        <f t="shared" si="85"/>
        <v>0</v>
      </c>
      <c r="T224" s="2">
        <f t="shared" si="85"/>
        <v>0</v>
      </c>
      <c r="U224" s="2">
        <f t="shared" si="85"/>
        <v>0</v>
      </c>
      <c r="V224" s="2">
        <f t="shared" si="85"/>
        <v>0</v>
      </c>
      <c r="W224" s="2">
        <f t="shared" si="85"/>
        <v>0</v>
      </c>
      <c r="X224" s="2">
        <f t="shared" si="85"/>
        <v>0</v>
      </c>
      <c r="Y224" s="2">
        <f t="shared" si="85"/>
        <v>0</v>
      </c>
      <c r="Z224" s="2">
        <f t="shared" si="85"/>
        <v>0</v>
      </c>
      <c r="AA224" s="2">
        <f t="shared" si="85"/>
        <v>0</v>
      </c>
    </row>
    <row r="225" spans="4:28" customFormat="1" x14ac:dyDescent="0.25">
      <c r="E225" t="s">
        <v>10</v>
      </c>
      <c r="F225" t="s">
        <v>7</v>
      </c>
      <c r="G225" s="2">
        <f t="shared" ref="G225:AA225" si="86">-G200</f>
        <v>0</v>
      </c>
      <c r="H225" s="2">
        <f t="shared" si="86"/>
        <v>-57155.579999999994</v>
      </c>
      <c r="I225" s="2">
        <f t="shared" si="86"/>
        <v>-113421.75056399997</v>
      </c>
      <c r="J225" s="2">
        <f t="shared" si="86"/>
        <v>-169671.37885312375</v>
      </c>
      <c r="K225" s="2">
        <f t="shared" si="86"/>
        <v>-223101.50227634163</v>
      </c>
      <c r="L225" s="2">
        <f t="shared" si="86"/>
        <v>-273622.22408846515</v>
      </c>
      <c r="M225" s="2">
        <f t="shared" si="86"/>
        <v>-321311.46066332853</v>
      </c>
      <c r="N225" s="2">
        <f t="shared" si="86"/>
        <v>-366175.87953713146</v>
      </c>
      <c r="O225" s="2">
        <f t="shared" si="86"/>
        <v>-408265.32935866207</v>
      </c>
      <c r="P225" s="2">
        <f t="shared" si="86"/>
        <v>-450838.32427114138</v>
      </c>
      <c r="Q225" s="2">
        <f t="shared" si="86"/>
        <v>-493633.72837628628</v>
      </c>
      <c r="R225" s="2">
        <f t="shared" si="86"/>
        <v>-540027.61815343541</v>
      </c>
      <c r="S225" s="2">
        <f t="shared" si="86"/>
        <v>-590344.39452541235</v>
      </c>
      <c r="T225" s="2">
        <f t="shared" si="86"/>
        <v>-644897.02566103998</v>
      </c>
      <c r="U225" s="2">
        <f t="shared" si="86"/>
        <v>-701198.80472816876</v>
      </c>
      <c r="V225" s="2">
        <f t="shared" si="86"/>
        <v>-759261.26244683156</v>
      </c>
      <c r="W225" s="2">
        <f t="shared" si="86"/>
        <v>-775205.74895821488</v>
      </c>
      <c r="X225" s="2">
        <f t="shared" si="86"/>
        <v>-791485.06968633737</v>
      </c>
      <c r="Y225" s="2">
        <f t="shared" si="86"/>
        <v>-808106.25614975032</v>
      </c>
      <c r="Z225" s="2">
        <f t="shared" si="86"/>
        <v>-825076.48752889503</v>
      </c>
      <c r="AA225" s="2">
        <f t="shared" si="86"/>
        <v>-842403.09376700164</v>
      </c>
    </row>
    <row r="226" spans="4:28" customFormat="1" x14ac:dyDescent="0.25">
      <c r="E226" t="s">
        <v>12</v>
      </c>
      <c r="F226" t="s">
        <v>7</v>
      </c>
      <c r="G226" s="2">
        <f t="shared" ref="G226:AA226" si="87">-G34-G50-G85</f>
        <v>-204799.52649825669</v>
      </c>
      <c r="H226" s="2">
        <f t="shared" si="87"/>
        <v>-225637.49837325668</v>
      </c>
      <c r="I226" s="2">
        <f t="shared" si="87"/>
        <v>-245713.60898200667</v>
      </c>
      <c r="J226" s="2">
        <f t="shared" si="87"/>
        <v>-274694.00029979029</v>
      </c>
      <c r="K226" s="2">
        <f t="shared" si="87"/>
        <v>-292874.68630349427</v>
      </c>
      <c r="L226" s="2">
        <f t="shared" si="87"/>
        <v>-334515.80920746038</v>
      </c>
      <c r="M226" s="2">
        <f t="shared" si="87"/>
        <v>-366808.55448783026</v>
      </c>
      <c r="N226" s="2">
        <f t="shared" si="87"/>
        <v>-380705.33299820067</v>
      </c>
      <c r="O226" s="2">
        <f t="shared" si="87"/>
        <v>-393246.91083459422</v>
      </c>
      <c r="P226" s="2">
        <f t="shared" si="87"/>
        <v>-405642.5338018667</v>
      </c>
      <c r="Q226" s="2">
        <f t="shared" si="87"/>
        <v>-417793.29396166658</v>
      </c>
      <c r="R226" s="2">
        <f t="shared" si="87"/>
        <v>-430928.34971003793</v>
      </c>
      <c r="S226" s="2">
        <f t="shared" si="87"/>
        <v>-445138.421310834</v>
      </c>
      <c r="T226" s="2">
        <f t="shared" si="87"/>
        <v>-460507.57714177971</v>
      </c>
      <c r="U226" s="2">
        <f t="shared" si="87"/>
        <v>-476096.77457395307</v>
      </c>
      <c r="V226" s="2">
        <f t="shared" si="87"/>
        <v>-491896.82560184883</v>
      </c>
      <c r="W226" s="2">
        <f t="shared" si="87"/>
        <v>-491896.82560184883</v>
      </c>
      <c r="X226" s="2">
        <f t="shared" si="87"/>
        <v>-491896.82560184883</v>
      </c>
      <c r="Y226" s="2">
        <f t="shared" si="87"/>
        <v>-491896.82560184883</v>
      </c>
      <c r="Z226" s="2">
        <f t="shared" si="87"/>
        <v>-491896.82560184883</v>
      </c>
      <c r="AA226" s="2">
        <f t="shared" si="87"/>
        <v>-491896.82560184883</v>
      </c>
    </row>
    <row r="227" spans="4:28" customFormat="1" x14ac:dyDescent="0.25">
      <c r="E227" t="s">
        <v>48</v>
      </c>
      <c r="F227" t="s">
        <v>7</v>
      </c>
      <c r="G227" s="2">
        <f t="shared" ref="G227:AA227" si="88">G207</f>
        <v>0</v>
      </c>
      <c r="H227" s="2">
        <f t="shared" si="88"/>
        <v>0</v>
      </c>
      <c r="I227" s="2">
        <f t="shared" si="88"/>
        <v>0</v>
      </c>
      <c r="J227" s="2">
        <f t="shared" si="88"/>
        <v>0</v>
      </c>
      <c r="K227" s="2">
        <f t="shared" si="88"/>
        <v>0</v>
      </c>
      <c r="L227" s="2">
        <f t="shared" si="88"/>
        <v>0</v>
      </c>
      <c r="M227" s="2">
        <f t="shared" si="88"/>
        <v>0</v>
      </c>
      <c r="N227" s="2">
        <f t="shared" si="88"/>
        <v>0</v>
      </c>
      <c r="O227" s="2">
        <f t="shared" si="88"/>
        <v>0</v>
      </c>
      <c r="P227" s="2">
        <f t="shared" si="88"/>
        <v>0</v>
      </c>
      <c r="Q227" s="2">
        <f t="shared" si="88"/>
        <v>0</v>
      </c>
      <c r="R227" s="2">
        <f t="shared" si="88"/>
        <v>0</v>
      </c>
      <c r="S227" s="2">
        <f t="shared" si="88"/>
        <v>0</v>
      </c>
      <c r="T227" s="2">
        <f t="shared" si="88"/>
        <v>0</v>
      </c>
      <c r="U227" s="2">
        <f t="shared" si="88"/>
        <v>0</v>
      </c>
      <c r="V227" s="2">
        <f t="shared" si="88"/>
        <v>0</v>
      </c>
      <c r="W227" s="2">
        <f t="shared" si="88"/>
        <v>0</v>
      </c>
      <c r="X227" s="2">
        <f t="shared" si="88"/>
        <v>0</v>
      </c>
      <c r="Y227" s="2">
        <f t="shared" si="88"/>
        <v>0</v>
      </c>
      <c r="Z227" s="2">
        <f t="shared" si="88"/>
        <v>0</v>
      </c>
      <c r="AA227" s="2">
        <f t="shared" si="88"/>
        <v>0</v>
      </c>
    </row>
    <row r="228" spans="4:28" customFormat="1" x14ac:dyDescent="0.25">
      <c r="E228" t="s">
        <v>13</v>
      </c>
      <c r="F228" t="s">
        <v>7</v>
      </c>
      <c r="H228" s="2">
        <f t="shared" ref="H228:AA228" ca="1" si="89">H219</f>
        <v>4056860.801089433</v>
      </c>
      <c r="I228" s="2">
        <f t="shared" ca="1" si="89"/>
        <v>3908537.1002293662</v>
      </c>
      <c r="J228" s="2">
        <f t="shared" ca="1" si="89"/>
        <v>3823494.587073788</v>
      </c>
      <c r="K228" s="2">
        <f t="shared" ca="1" si="89"/>
        <v>3539524.5193621749</v>
      </c>
      <c r="L228" s="2">
        <f t="shared" ca="1" si="89"/>
        <v>3253376.3009336614</v>
      </c>
      <c r="M228" s="2">
        <f t="shared" ca="1" si="89"/>
        <v>2977095.179770804</v>
      </c>
      <c r="N228" s="2">
        <f t="shared" ca="1" si="89"/>
        <v>2705507.8266892824</v>
      </c>
      <c r="O228" s="2">
        <f t="shared" ca="1" si="89"/>
        <v>2441669.2667350615</v>
      </c>
      <c r="P228" s="2">
        <f t="shared" ca="1" si="89"/>
        <v>2413253.9012274528</v>
      </c>
      <c r="Q228" s="2">
        <f t="shared" ca="1" si="89"/>
        <v>2365582.5476408685</v>
      </c>
      <c r="R228" s="2">
        <f t="shared" ca="1" si="89"/>
        <v>2557211.0906638931</v>
      </c>
      <c r="S228" s="2">
        <f t="shared" ca="1" si="89"/>
        <v>2766501.5964008565</v>
      </c>
      <c r="T228" s="2">
        <f t="shared" ca="1" si="89"/>
        <v>2992159.0359377908</v>
      </c>
      <c r="U228" s="2">
        <f t="shared" ca="1" si="89"/>
        <v>3034998.0488697691</v>
      </c>
      <c r="V228" s="2">
        <f t="shared" ca="1" si="89"/>
        <v>3076048.2860227101</v>
      </c>
      <c r="W228" s="2">
        <f t="shared" ca="1" si="89"/>
        <v>0</v>
      </c>
      <c r="X228" s="2">
        <f t="shared" ca="1" si="89"/>
        <v>0</v>
      </c>
      <c r="Y228" s="2">
        <f t="shared" ca="1" si="89"/>
        <v>0</v>
      </c>
      <c r="Z228" s="2">
        <f t="shared" ca="1" si="89"/>
        <v>0</v>
      </c>
      <c r="AA228" s="2">
        <f t="shared" ca="1" si="89"/>
        <v>0</v>
      </c>
    </row>
    <row r="229" spans="4:28" customFormat="1" x14ac:dyDescent="0.25"/>
    <row r="230" spans="4:28" customFormat="1" x14ac:dyDescent="0.25">
      <c r="E230" t="s">
        <v>14</v>
      </c>
      <c r="F230" t="s">
        <v>7</v>
      </c>
      <c r="G230" s="2">
        <f t="shared" ref="G230:AA230" si="90">SUM(G222:G228)</f>
        <v>-204799.52649825669</v>
      </c>
      <c r="H230" s="2">
        <f t="shared" ca="1" si="90"/>
        <v>5472835.0220637582</v>
      </c>
      <c r="I230" s="2">
        <f t="shared" ca="1" si="90"/>
        <v>5216730.6876439936</v>
      </c>
      <c r="J230" s="2">
        <f t="shared" ca="1" si="90"/>
        <v>5041883.6492458796</v>
      </c>
      <c r="K230" s="2">
        <f t="shared" ca="1" si="90"/>
        <v>4598462.9805105235</v>
      </c>
      <c r="L230" s="2">
        <f t="shared" ca="1" si="90"/>
        <v>4129847.2033838397</v>
      </c>
      <c r="M230" s="2">
        <f t="shared" ca="1" si="90"/>
        <v>3685804.1446483061</v>
      </c>
      <c r="N230" s="2">
        <f t="shared" ca="1" si="90"/>
        <v>3268079.181873173</v>
      </c>
      <c r="O230" s="2">
        <f t="shared" ca="1" si="90"/>
        <v>2863919.0055203228</v>
      </c>
      <c r="P230" s="2">
        <f t="shared" ca="1" si="90"/>
        <v>2791845.1795285828</v>
      </c>
      <c r="Q230" s="2">
        <f t="shared" ca="1" si="90"/>
        <v>2692745.2699734671</v>
      </c>
      <c r="R230" s="2">
        <f t="shared" ca="1" si="90"/>
        <v>2928638.0870991522</v>
      </c>
      <c r="S230" s="2">
        <f t="shared" ca="1" si="90"/>
        <v>3186570.6798747969</v>
      </c>
      <c r="T230" s="2">
        <f t="shared" ca="1" si="90"/>
        <v>3464487.8136600731</v>
      </c>
      <c r="U230" s="2">
        <f t="shared" ca="1" si="90"/>
        <v>3483438.3429470528</v>
      </c>
      <c r="V230" s="2">
        <f t="shared" ca="1" si="90"/>
        <v>3498844.1715318752</v>
      </c>
      <c r="W230" s="2">
        <f t="shared" ca="1" si="90"/>
        <v>-848543.73551603057</v>
      </c>
      <c r="X230" s="2">
        <f t="shared" ca="1" si="90"/>
        <v>-856033.32062422833</v>
      </c>
      <c r="Y230" s="2">
        <f t="shared" ca="1" si="90"/>
        <v>-863680.18701969832</v>
      </c>
      <c r="Z230" s="2">
        <f t="shared" ca="1" si="90"/>
        <v>-871487.6376094732</v>
      </c>
      <c r="AA230" s="2">
        <f t="shared" ca="1" si="90"/>
        <v>-879459.04466163309</v>
      </c>
    </row>
    <row r="231" spans="4:28" customFormat="1" x14ac:dyDescent="0.25">
      <c r="E231" t="s">
        <v>15</v>
      </c>
      <c r="F231" t="s">
        <v>7</v>
      </c>
      <c r="G231" s="2">
        <f>-G230*G$18</f>
        <v>61439.857949477002</v>
      </c>
      <c r="H231" s="2">
        <f ca="1">-H230*H$18</f>
        <v>-1641850.5066191275</v>
      </c>
      <c r="I231" s="2">
        <f t="shared" ref="I231:AA231" ca="1" si="91">-I230*I$18</f>
        <v>-1565019.206293198</v>
      </c>
      <c r="J231" s="2">
        <f t="shared" ca="1" si="91"/>
        <v>-1512565.0947737638</v>
      </c>
      <c r="K231" s="2">
        <f t="shared" ca="1" si="91"/>
        <v>-1379538.894153157</v>
      </c>
      <c r="L231" s="2">
        <f t="shared" ca="1" si="91"/>
        <v>-1238954.1610151518</v>
      </c>
      <c r="M231" s="2">
        <f t="shared" ca="1" si="91"/>
        <v>-1105741.2433944917</v>
      </c>
      <c r="N231" s="2">
        <f t="shared" ca="1" si="91"/>
        <v>-980423.75456195185</v>
      </c>
      <c r="O231" s="2">
        <f t="shared" ca="1" si="91"/>
        <v>-859175.70165609685</v>
      </c>
      <c r="P231" s="2">
        <f t="shared" ca="1" si="91"/>
        <v>-837553.55385857483</v>
      </c>
      <c r="Q231" s="2">
        <f t="shared" ca="1" si="91"/>
        <v>-807823.58099204011</v>
      </c>
      <c r="R231" s="2">
        <f t="shared" ca="1" si="91"/>
        <v>-878591.42612974567</v>
      </c>
      <c r="S231" s="2">
        <f t="shared" ca="1" si="91"/>
        <v>-955971.20396243897</v>
      </c>
      <c r="T231" s="2">
        <f t="shared" ca="1" si="91"/>
        <v>-1039346.3440980219</v>
      </c>
      <c r="U231" s="2">
        <f t="shared" ca="1" si="91"/>
        <v>-1045031.5028841158</v>
      </c>
      <c r="V231" s="2">
        <f t="shared" ca="1" si="91"/>
        <v>-1049653.2514595625</v>
      </c>
      <c r="W231" s="2">
        <f t="shared" ca="1" si="91"/>
        <v>254563.12065480917</v>
      </c>
      <c r="X231" s="2">
        <f t="shared" ca="1" si="91"/>
        <v>256809.99618726849</v>
      </c>
      <c r="Y231" s="2">
        <f t="shared" ca="1" si="91"/>
        <v>259104.05610590949</v>
      </c>
      <c r="Z231" s="2">
        <f t="shared" ca="1" si="91"/>
        <v>261446.29128284194</v>
      </c>
      <c r="AA231" s="2">
        <f t="shared" ca="1" si="91"/>
        <v>263837.71339848993</v>
      </c>
    </row>
    <row r="232" spans="4:28" customFormat="1" x14ac:dyDescent="0.25"/>
    <row r="233" spans="4:28" customFormat="1" x14ac:dyDescent="0.25">
      <c r="D233" t="s">
        <v>28</v>
      </c>
    </row>
    <row r="234" spans="4:28" customFormat="1" x14ac:dyDescent="0.25">
      <c r="E234" t="s">
        <v>1</v>
      </c>
      <c r="F234" t="s">
        <v>7</v>
      </c>
      <c r="G234" s="2">
        <f t="shared" ref="G234:AA234" si="92">-G26</f>
        <v>-16383962.119860535</v>
      </c>
      <c r="H234" s="2">
        <f t="shared" si="92"/>
        <v>0</v>
      </c>
      <c r="I234" s="2">
        <f t="shared" si="92"/>
        <v>0</v>
      </c>
      <c r="J234" s="2">
        <f t="shared" si="92"/>
        <v>-747287.96921036311</v>
      </c>
      <c r="K234" s="2">
        <f t="shared" si="92"/>
        <v>0</v>
      </c>
      <c r="L234" s="2">
        <f t="shared" si="92"/>
        <v>-1994418.449607946</v>
      </c>
      <c r="M234" s="2">
        <f t="shared" si="92"/>
        <v>-1360077.1679169273</v>
      </c>
      <c r="N234" s="2">
        <f t="shared" si="92"/>
        <v>0</v>
      </c>
      <c r="O234" s="2">
        <f t="shared" si="92"/>
        <v>0</v>
      </c>
      <c r="P234" s="2">
        <f t="shared" si="92"/>
        <v>0</v>
      </c>
      <c r="Q234" s="2">
        <f t="shared" si="92"/>
        <v>0</v>
      </c>
      <c r="R234" s="2">
        <f t="shared" si="92"/>
        <v>0</v>
      </c>
      <c r="S234" s="2">
        <f t="shared" si="92"/>
        <v>0</v>
      </c>
      <c r="T234" s="2">
        <f t="shared" si="92"/>
        <v>0</v>
      </c>
      <c r="U234" s="2">
        <f t="shared" si="92"/>
        <v>0</v>
      </c>
      <c r="V234" s="2">
        <f t="shared" si="92"/>
        <v>0</v>
      </c>
      <c r="W234" s="2">
        <f t="shared" si="92"/>
        <v>0</v>
      </c>
      <c r="X234" s="2">
        <f t="shared" si="92"/>
        <v>0</v>
      </c>
      <c r="Y234" s="2">
        <f t="shared" si="92"/>
        <v>0</v>
      </c>
      <c r="Z234" s="2">
        <f t="shared" si="92"/>
        <v>0</v>
      </c>
      <c r="AA234" s="2">
        <f t="shared" si="92"/>
        <v>0</v>
      </c>
    </row>
    <row r="235" spans="4:28" customFormat="1" x14ac:dyDescent="0.25">
      <c r="E235" t="s">
        <v>19</v>
      </c>
      <c r="F235" t="s">
        <v>7</v>
      </c>
      <c r="G235" s="2">
        <f t="shared" ref="G235:AA235" si="93">G84</f>
        <v>0</v>
      </c>
      <c r="H235" s="2">
        <f t="shared" si="93"/>
        <v>0</v>
      </c>
      <c r="I235" s="2">
        <f t="shared" si="93"/>
        <v>0</v>
      </c>
      <c r="J235" s="2">
        <f t="shared" si="93"/>
        <v>0</v>
      </c>
      <c r="K235" s="2">
        <f t="shared" si="93"/>
        <v>0</v>
      </c>
      <c r="L235" s="2">
        <f t="shared" si="93"/>
        <v>0</v>
      </c>
      <c r="M235" s="2">
        <f t="shared" si="93"/>
        <v>0</v>
      </c>
      <c r="N235" s="2">
        <f t="shared" si="93"/>
        <v>0</v>
      </c>
      <c r="O235" s="2">
        <f t="shared" si="93"/>
        <v>0</v>
      </c>
      <c r="P235" s="2">
        <f t="shared" si="93"/>
        <v>0</v>
      </c>
      <c r="Q235" s="2">
        <f t="shared" si="93"/>
        <v>0</v>
      </c>
      <c r="R235" s="2">
        <f t="shared" si="93"/>
        <v>0</v>
      </c>
      <c r="S235" s="2">
        <f t="shared" si="93"/>
        <v>0</v>
      </c>
      <c r="T235" s="2">
        <f t="shared" si="93"/>
        <v>0</v>
      </c>
      <c r="U235" s="2">
        <f t="shared" si="93"/>
        <v>0</v>
      </c>
      <c r="V235" s="2">
        <f t="shared" si="93"/>
        <v>0</v>
      </c>
      <c r="W235" s="2">
        <f t="shared" si="93"/>
        <v>0</v>
      </c>
      <c r="X235" s="2">
        <f t="shared" si="93"/>
        <v>0</v>
      </c>
      <c r="Y235" s="2">
        <f t="shared" si="93"/>
        <v>0</v>
      </c>
      <c r="Z235" s="2">
        <f t="shared" si="93"/>
        <v>0</v>
      </c>
      <c r="AA235" s="2">
        <f t="shared" si="93"/>
        <v>0</v>
      </c>
    </row>
    <row r="236" spans="4:28" customFormat="1" x14ac:dyDescent="0.25">
      <c r="E236" t="s">
        <v>109</v>
      </c>
      <c r="F236" t="s">
        <v>7</v>
      </c>
      <c r="G236" s="2">
        <f t="shared" ref="G236:AA236" si="94">G53</f>
        <v>0</v>
      </c>
      <c r="H236" s="2">
        <f t="shared" si="94"/>
        <v>0</v>
      </c>
      <c r="I236" s="2">
        <f t="shared" si="94"/>
        <v>0</v>
      </c>
      <c r="J236" s="2">
        <f t="shared" si="94"/>
        <v>0</v>
      </c>
      <c r="K236" s="2">
        <f t="shared" si="94"/>
        <v>0</v>
      </c>
      <c r="L236" s="2">
        <f t="shared" si="94"/>
        <v>0</v>
      </c>
      <c r="M236" s="2">
        <f t="shared" si="94"/>
        <v>0</v>
      </c>
      <c r="N236" s="2">
        <f t="shared" si="94"/>
        <v>0</v>
      </c>
      <c r="O236" s="2">
        <f t="shared" si="94"/>
        <v>0</v>
      </c>
      <c r="P236" s="2">
        <f t="shared" si="94"/>
        <v>0</v>
      </c>
      <c r="Q236" s="2">
        <f t="shared" si="94"/>
        <v>0</v>
      </c>
      <c r="R236" s="2">
        <f t="shared" si="94"/>
        <v>0</v>
      </c>
      <c r="S236" s="2">
        <f t="shared" si="94"/>
        <v>0</v>
      </c>
      <c r="T236" s="2">
        <f t="shared" si="94"/>
        <v>0</v>
      </c>
      <c r="U236" s="2">
        <f t="shared" si="94"/>
        <v>0</v>
      </c>
      <c r="V236" s="2">
        <f t="shared" si="94"/>
        <v>0</v>
      </c>
      <c r="W236" s="2">
        <f t="shared" si="94"/>
        <v>0</v>
      </c>
      <c r="X236" s="2">
        <f t="shared" si="94"/>
        <v>0</v>
      </c>
      <c r="Y236" s="2">
        <f t="shared" si="94"/>
        <v>0</v>
      </c>
      <c r="Z236" s="2">
        <f t="shared" si="94"/>
        <v>0</v>
      </c>
      <c r="AA236" s="2">
        <f t="shared" si="94"/>
        <v>0</v>
      </c>
    </row>
    <row r="237" spans="4:28" customFormat="1" x14ac:dyDescent="0.25">
      <c r="E237" t="s">
        <v>11</v>
      </c>
      <c r="F237" t="s">
        <v>7</v>
      </c>
      <c r="G237" s="2">
        <f t="shared" ref="G237:AA237" si="95">G177</f>
        <v>0</v>
      </c>
      <c r="H237" s="2">
        <f t="shared" si="95"/>
        <v>31729.549347582702</v>
      </c>
      <c r="I237" s="2">
        <f t="shared" si="95"/>
        <v>61240.098260634382</v>
      </c>
      <c r="J237" s="2">
        <f t="shared" si="95"/>
        <v>91611.105112678662</v>
      </c>
      <c r="K237" s="2">
        <f t="shared" si="95"/>
        <v>120459.7694318682</v>
      </c>
      <c r="L237" s="2">
        <f t="shared" si="95"/>
        <v>147737.55303675839</v>
      </c>
      <c r="M237" s="2">
        <f t="shared" si="95"/>
        <v>173486.52551599496</v>
      </c>
      <c r="N237" s="2">
        <f t="shared" si="95"/>
        <v>197710.28688959175</v>
      </c>
      <c r="O237" s="2">
        <f t="shared" si="95"/>
        <v>220435.75206703268</v>
      </c>
      <c r="P237" s="2">
        <f t="shared" si="95"/>
        <v>243422.29899233856</v>
      </c>
      <c r="Q237" s="2">
        <f t="shared" si="95"/>
        <v>266528.9318865629</v>
      </c>
      <c r="R237" s="2">
        <f t="shared" si="95"/>
        <v>291578.50442902237</v>
      </c>
      <c r="S237" s="2">
        <f t="shared" si="95"/>
        <v>318746.17124650377</v>
      </c>
      <c r="T237" s="2">
        <f t="shared" si="95"/>
        <v>348200.91404944501</v>
      </c>
      <c r="U237" s="2">
        <f t="shared" si="95"/>
        <v>378600.07880553772</v>
      </c>
      <c r="V237" s="2">
        <f t="shared" si="95"/>
        <v>409949.89132618339</v>
      </c>
      <c r="W237" s="2">
        <f t="shared" si="95"/>
        <v>418558.83904403314</v>
      </c>
      <c r="X237" s="2">
        <f t="shared" si="95"/>
        <v>427348.57466395781</v>
      </c>
      <c r="Y237" s="2">
        <f t="shared" si="95"/>
        <v>436322.89473190083</v>
      </c>
      <c r="Z237" s="2">
        <f t="shared" si="95"/>
        <v>445485.67552127072</v>
      </c>
      <c r="AA237" s="2">
        <f t="shared" si="95"/>
        <v>454840.87470721739</v>
      </c>
      <c r="AB237" s="2">
        <f t="shared" ref="AB237:AB241" si="96">IF(V237=0,0,IF($G$15&gt;(AA237/V237)^(1/5)-1+2%,AA237*(AA237/V237)^(1/5)/($G$15-((AA237/V237)^(1/5)-1)),AA237*(1+$G$14)/$G$16))</f>
        <v>15161362.490240611</v>
      </c>
    </row>
    <row r="238" spans="4:28" customFormat="1" x14ac:dyDescent="0.25">
      <c r="E238" t="s">
        <v>57</v>
      </c>
      <c r="F238" t="s">
        <v>7</v>
      </c>
      <c r="G238" s="2">
        <f t="shared" ref="G238:AA238" si="97">G224</f>
        <v>0</v>
      </c>
      <c r="H238" s="2">
        <f t="shared" si="97"/>
        <v>0</v>
      </c>
      <c r="I238" s="2">
        <f t="shared" si="97"/>
        <v>0</v>
      </c>
      <c r="J238" s="2">
        <f t="shared" si="97"/>
        <v>0</v>
      </c>
      <c r="K238" s="2">
        <f t="shared" si="97"/>
        <v>0</v>
      </c>
      <c r="L238" s="2">
        <f t="shared" si="97"/>
        <v>0</v>
      </c>
      <c r="M238" s="2">
        <f t="shared" si="97"/>
        <v>0</v>
      </c>
      <c r="N238" s="2">
        <f t="shared" si="97"/>
        <v>0</v>
      </c>
      <c r="O238" s="2">
        <f t="shared" si="97"/>
        <v>0</v>
      </c>
      <c r="P238" s="2">
        <f t="shared" si="97"/>
        <v>0</v>
      </c>
      <c r="Q238" s="2">
        <f t="shared" si="97"/>
        <v>0</v>
      </c>
      <c r="R238" s="2">
        <f t="shared" si="97"/>
        <v>0</v>
      </c>
      <c r="S238" s="2">
        <f t="shared" si="97"/>
        <v>0</v>
      </c>
      <c r="T238" s="2">
        <f t="shared" si="97"/>
        <v>0</v>
      </c>
      <c r="U238" s="2">
        <f t="shared" si="97"/>
        <v>0</v>
      </c>
      <c r="V238" s="2">
        <f t="shared" si="97"/>
        <v>0</v>
      </c>
      <c r="W238" s="2">
        <f t="shared" si="97"/>
        <v>0</v>
      </c>
      <c r="X238" s="2">
        <f t="shared" si="97"/>
        <v>0</v>
      </c>
      <c r="Y238" s="2">
        <f t="shared" si="97"/>
        <v>0</v>
      </c>
      <c r="Z238" s="2">
        <f t="shared" si="97"/>
        <v>0</v>
      </c>
      <c r="AA238" s="2">
        <f t="shared" si="97"/>
        <v>0</v>
      </c>
      <c r="AB238" s="2">
        <f t="shared" si="96"/>
        <v>0</v>
      </c>
    </row>
    <row r="239" spans="4:28" customFormat="1" x14ac:dyDescent="0.25">
      <c r="E239" t="s">
        <v>10</v>
      </c>
      <c r="F239" t="s">
        <v>7</v>
      </c>
      <c r="G239" s="2">
        <f t="shared" ref="G239:AA239" si="98">-G200</f>
        <v>0</v>
      </c>
      <c r="H239" s="2">
        <f t="shared" si="98"/>
        <v>-57155.579999999994</v>
      </c>
      <c r="I239" s="2">
        <f t="shared" si="98"/>
        <v>-113421.75056399997</v>
      </c>
      <c r="J239" s="2">
        <f t="shared" si="98"/>
        <v>-169671.37885312375</v>
      </c>
      <c r="K239" s="2">
        <f t="shared" si="98"/>
        <v>-223101.50227634163</v>
      </c>
      <c r="L239" s="2">
        <f t="shared" si="98"/>
        <v>-273622.22408846515</v>
      </c>
      <c r="M239" s="2">
        <f t="shared" si="98"/>
        <v>-321311.46066332853</v>
      </c>
      <c r="N239" s="2">
        <f t="shared" si="98"/>
        <v>-366175.87953713146</v>
      </c>
      <c r="O239" s="2">
        <f t="shared" si="98"/>
        <v>-408265.32935866207</v>
      </c>
      <c r="P239" s="2">
        <f t="shared" si="98"/>
        <v>-450838.32427114138</v>
      </c>
      <c r="Q239" s="2">
        <f t="shared" si="98"/>
        <v>-493633.72837628628</v>
      </c>
      <c r="R239" s="2">
        <f t="shared" si="98"/>
        <v>-540027.61815343541</v>
      </c>
      <c r="S239" s="2">
        <f t="shared" si="98"/>
        <v>-590344.39452541235</v>
      </c>
      <c r="T239" s="2">
        <f t="shared" si="98"/>
        <v>-644897.02566103998</v>
      </c>
      <c r="U239" s="2">
        <f t="shared" si="98"/>
        <v>-701198.80472816876</v>
      </c>
      <c r="V239" s="2">
        <f t="shared" si="98"/>
        <v>-759261.26244683156</v>
      </c>
      <c r="W239" s="2">
        <f t="shared" si="98"/>
        <v>-775205.74895821488</v>
      </c>
      <c r="X239" s="2">
        <f t="shared" si="98"/>
        <v>-791485.06968633737</v>
      </c>
      <c r="Y239" s="2">
        <f t="shared" si="98"/>
        <v>-808106.25614975032</v>
      </c>
      <c r="Z239" s="2">
        <f t="shared" si="98"/>
        <v>-825076.48752889503</v>
      </c>
      <c r="AA239" s="2">
        <f t="shared" si="98"/>
        <v>-842403.09376700164</v>
      </c>
      <c r="AB239" s="2">
        <f t="shared" si="96"/>
        <v>-28080103.125566777</v>
      </c>
    </row>
    <row r="240" spans="4:28" customFormat="1" x14ac:dyDescent="0.25">
      <c r="E240" t="s">
        <v>48</v>
      </c>
      <c r="F240" t="s">
        <v>7</v>
      </c>
      <c r="G240" s="2">
        <f t="shared" ref="G240:AA240" si="99">G207</f>
        <v>0</v>
      </c>
      <c r="H240" s="2">
        <f t="shared" si="99"/>
        <v>0</v>
      </c>
      <c r="I240" s="2">
        <f t="shared" si="99"/>
        <v>0</v>
      </c>
      <c r="J240" s="2">
        <f t="shared" si="99"/>
        <v>0</v>
      </c>
      <c r="K240" s="2">
        <f t="shared" si="99"/>
        <v>0</v>
      </c>
      <c r="L240" s="2">
        <f t="shared" si="99"/>
        <v>0</v>
      </c>
      <c r="M240" s="2">
        <f t="shared" si="99"/>
        <v>0</v>
      </c>
      <c r="N240" s="2">
        <f t="shared" si="99"/>
        <v>0</v>
      </c>
      <c r="O240" s="2">
        <f t="shared" si="99"/>
        <v>0</v>
      </c>
      <c r="P240" s="2">
        <f t="shared" si="99"/>
        <v>0</v>
      </c>
      <c r="Q240" s="2">
        <f t="shared" si="99"/>
        <v>0</v>
      </c>
      <c r="R240" s="2">
        <f t="shared" si="99"/>
        <v>0</v>
      </c>
      <c r="S240" s="2">
        <f t="shared" si="99"/>
        <v>0</v>
      </c>
      <c r="T240" s="2">
        <f t="shared" si="99"/>
        <v>0</v>
      </c>
      <c r="U240" s="2">
        <f t="shared" si="99"/>
        <v>0</v>
      </c>
      <c r="V240" s="2">
        <f t="shared" si="99"/>
        <v>0</v>
      </c>
      <c r="W240" s="2">
        <f t="shared" si="99"/>
        <v>0</v>
      </c>
      <c r="X240" s="2">
        <f t="shared" si="99"/>
        <v>0</v>
      </c>
      <c r="Y240" s="2">
        <f t="shared" si="99"/>
        <v>0</v>
      </c>
      <c r="Z240" s="2">
        <f t="shared" si="99"/>
        <v>0</v>
      </c>
      <c r="AA240" s="2">
        <f t="shared" si="99"/>
        <v>0</v>
      </c>
      <c r="AB240" s="2">
        <f t="shared" si="96"/>
        <v>0</v>
      </c>
    </row>
    <row r="241" spans="3:28" customFormat="1" x14ac:dyDescent="0.25">
      <c r="E241" t="s">
        <v>49</v>
      </c>
      <c r="F241" t="s">
        <v>7</v>
      </c>
      <c r="G241" s="2">
        <f t="shared" ref="G241:AA241" si="100">G214</f>
        <v>0</v>
      </c>
      <c r="H241" s="2">
        <f t="shared" si="100"/>
        <v>0</v>
      </c>
      <c r="I241" s="2">
        <f t="shared" si="100"/>
        <v>0</v>
      </c>
      <c r="J241" s="2">
        <f t="shared" si="100"/>
        <v>0</v>
      </c>
      <c r="K241" s="2">
        <f t="shared" si="100"/>
        <v>0</v>
      </c>
      <c r="L241" s="2">
        <f t="shared" si="100"/>
        <v>0</v>
      </c>
      <c r="M241" s="2">
        <f t="shared" si="100"/>
        <v>0</v>
      </c>
      <c r="N241" s="2">
        <f t="shared" si="100"/>
        <v>0</v>
      </c>
      <c r="O241" s="2">
        <f t="shared" si="100"/>
        <v>0</v>
      </c>
      <c r="P241" s="2">
        <f t="shared" si="100"/>
        <v>0</v>
      </c>
      <c r="Q241" s="2">
        <f t="shared" si="100"/>
        <v>0</v>
      </c>
      <c r="R241" s="2">
        <f t="shared" si="100"/>
        <v>0</v>
      </c>
      <c r="S241" s="2">
        <f t="shared" si="100"/>
        <v>0</v>
      </c>
      <c r="T241" s="2">
        <f t="shared" si="100"/>
        <v>0</v>
      </c>
      <c r="U241" s="2">
        <f t="shared" si="100"/>
        <v>0</v>
      </c>
      <c r="V241" s="2">
        <f t="shared" si="100"/>
        <v>0</v>
      </c>
      <c r="W241" s="2">
        <f t="shared" si="100"/>
        <v>0</v>
      </c>
      <c r="X241" s="2">
        <f t="shared" si="100"/>
        <v>0</v>
      </c>
      <c r="Y241" s="2">
        <f t="shared" si="100"/>
        <v>0</v>
      </c>
      <c r="Z241" s="2">
        <f t="shared" si="100"/>
        <v>0</v>
      </c>
      <c r="AA241" s="2">
        <f t="shared" si="100"/>
        <v>0</v>
      </c>
      <c r="AB241" s="2">
        <f t="shared" si="96"/>
        <v>0</v>
      </c>
    </row>
    <row r="242" spans="3:28" customFormat="1" x14ac:dyDescent="0.25">
      <c r="E242" t="s">
        <v>20</v>
      </c>
      <c r="F242" t="s">
        <v>7</v>
      </c>
      <c r="G242" s="2">
        <f t="shared" ref="G242:AA242" si="101">G231</f>
        <v>61439.857949477002</v>
      </c>
      <c r="H242" s="2">
        <f t="shared" ca="1" si="101"/>
        <v>-1641850.5066191275</v>
      </c>
      <c r="I242" s="2">
        <f t="shared" ca="1" si="101"/>
        <v>-1565019.206293198</v>
      </c>
      <c r="J242" s="2">
        <f t="shared" ca="1" si="101"/>
        <v>-1512565.0947737638</v>
      </c>
      <c r="K242" s="2">
        <f t="shared" ca="1" si="101"/>
        <v>-1379538.894153157</v>
      </c>
      <c r="L242" s="2">
        <f t="shared" ca="1" si="101"/>
        <v>-1238954.1610151518</v>
      </c>
      <c r="M242" s="2">
        <f t="shared" ca="1" si="101"/>
        <v>-1105741.2433944917</v>
      </c>
      <c r="N242" s="2">
        <f t="shared" ca="1" si="101"/>
        <v>-980423.75456195185</v>
      </c>
      <c r="O242" s="2">
        <f t="shared" ca="1" si="101"/>
        <v>-859175.70165609685</v>
      </c>
      <c r="P242" s="2">
        <f t="shared" ca="1" si="101"/>
        <v>-837553.55385857483</v>
      </c>
      <c r="Q242" s="2">
        <f t="shared" ca="1" si="101"/>
        <v>-807823.58099204011</v>
      </c>
      <c r="R242" s="2">
        <f t="shared" ca="1" si="101"/>
        <v>-878591.42612974567</v>
      </c>
      <c r="S242" s="2">
        <f t="shared" ca="1" si="101"/>
        <v>-955971.20396243897</v>
      </c>
      <c r="T242" s="2">
        <f t="shared" ca="1" si="101"/>
        <v>-1039346.3440980219</v>
      </c>
      <c r="U242" s="2">
        <f t="shared" ca="1" si="101"/>
        <v>-1045031.5028841158</v>
      </c>
      <c r="V242" s="2">
        <f t="shared" ca="1" si="101"/>
        <v>-1049653.2514595625</v>
      </c>
      <c r="W242" s="2">
        <f t="shared" ca="1" si="101"/>
        <v>254563.12065480917</v>
      </c>
      <c r="X242" s="2">
        <f t="shared" ca="1" si="101"/>
        <v>256809.99618726849</v>
      </c>
      <c r="Y242" s="2">
        <f t="shared" ca="1" si="101"/>
        <v>259104.05610590949</v>
      </c>
      <c r="Z242" s="2">
        <f t="shared" ca="1" si="101"/>
        <v>261446.29128284194</v>
      </c>
      <c r="AA242" s="2">
        <f t="shared" ca="1" si="101"/>
        <v>263837.71339848993</v>
      </c>
      <c r="AB242" s="2">
        <f ca="1">IF(V242=0,0,IF($G$15&gt;(AA242/V242)^(1/5)-1+2%,AA242*(AA242/V242)^(1/5)/($G$15-((AA242/V242)^(1/5)-1)),AA242*(1+$G$14)/$G$16))</f>
        <v>-110571.27277032912</v>
      </c>
    </row>
    <row r="243" spans="3:28" customFormat="1" x14ac:dyDescent="0.25">
      <c r="E243" t="s">
        <v>173</v>
      </c>
      <c r="F243" t="s">
        <v>7</v>
      </c>
      <c r="G243" s="2">
        <f>-$G$17*G242</f>
        <v>-30719.928974738501</v>
      </c>
      <c r="H243" s="2">
        <f t="shared" ref="H243:AA243" ca="1" si="102">-$G$17*H242</f>
        <v>820925.25330956373</v>
      </c>
      <c r="I243" s="2">
        <f t="shared" ca="1" si="102"/>
        <v>782509.60314659902</v>
      </c>
      <c r="J243" s="2">
        <f t="shared" ca="1" si="102"/>
        <v>756282.5473868819</v>
      </c>
      <c r="K243" s="2">
        <f t="shared" ca="1" si="102"/>
        <v>689769.44707657851</v>
      </c>
      <c r="L243" s="2">
        <f t="shared" ca="1" si="102"/>
        <v>619477.08050757588</v>
      </c>
      <c r="M243" s="2">
        <f t="shared" ca="1" si="102"/>
        <v>552870.62169724586</v>
      </c>
      <c r="N243" s="2">
        <f t="shared" ca="1" si="102"/>
        <v>490211.87728097592</v>
      </c>
      <c r="O243" s="2">
        <f t="shared" ca="1" si="102"/>
        <v>429587.85082804842</v>
      </c>
      <c r="P243" s="2">
        <f t="shared" ca="1" si="102"/>
        <v>418776.77692928741</v>
      </c>
      <c r="Q243" s="2">
        <f t="shared" ca="1" si="102"/>
        <v>403911.79049602005</v>
      </c>
      <c r="R243" s="2">
        <f t="shared" ca="1" si="102"/>
        <v>439295.71306487283</v>
      </c>
      <c r="S243" s="2">
        <f t="shared" ca="1" si="102"/>
        <v>477985.60198121949</v>
      </c>
      <c r="T243" s="2">
        <f t="shared" ca="1" si="102"/>
        <v>519673.17204901093</v>
      </c>
      <c r="U243" s="2">
        <f t="shared" ca="1" si="102"/>
        <v>522515.7514420579</v>
      </c>
      <c r="V243" s="2">
        <f t="shared" ca="1" si="102"/>
        <v>524826.62572978123</v>
      </c>
      <c r="W243" s="2">
        <f t="shared" ca="1" si="102"/>
        <v>-127281.56032740459</v>
      </c>
      <c r="X243" s="2">
        <f t="shared" ca="1" si="102"/>
        <v>-128404.99809363425</v>
      </c>
      <c r="Y243" s="2">
        <f t="shared" ca="1" si="102"/>
        <v>-129552.02805295475</v>
      </c>
      <c r="Z243" s="2">
        <f t="shared" ca="1" si="102"/>
        <v>-130723.14564142097</v>
      </c>
      <c r="AA243" s="2">
        <f t="shared" ca="1" si="102"/>
        <v>-131918.85669924496</v>
      </c>
      <c r="AB243" s="2">
        <f t="shared" ref="AB243" ca="1" si="103">IF(V243=0,0,IF($G$15&gt;(AA243/V243)^(1/5)-1+2%,AA243*(AA243/V243)^(1/5)/($G$15-((AA243/V243)^(1/5)-1)),AA243*(1+$G$14)/$G$16))</f>
        <v>55285.636385164558</v>
      </c>
    </row>
    <row r="244" spans="3:28" customFormat="1" x14ac:dyDescent="0.25">
      <c r="E244" t="s">
        <v>23</v>
      </c>
      <c r="F244" t="s">
        <v>7</v>
      </c>
      <c r="G244" s="2">
        <f>SUM(G234:G243)</f>
        <v>-16353242.190885797</v>
      </c>
      <c r="H244" s="2">
        <f ca="1">SUM(H234:H243)</f>
        <v>-846351.28396198107</v>
      </c>
      <c r="I244" s="2">
        <f t="shared" ref="I244:AB244" ca="1" si="104">SUM(I234:I243)</f>
        <v>-834691.25544996455</v>
      </c>
      <c r="J244" s="2">
        <f t="shared" ca="1" si="104"/>
        <v>-1581630.7903376902</v>
      </c>
      <c r="K244" s="2">
        <f t="shared" ca="1" si="104"/>
        <v>-792411.17992105184</v>
      </c>
      <c r="L244" s="2">
        <f t="shared" ca="1" si="104"/>
        <v>-2739780.2011672282</v>
      </c>
      <c r="M244" s="2">
        <f t="shared" ca="1" si="104"/>
        <v>-2060772.7247615068</v>
      </c>
      <c r="N244" s="2">
        <f t="shared" ca="1" si="104"/>
        <v>-658677.46992851561</v>
      </c>
      <c r="O244" s="2">
        <f t="shared" ca="1" si="104"/>
        <v>-617417.42811967782</v>
      </c>
      <c r="P244" s="2">
        <f t="shared" ca="1" si="104"/>
        <v>-626192.8022080902</v>
      </c>
      <c r="Q244" s="2">
        <f t="shared" ca="1" si="104"/>
        <v>-631016.58698574337</v>
      </c>
      <c r="R244" s="2">
        <f t="shared" ca="1" si="104"/>
        <v>-687744.82678928575</v>
      </c>
      <c r="S244" s="2">
        <f t="shared" ca="1" si="104"/>
        <v>-749583.82526012801</v>
      </c>
      <c r="T244" s="2">
        <f t="shared" ca="1" si="104"/>
        <v>-816369.28366060602</v>
      </c>
      <c r="U244" s="2">
        <f t="shared" ca="1" si="104"/>
        <v>-845114.477364689</v>
      </c>
      <c r="V244" s="2">
        <f t="shared" ca="1" si="104"/>
        <v>-874137.99685042945</v>
      </c>
      <c r="W244" s="2">
        <f t="shared" ca="1" si="104"/>
        <v>-229365.34958677716</v>
      </c>
      <c r="X244" s="2">
        <f t="shared" ca="1" si="104"/>
        <v>-235731.4969287453</v>
      </c>
      <c r="Y244" s="2">
        <f t="shared" ca="1" si="104"/>
        <v>-242231.33336489473</v>
      </c>
      <c r="Z244" s="2">
        <f t="shared" ca="1" si="104"/>
        <v>-248867.66636620334</v>
      </c>
      <c r="AA244" s="2">
        <f t="shared" ca="1" si="104"/>
        <v>-255643.36236053929</v>
      </c>
      <c r="AB244" s="2">
        <f t="shared" ca="1" si="104"/>
        <v>-12974026.271711329</v>
      </c>
    </row>
    <row r="245" spans="3:28" customFormat="1" x14ac:dyDescent="0.25">
      <c r="E245" t="s">
        <v>31</v>
      </c>
      <c r="F245" t="s">
        <v>7</v>
      </c>
      <c r="G245" s="2">
        <f ca="1">NPV($G$15,H244:AB244)+G244</f>
        <v>-32284546.895269554</v>
      </c>
    </row>
    <row r="247" spans="3:28" customFormat="1" x14ac:dyDescent="0.25">
      <c r="E247" t="s">
        <v>13</v>
      </c>
      <c r="F247" t="s">
        <v>7</v>
      </c>
      <c r="H247" s="2">
        <f t="shared" ref="H247:AA247" ca="1" si="105">H219</f>
        <v>4056860.801089433</v>
      </c>
      <c r="I247" s="2">
        <f t="shared" ca="1" si="105"/>
        <v>3908537.1002293662</v>
      </c>
      <c r="J247" s="2">
        <f t="shared" ca="1" si="105"/>
        <v>3823494.587073788</v>
      </c>
      <c r="K247" s="2">
        <f t="shared" ca="1" si="105"/>
        <v>3539524.5193621749</v>
      </c>
      <c r="L247" s="2">
        <f t="shared" ca="1" si="105"/>
        <v>3253376.3009336614</v>
      </c>
      <c r="M247" s="2">
        <f t="shared" ca="1" si="105"/>
        <v>2977095.179770804</v>
      </c>
      <c r="N247" s="2">
        <f t="shared" ca="1" si="105"/>
        <v>2705507.8266892824</v>
      </c>
      <c r="O247" s="2">
        <f t="shared" ca="1" si="105"/>
        <v>2441669.2667350615</v>
      </c>
      <c r="P247" s="2">
        <f t="shared" ca="1" si="105"/>
        <v>2413253.9012274528</v>
      </c>
      <c r="Q247" s="2">
        <f t="shared" ca="1" si="105"/>
        <v>2365582.5476408685</v>
      </c>
      <c r="R247" s="2">
        <f t="shared" ca="1" si="105"/>
        <v>2557211.0906638931</v>
      </c>
      <c r="S247" s="2">
        <f t="shared" ca="1" si="105"/>
        <v>2766501.5964008565</v>
      </c>
      <c r="T247" s="2">
        <f t="shared" ca="1" si="105"/>
        <v>2992159.0359377908</v>
      </c>
      <c r="U247" s="2">
        <f t="shared" ca="1" si="105"/>
        <v>3034998.0488697691</v>
      </c>
      <c r="V247" s="2">
        <f t="shared" ca="1" si="105"/>
        <v>3076048.2860227101</v>
      </c>
      <c r="W247" s="2">
        <f t="shared" ca="1" si="105"/>
        <v>0</v>
      </c>
      <c r="X247" s="2">
        <f t="shared" ca="1" si="105"/>
        <v>0</v>
      </c>
      <c r="Y247" s="2">
        <f t="shared" ca="1" si="105"/>
        <v>0</v>
      </c>
      <c r="Z247" s="2">
        <f t="shared" ca="1" si="105"/>
        <v>0</v>
      </c>
      <c r="AA247" s="2">
        <f t="shared" ca="1" si="105"/>
        <v>0</v>
      </c>
    </row>
    <row r="248" spans="3:28" customFormat="1" x14ac:dyDescent="0.25">
      <c r="E248" t="s">
        <v>24</v>
      </c>
      <c r="F248" t="s">
        <v>7</v>
      </c>
      <c r="G248" s="2">
        <f ca="1">NPV($G$15,H247:AA247)+G247</f>
        <v>32284546.895269573</v>
      </c>
    </row>
    <row r="249" spans="3:28" customFormat="1" x14ac:dyDescent="0.25">
      <c r="E249" s="3" t="s">
        <v>34</v>
      </c>
      <c r="F249" s="3"/>
      <c r="G249" s="4" t="str">
        <f ca="1">IF(G245&gt;0,"N/A",IF(ABS(G245+G248)&gt;1,"Error","OK"))</f>
        <v>OK</v>
      </c>
    </row>
    <row r="251" spans="3:28" customFormat="1" x14ac:dyDescent="0.25">
      <c r="C251" s="1" t="s">
        <v>35</v>
      </c>
      <c r="D251" s="1"/>
    </row>
    <row r="252" spans="3:28" customFormat="1" x14ac:dyDescent="0.25">
      <c r="C252" s="1"/>
      <c r="D252" s="1"/>
      <c r="G252" s="8"/>
    </row>
    <row r="253" spans="3:28" customFormat="1" x14ac:dyDescent="0.25">
      <c r="C253" s="1"/>
      <c r="D253" t="s">
        <v>35</v>
      </c>
      <c r="F253" t="s">
        <v>7</v>
      </c>
      <c r="G253" s="8">
        <f ca="1">MAX(0,-G279)</f>
        <v>32290204.863730945</v>
      </c>
    </row>
    <row r="255" spans="3:28" customFormat="1" x14ac:dyDescent="0.25">
      <c r="D255" t="s">
        <v>9</v>
      </c>
    </row>
    <row r="256" spans="3:28" customFormat="1" x14ac:dyDescent="0.25">
      <c r="E256" t="s">
        <v>107</v>
      </c>
      <c r="F256" t="s">
        <v>7</v>
      </c>
      <c r="G256" s="2">
        <f t="shared" ref="G256:AA261" si="106">G222</f>
        <v>0</v>
      </c>
      <c r="H256" s="2">
        <f t="shared" si="106"/>
        <v>1667037.7499999998</v>
      </c>
      <c r="I256" s="2">
        <f t="shared" si="106"/>
        <v>1606088.8486999997</v>
      </c>
      <c r="J256" s="2">
        <f t="shared" si="106"/>
        <v>1571143.336212327</v>
      </c>
      <c r="K256" s="2">
        <f t="shared" si="106"/>
        <v>1454454.8802963162</v>
      </c>
      <c r="L256" s="2">
        <f t="shared" si="106"/>
        <v>1336871.3827093451</v>
      </c>
      <c r="M256" s="2">
        <f t="shared" si="106"/>
        <v>1223342.4545126655</v>
      </c>
      <c r="N256" s="2">
        <f t="shared" si="106"/>
        <v>1111742.280829631</v>
      </c>
      <c r="O256" s="2">
        <f t="shared" si="106"/>
        <v>1003326.226911485</v>
      </c>
      <c r="P256" s="2">
        <f t="shared" si="106"/>
        <v>991649.83738179936</v>
      </c>
      <c r="Q256" s="2">
        <f t="shared" si="106"/>
        <v>972060.81278398889</v>
      </c>
      <c r="R256" s="2">
        <f t="shared" si="106"/>
        <v>1050804.45986971</v>
      </c>
      <c r="S256" s="2">
        <f t="shared" si="106"/>
        <v>1136805.728063683</v>
      </c>
      <c r="T256" s="2">
        <f t="shared" si="106"/>
        <v>1229532.4664756572</v>
      </c>
      <c r="U256" s="2">
        <f t="shared" si="106"/>
        <v>1247135.7945738677</v>
      </c>
      <c r="V256" s="2">
        <f t="shared" si="106"/>
        <v>1264004.0822316618</v>
      </c>
      <c r="W256" s="2">
        <f t="shared" si="106"/>
        <v>0</v>
      </c>
      <c r="X256" s="2">
        <f t="shared" si="106"/>
        <v>0</v>
      </c>
      <c r="Y256" s="2">
        <f t="shared" si="106"/>
        <v>0</v>
      </c>
      <c r="Z256" s="2">
        <f t="shared" si="106"/>
        <v>0</v>
      </c>
      <c r="AA256" s="2">
        <f t="shared" si="106"/>
        <v>0</v>
      </c>
    </row>
    <row r="257" spans="4:28" customFormat="1" x14ac:dyDescent="0.25">
      <c r="E257" t="s">
        <v>11</v>
      </c>
      <c r="F257" t="s">
        <v>7</v>
      </c>
      <c r="G257" s="2">
        <f t="shared" si="106"/>
        <v>0</v>
      </c>
      <c r="H257" s="2">
        <f t="shared" si="106"/>
        <v>31729.549347582702</v>
      </c>
      <c r="I257" s="2">
        <f t="shared" si="106"/>
        <v>61240.098260634382</v>
      </c>
      <c r="J257" s="2">
        <f t="shared" si="106"/>
        <v>91611.105112678662</v>
      </c>
      <c r="K257" s="2">
        <f t="shared" si="106"/>
        <v>120459.7694318682</v>
      </c>
      <c r="L257" s="2">
        <f t="shared" si="106"/>
        <v>147737.55303675839</v>
      </c>
      <c r="M257" s="2">
        <f t="shared" si="106"/>
        <v>173486.52551599496</v>
      </c>
      <c r="N257" s="2">
        <f t="shared" si="106"/>
        <v>197710.28688959175</v>
      </c>
      <c r="O257" s="2">
        <f t="shared" si="106"/>
        <v>220435.75206703268</v>
      </c>
      <c r="P257" s="2">
        <f t="shared" si="106"/>
        <v>243422.29899233856</v>
      </c>
      <c r="Q257" s="2">
        <f t="shared" si="106"/>
        <v>266528.9318865629</v>
      </c>
      <c r="R257" s="2">
        <f t="shared" si="106"/>
        <v>291578.50442902237</v>
      </c>
      <c r="S257" s="2">
        <f t="shared" si="106"/>
        <v>318746.17124650377</v>
      </c>
      <c r="T257" s="2">
        <f t="shared" si="106"/>
        <v>348200.91404944501</v>
      </c>
      <c r="U257" s="2">
        <f t="shared" si="106"/>
        <v>378600.07880553772</v>
      </c>
      <c r="V257" s="2">
        <f t="shared" si="106"/>
        <v>409949.89132618339</v>
      </c>
      <c r="W257" s="2">
        <f t="shared" si="106"/>
        <v>418558.83904403314</v>
      </c>
      <c r="X257" s="2">
        <f t="shared" si="106"/>
        <v>427348.57466395781</v>
      </c>
      <c r="Y257" s="2">
        <f t="shared" si="106"/>
        <v>436322.89473190083</v>
      </c>
      <c r="Z257" s="2">
        <f t="shared" si="106"/>
        <v>445485.67552127072</v>
      </c>
      <c r="AA257" s="2">
        <f t="shared" si="106"/>
        <v>454840.87470721739</v>
      </c>
    </row>
    <row r="258" spans="4:28" customFormat="1" x14ac:dyDescent="0.25">
      <c r="E258" t="s">
        <v>57</v>
      </c>
      <c r="F258" t="s">
        <v>7</v>
      </c>
      <c r="G258" s="2">
        <f t="shared" si="106"/>
        <v>0</v>
      </c>
      <c r="H258" s="2">
        <f t="shared" si="106"/>
        <v>0</v>
      </c>
      <c r="I258" s="2">
        <f t="shared" si="106"/>
        <v>0</v>
      </c>
      <c r="J258" s="2">
        <f t="shared" si="106"/>
        <v>0</v>
      </c>
      <c r="K258" s="2">
        <f t="shared" si="106"/>
        <v>0</v>
      </c>
      <c r="L258" s="2">
        <f t="shared" si="106"/>
        <v>0</v>
      </c>
      <c r="M258" s="2">
        <f t="shared" si="106"/>
        <v>0</v>
      </c>
      <c r="N258" s="2">
        <f t="shared" si="106"/>
        <v>0</v>
      </c>
      <c r="O258" s="2">
        <f t="shared" si="106"/>
        <v>0</v>
      </c>
      <c r="P258" s="2">
        <f t="shared" si="106"/>
        <v>0</v>
      </c>
      <c r="Q258" s="2">
        <f t="shared" si="106"/>
        <v>0</v>
      </c>
      <c r="R258" s="2">
        <f t="shared" si="106"/>
        <v>0</v>
      </c>
      <c r="S258" s="2">
        <f t="shared" si="106"/>
        <v>0</v>
      </c>
      <c r="T258" s="2">
        <f t="shared" si="106"/>
        <v>0</v>
      </c>
      <c r="U258" s="2">
        <f t="shared" si="106"/>
        <v>0</v>
      </c>
      <c r="V258" s="2">
        <f t="shared" si="106"/>
        <v>0</v>
      </c>
      <c r="W258" s="2">
        <f t="shared" si="106"/>
        <v>0</v>
      </c>
      <c r="X258" s="2">
        <f t="shared" si="106"/>
        <v>0</v>
      </c>
      <c r="Y258" s="2">
        <f t="shared" si="106"/>
        <v>0</v>
      </c>
      <c r="Z258" s="2">
        <f t="shared" si="106"/>
        <v>0</v>
      </c>
      <c r="AA258" s="2">
        <f t="shared" si="106"/>
        <v>0</v>
      </c>
    </row>
    <row r="259" spans="4:28" customFormat="1" x14ac:dyDescent="0.25">
      <c r="E259" t="s">
        <v>10</v>
      </c>
      <c r="F259" t="s">
        <v>7</v>
      </c>
      <c r="G259" s="2">
        <f t="shared" si="106"/>
        <v>0</v>
      </c>
      <c r="H259" s="2">
        <f t="shared" si="106"/>
        <v>-57155.579999999994</v>
      </c>
      <c r="I259" s="2">
        <f t="shared" si="106"/>
        <v>-113421.75056399997</v>
      </c>
      <c r="J259" s="2">
        <f t="shared" si="106"/>
        <v>-169671.37885312375</v>
      </c>
      <c r="K259" s="2">
        <f t="shared" si="106"/>
        <v>-223101.50227634163</v>
      </c>
      <c r="L259" s="2">
        <f t="shared" si="106"/>
        <v>-273622.22408846515</v>
      </c>
      <c r="M259" s="2">
        <f t="shared" si="106"/>
        <v>-321311.46066332853</v>
      </c>
      <c r="N259" s="2">
        <f t="shared" si="106"/>
        <v>-366175.87953713146</v>
      </c>
      <c r="O259" s="2">
        <f t="shared" si="106"/>
        <v>-408265.32935866207</v>
      </c>
      <c r="P259" s="2">
        <f t="shared" si="106"/>
        <v>-450838.32427114138</v>
      </c>
      <c r="Q259" s="2">
        <f t="shared" si="106"/>
        <v>-493633.72837628628</v>
      </c>
      <c r="R259" s="2">
        <f t="shared" si="106"/>
        <v>-540027.61815343541</v>
      </c>
      <c r="S259" s="2">
        <f t="shared" si="106"/>
        <v>-590344.39452541235</v>
      </c>
      <c r="T259" s="2">
        <f t="shared" si="106"/>
        <v>-644897.02566103998</v>
      </c>
      <c r="U259" s="2">
        <f t="shared" si="106"/>
        <v>-701198.80472816876</v>
      </c>
      <c r="V259" s="2">
        <f t="shared" si="106"/>
        <v>-759261.26244683156</v>
      </c>
      <c r="W259" s="2">
        <f t="shared" si="106"/>
        <v>-775205.74895821488</v>
      </c>
      <c r="X259" s="2">
        <f t="shared" si="106"/>
        <v>-791485.06968633737</v>
      </c>
      <c r="Y259" s="2">
        <f t="shared" si="106"/>
        <v>-808106.25614975032</v>
      </c>
      <c r="Z259" s="2">
        <f t="shared" si="106"/>
        <v>-825076.48752889503</v>
      </c>
      <c r="AA259" s="2">
        <f t="shared" si="106"/>
        <v>-842403.09376700164</v>
      </c>
    </row>
    <row r="260" spans="4:28" customFormat="1" x14ac:dyDescent="0.25">
      <c r="E260" t="s">
        <v>12</v>
      </c>
      <c r="F260" t="s">
        <v>7</v>
      </c>
      <c r="G260" s="2">
        <f t="shared" si="106"/>
        <v>-204799.52649825669</v>
      </c>
      <c r="H260" s="2">
        <f t="shared" si="106"/>
        <v>-225637.49837325668</v>
      </c>
      <c r="I260" s="2">
        <f t="shared" si="106"/>
        <v>-245713.60898200667</v>
      </c>
      <c r="J260" s="2">
        <f t="shared" si="106"/>
        <v>-274694.00029979029</v>
      </c>
      <c r="K260" s="2">
        <f t="shared" si="106"/>
        <v>-292874.68630349427</v>
      </c>
      <c r="L260" s="2">
        <f t="shared" si="106"/>
        <v>-334515.80920746038</v>
      </c>
      <c r="M260" s="2">
        <f t="shared" si="106"/>
        <v>-366808.55448783026</v>
      </c>
      <c r="N260" s="2">
        <f t="shared" si="106"/>
        <v>-380705.33299820067</v>
      </c>
      <c r="O260" s="2">
        <f t="shared" si="106"/>
        <v>-393246.91083459422</v>
      </c>
      <c r="P260" s="2">
        <f t="shared" si="106"/>
        <v>-405642.5338018667</v>
      </c>
      <c r="Q260" s="2">
        <f t="shared" si="106"/>
        <v>-417793.29396166658</v>
      </c>
      <c r="R260" s="2">
        <f t="shared" si="106"/>
        <v>-430928.34971003793</v>
      </c>
      <c r="S260" s="2">
        <f t="shared" si="106"/>
        <v>-445138.421310834</v>
      </c>
      <c r="T260" s="2">
        <f t="shared" si="106"/>
        <v>-460507.57714177971</v>
      </c>
      <c r="U260" s="2">
        <f t="shared" si="106"/>
        <v>-476096.77457395307</v>
      </c>
      <c r="V260" s="2">
        <f t="shared" si="106"/>
        <v>-491896.82560184883</v>
      </c>
      <c r="W260" s="2">
        <f t="shared" si="106"/>
        <v>-491896.82560184883</v>
      </c>
      <c r="X260" s="2">
        <f t="shared" si="106"/>
        <v>-491896.82560184883</v>
      </c>
      <c r="Y260" s="2">
        <f t="shared" si="106"/>
        <v>-491896.82560184883</v>
      </c>
      <c r="Z260" s="2">
        <f t="shared" si="106"/>
        <v>-491896.82560184883</v>
      </c>
      <c r="AA260" s="2">
        <f t="shared" si="106"/>
        <v>-491896.82560184883</v>
      </c>
    </row>
    <row r="261" spans="4:28" customFormat="1" x14ac:dyDescent="0.25">
      <c r="E261" t="s">
        <v>48</v>
      </c>
      <c r="F261" t="s">
        <v>7</v>
      </c>
      <c r="G261" s="2">
        <f t="shared" si="106"/>
        <v>0</v>
      </c>
      <c r="H261" s="2">
        <f t="shared" si="106"/>
        <v>0</v>
      </c>
      <c r="I261" s="2">
        <f t="shared" si="106"/>
        <v>0</v>
      </c>
      <c r="J261" s="2">
        <f t="shared" si="106"/>
        <v>0</v>
      </c>
      <c r="K261" s="2">
        <f t="shared" si="106"/>
        <v>0</v>
      </c>
      <c r="L261" s="2">
        <f t="shared" si="106"/>
        <v>0</v>
      </c>
      <c r="M261" s="2">
        <f t="shared" si="106"/>
        <v>0</v>
      </c>
      <c r="N261" s="2">
        <f t="shared" si="106"/>
        <v>0</v>
      </c>
      <c r="O261" s="2">
        <f t="shared" si="106"/>
        <v>0</v>
      </c>
      <c r="P261" s="2">
        <f t="shared" si="106"/>
        <v>0</v>
      </c>
      <c r="Q261" s="2">
        <f t="shared" si="106"/>
        <v>0</v>
      </c>
      <c r="R261" s="2">
        <f t="shared" si="106"/>
        <v>0</v>
      </c>
      <c r="S261" s="2">
        <f t="shared" si="106"/>
        <v>0</v>
      </c>
      <c r="T261" s="2">
        <f t="shared" si="106"/>
        <v>0</v>
      </c>
      <c r="U261" s="2">
        <f t="shared" si="106"/>
        <v>0</v>
      </c>
      <c r="V261" s="2">
        <f t="shared" si="106"/>
        <v>0</v>
      </c>
      <c r="W261" s="2">
        <f t="shared" si="106"/>
        <v>0</v>
      </c>
      <c r="X261" s="2">
        <f t="shared" si="106"/>
        <v>0</v>
      </c>
      <c r="Y261" s="2">
        <f t="shared" si="106"/>
        <v>0</v>
      </c>
      <c r="Z261" s="2">
        <f t="shared" si="106"/>
        <v>0</v>
      </c>
      <c r="AA261" s="2">
        <f t="shared" si="106"/>
        <v>0</v>
      </c>
    </row>
    <row r="262" spans="4:28" customFormat="1" x14ac:dyDescent="0.25">
      <c r="E262" t="s">
        <v>13</v>
      </c>
      <c r="F262" t="s">
        <v>7</v>
      </c>
      <c r="G262" s="2">
        <f ca="1">G253</f>
        <v>32290204.863730945</v>
      </c>
      <c r="H262" s="2"/>
      <c r="I262" s="2"/>
      <c r="J262" s="2"/>
      <c r="K262" s="2"/>
      <c r="L262" s="2"/>
      <c r="M262" s="2"/>
      <c r="N262" s="2"/>
      <c r="O262" s="2"/>
      <c r="P262" s="2"/>
      <c r="Q262" s="2"/>
      <c r="R262" s="2"/>
      <c r="S262" s="2"/>
      <c r="T262" s="2"/>
      <c r="U262" s="2"/>
      <c r="V262" s="2"/>
      <c r="W262" s="2"/>
      <c r="X262" s="2"/>
      <c r="Y262" s="2"/>
      <c r="Z262" s="2"/>
      <c r="AA262" s="2"/>
    </row>
    <row r="263" spans="4:28" customFormat="1" x14ac:dyDescent="0.25"/>
    <row r="264" spans="4:28" customFormat="1" x14ac:dyDescent="0.25">
      <c r="E264" t="s">
        <v>14</v>
      </c>
      <c r="F264" t="s">
        <v>7</v>
      </c>
      <c r="G264" s="2">
        <f t="shared" ref="G264:AA264" ca="1" si="107">SUM(G256:G262)</f>
        <v>32085405.337232687</v>
      </c>
      <c r="H264" s="2">
        <f t="shared" si="107"/>
        <v>1415974.2209743257</v>
      </c>
      <c r="I264" s="2">
        <f t="shared" si="107"/>
        <v>1308193.5874146274</v>
      </c>
      <c r="J264" s="2">
        <f t="shared" si="107"/>
        <v>1218389.0621720916</v>
      </c>
      <c r="K264" s="2">
        <f t="shared" si="107"/>
        <v>1058938.4611483484</v>
      </c>
      <c r="L264" s="2">
        <f t="shared" si="107"/>
        <v>876470.90245017805</v>
      </c>
      <c r="M264" s="2">
        <f t="shared" si="107"/>
        <v>708708.96487750183</v>
      </c>
      <c r="N264" s="2">
        <f t="shared" si="107"/>
        <v>562571.35518389067</v>
      </c>
      <c r="O264" s="2">
        <f t="shared" si="107"/>
        <v>422249.73878526146</v>
      </c>
      <c r="P264" s="2">
        <f t="shared" si="107"/>
        <v>378591.27830112982</v>
      </c>
      <c r="Q264" s="2">
        <f t="shared" si="107"/>
        <v>327162.72233259882</v>
      </c>
      <c r="R264" s="2">
        <f t="shared" si="107"/>
        <v>371426.996435259</v>
      </c>
      <c r="S264" s="2">
        <f t="shared" si="107"/>
        <v>420069.08347394038</v>
      </c>
      <c r="T264" s="2">
        <f t="shared" si="107"/>
        <v>472328.77772228245</v>
      </c>
      <c r="U264" s="2">
        <f t="shared" si="107"/>
        <v>448440.29407728353</v>
      </c>
      <c r="V264" s="2">
        <f t="shared" si="107"/>
        <v>422795.88550916483</v>
      </c>
      <c r="W264" s="2">
        <f t="shared" si="107"/>
        <v>-848543.73551603057</v>
      </c>
      <c r="X264" s="2">
        <f t="shared" si="107"/>
        <v>-856033.32062422833</v>
      </c>
      <c r="Y264" s="2">
        <f t="shared" si="107"/>
        <v>-863680.18701969832</v>
      </c>
      <c r="Z264" s="2">
        <f t="shared" si="107"/>
        <v>-871487.6376094732</v>
      </c>
      <c r="AA264" s="2">
        <f t="shared" si="107"/>
        <v>-879459.04466163309</v>
      </c>
    </row>
    <row r="265" spans="4:28" customFormat="1" x14ac:dyDescent="0.25">
      <c r="E265" t="s">
        <v>15</v>
      </c>
      <c r="F265" t="s">
        <v>7</v>
      </c>
      <c r="G265" s="2">
        <f ca="1">-G264*G$18</f>
        <v>-9625621.601169806</v>
      </c>
      <c r="H265" s="2">
        <f t="shared" ref="H265:AA265" si="108">-H264*H$18</f>
        <v>-424792.26629229769</v>
      </c>
      <c r="I265" s="2">
        <f t="shared" si="108"/>
        <v>-392458.07622438821</v>
      </c>
      <c r="J265" s="2">
        <f t="shared" si="108"/>
        <v>-365516.71865162748</v>
      </c>
      <c r="K265" s="2">
        <f t="shared" si="108"/>
        <v>-317681.53834450449</v>
      </c>
      <c r="L265" s="2">
        <f t="shared" si="108"/>
        <v>-262941.2707350534</v>
      </c>
      <c r="M265" s="2">
        <f t="shared" si="108"/>
        <v>-212612.68946325054</v>
      </c>
      <c r="N265" s="2">
        <f t="shared" si="108"/>
        <v>-168771.4065551672</v>
      </c>
      <c r="O265" s="2">
        <f t="shared" si="108"/>
        <v>-126674.92163557843</v>
      </c>
      <c r="P265" s="2">
        <f t="shared" si="108"/>
        <v>-113577.38349033894</v>
      </c>
      <c r="Q265" s="2">
        <f t="shared" si="108"/>
        <v>-98148.816699779636</v>
      </c>
      <c r="R265" s="2">
        <f t="shared" si="108"/>
        <v>-111428.0989305777</v>
      </c>
      <c r="S265" s="2">
        <f t="shared" si="108"/>
        <v>-126020.72504218211</v>
      </c>
      <c r="T265" s="2">
        <f t="shared" si="108"/>
        <v>-141698.63331668472</v>
      </c>
      <c r="U265" s="2">
        <f t="shared" si="108"/>
        <v>-134532.08822318504</v>
      </c>
      <c r="V265" s="2">
        <f t="shared" si="108"/>
        <v>-126838.76565274944</v>
      </c>
      <c r="W265" s="2">
        <f t="shared" si="108"/>
        <v>254563.12065480917</v>
      </c>
      <c r="X265" s="2">
        <f t="shared" si="108"/>
        <v>256809.99618726849</v>
      </c>
      <c r="Y265" s="2">
        <f t="shared" si="108"/>
        <v>259104.05610590949</v>
      </c>
      <c r="Z265" s="2">
        <f t="shared" si="108"/>
        <v>261446.29128284194</v>
      </c>
      <c r="AA265" s="2">
        <f t="shared" si="108"/>
        <v>263837.71339848993</v>
      </c>
    </row>
    <row r="266" spans="4:28" customFormat="1" x14ac:dyDescent="0.25"/>
    <row r="267" spans="4:28" customFormat="1" x14ac:dyDescent="0.25">
      <c r="D267" t="s">
        <v>28</v>
      </c>
    </row>
    <row r="268" spans="4:28" customFormat="1" x14ac:dyDescent="0.25">
      <c r="E268" t="s">
        <v>1</v>
      </c>
      <c r="F268" t="s">
        <v>7</v>
      </c>
      <c r="G268" s="2">
        <f t="shared" ref="G268:AA275" si="109">G234</f>
        <v>-16383962.119860535</v>
      </c>
      <c r="H268" s="2">
        <f t="shared" si="109"/>
        <v>0</v>
      </c>
      <c r="I268" s="2">
        <f t="shared" si="109"/>
        <v>0</v>
      </c>
      <c r="J268" s="2">
        <f t="shared" si="109"/>
        <v>-747287.96921036311</v>
      </c>
      <c r="K268" s="2">
        <f t="shared" si="109"/>
        <v>0</v>
      </c>
      <c r="L268" s="2">
        <f t="shared" si="109"/>
        <v>-1994418.449607946</v>
      </c>
      <c r="M268" s="2">
        <f t="shared" si="109"/>
        <v>-1360077.1679169273</v>
      </c>
      <c r="N268" s="2">
        <f t="shared" si="109"/>
        <v>0</v>
      </c>
      <c r="O268" s="2">
        <f t="shared" si="109"/>
        <v>0</v>
      </c>
      <c r="P268" s="2">
        <f t="shared" si="109"/>
        <v>0</v>
      </c>
      <c r="Q268" s="2">
        <f t="shared" si="109"/>
        <v>0</v>
      </c>
      <c r="R268" s="2">
        <f t="shared" si="109"/>
        <v>0</v>
      </c>
      <c r="S268" s="2">
        <f t="shared" si="109"/>
        <v>0</v>
      </c>
      <c r="T268" s="2">
        <f t="shared" si="109"/>
        <v>0</v>
      </c>
      <c r="U268" s="2">
        <f t="shared" si="109"/>
        <v>0</v>
      </c>
      <c r="V268" s="2">
        <f t="shared" si="109"/>
        <v>0</v>
      </c>
      <c r="W268" s="2">
        <f t="shared" si="109"/>
        <v>0</v>
      </c>
      <c r="X268" s="2">
        <f t="shared" si="109"/>
        <v>0</v>
      </c>
      <c r="Y268" s="2">
        <f t="shared" si="109"/>
        <v>0</v>
      </c>
      <c r="Z268" s="2">
        <f t="shared" si="109"/>
        <v>0</v>
      </c>
      <c r="AA268" s="2">
        <f t="shared" si="109"/>
        <v>0</v>
      </c>
    </row>
    <row r="269" spans="4:28" customFormat="1" x14ac:dyDescent="0.25">
      <c r="E269" t="s">
        <v>19</v>
      </c>
      <c r="F269" t="s">
        <v>7</v>
      </c>
      <c r="G269" s="2">
        <f t="shared" si="109"/>
        <v>0</v>
      </c>
      <c r="H269" s="2">
        <f t="shared" si="109"/>
        <v>0</v>
      </c>
      <c r="I269" s="2">
        <f t="shared" si="109"/>
        <v>0</v>
      </c>
      <c r="J269" s="2">
        <f t="shared" si="109"/>
        <v>0</v>
      </c>
      <c r="K269" s="2">
        <f t="shared" si="109"/>
        <v>0</v>
      </c>
      <c r="L269" s="2">
        <f t="shared" si="109"/>
        <v>0</v>
      </c>
      <c r="M269" s="2">
        <f t="shared" si="109"/>
        <v>0</v>
      </c>
      <c r="N269" s="2">
        <f t="shared" si="109"/>
        <v>0</v>
      </c>
      <c r="O269" s="2">
        <f t="shared" si="109"/>
        <v>0</v>
      </c>
      <c r="P269" s="2">
        <f t="shared" si="109"/>
        <v>0</v>
      </c>
      <c r="Q269" s="2">
        <f t="shared" si="109"/>
        <v>0</v>
      </c>
      <c r="R269" s="2">
        <f t="shared" si="109"/>
        <v>0</v>
      </c>
      <c r="S269" s="2">
        <f t="shared" si="109"/>
        <v>0</v>
      </c>
      <c r="T269" s="2">
        <f t="shared" si="109"/>
        <v>0</v>
      </c>
      <c r="U269" s="2">
        <f t="shared" si="109"/>
        <v>0</v>
      </c>
      <c r="V269" s="2">
        <f t="shared" si="109"/>
        <v>0</v>
      </c>
      <c r="W269" s="2">
        <f t="shared" si="109"/>
        <v>0</v>
      </c>
      <c r="X269" s="2">
        <f t="shared" si="109"/>
        <v>0</v>
      </c>
      <c r="Y269" s="2">
        <f t="shared" si="109"/>
        <v>0</v>
      </c>
      <c r="Z269" s="2">
        <f t="shared" si="109"/>
        <v>0</v>
      </c>
      <c r="AA269" s="2">
        <f t="shared" si="109"/>
        <v>0</v>
      </c>
    </row>
    <row r="270" spans="4:28" customFormat="1" x14ac:dyDescent="0.25">
      <c r="E270" t="s">
        <v>109</v>
      </c>
      <c r="F270" t="s">
        <v>7</v>
      </c>
      <c r="G270" s="2">
        <f t="shared" si="109"/>
        <v>0</v>
      </c>
      <c r="H270" s="2">
        <f t="shared" si="109"/>
        <v>0</v>
      </c>
      <c r="I270" s="2">
        <f t="shared" si="109"/>
        <v>0</v>
      </c>
      <c r="J270" s="2">
        <f t="shared" si="109"/>
        <v>0</v>
      </c>
      <c r="K270" s="2">
        <f t="shared" si="109"/>
        <v>0</v>
      </c>
      <c r="L270" s="2">
        <f t="shared" si="109"/>
        <v>0</v>
      </c>
      <c r="M270" s="2">
        <f t="shared" si="109"/>
        <v>0</v>
      </c>
      <c r="N270" s="2">
        <f t="shared" si="109"/>
        <v>0</v>
      </c>
      <c r="O270" s="2">
        <f t="shared" si="109"/>
        <v>0</v>
      </c>
      <c r="P270" s="2">
        <f t="shared" si="109"/>
        <v>0</v>
      </c>
      <c r="Q270" s="2">
        <f t="shared" si="109"/>
        <v>0</v>
      </c>
      <c r="R270" s="2">
        <f t="shared" si="109"/>
        <v>0</v>
      </c>
      <c r="S270" s="2">
        <f t="shared" si="109"/>
        <v>0</v>
      </c>
      <c r="T270" s="2">
        <f t="shared" si="109"/>
        <v>0</v>
      </c>
      <c r="U270" s="2">
        <f t="shared" si="109"/>
        <v>0</v>
      </c>
      <c r="V270" s="2">
        <f t="shared" si="109"/>
        <v>0</v>
      </c>
      <c r="W270" s="2">
        <f t="shared" si="109"/>
        <v>0</v>
      </c>
      <c r="X270" s="2">
        <f t="shared" si="109"/>
        <v>0</v>
      </c>
      <c r="Y270" s="2">
        <f t="shared" si="109"/>
        <v>0</v>
      </c>
      <c r="Z270" s="2">
        <f t="shared" si="109"/>
        <v>0</v>
      </c>
      <c r="AA270" s="2">
        <f t="shared" si="109"/>
        <v>0</v>
      </c>
    </row>
    <row r="271" spans="4:28" customFormat="1" x14ac:dyDescent="0.25">
      <c r="E271" t="s">
        <v>11</v>
      </c>
      <c r="F271" t="s">
        <v>7</v>
      </c>
      <c r="G271" s="2">
        <f t="shared" si="109"/>
        <v>0</v>
      </c>
      <c r="H271" s="2">
        <f t="shared" si="109"/>
        <v>31729.549347582702</v>
      </c>
      <c r="I271" s="2">
        <f t="shared" si="109"/>
        <v>61240.098260634382</v>
      </c>
      <c r="J271" s="2">
        <f t="shared" si="109"/>
        <v>91611.105112678662</v>
      </c>
      <c r="K271" s="2">
        <f t="shared" si="109"/>
        <v>120459.7694318682</v>
      </c>
      <c r="L271" s="2">
        <f t="shared" si="109"/>
        <v>147737.55303675839</v>
      </c>
      <c r="M271" s="2">
        <f t="shared" si="109"/>
        <v>173486.52551599496</v>
      </c>
      <c r="N271" s="2">
        <f t="shared" si="109"/>
        <v>197710.28688959175</v>
      </c>
      <c r="O271" s="2">
        <f t="shared" si="109"/>
        <v>220435.75206703268</v>
      </c>
      <c r="P271" s="2">
        <f t="shared" si="109"/>
        <v>243422.29899233856</v>
      </c>
      <c r="Q271" s="2">
        <f t="shared" si="109"/>
        <v>266528.9318865629</v>
      </c>
      <c r="R271" s="2">
        <f t="shared" si="109"/>
        <v>291578.50442902237</v>
      </c>
      <c r="S271" s="2">
        <f t="shared" si="109"/>
        <v>318746.17124650377</v>
      </c>
      <c r="T271" s="2">
        <f t="shared" si="109"/>
        <v>348200.91404944501</v>
      </c>
      <c r="U271" s="2">
        <f t="shared" si="109"/>
        <v>378600.07880553772</v>
      </c>
      <c r="V271" s="2">
        <f t="shared" si="109"/>
        <v>409949.89132618339</v>
      </c>
      <c r="W271" s="2">
        <f t="shared" si="109"/>
        <v>418558.83904403314</v>
      </c>
      <c r="X271" s="2">
        <f t="shared" si="109"/>
        <v>427348.57466395781</v>
      </c>
      <c r="Y271" s="2">
        <f t="shared" si="109"/>
        <v>436322.89473190083</v>
      </c>
      <c r="Z271" s="2">
        <f t="shared" si="109"/>
        <v>445485.67552127072</v>
      </c>
      <c r="AA271" s="2">
        <f t="shared" si="109"/>
        <v>454840.87470721739</v>
      </c>
      <c r="AB271" s="2">
        <f t="shared" ref="AB271:AB275" si="110">IF(V271=0,0,IF($G$15&gt;(AA271/V271)^(1/5)-1+2%,AA271*(AA271/V271)^(1/5)/($G$15-((AA271/V271)^(1/5)-1)),AA271*(1+$G$14)/$G$16))</f>
        <v>15161362.490240611</v>
      </c>
    </row>
    <row r="272" spans="4:28" customFormat="1" x14ac:dyDescent="0.25">
      <c r="E272" t="s">
        <v>57</v>
      </c>
      <c r="F272" t="s">
        <v>7</v>
      </c>
      <c r="G272" s="2">
        <f t="shared" si="109"/>
        <v>0</v>
      </c>
      <c r="H272" s="2">
        <f t="shared" si="109"/>
        <v>0</v>
      </c>
      <c r="I272" s="2">
        <f t="shared" si="109"/>
        <v>0</v>
      </c>
      <c r="J272" s="2">
        <f t="shared" si="109"/>
        <v>0</v>
      </c>
      <c r="K272" s="2">
        <f t="shared" si="109"/>
        <v>0</v>
      </c>
      <c r="L272" s="2">
        <f t="shared" si="109"/>
        <v>0</v>
      </c>
      <c r="M272" s="2">
        <f t="shared" si="109"/>
        <v>0</v>
      </c>
      <c r="N272" s="2">
        <f t="shared" si="109"/>
        <v>0</v>
      </c>
      <c r="O272" s="2">
        <f t="shared" si="109"/>
        <v>0</v>
      </c>
      <c r="P272" s="2">
        <f t="shared" si="109"/>
        <v>0</v>
      </c>
      <c r="Q272" s="2">
        <f t="shared" si="109"/>
        <v>0</v>
      </c>
      <c r="R272" s="2">
        <f t="shared" si="109"/>
        <v>0</v>
      </c>
      <c r="S272" s="2">
        <f t="shared" si="109"/>
        <v>0</v>
      </c>
      <c r="T272" s="2">
        <f t="shared" si="109"/>
        <v>0</v>
      </c>
      <c r="U272" s="2">
        <f t="shared" si="109"/>
        <v>0</v>
      </c>
      <c r="V272" s="2">
        <f t="shared" si="109"/>
        <v>0</v>
      </c>
      <c r="W272" s="2">
        <f t="shared" si="109"/>
        <v>0</v>
      </c>
      <c r="X272" s="2">
        <f t="shared" si="109"/>
        <v>0</v>
      </c>
      <c r="Y272" s="2">
        <f t="shared" si="109"/>
        <v>0</v>
      </c>
      <c r="Z272" s="2">
        <f t="shared" si="109"/>
        <v>0</v>
      </c>
      <c r="AA272" s="2">
        <f t="shared" si="109"/>
        <v>0</v>
      </c>
      <c r="AB272" s="2">
        <f t="shared" si="110"/>
        <v>0</v>
      </c>
    </row>
    <row r="273" spans="1:28" x14ac:dyDescent="0.25">
      <c r="E273" t="s">
        <v>10</v>
      </c>
      <c r="F273" t="s">
        <v>7</v>
      </c>
      <c r="G273" s="2">
        <f t="shared" si="109"/>
        <v>0</v>
      </c>
      <c r="H273" s="2">
        <f t="shared" si="109"/>
        <v>-57155.579999999994</v>
      </c>
      <c r="I273" s="2">
        <f t="shared" si="109"/>
        <v>-113421.75056399997</v>
      </c>
      <c r="J273" s="2">
        <f t="shared" si="109"/>
        <v>-169671.37885312375</v>
      </c>
      <c r="K273" s="2">
        <f t="shared" si="109"/>
        <v>-223101.50227634163</v>
      </c>
      <c r="L273" s="2">
        <f t="shared" si="109"/>
        <v>-273622.22408846515</v>
      </c>
      <c r="M273" s="2">
        <f t="shared" si="109"/>
        <v>-321311.46066332853</v>
      </c>
      <c r="N273" s="2">
        <f t="shared" si="109"/>
        <v>-366175.87953713146</v>
      </c>
      <c r="O273" s="2">
        <f t="shared" si="109"/>
        <v>-408265.32935866207</v>
      </c>
      <c r="P273" s="2">
        <f t="shared" si="109"/>
        <v>-450838.32427114138</v>
      </c>
      <c r="Q273" s="2">
        <f t="shared" si="109"/>
        <v>-493633.72837628628</v>
      </c>
      <c r="R273" s="2">
        <f t="shared" si="109"/>
        <v>-540027.61815343541</v>
      </c>
      <c r="S273" s="2">
        <f t="shared" si="109"/>
        <v>-590344.39452541235</v>
      </c>
      <c r="T273" s="2">
        <f t="shared" si="109"/>
        <v>-644897.02566103998</v>
      </c>
      <c r="U273" s="2">
        <f t="shared" si="109"/>
        <v>-701198.80472816876</v>
      </c>
      <c r="V273" s="2">
        <f t="shared" si="109"/>
        <v>-759261.26244683156</v>
      </c>
      <c r="W273" s="2">
        <f t="shared" si="109"/>
        <v>-775205.74895821488</v>
      </c>
      <c r="X273" s="2">
        <f t="shared" si="109"/>
        <v>-791485.06968633737</v>
      </c>
      <c r="Y273" s="2">
        <f t="shared" si="109"/>
        <v>-808106.25614975032</v>
      </c>
      <c r="Z273" s="2">
        <f t="shared" si="109"/>
        <v>-825076.48752889503</v>
      </c>
      <c r="AA273" s="2">
        <f t="shared" si="109"/>
        <v>-842403.09376700164</v>
      </c>
      <c r="AB273" s="2">
        <f t="shared" si="110"/>
        <v>-28080103.125566777</v>
      </c>
    </row>
    <row r="274" spans="1:28" x14ac:dyDescent="0.25">
      <c r="E274" t="s">
        <v>48</v>
      </c>
      <c r="F274" t="s">
        <v>7</v>
      </c>
      <c r="G274" s="2">
        <f t="shared" si="109"/>
        <v>0</v>
      </c>
      <c r="H274" s="2">
        <f t="shared" si="109"/>
        <v>0</v>
      </c>
      <c r="I274" s="2">
        <f t="shared" si="109"/>
        <v>0</v>
      </c>
      <c r="J274" s="2">
        <f t="shared" si="109"/>
        <v>0</v>
      </c>
      <c r="K274" s="2">
        <f t="shared" si="109"/>
        <v>0</v>
      </c>
      <c r="L274" s="2">
        <f t="shared" si="109"/>
        <v>0</v>
      </c>
      <c r="M274" s="2">
        <f t="shared" si="109"/>
        <v>0</v>
      </c>
      <c r="N274" s="2">
        <f t="shared" si="109"/>
        <v>0</v>
      </c>
      <c r="O274" s="2">
        <f t="shared" si="109"/>
        <v>0</v>
      </c>
      <c r="P274" s="2">
        <f t="shared" si="109"/>
        <v>0</v>
      </c>
      <c r="Q274" s="2">
        <f t="shared" si="109"/>
        <v>0</v>
      </c>
      <c r="R274" s="2">
        <f t="shared" si="109"/>
        <v>0</v>
      </c>
      <c r="S274" s="2">
        <f t="shared" si="109"/>
        <v>0</v>
      </c>
      <c r="T274" s="2">
        <f t="shared" si="109"/>
        <v>0</v>
      </c>
      <c r="U274" s="2">
        <f t="shared" si="109"/>
        <v>0</v>
      </c>
      <c r="V274" s="2">
        <f t="shared" si="109"/>
        <v>0</v>
      </c>
      <c r="W274" s="2">
        <f t="shared" si="109"/>
        <v>0</v>
      </c>
      <c r="X274" s="2">
        <f t="shared" si="109"/>
        <v>0</v>
      </c>
      <c r="Y274" s="2">
        <f t="shared" si="109"/>
        <v>0</v>
      </c>
      <c r="Z274" s="2">
        <f t="shared" si="109"/>
        <v>0</v>
      </c>
      <c r="AA274" s="2">
        <f t="shared" si="109"/>
        <v>0</v>
      </c>
      <c r="AB274" s="2">
        <f t="shared" si="110"/>
        <v>0</v>
      </c>
    </row>
    <row r="275" spans="1:28" x14ac:dyDescent="0.25">
      <c r="E275" t="s">
        <v>49</v>
      </c>
      <c r="F275" t="s">
        <v>7</v>
      </c>
      <c r="G275" s="2">
        <f t="shared" si="109"/>
        <v>0</v>
      </c>
      <c r="H275" s="2">
        <f t="shared" si="109"/>
        <v>0</v>
      </c>
      <c r="I275" s="2">
        <f t="shared" si="109"/>
        <v>0</v>
      </c>
      <c r="J275" s="2">
        <f t="shared" si="109"/>
        <v>0</v>
      </c>
      <c r="K275" s="2">
        <f t="shared" si="109"/>
        <v>0</v>
      </c>
      <c r="L275" s="2">
        <f t="shared" si="109"/>
        <v>0</v>
      </c>
      <c r="M275" s="2">
        <f t="shared" si="109"/>
        <v>0</v>
      </c>
      <c r="N275" s="2">
        <f t="shared" si="109"/>
        <v>0</v>
      </c>
      <c r="O275" s="2">
        <f t="shared" si="109"/>
        <v>0</v>
      </c>
      <c r="P275" s="2">
        <f t="shared" si="109"/>
        <v>0</v>
      </c>
      <c r="Q275" s="2">
        <f t="shared" si="109"/>
        <v>0</v>
      </c>
      <c r="R275" s="2">
        <f t="shared" si="109"/>
        <v>0</v>
      </c>
      <c r="S275" s="2">
        <f t="shared" si="109"/>
        <v>0</v>
      </c>
      <c r="T275" s="2">
        <f t="shared" si="109"/>
        <v>0</v>
      </c>
      <c r="U275" s="2">
        <f t="shared" si="109"/>
        <v>0</v>
      </c>
      <c r="V275" s="2">
        <f t="shared" si="109"/>
        <v>0</v>
      </c>
      <c r="W275" s="2">
        <f t="shared" si="109"/>
        <v>0</v>
      </c>
      <c r="X275" s="2">
        <f t="shared" si="109"/>
        <v>0</v>
      </c>
      <c r="Y275" s="2">
        <f t="shared" si="109"/>
        <v>0</v>
      </c>
      <c r="Z275" s="2">
        <f t="shared" si="109"/>
        <v>0</v>
      </c>
      <c r="AA275" s="2">
        <f t="shared" si="109"/>
        <v>0</v>
      </c>
      <c r="AB275" s="2">
        <f t="shared" si="110"/>
        <v>0</v>
      </c>
    </row>
    <row r="276" spans="1:28" x14ac:dyDescent="0.25">
      <c r="E276" t="s">
        <v>20</v>
      </c>
      <c r="F276" t="s">
        <v>7</v>
      </c>
      <c r="G276" s="2">
        <f t="shared" ref="G276:AA276" ca="1" si="111">G265</f>
        <v>-9625621.601169806</v>
      </c>
      <c r="H276" s="2">
        <f t="shared" si="111"/>
        <v>-424792.26629229769</v>
      </c>
      <c r="I276" s="2">
        <f t="shared" si="111"/>
        <v>-392458.07622438821</v>
      </c>
      <c r="J276" s="2">
        <f t="shared" si="111"/>
        <v>-365516.71865162748</v>
      </c>
      <c r="K276" s="2">
        <f t="shared" si="111"/>
        <v>-317681.53834450449</v>
      </c>
      <c r="L276" s="2">
        <f t="shared" si="111"/>
        <v>-262941.2707350534</v>
      </c>
      <c r="M276" s="2">
        <f t="shared" si="111"/>
        <v>-212612.68946325054</v>
      </c>
      <c r="N276" s="2">
        <f t="shared" si="111"/>
        <v>-168771.4065551672</v>
      </c>
      <c r="O276" s="2">
        <f t="shared" si="111"/>
        <v>-126674.92163557843</v>
      </c>
      <c r="P276" s="2">
        <f t="shared" si="111"/>
        <v>-113577.38349033894</v>
      </c>
      <c r="Q276" s="2">
        <f t="shared" si="111"/>
        <v>-98148.816699779636</v>
      </c>
      <c r="R276" s="2">
        <f t="shared" si="111"/>
        <v>-111428.0989305777</v>
      </c>
      <c r="S276" s="2">
        <f t="shared" si="111"/>
        <v>-126020.72504218211</v>
      </c>
      <c r="T276" s="2">
        <f t="shared" si="111"/>
        <v>-141698.63331668472</v>
      </c>
      <c r="U276" s="2">
        <f t="shared" si="111"/>
        <v>-134532.08822318504</v>
      </c>
      <c r="V276" s="2">
        <f t="shared" si="111"/>
        <v>-126838.76565274944</v>
      </c>
      <c r="W276" s="2">
        <f t="shared" si="111"/>
        <v>254563.12065480917</v>
      </c>
      <c r="X276" s="2">
        <f t="shared" si="111"/>
        <v>256809.99618726849</v>
      </c>
      <c r="Y276" s="2">
        <f t="shared" si="111"/>
        <v>259104.05610590949</v>
      </c>
      <c r="Z276" s="2">
        <f t="shared" si="111"/>
        <v>261446.29128284194</v>
      </c>
      <c r="AA276" s="2">
        <f t="shared" si="111"/>
        <v>263837.71339848993</v>
      </c>
      <c r="AB276" s="2">
        <f>IF(V276=0,0,IF($G$15&gt;(AA276/V276)^(1/5)-1+2%,AA276*(AA276/V276)^(1/5)/($G$15-((AA276/V276)^(1/5)-1)),AA276*(1+$G$14)/$G$16))</f>
        <v>-138255.45799599256</v>
      </c>
    </row>
    <row r="277" spans="1:28" x14ac:dyDescent="0.25">
      <c r="E277" t="s">
        <v>173</v>
      </c>
      <c r="F277" t="s">
        <v>7</v>
      </c>
      <c r="G277" s="2">
        <f ca="1">-$G$17*G276</f>
        <v>4812810.800584903</v>
      </c>
      <c r="H277" s="2">
        <f t="shared" ref="H277:AA277" si="112">-$G$17*H276</f>
        <v>212396.13314614884</v>
      </c>
      <c r="I277" s="2">
        <f t="shared" si="112"/>
        <v>196229.0381121941</v>
      </c>
      <c r="J277" s="2">
        <f t="shared" si="112"/>
        <v>182758.35932581374</v>
      </c>
      <c r="K277" s="2">
        <f t="shared" si="112"/>
        <v>158840.76917225224</v>
      </c>
      <c r="L277" s="2">
        <f t="shared" si="112"/>
        <v>131470.6353675267</v>
      </c>
      <c r="M277" s="2">
        <f t="shared" si="112"/>
        <v>106306.34473162527</v>
      </c>
      <c r="N277" s="2">
        <f t="shared" si="112"/>
        <v>84385.703277583598</v>
      </c>
      <c r="O277" s="2">
        <f t="shared" si="112"/>
        <v>63337.460817789215</v>
      </c>
      <c r="P277" s="2">
        <f t="shared" si="112"/>
        <v>56788.691745169468</v>
      </c>
      <c r="Q277" s="2">
        <f t="shared" si="112"/>
        <v>49074.408349889818</v>
      </c>
      <c r="R277" s="2">
        <f t="shared" si="112"/>
        <v>55714.049465288852</v>
      </c>
      <c r="S277" s="2">
        <f t="shared" si="112"/>
        <v>63010.362521091054</v>
      </c>
      <c r="T277" s="2">
        <f t="shared" si="112"/>
        <v>70849.316658342359</v>
      </c>
      <c r="U277" s="2">
        <f t="shared" si="112"/>
        <v>67266.04411159252</v>
      </c>
      <c r="V277" s="2">
        <f t="shared" si="112"/>
        <v>63419.38282637472</v>
      </c>
      <c r="W277" s="2">
        <f t="shared" si="112"/>
        <v>-127281.56032740459</v>
      </c>
      <c r="X277" s="2">
        <f t="shared" si="112"/>
        <v>-128404.99809363425</v>
      </c>
      <c r="Y277" s="2">
        <f t="shared" si="112"/>
        <v>-129552.02805295475</v>
      </c>
      <c r="Z277" s="2">
        <f t="shared" si="112"/>
        <v>-130723.14564142097</v>
      </c>
      <c r="AA277" s="2">
        <f t="shared" si="112"/>
        <v>-131918.85669924496</v>
      </c>
      <c r="AB277" s="2">
        <f t="shared" ref="AB277" si="113">IF(V277=0,0,IF($G$15&gt;(AA277/V277)^(1/5)-1+2%,AA277*(AA277/V277)^(1/5)/($G$15-((AA277/V277)^(1/5)-1)),AA277*(1+$G$14)/$G$16))</f>
        <v>69127.728997996281</v>
      </c>
    </row>
    <row r="278" spans="1:28" x14ac:dyDescent="0.25">
      <c r="E278" t="s">
        <v>23</v>
      </c>
      <c r="F278" t="s">
        <v>7</v>
      </c>
      <c r="G278" s="2">
        <f t="shared" ref="G278:AB278" ca="1" si="114">SUM(G268:G277)</f>
        <v>-21196772.920445435</v>
      </c>
      <c r="H278" s="2">
        <f t="shared" si="114"/>
        <v>-237822.16379856612</v>
      </c>
      <c r="I278" s="2">
        <f t="shared" si="114"/>
        <v>-248410.69041555969</v>
      </c>
      <c r="J278" s="2">
        <f t="shared" si="114"/>
        <v>-1008106.602276622</v>
      </c>
      <c r="K278" s="2">
        <f t="shared" si="114"/>
        <v>-261482.50201672569</v>
      </c>
      <c r="L278" s="2">
        <f t="shared" si="114"/>
        <v>-2251773.7560271793</v>
      </c>
      <c r="M278" s="2">
        <f t="shared" si="114"/>
        <v>-1614208.4477958863</v>
      </c>
      <c r="N278" s="2">
        <f t="shared" si="114"/>
        <v>-252851.29592512333</v>
      </c>
      <c r="O278" s="2">
        <f t="shared" si="114"/>
        <v>-251167.03810941862</v>
      </c>
      <c r="P278" s="2">
        <f t="shared" si="114"/>
        <v>-264204.71702397231</v>
      </c>
      <c r="Q278" s="2">
        <f t="shared" si="114"/>
        <v>-276179.20483961323</v>
      </c>
      <c r="R278" s="2">
        <f t="shared" si="114"/>
        <v>-304163.16318970185</v>
      </c>
      <c r="S278" s="2">
        <f t="shared" si="114"/>
        <v>-334608.58579999959</v>
      </c>
      <c r="T278" s="2">
        <f t="shared" si="114"/>
        <v>-367545.42826993729</v>
      </c>
      <c r="U278" s="2">
        <f t="shared" si="114"/>
        <v>-389864.77003422356</v>
      </c>
      <c r="V278" s="2">
        <f t="shared" si="114"/>
        <v>-412730.75394702289</v>
      </c>
      <c r="W278" s="2">
        <f t="shared" si="114"/>
        <v>-229365.34958677716</v>
      </c>
      <c r="X278" s="2">
        <f t="shared" si="114"/>
        <v>-235731.4969287453</v>
      </c>
      <c r="Y278" s="2">
        <f t="shared" si="114"/>
        <v>-242231.33336489473</v>
      </c>
      <c r="Z278" s="2">
        <f t="shared" si="114"/>
        <v>-248867.66636620334</v>
      </c>
      <c r="AA278" s="2">
        <f t="shared" si="114"/>
        <v>-255643.36236053929</v>
      </c>
      <c r="AB278" s="2">
        <f t="shared" si="114"/>
        <v>-12987868.364324162</v>
      </c>
    </row>
    <row r="279" spans="1:28" x14ac:dyDescent="0.25">
      <c r="E279" t="s">
        <v>31</v>
      </c>
      <c r="F279" t="s">
        <v>7</v>
      </c>
      <c r="G279" s="2">
        <f ca="1">NPV($G$15,H278:AB278)+G278</f>
        <v>-32290204.863730945</v>
      </c>
    </row>
    <row r="280" spans="1:28" x14ac:dyDescent="0.25">
      <c r="E280" s="3" t="s">
        <v>34</v>
      </c>
      <c r="F280" s="3"/>
      <c r="G280" s="4" t="str">
        <f ca="1">IF(G279&gt;0,"N/A",IF(ABS(G279+G253)&gt;1,"Error","OK"))</f>
        <v>OK</v>
      </c>
    </row>
    <row r="282" spans="1:28" x14ac:dyDescent="0.25">
      <c r="C282" s="1" t="s">
        <v>36</v>
      </c>
      <c r="D282" s="1"/>
      <c r="G282" s="44"/>
    </row>
    <row r="283" spans="1:28" x14ac:dyDescent="0.25">
      <c r="A283" s="14">
        <f>'Notes &amp; Assumptions'!A67</f>
        <v>54</v>
      </c>
      <c r="C283" s="1"/>
      <c r="D283" s="1"/>
      <c r="E283" t="s">
        <v>42</v>
      </c>
      <c r="F283" t="s">
        <v>3</v>
      </c>
      <c r="G283" s="10"/>
      <c r="H283" s="10">
        <v>1</v>
      </c>
      <c r="I283" s="10">
        <v>1</v>
      </c>
      <c r="J283" s="10">
        <v>1</v>
      </c>
      <c r="K283" s="10">
        <v>1</v>
      </c>
      <c r="L283" s="10">
        <v>1</v>
      </c>
      <c r="M283" s="10">
        <v>1</v>
      </c>
      <c r="N283" s="10">
        <v>1</v>
      </c>
      <c r="O283" s="10">
        <v>1</v>
      </c>
      <c r="P283" s="10">
        <v>1</v>
      </c>
      <c r="Q283" s="10">
        <v>1</v>
      </c>
      <c r="R283" s="10">
        <v>1</v>
      </c>
      <c r="S283" s="10">
        <v>1</v>
      </c>
      <c r="T283" s="10">
        <v>1</v>
      </c>
      <c r="U283" s="10">
        <v>1</v>
      </c>
      <c r="V283" s="10">
        <v>1</v>
      </c>
      <c r="W283" s="10">
        <v>0</v>
      </c>
      <c r="X283" s="10">
        <v>0</v>
      </c>
      <c r="Y283" s="10">
        <v>0</v>
      </c>
      <c r="Z283" s="10">
        <v>0</v>
      </c>
      <c r="AA283" s="10">
        <v>0</v>
      </c>
    </row>
    <row r="284" spans="1:28" x14ac:dyDescent="0.25">
      <c r="E284" t="s">
        <v>37</v>
      </c>
      <c r="F284" t="s">
        <v>38</v>
      </c>
      <c r="G284" s="8">
        <f ca="1">MAX(0,-G311/(NPV($G$16,H283:AA283)+G283))</f>
        <v>2704330.4455091036</v>
      </c>
      <c r="H284" s="2">
        <f t="shared" ref="H284:AA284" ca="1" si="115">G284*(1+$G$14)</f>
        <v>2761121.3848647946</v>
      </c>
      <c r="I284" s="2">
        <f t="shared" ca="1" si="115"/>
        <v>2819104.933946955</v>
      </c>
      <c r="J284" s="2">
        <f t="shared" ca="1" si="115"/>
        <v>2878306.1375598409</v>
      </c>
      <c r="K284" s="2">
        <f t="shared" ca="1" si="115"/>
        <v>2938750.5664485972</v>
      </c>
      <c r="L284" s="2">
        <f t="shared" ca="1" si="115"/>
        <v>3000464.3283440177</v>
      </c>
      <c r="M284" s="2">
        <f t="shared" ca="1" si="115"/>
        <v>3063474.0792392418</v>
      </c>
      <c r="N284" s="2">
        <f t="shared" ca="1" si="115"/>
        <v>3127807.0349032655</v>
      </c>
      <c r="O284" s="2">
        <f t="shared" ca="1" si="115"/>
        <v>3193490.9826362338</v>
      </c>
      <c r="P284" s="2">
        <f t="shared" ca="1" si="115"/>
        <v>3260554.2932715942</v>
      </c>
      <c r="Q284" s="2">
        <f t="shared" ca="1" si="115"/>
        <v>3329025.9334302973</v>
      </c>
      <c r="R284" s="2">
        <f t="shared" ca="1" si="115"/>
        <v>3398935.4780323333</v>
      </c>
      <c r="S284" s="2">
        <f t="shared" ca="1" si="115"/>
        <v>3470313.1230710121</v>
      </c>
      <c r="T284" s="2">
        <f t="shared" ca="1" si="115"/>
        <v>3543189.6986555029</v>
      </c>
      <c r="U284" s="2">
        <f t="shared" ca="1" si="115"/>
        <v>3617596.6823272682</v>
      </c>
      <c r="V284" s="2">
        <f t="shared" ca="1" si="115"/>
        <v>3693566.2126561403</v>
      </c>
      <c r="W284" s="2">
        <f t="shared" ca="1" si="115"/>
        <v>3771131.1031219191</v>
      </c>
      <c r="X284" s="2">
        <f t="shared" ca="1" si="115"/>
        <v>3850324.8562874789</v>
      </c>
      <c r="Y284" s="2">
        <f t="shared" ca="1" si="115"/>
        <v>3931181.6782695157</v>
      </c>
      <c r="Z284" s="2">
        <f t="shared" ca="1" si="115"/>
        <v>4013736.4935131753</v>
      </c>
      <c r="AA284" s="2">
        <f t="shared" ca="1" si="115"/>
        <v>4098024.9598769518</v>
      </c>
    </row>
    <row r="285" spans="1:28" x14ac:dyDescent="0.25">
      <c r="E285" t="s">
        <v>21</v>
      </c>
      <c r="F285" t="s">
        <v>7</v>
      </c>
      <c r="G285" s="2">
        <f ca="1">G283*G284</f>
        <v>0</v>
      </c>
      <c r="H285" s="2">
        <f t="shared" ref="H285:AA285" ca="1" si="116">H283*H284</f>
        <v>2761121.3848647946</v>
      </c>
      <c r="I285" s="2">
        <f t="shared" ca="1" si="116"/>
        <v>2819104.933946955</v>
      </c>
      <c r="J285" s="2">
        <f t="shared" ca="1" si="116"/>
        <v>2878306.1375598409</v>
      </c>
      <c r="K285" s="2">
        <f t="shared" ca="1" si="116"/>
        <v>2938750.5664485972</v>
      </c>
      <c r="L285" s="2">
        <f t="shared" ca="1" si="116"/>
        <v>3000464.3283440177</v>
      </c>
      <c r="M285" s="2">
        <f t="shared" ca="1" si="116"/>
        <v>3063474.0792392418</v>
      </c>
      <c r="N285" s="2">
        <f t="shared" ca="1" si="116"/>
        <v>3127807.0349032655</v>
      </c>
      <c r="O285" s="2">
        <f t="shared" ca="1" si="116"/>
        <v>3193490.9826362338</v>
      </c>
      <c r="P285" s="2">
        <f t="shared" ca="1" si="116"/>
        <v>3260554.2932715942</v>
      </c>
      <c r="Q285" s="2">
        <f t="shared" ca="1" si="116"/>
        <v>3329025.9334302973</v>
      </c>
      <c r="R285" s="2">
        <f t="shared" ca="1" si="116"/>
        <v>3398935.4780323333</v>
      </c>
      <c r="S285" s="2">
        <f t="shared" ca="1" si="116"/>
        <v>3470313.1230710121</v>
      </c>
      <c r="T285" s="2">
        <f t="shared" ca="1" si="116"/>
        <v>3543189.6986555029</v>
      </c>
      <c r="U285" s="2">
        <f t="shared" ca="1" si="116"/>
        <v>3617596.6823272682</v>
      </c>
      <c r="V285" s="2">
        <f t="shared" ca="1" si="116"/>
        <v>3693566.2126561403</v>
      </c>
      <c r="W285" s="2">
        <f t="shared" ca="1" si="116"/>
        <v>0</v>
      </c>
      <c r="X285" s="2">
        <f t="shared" ca="1" si="116"/>
        <v>0</v>
      </c>
      <c r="Y285" s="2">
        <f t="shared" ca="1" si="116"/>
        <v>0</v>
      </c>
      <c r="Z285" s="2">
        <f t="shared" ca="1" si="116"/>
        <v>0</v>
      </c>
      <c r="AA285" s="2">
        <f t="shared" ca="1" si="116"/>
        <v>0</v>
      </c>
    </row>
    <row r="286" spans="1:28" x14ac:dyDescent="0.25">
      <c r="G286" s="8">
        <f ca="1">-G311/(NPV($G$16,H283:AA283)+G283)</f>
        <v>2704330.4455091036</v>
      </c>
    </row>
    <row r="287" spans="1:28" x14ac:dyDescent="0.25">
      <c r="D287" t="s">
        <v>9</v>
      </c>
    </row>
    <row r="288" spans="1:28" x14ac:dyDescent="0.25">
      <c r="E288" t="s">
        <v>107</v>
      </c>
      <c r="F288" t="s">
        <v>7</v>
      </c>
      <c r="G288" s="2">
        <f t="shared" ref="G288:AA293" si="117">G222</f>
        <v>0</v>
      </c>
      <c r="H288" s="2">
        <f t="shared" si="117"/>
        <v>1667037.7499999998</v>
      </c>
      <c r="I288" s="2">
        <f t="shared" si="117"/>
        <v>1606088.8486999997</v>
      </c>
      <c r="J288" s="2">
        <f t="shared" si="117"/>
        <v>1571143.336212327</v>
      </c>
      <c r="K288" s="2">
        <f t="shared" si="117"/>
        <v>1454454.8802963162</v>
      </c>
      <c r="L288" s="2">
        <f t="shared" si="117"/>
        <v>1336871.3827093451</v>
      </c>
      <c r="M288" s="2">
        <f t="shared" si="117"/>
        <v>1223342.4545126655</v>
      </c>
      <c r="N288" s="2">
        <f t="shared" si="117"/>
        <v>1111742.280829631</v>
      </c>
      <c r="O288" s="2">
        <f t="shared" si="117"/>
        <v>1003326.226911485</v>
      </c>
      <c r="P288" s="2">
        <f t="shared" si="117"/>
        <v>991649.83738179936</v>
      </c>
      <c r="Q288" s="2">
        <f t="shared" si="117"/>
        <v>972060.81278398889</v>
      </c>
      <c r="R288" s="2">
        <f t="shared" si="117"/>
        <v>1050804.45986971</v>
      </c>
      <c r="S288" s="2">
        <f t="shared" si="117"/>
        <v>1136805.728063683</v>
      </c>
      <c r="T288" s="2">
        <f t="shared" si="117"/>
        <v>1229532.4664756572</v>
      </c>
      <c r="U288" s="2">
        <f t="shared" si="117"/>
        <v>1247135.7945738677</v>
      </c>
      <c r="V288" s="2">
        <f t="shared" si="117"/>
        <v>1264004.0822316618</v>
      </c>
      <c r="W288" s="2">
        <f t="shared" si="117"/>
        <v>0</v>
      </c>
      <c r="X288" s="2">
        <f t="shared" si="117"/>
        <v>0</v>
      </c>
      <c r="Y288" s="2">
        <f t="shared" si="117"/>
        <v>0</v>
      </c>
      <c r="Z288" s="2">
        <f t="shared" si="117"/>
        <v>0</v>
      </c>
      <c r="AA288" s="2">
        <f t="shared" si="117"/>
        <v>0</v>
      </c>
    </row>
    <row r="289" spans="4:28" customFormat="1" x14ac:dyDescent="0.25">
      <c r="E289" t="s">
        <v>11</v>
      </c>
      <c r="F289" t="s">
        <v>7</v>
      </c>
      <c r="G289" s="2">
        <f t="shared" si="117"/>
        <v>0</v>
      </c>
      <c r="H289" s="2">
        <f t="shared" si="117"/>
        <v>31729.549347582702</v>
      </c>
      <c r="I289" s="2">
        <f t="shared" si="117"/>
        <v>61240.098260634382</v>
      </c>
      <c r="J289" s="2">
        <f t="shared" si="117"/>
        <v>91611.105112678662</v>
      </c>
      <c r="K289" s="2">
        <f t="shared" si="117"/>
        <v>120459.7694318682</v>
      </c>
      <c r="L289" s="2">
        <f t="shared" si="117"/>
        <v>147737.55303675839</v>
      </c>
      <c r="M289" s="2">
        <f t="shared" si="117"/>
        <v>173486.52551599496</v>
      </c>
      <c r="N289" s="2">
        <f t="shared" si="117"/>
        <v>197710.28688959175</v>
      </c>
      <c r="O289" s="2">
        <f t="shared" si="117"/>
        <v>220435.75206703268</v>
      </c>
      <c r="P289" s="2">
        <f t="shared" si="117"/>
        <v>243422.29899233856</v>
      </c>
      <c r="Q289" s="2">
        <f t="shared" si="117"/>
        <v>266528.9318865629</v>
      </c>
      <c r="R289" s="2">
        <f t="shared" si="117"/>
        <v>291578.50442902237</v>
      </c>
      <c r="S289" s="2">
        <f t="shared" si="117"/>
        <v>318746.17124650377</v>
      </c>
      <c r="T289" s="2">
        <f t="shared" si="117"/>
        <v>348200.91404944501</v>
      </c>
      <c r="U289" s="2">
        <f t="shared" si="117"/>
        <v>378600.07880553772</v>
      </c>
      <c r="V289" s="2">
        <f t="shared" si="117"/>
        <v>409949.89132618339</v>
      </c>
      <c r="W289" s="2">
        <f t="shared" si="117"/>
        <v>418558.83904403314</v>
      </c>
      <c r="X289" s="2">
        <f t="shared" si="117"/>
        <v>427348.57466395781</v>
      </c>
      <c r="Y289" s="2">
        <f t="shared" si="117"/>
        <v>436322.89473190083</v>
      </c>
      <c r="Z289" s="2">
        <f t="shared" si="117"/>
        <v>445485.67552127072</v>
      </c>
      <c r="AA289" s="2">
        <f t="shared" si="117"/>
        <v>454840.87470721739</v>
      </c>
    </row>
    <row r="290" spans="4:28" customFormat="1" x14ac:dyDescent="0.25">
      <c r="E290" t="s">
        <v>57</v>
      </c>
      <c r="F290" t="s">
        <v>7</v>
      </c>
      <c r="G290" s="2">
        <f t="shared" si="117"/>
        <v>0</v>
      </c>
      <c r="H290" s="2">
        <f t="shared" si="117"/>
        <v>0</v>
      </c>
      <c r="I290" s="2">
        <f t="shared" si="117"/>
        <v>0</v>
      </c>
      <c r="J290" s="2">
        <f t="shared" si="117"/>
        <v>0</v>
      </c>
      <c r="K290" s="2">
        <f t="shared" si="117"/>
        <v>0</v>
      </c>
      <c r="L290" s="2">
        <f t="shared" si="117"/>
        <v>0</v>
      </c>
      <c r="M290" s="2">
        <f t="shared" si="117"/>
        <v>0</v>
      </c>
      <c r="N290" s="2">
        <f t="shared" si="117"/>
        <v>0</v>
      </c>
      <c r="O290" s="2">
        <f t="shared" si="117"/>
        <v>0</v>
      </c>
      <c r="P290" s="2">
        <f t="shared" si="117"/>
        <v>0</v>
      </c>
      <c r="Q290" s="2">
        <f t="shared" si="117"/>
        <v>0</v>
      </c>
      <c r="R290" s="2">
        <f t="shared" si="117"/>
        <v>0</v>
      </c>
      <c r="S290" s="2">
        <f t="shared" si="117"/>
        <v>0</v>
      </c>
      <c r="T290" s="2">
        <f t="shared" si="117"/>
        <v>0</v>
      </c>
      <c r="U290" s="2">
        <f t="shared" si="117"/>
        <v>0</v>
      </c>
      <c r="V290" s="2">
        <f t="shared" si="117"/>
        <v>0</v>
      </c>
      <c r="W290" s="2">
        <f t="shared" si="117"/>
        <v>0</v>
      </c>
      <c r="X290" s="2">
        <f t="shared" si="117"/>
        <v>0</v>
      </c>
      <c r="Y290" s="2">
        <f t="shared" si="117"/>
        <v>0</v>
      </c>
      <c r="Z290" s="2">
        <f t="shared" si="117"/>
        <v>0</v>
      </c>
      <c r="AA290" s="2">
        <f t="shared" si="117"/>
        <v>0</v>
      </c>
    </row>
    <row r="291" spans="4:28" customFormat="1" x14ac:dyDescent="0.25">
      <c r="E291" t="s">
        <v>10</v>
      </c>
      <c r="F291" t="s">
        <v>7</v>
      </c>
      <c r="G291" s="2">
        <f t="shared" si="117"/>
        <v>0</v>
      </c>
      <c r="H291" s="2">
        <f t="shared" si="117"/>
        <v>-57155.579999999994</v>
      </c>
      <c r="I291" s="2">
        <f t="shared" si="117"/>
        <v>-113421.75056399997</v>
      </c>
      <c r="J291" s="2">
        <f t="shared" si="117"/>
        <v>-169671.37885312375</v>
      </c>
      <c r="K291" s="2">
        <f t="shared" si="117"/>
        <v>-223101.50227634163</v>
      </c>
      <c r="L291" s="2">
        <f t="shared" si="117"/>
        <v>-273622.22408846515</v>
      </c>
      <c r="M291" s="2">
        <f t="shared" si="117"/>
        <v>-321311.46066332853</v>
      </c>
      <c r="N291" s="2">
        <f t="shared" si="117"/>
        <v>-366175.87953713146</v>
      </c>
      <c r="O291" s="2">
        <f t="shared" si="117"/>
        <v>-408265.32935866207</v>
      </c>
      <c r="P291" s="2">
        <f t="shared" si="117"/>
        <v>-450838.32427114138</v>
      </c>
      <c r="Q291" s="2">
        <f t="shared" si="117"/>
        <v>-493633.72837628628</v>
      </c>
      <c r="R291" s="2">
        <f t="shared" si="117"/>
        <v>-540027.61815343541</v>
      </c>
      <c r="S291" s="2">
        <f t="shared" si="117"/>
        <v>-590344.39452541235</v>
      </c>
      <c r="T291" s="2">
        <f t="shared" si="117"/>
        <v>-644897.02566103998</v>
      </c>
      <c r="U291" s="2">
        <f t="shared" si="117"/>
        <v>-701198.80472816876</v>
      </c>
      <c r="V291" s="2">
        <f t="shared" si="117"/>
        <v>-759261.26244683156</v>
      </c>
      <c r="W291" s="2">
        <f t="shared" si="117"/>
        <v>-775205.74895821488</v>
      </c>
      <c r="X291" s="2">
        <f t="shared" si="117"/>
        <v>-791485.06968633737</v>
      </c>
      <c r="Y291" s="2">
        <f t="shared" si="117"/>
        <v>-808106.25614975032</v>
      </c>
      <c r="Z291" s="2">
        <f t="shared" si="117"/>
        <v>-825076.48752889503</v>
      </c>
      <c r="AA291" s="2">
        <f t="shared" si="117"/>
        <v>-842403.09376700164</v>
      </c>
    </row>
    <row r="292" spans="4:28" customFormat="1" x14ac:dyDescent="0.25">
      <c r="E292" t="s">
        <v>12</v>
      </c>
      <c r="F292" t="s">
        <v>7</v>
      </c>
      <c r="G292" s="2">
        <f t="shared" si="117"/>
        <v>-204799.52649825669</v>
      </c>
      <c r="H292" s="2">
        <f t="shared" si="117"/>
        <v>-225637.49837325668</v>
      </c>
      <c r="I292" s="2">
        <f t="shared" si="117"/>
        <v>-245713.60898200667</v>
      </c>
      <c r="J292" s="2">
        <f t="shared" si="117"/>
        <v>-274694.00029979029</v>
      </c>
      <c r="K292" s="2">
        <f t="shared" si="117"/>
        <v>-292874.68630349427</v>
      </c>
      <c r="L292" s="2">
        <f t="shared" si="117"/>
        <v>-334515.80920746038</v>
      </c>
      <c r="M292" s="2">
        <f t="shared" si="117"/>
        <v>-366808.55448783026</v>
      </c>
      <c r="N292" s="2">
        <f t="shared" si="117"/>
        <v>-380705.33299820067</v>
      </c>
      <c r="O292" s="2">
        <f t="shared" si="117"/>
        <v>-393246.91083459422</v>
      </c>
      <c r="P292" s="2">
        <f t="shared" si="117"/>
        <v>-405642.5338018667</v>
      </c>
      <c r="Q292" s="2">
        <f t="shared" si="117"/>
        <v>-417793.29396166658</v>
      </c>
      <c r="R292" s="2">
        <f t="shared" si="117"/>
        <v>-430928.34971003793</v>
      </c>
      <c r="S292" s="2">
        <f t="shared" si="117"/>
        <v>-445138.421310834</v>
      </c>
      <c r="T292" s="2">
        <f t="shared" si="117"/>
        <v>-460507.57714177971</v>
      </c>
      <c r="U292" s="2">
        <f t="shared" si="117"/>
        <v>-476096.77457395307</v>
      </c>
      <c r="V292" s="2">
        <f t="shared" si="117"/>
        <v>-491896.82560184883</v>
      </c>
      <c r="W292" s="2">
        <f t="shared" si="117"/>
        <v>-491896.82560184883</v>
      </c>
      <c r="X292" s="2">
        <f t="shared" si="117"/>
        <v>-491896.82560184883</v>
      </c>
      <c r="Y292" s="2">
        <f t="shared" si="117"/>
        <v>-491896.82560184883</v>
      </c>
      <c r="Z292" s="2">
        <f t="shared" si="117"/>
        <v>-491896.82560184883</v>
      </c>
      <c r="AA292" s="2">
        <f t="shared" si="117"/>
        <v>-491896.82560184883</v>
      </c>
    </row>
    <row r="293" spans="4:28" customFormat="1" x14ac:dyDescent="0.25">
      <c r="E293" t="s">
        <v>48</v>
      </c>
      <c r="F293" t="s">
        <v>7</v>
      </c>
      <c r="G293" s="2">
        <f t="shared" si="117"/>
        <v>0</v>
      </c>
      <c r="H293" s="2">
        <f t="shared" si="117"/>
        <v>0</v>
      </c>
      <c r="I293" s="2">
        <f t="shared" si="117"/>
        <v>0</v>
      </c>
      <c r="J293" s="2">
        <f t="shared" si="117"/>
        <v>0</v>
      </c>
      <c r="K293" s="2">
        <f t="shared" si="117"/>
        <v>0</v>
      </c>
      <c r="L293" s="2">
        <f t="shared" si="117"/>
        <v>0</v>
      </c>
      <c r="M293" s="2">
        <f t="shared" si="117"/>
        <v>0</v>
      </c>
      <c r="N293" s="2">
        <f t="shared" si="117"/>
        <v>0</v>
      </c>
      <c r="O293" s="2">
        <f t="shared" si="117"/>
        <v>0</v>
      </c>
      <c r="P293" s="2">
        <f t="shared" si="117"/>
        <v>0</v>
      </c>
      <c r="Q293" s="2">
        <f t="shared" si="117"/>
        <v>0</v>
      </c>
      <c r="R293" s="2">
        <f t="shared" si="117"/>
        <v>0</v>
      </c>
      <c r="S293" s="2">
        <f t="shared" si="117"/>
        <v>0</v>
      </c>
      <c r="T293" s="2">
        <f t="shared" si="117"/>
        <v>0</v>
      </c>
      <c r="U293" s="2">
        <f t="shared" si="117"/>
        <v>0</v>
      </c>
      <c r="V293" s="2">
        <f t="shared" si="117"/>
        <v>0</v>
      </c>
      <c r="W293" s="2">
        <f t="shared" si="117"/>
        <v>0</v>
      </c>
      <c r="X293" s="2">
        <f t="shared" si="117"/>
        <v>0</v>
      </c>
      <c r="Y293" s="2">
        <f t="shared" si="117"/>
        <v>0</v>
      </c>
      <c r="Z293" s="2">
        <f t="shared" si="117"/>
        <v>0</v>
      </c>
      <c r="AA293" s="2">
        <f t="shared" si="117"/>
        <v>0</v>
      </c>
    </row>
    <row r="294" spans="4:28" customFormat="1" x14ac:dyDescent="0.25">
      <c r="E294" t="s">
        <v>13</v>
      </c>
      <c r="F294" t="s">
        <v>7</v>
      </c>
      <c r="G294" s="2">
        <f t="shared" ref="G294:AA294" ca="1" si="118">G285</f>
        <v>0</v>
      </c>
      <c r="H294" s="2">
        <f t="shared" ca="1" si="118"/>
        <v>2761121.3848647946</v>
      </c>
      <c r="I294" s="2">
        <f t="shared" ca="1" si="118"/>
        <v>2819104.933946955</v>
      </c>
      <c r="J294" s="2">
        <f t="shared" ca="1" si="118"/>
        <v>2878306.1375598409</v>
      </c>
      <c r="K294" s="2">
        <f t="shared" ca="1" si="118"/>
        <v>2938750.5664485972</v>
      </c>
      <c r="L294" s="2">
        <f t="shared" ca="1" si="118"/>
        <v>3000464.3283440177</v>
      </c>
      <c r="M294" s="2">
        <f t="shared" ca="1" si="118"/>
        <v>3063474.0792392418</v>
      </c>
      <c r="N294" s="2">
        <f t="shared" ca="1" si="118"/>
        <v>3127807.0349032655</v>
      </c>
      <c r="O294" s="2">
        <f t="shared" ca="1" si="118"/>
        <v>3193490.9826362338</v>
      </c>
      <c r="P294" s="2">
        <f t="shared" ca="1" si="118"/>
        <v>3260554.2932715942</v>
      </c>
      <c r="Q294" s="2">
        <f t="shared" ca="1" si="118"/>
        <v>3329025.9334302973</v>
      </c>
      <c r="R294" s="2">
        <f t="shared" ca="1" si="118"/>
        <v>3398935.4780323333</v>
      </c>
      <c r="S294" s="2">
        <f t="shared" ca="1" si="118"/>
        <v>3470313.1230710121</v>
      </c>
      <c r="T294" s="2">
        <f t="shared" ca="1" si="118"/>
        <v>3543189.6986555029</v>
      </c>
      <c r="U294" s="2">
        <f t="shared" ca="1" si="118"/>
        <v>3617596.6823272682</v>
      </c>
      <c r="V294" s="2">
        <f t="shared" ca="1" si="118"/>
        <v>3693566.2126561403</v>
      </c>
      <c r="W294" s="2">
        <f t="shared" ca="1" si="118"/>
        <v>0</v>
      </c>
      <c r="X294" s="2">
        <f t="shared" ca="1" si="118"/>
        <v>0</v>
      </c>
      <c r="Y294" s="2">
        <f t="shared" ca="1" si="118"/>
        <v>0</v>
      </c>
      <c r="Z294" s="2">
        <f t="shared" ca="1" si="118"/>
        <v>0</v>
      </c>
      <c r="AA294" s="2">
        <f t="shared" ca="1" si="118"/>
        <v>0</v>
      </c>
    </row>
    <row r="295" spans="4:28" customFormat="1" x14ac:dyDescent="0.25"/>
    <row r="296" spans="4:28" customFormat="1" x14ac:dyDescent="0.25">
      <c r="E296" t="s">
        <v>14</v>
      </c>
      <c r="F296" t="s">
        <v>7</v>
      </c>
      <c r="G296" s="2">
        <f t="shared" ref="G296:AA296" ca="1" si="119">SUM(G288:G294)</f>
        <v>-204799.52649825669</v>
      </c>
      <c r="H296" s="2">
        <f t="shared" ca="1" si="119"/>
        <v>4177095.6058391202</v>
      </c>
      <c r="I296" s="2">
        <f t="shared" ca="1" si="119"/>
        <v>4127298.5213615824</v>
      </c>
      <c r="J296" s="2">
        <f t="shared" ca="1" si="119"/>
        <v>4096695.1997319325</v>
      </c>
      <c r="K296" s="2">
        <f t="shared" ca="1" si="119"/>
        <v>3997689.0275969459</v>
      </c>
      <c r="L296" s="2">
        <f t="shared" ca="1" si="119"/>
        <v>3876935.230794196</v>
      </c>
      <c r="M296" s="2">
        <f t="shared" ca="1" si="119"/>
        <v>3772183.0441167438</v>
      </c>
      <c r="N296" s="2">
        <f t="shared" ca="1" si="119"/>
        <v>3690378.3900871561</v>
      </c>
      <c r="O296" s="2">
        <f t="shared" ca="1" si="119"/>
        <v>3615740.7214214951</v>
      </c>
      <c r="P296" s="2">
        <f t="shared" ca="1" si="119"/>
        <v>3639145.5715727238</v>
      </c>
      <c r="Q296" s="2">
        <f t="shared" ca="1" si="119"/>
        <v>3656188.6557628959</v>
      </c>
      <c r="R296" s="2">
        <f t="shared" ca="1" si="119"/>
        <v>3770362.4744675923</v>
      </c>
      <c r="S296" s="2">
        <f t="shared" ca="1" si="119"/>
        <v>3890382.2065449525</v>
      </c>
      <c r="T296" s="2">
        <f t="shared" ca="1" si="119"/>
        <v>4015518.4763777852</v>
      </c>
      <c r="U296" s="2">
        <f t="shared" ca="1" si="119"/>
        <v>4066036.9764045519</v>
      </c>
      <c r="V296" s="2">
        <f t="shared" ca="1" si="119"/>
        <v>4116362.0981653053</v>
      </c>
      <c r="W296" s="2">
        <f t="shared" ca="1" si="119"/>
        <v>-848543.73551603057</v>
      </c>
      <c r="X296" s="2">
        <f t="shared" ca="1" si="119"/>
        <v>-856033.32062422833</v>
      </c>
      <c r="Y296" s="2">
        <f t="shared" ca="1" si="119"/>
        <v>-863680.18701969832</v>
      </c>
      <c r="Z296" s="2">
        <f t="shared" ca="1" si="119"/>
        <v>-871487.6376094732</v>
      </c>
      <c r="AA296" s="2">
        <f t="shared" ca="1" si="119"/>
        <v>-879459.04466163309</v>
      </c>
    </row>
    <row r="297" spans="4:28" customFormat="1" x14ac:dyDescent="0.25">
      <c r="E297" t="s">
        <v>15</v>
      </c>
      <c r="F297" t="s">
        <v>7</v>
      </c>
      <c r="G297" s="2">
        <f t="shared" ref="G297:AA297" ca="1" si="120">-G296*G$18</f>
        <v>61439.857949477002</v>
      </c>
      <c r="H297" s="2">
        <f t="shared" ca="1" si="120"/>
        <v>-1253128.681751736</v>
      </c>
      <c r="I297" s="2">
        <f t="shared" ca="1" si="120"/>
        <v>-1238189.5564084747</v>
      </c>
      <c r="J297" s="2">
        <f t="shared" ca="1" si="120"/>
        <v>-1229008.5599195797</v>
      </c>
      <c r="K297" s="2">
        <f t="shared" ca="1" si="120"/>
        <v>-1199306.7082790837</v>
      </c>
      <c r="L297" s="2">
        <f t="shared" ca="1" si="120"/>
        <v>-1163080.5692382588</v>
      </c>
      <c r="M297" s="2">
        <f t="shared" ca="1" si="120"/>
        <v>-1131654.9132350232</v>
      </c>
      <c r="N297" s="2">
        <f t="shared" ca="1" si="120"/>
        <v>-1107113.5170261469</v>
      </c>
      <c r="O297" s="2">
        <f t="shared" ca="1" si="120"/>
        <v>-1084722.2164264484</v>
      </c>
      <c r="P297" s="2">
        <f t="shared" ca="1" si="120"/>
        <v>-1091743.6714718172</v>
      </c>
      <c r="Q297" s="2">
        <f t="shared" ca="1" si="120"/>
        <v>-1096856.5967288688</v>
      </c>
      <c r="R297" s="2">
        <f t="shared" ca="1" si="120"/>
        <v>-1131108.7423402776</v>
      </c>
      <c r="S297" s="2">
        <f t="shared" ca="1" si="120"/>
        <v>-1167114.6619634856</v>
      </c>
      <c r="T297" s="2">
        <f t="shared" ca="1" si="120"/>
        <v>-1204655.5429133356</v>
      </c>
      <c r="U297" s="2">
        <f t="shared" ca="1" si="120"/>
        <v>-1219811.0929213655</v>
      </c>
      <c r="V297" s="2">
        <f t="shared" ca="1" si="120"/>
        <v>-1234908.6294495915</v>
      </c>
      <c r="W297" s="2">
        <f t="shared" ca="1" si="120"/>
        <v>254563.12065480917</v>
      </c>
      <c r="X297" s="2">
        <f t="shared" ca="1" si="120"/>
        <v>256809.99618726849</v>
      </c>
      <c r="Y297" s="2">
        <f t="shared" ca="1" si="120"/>
        <v>259104.05610590949</v>
      </c>
      <c r="Z297" s="2">
        <f t="shared" ca="1" si="120"/>
        <v>261446.29128284194</v>
      </c>
      <c r="AA297" s="2">
        <f t="shared" ca="1" si="120"/>
        <v>263837.71339848993</v>
      </c>
    </row>
    <row r="298" spans="4:28" customFormat="1" x14ac:dyDescent="0.25"/>
    <row r="299" spans="4:28" customFormat="1" x14ac:dyDescent="0.25">
      <c r="D299" t="s">
        <v>28</v>
      </c>
    </row>
    <row r="300" spans="4:28" customFormat="1" x14ac:dyDescent="0.25">
      <c r="E300" t="s">
        <v>1</v>
      </c>
      <c r="F300" t="s">
        <v>7</v>
      </c>
      <c r="G300" s="2">
        <f t="shared" ref="G300:AA307" si="121">G234</f>
        <v>-16383962.119860535</v>
      </c>
      <c r="H300" s="2">
        <f t="shared" si="121"/>
        <v>0</v>
      </c>
      <c r="I300" s="2">
        <f t="shared" si="121"/>
        <v>0</v>
      </c>
      <c r="J300" s="2">
        <f t="shared" si="121"/>
        <v>-747287.96921036311</v>
      </c>
      <c r="K300" s="2">
        <f t="shared" si="121"/>
        <v>0</v>
      </c>
      <c r="L300" s="2">
        <f t="shared" si="121"/>
        <v>-1994418.449607946</v>
      </c>
      <c r="M300" s="2">
        <f t="shared" si="121"/>
        <v>-1360077.1679169273</v>
      </c>
      <c r="N300" s="2">
        <f t="shared" si="121"/>
        <v>0</v>
      </c>
      <c r="O300" s="2">
        <f t="shared" si="121"/>
        <v>0</v>
      </c>
      <c r="P300" s="2">
        <f t="shared" si="121"/>
        <v>0</v>
      </c>
      <c r="Q300" s="2">
        <f t="shared" si="121"/>
        <v>0</v>
      </c>
      <c r="R300" s="2">
        <f t="shared" si="121"/>
        <v>0</v>
      </c>
      <c r="S300" s="2">
        <f t="shared" si="121"/>
        <v>0</v>
      </c>
      <c r="T300" s="2">
        <f t="shared" si="121"/>
        <v>0</v>
      </c>
      <c r="U300" s="2">
        <f t="shared" si="121"/>
        <v>0</v>
      </c>
      <c r="V300" s="2">
        <f t="shared" si="121"/>
        <v>0</v>
      </c>
      <c r="W300" s="2">
        <f t="shared" si="121"/>
        <v>0</v>
      </c>
      <c r="X300" s="2">
        <f t="shared" si="121"/>
        <v>0</v>
      </c>
      <c r="Y300" s="2">
        <f t="shared" si="121"/>
        <v>0</v>
      </c>
      <c r="Z300" s="2">
        <f t="shared" si="121"/>
        <v>0</v>
      </c>
      <c r="AA300" s="2">
        <f t="shared" si="121"/>
        <v>0</v>
      </c>
    </row>
    <row r="301" spans="4:28" customFormat="1" x14ac:dyDescent="0.25">
      <c r="E301" t="s">
        <v>19</v>
      </c>
      <c r="F301" t="s">
        <v>7</v>
      </c>
      <c r="G301" s="2">
        <f t="shared" si="121"/>
        <v>0</v>
      </c>
      <c r="H301" s="2">
        <f t="shared" si="121"/>
        <v>0</v>
      </c>
      <c r="I301" s="2">
        <f t="shared" si="121"/>
        <v>0</v>
      </c>
      <c r="J301" s="2">
        <f t="shared" si="121"/>
        <v>0</v>
      </c>
      <c r="K301" s="2">
        <f t="shared" si="121"/>
        <v>0</v>
      </c>
      <c r="L301" s="2">
        <f t="shared" si="121"/>
        <v>0</v>
      </c>
      <c r="M301" s="2">
        <f t="shared" si="121"/>
        <v>0</v>
      </c>
      <c r="N301" s="2">
        <f t="shared" si="121"/>
        <v>0</v>
      </c>
      <c r="O301" s="2">
        <f t="shared" si="121"/>
        <v>0</v>
      </c>
      <c r="P301" s="2">
        <f t="shared" si="121"/>
        <v>0</v>
      </c>
      <c r="Q301" s="2">
        <f t="shared" si="121"/>
        <v>0</v>
      </c>
      <c r="R301" s="2">
        <f t="shared" si="121"/>
        <v>0</v>
      </c>
      <c r="S301" s="2">
        <f t="shared" si="121"/>
        <v>0</v>
      </c>
      <c r="T301" s="2">
        <f t="shared" si="121"/>
        <v>0</v>
      </c>
      <c r="U301" s="2">
        <f t="shared" si="121"/>
        <v>0</v>
      </c>
      <c r="V301" s="2">
        <f t="shared" si="121"/>
        <v>0</v>
      </c>
      <c r="W301" s="2">
        <f t="shared" si="121"/>
        <v>0</v>
      </c>
      <c r="X301" s="2">
        <f t="shared" si="121"/>
        <v>0</v>
      </c>
      <c r="Y301" s="2">
        <f t="shared" si="121"/>
        <v>0</v>
      </c>
      <c r="Z301" s="2">
        <f t="shared" si="121"/>
        <v>0</v>
      </c>
      <c r="AA301" s="2">
        <f t="shared" si="121"/>
        <v>0</v>
      </c>
    </row>
    <row r="302" spans="4:28" customFormat="1" x14ac:dyDescent="0.25">
      <c r="E302" t="s">
        <v>109</v>
      </c>
      <c r="F302" t="s">
        <v>7</v>
      </c>
      <c r="G302" s="2">
        <f t="shared" si="121"/>
        <v>0</v>
      </c>
      <c r="H302" s="2">
        <f t="shared" si="121"/>
        <v>0</v>
      </c>
      <c r="I302" s="2">
        <f t="shared" si="121"/>
        <v>0</v>
      </c>
      <c r="J302" s="2">
        <f t="shared" si="121"/>
        <v>0</v>
      </c>
      <c r="K302" s="2">
        <f t="shared" si="121"/>
        <v>0</v>
      </c>
      <c r="L302" s="2">
        <f t="shared" si="121"/>
        <v>0</v>
      </c>
      <c r="M302" s="2">
        <f t="shared" si="121"/>
        <v>0</v>
      </c>
      <c r="N302" s="2">
        <f t="shared" si="121"/>
        <v>0</v>
      </c>
      <c r="O302" s="2">
        <f t="shared" si="121"/>
        <v>0</v>
      </c>
      <c r="P302" s="2">
        <f t="shared" si="121"/>
        <v>0</v>
      </c>
      <c r="Q302" s="2">
        <f t="shared" si="121"/>
        <v>0</v>
      </c>
      <c r="R302" s="2">
        <f t="shared" si="121"/>
        <v>0</v>
      </c>
      <c r="S302" s="2">
        <f t="shared" si="121"/>
        <v>0</v>
      </c>
      <c r="T302" s="2">
        <f t="shared" si="121"/>
        <v>0</v>
      </c>
      <c r="U302" s="2">
        <f t="shared" si="121"/>
        <v>0</v>
      </c>
      <c r="V302" s="2">
        <f t="shared" si="121"/>
        <v>0</v>
      </c>
      <c r="W302" s="2">
        <f t="shared" si="121"/>
        <v>0</v>
      </c>
      <c r="X302" s="2">
        <f t="shared" si="121"/>
        <v>0</v>
      </c>
      <c r="Y302" s="2">
        <f t="shared" si="121"/>
        <v>0</v>
      </c>
      <c r="Z302" s="2">
        <f t="shared" si="121"/>
        <v>0</v>
      </c>
      <c r="AA302" s="2">
        <f t="shared" si="121"/>
        <v>0</v>
      </c>
    </row>
    <row r="303" spans="4:28" customFormat="1" x14ac:dyDescent="0.25">
      <c r="E303" t="s">
        <v>11</v>
      </c>
      <c r="F303" t="s">
        <v>7</v>
      </c>
      <c r="G303" s="2">
        <f t="shared" si="121"/>
        <v>0</v>
      </c>
      <c r="H303" s="2">
        <f t="shared" si="121"/>
        <v>31729.549347582702</v>
      </c>
      <c r="I303" s="2">
        <f t="shared" si="121"/>
        <v>61240.098260634382</v>
      </c>
      <c r="J303" s="2">
        <f t="shared" si="121"/>
        <v>91611.105112678662</v>
      </c>
      <c r="K303" s="2">
        <f t="shared" si="121"/>
        <v>120459.7694318682</v>
      </c>
      <c r="L303" s="2">
        <f t="shared" si="121"/>
        <v>147737.55303675839</v>
      </c>
      <c r="M303" s="2">
        <f t="shared" si="121"/>
        <v>173486.52551599496</v>
      </c>
      <c r="N303" s="2">
        <f t="shared" si="121"/>
        <v>197710.28688959175</v>
      </c>
      <c r="O303" s="2">
        <f t="shared" si="121"/>
        <v>220435.75206703268</v>
      </c>
      <c r="P303" s="2">
        <f t="shared" si="121"/>
        <v>243422.29899233856</v>
      </c>
      <c r="Q303" s="2">
        <f t="shared" si="121"/>
        <v>266528.9318865629</v>
      </c>
      <c r="R303" s="2">
        <f t="shared" si="121"/>
        <v>291578.50442902237</v>
      </c>
      <c r="S303" s="2">
        <f t="shared" si="121"/>
        <v>318746.17124650377</v>
      </c>
      <c r="T303" s="2">
        <f t="shared" si="121"/>
        <v>348200.91404944501</v>
      </c>
      <c r="U303" s="2">
        <f t="shared" si="121"/>
        <v>378600.07880553772</v>
      </c>
      <c r="V303" s="2">
        <f t="shared" si="121"/>
        <v>409949.89132618339</v>
      </c>
      <c r="W303" s="2">
        <f t="shared" si="121"/>
        <v>418558.83904403314</v>
      </c>
      <c r="X303" s="2">
        <f t="shared" si="121"/>
        <v>427348.57466395781</v>
      </c>
      <c r="Y303" s="2">
        <f t="shared" si="121"/>
        <v>436322.89473190083</v>
      </c>
      <c r="Z303" s="2">
        <f t="shared" si="121"/>
        <v>445485.67552127072</v>
      </c>
      <c r="AA303" s="2">
        <f t="shared" si="121"/>
        <v>454840.87470721739</v>
      </c>
      <c r="AB303" s="2">
        <f t="shared" ref="AB303:AB307" si="122">IF(V303=0,0,IF($G$15&gt;(AA303/V303)^(1/5)-1+2%,AA303*(AA303/V303)^(1/5)/($G$15-((AA303/V303)^(1/5)-1)),AA303*(1+$G$14)/$G$16))</f>
        <v>15161362.490240611</v>
      </c>
    </row>
    <row r="304" spans="4:28" customFormat="1" x14ac:dyDescent="0.25">
      <c r="E304" t="s">
        <v>57</v>
      </c>
      <c r="F304" t="s">
        <v>7</v>
      </c>
      <c r="G304" s="2">
        <f t="shared" si="121"/>
        <v>0</v>
      </c>
      <c r="H304" s="2">
        <f t="shared" si="121"/>
        <v>0</v>
      </c>
      <c r="I304" s="2">
        <f t="shared" si="121"/>
        <v>0</v>
      </c>
      <c r="J304" s="2">
        <f t="shared" si="121"/>
        <v>0</v>
      </c>
      <c r="K304" s="2">
        <f t="shared" si="121"/>
        <v>0</v>
      </c>
      <c r="L304" s="2">
        <f t="shared" si="121"/>
        <v>0</v>
      </c>
      <c r="M304" s="2">
        <f t="shared" si="121"/>
        <v>0</v>
      </c>
      <c r="N304" s="2">
        <f t="shared" si="121"/>
        <v>0</v>
      </c>
      <c r="O304" s="2">
        <f t="shared" si="121"/>
        <v>0</v>
      </c>
      <c r="P304" s="2">
        <f t="shared" si="121"/>
        <v>0</v>
      </c>
      <c r="Q304" s="2">
        <f t="shared" si="121"/>
        <v>0</v>
      </c>
      <c r="R304" s="2">
        <f t="shared" si="121"/>
        <v>0</v>
      </c>
      <c r="S304" s="2">
        <f t="shared" si="121"/>
        <v>0</v>
      </c>
      <c r="T304" s="2">
        <f t="shared" si="121"/>
        <v>0</v>
      </c>
      <c r="U304" s="2">
        <f t="shared" si="121"/>
        <v>0</v>
      </c>
      <c r="V304" s="2">
        <f t="shared" si="121"/>
        <v>0</v>
      </c>
      <c r="W304" s="2">
        <f t="shared" si="121"/>
        <v>0</v>
      </c>
      <c r="X304" s="2">
        <f t="shared" si="121"/>
        <v>0</v>
      </c>
      <c r="Y304" s="2">
        <f t="shared" si="121"/>
        <v>0</v>
      </c>
      <c r="Z304" s="2">
        <f t="shared" si="121"/>
        <v>0</v>
      </c>
      <c r="AA304" s="2">
        <f t="shared" si="121"/>
        <v>0</v>
      </c>
      <c r="AB304" s="2">
        <f t="shared" si="122"/>
        <v>0</v>
      </c>
    </row>
    <row r="305" spans="1:28" x14ac:dyDescent="0.25">
      <c r="E305" t="s">
        <v>10</v>
      </c>
      <c r="F305" t="s">
        <v>7</v>
      </c>
      <c r="G305" s="2">
        <f t="shared" si="121"/>
        <v>0</v>
      </c>
      <c r="H305" s="2">
        <f t="shared" si="121"/>
        <v>-57155.579999999994</v>
      </c>
      <c r="I305" s="2">
        <f t="shared" si="121"/>
        <v>-113421.75056399997</v>
      </c>
      <c r="J305" s="2">
        <f t="shared" si="121"/>
        <v>-169671.37885312375</v>
      </c>
      <c r="K305" s="2">
        <f t="shared" si="121"/>
        <v>-223101.50227634163</v>
      </c>
      <c r="L305" s="2">
        <f t="shared" si="121"/>
        <v>-273622.22408846515</v>
      </c>
      <c r="M305" s="2">
        <f t="shared" si="121"/>
        <v>-321311.46066332853</v>
      </c>
      <c r="N305" s="2">
        <f t="shared" si="121"/>
        <v>-366175.87953713146</v>
      </c>
      <c r="O305" s="2">
        <f t="shared" si="121"/>
        <v>-408265.32935866207</v>
      </c>
      <c r="P305" s="2">
        <f t="shared" si="121"/>
        <v>-450838.32427114138</v>
      </c>
      <c r="Q305" s="2">
        <f t="shared" si="121"/>
        <v>-493633.72837628628</v>
      </c>
      <c r="R305" s="2">
        <f t="shared" si="121"/>
        <v>-540027.61815343541</v>
      </c>
      <c r="S305" s="2">
        <f t="shared" si="121"/>
        <v>-590344.39452541235</v>
      </c>
      <c r="T305" s="2">
        <f t="shared" si="121"/>
        <v>-644897.02566103998</v>
      </c>
      <c r="U305" s="2">
        <f t="shared" si="121"/>
        <v>-701198.80472816876</v>
      </c>
      <c r="V305" s="2">
        <f t="shared" si="121"/>
        <v>-759261.26244683156</v>
      </c>
      <c r="W305" s="2">
        <f t="shared" si="121"/>
        <v>-775205.74895821488</v>
      </c>
      <c r="X305" s="2">
        <f t="shared" si="121"/>
        <v>-791485.06968633737</v>
      </c>
      <c r="Y305" s="2">
        <f t="shared" si="121"/>
        <v>-808106.25614975032</v>
      </c>
      <c r="Z305" s="2">
        <f t="shared" si="121"/>
        <v>-825076.48752889503</v>
      </c>
      <c r="AA305" s="2">
        <f t="shared" si="121"/>
        <v>-842403.09376700164</v>
      </c>
      <c r="AB305" s="2">
        <f t="shared" si="122"/>
        <v>-28080103.125566777</v>
      </c>
    </row>
    <row r="306" spans="1:28" x14ac:dyDescent="0.25">
      <c r="E306" t="s">
        <v>48</v>
      </c>
      <c r="F306" t="s">
        <v>7</v>
      </c>
      <c r="G306" s="2">
        <f t="shared" si="121"/>
        <v>0</v>
      </c>
      <c r="H306" s="2">
        <f t="shared" si="121"/>
        <v>0</v>
      </c>
      <c r="I306" s="2">
        <f t="shared" si="121"/>
        <v>0</v>
      </c>
      <c r="J306" s="2">
        <f t="shared" si="121"/>
        <v>0</v>
      </c>
      <c r="K306" s="2">
        <f t="shared" si="121"/>
        <v>0</v>
      </c>
      <c r="L306" s="2">
        <f t="shared" si="121"/>
        <v>0</v>
      </c>
      <c r="M306" s="2">
        <f t="shared" si="121"/>
        <v>0</v>
      </c>
      <c r="N306" s="2">
        <f t="shared" si="121"/>
        <v>0</v>
      </c>
      <c r="O306" s="2">
        <f t="shared" si="121"/>
        <v>0</v>
      </c>
      <c r="P306" s="2">
        <f t="shared" si="121"/>
        <v>0</v>
      </c>
      <c r="Q306" s="2">
        <f t="shared" si="121"/>
        <v>0</v>
      </c>
      <c r="R306" s="2">
        <f t="shared" si="121"/>
        <v>0</v>
      </c>
      <c r="S306" s="2">
        <f t="shared" si="121"/>
        <v>0</v>
      </c>
      <c r="T306" s="2">
        <f t="shared" si="121"/>
        <v>0</v>
      </c>
      <c r="U306" s="2">
        <f t="shared" si="121"/>
        <v>0</v>
      </c>
      <c r="V306" s="2">
        <f t="shared" si="121"/>
        <v>0</v>
      </c>
      <c r="W306" s="2">
        <f t="shared" si="121"/>
        <v>0</v>
      </c>
      <c r="X306" s="2">
        <f t="shared" si="121"/>
        <v>0</v>
      </c>
      <c r="Y306" s="2">
        <f t="shared" si="121"/>
        <v>0</v>
      </c>
      <c r="Z306" s="2">
        <f t="shared" si="121"/>
        <v>0</v>
      </c>
      <c r="AA306" s="2">
        <f t="shared" si="121"/>
        <v>0</v>
      </c>
      <c r="AB306" s="2">
        <f t="shared" si="122"/>
        <v>0</v>
      </c>
    </row>
    <row r="307" spans="1:28" x14ac:dyDescent="0.25">
      <c r="E307" t="s">
        <v>49</v>
      </c>
      <c r="F307" t="s">
        <v>7</v>
      </c>
      <c r="G307" s="2">
        <f t="shared" si="121"/>
        <v>0</v>
      </c>
      <c r="H307" s="2">
        <f t="shared" si="121"/>
        <v>0</v>
      </c>
      <c r="I307" s="2">
        <f t="shared" si="121"/>
        <v>0</v>
      </c>
      <c r="J307" s="2">
        <f t="shared" si="121"/>
        <v>0</v>
      </c>
      <c r="K307" s="2">
        <f t="shared" si="121"/>
        <v>0</v>
      </c>
      <c r="L307" s="2">
        <f t="shared" si="121"/>
        <v>0</v>
      </c>
      <c r="M307" s="2">
        <f t="shared" si="121"/>
        <v>0</v>
      </c>
      <c r="N307" s="2">
        <f t="shared" si="121"/>
        <v>0</v>
      </c>
      <c r="O307" s="2">
        <f t="shared" si="121"/>
        <v>0</v>
      </c>
      <c r="P307" s="2">
        <f t="shared" si="121"/>
        <v>0</v>
      </c>
      <c r="Q307" s="2">
        <f t="shared" si="121"/>
        <v>0</v>
      </c>
      <c r="R307" s="2">
        <f t="shared" si="121"/>
        <v>0</v>
      </c>
      <c r="S307" s="2">
        <f t="shared" si="121"/>
        <v>0</v>
      </c>
      <c r="T307" s="2">
        <f t="shared" si="121"/>
        <v>0</v>
      </c>
      <c r="U307" s="2">
        <f t="shared" si="121"/>
        <v>0</v>
      </c>
      <c r="V307" s="2">
        <f t="shared" si="121"/>
        <v>0</v>
      </c>
      <c r="W307" s="2">
        <f t="shared" si="121"/>
        <v>0</v>
      </c>
      <c r="X307" s="2">
        <f t="shared" si="121"/>
        <v>0</v>
      </c>
      <c r="Y307" s="2">
        <f t="shared" si="121"/>
        <v>0</v>
      </c>
      <c r="Z307" s="2">
        <f t="shared" si="121"/>
        <v>0</v>
      </c>
      <c r="AA307" s="2">
        <f t="shared" si="121"/>
        <v>0</v>
      </c>
      <c r="AB307" s="2">
        <f t="shared" si="122"/>
        <v>0</v>
      </c>
    </row>
    <row r="308" spans="1:28" x14ac:dyDescent="0.25">
      <c r="E308" t="s">
        <v>20</v>
      </c>
      <c r="F308" t="s">
        <v>7</v>
      </c>
      <c r="G308" s="2">
        <f t="shared" ref="G308:AA308" ca="1" si="123">G297</f>
        <v>61439.857949477002</v>
      </c>
      <c r="H308" s="2">
        <f t="shared" ca="1" si="123"/>
        <v>-1253128.681751736</v>
      </c>
      <c r="I308" s="2">
        <f t="shared" ca="1" si="123"/>
        <v>-1238189.5564084747</v>
      </c>
      <c r="J308" s="2">
        <f t="shared" ca="1" si="123"/>
        <v>-1229008.5599195797</v>
      </c>
      <c r="K308" s="2">
        <f t="shared" ca="1" si="123"/>
        <v>-1199306.7082790837</v>
      </c>
      <c r="L308" s="2">
        <f t="shared" ca="1" si="123"/>
        <v>-1163080.5692382588</v>
      </c>
      <c r="M308" s="2">
        <f t="shared" ca="1" si="123"/>
        <v>-1131654.9132350232</v>
      </c>
      <c r="N308" s="2">
        <f t="shared" ca="1" si="123"/>
        <v>-1107113.5170261469</v>
      </c>
      <c r="O308" s="2">
        <f t="shared" ca="1" si="123"/>
        <v>-1084722.2164264484</v>
      </c>
      <c r="P308" s="2">
        <f t="shared" ca="1" si="123"/>
        <v>-1091743.6714718172</v>
      </c>
      <c r="Q308" s="2">
        <f t="shared" ca="1" si="123"/>
        <v>-1096856.5967288688</v>
      </c>
      <c r="R308" s="2">
        <f t="shared" ca="1" si="123"/>
        <v>-1131108.7423402776</v>
      </c>
      <c r="S308" s="2">
        <f t="shared" ca="1" si="123"/>
        <v>-1167114.6619634856</v>
      </c>
      <c r="T308" s="2">
        <f t="shared" ca="1" si="123"/>
        <v>-1204655.5429133356</v>
      </c>
      <c r="U308" s="2">
        <f t="shared" ca="1" si="123"/>
        <v>-1219811.0929213655</v>
      </c>
      <c r="V308" s="2">
        <f t="shared" ca="1" si="123"/>
        <v>-1234908.6294495915</v>
      </c>
      <c r="W308" s="2">
        <f t="shared" ca="1" si="123"/>
        <v>254563.12065480917</v>
      </c>
      <c r="X308" s="2">
        <f t="shared" ca="1" si="123"/>
        <v>256809.99618726849</v>
      </c>
      <c r="Y308" s="2">
        <f t="shared" ca="1" si="123"/>
        <v>259104.05610590949</v>
      </c>
      <c r="Z308" s="2">
        <f t="shared" ca="1" si="123"/>
        <v>261446.29128284194</v>
      </c>
      <c r="AA308" s="2">
        <f t="shared" ca="1" si="123"/>
        <v>263837.71339848993</v>
      </c>
      <c r="AB308" s="2">
        <f ca="1">IF(V308=0,0,IF($G$15&gt;(AA308/V308)^(1/5)-1+2%,AA308*(AA308/V308)^(1/5)/($G$15-((AA308/V308)^(1/5)-1)),AA308*(1+$G$14)/$G$16))</f>
        <v>-108488.91140592378</v>
      </c>
    </row>
    <row r="309" spans="1:28" x14ac:dyDescent="0.25">
      <c r="E309" t="s">
        <v>173</v>
      </c>
      <c r="F309" t="s">
        <v>7</v>
      </c>
      <c r="G309" s="2">
        <f ca="1">-$G$17*G308</f>
        <v>-30719.928974738501</v>
      </c>
      <c r="H309" s="2">
        <f t="shared" ref="H309:AA309" ca="1" si="124">-$G$17*H308</f>
        <v>626564.34087586799</v>
      </c>
      <c r="I309" s="2">
        <f t="shared" ca="1" si="124"/>
        <v>619094.77820423734</v>
      </c>
      <c r="J309" s="2">
        <f t="shared" ca="1" si="124"/>
        <v>614504.27995978983</v>
      </c>
      <c r="K309" s="2">
        <f t="shared" ca="1" si="124"/>
        <v>599653.35413954186</v>
      </c>
      <c r="L309" s="2">
        <f t="shared" ca="1" si="124"/>
        <v>581540.28461912938</v>
      </c>
      <c r="M309" s="2">
        <f t="shared" ca="1" si="124"/>
        <v>565827.45661751158</v>
      </c>
      <c r="N309" s="2">
        <f t="shared" ca="1" si="124"/>
        <v>553556.75851307344</v>
      </c>
      <c r="O309" s="2">
        <f t="shared" ca="1" si="124"/>
        <v>542361.10821322422</v>
      </c>
      <c r="P309" s="2">
        <f t="shared" ca="1" si="124"/>
        <v>545871.83573590859</v>
      </c>
      <c r="Q309" s="2">
        <f t="shared" ca="1" si="124"/>
        <v>548428.29836443439</v>
      </c>
      <c r="R309" s="2">
        <f t="shared" ca="1" si="124"/>
        <v>565554.37117013882</v>
      </c>
      <c r="S309" s="2">
        <f t="shared" ca="1" si="124"/>
        <v>583557.33098174282</v>
      </c>
      <c r="T309" s="2">
        <f t="shared" ca="1" si="124"/>
        <v>602327.7714566678</v>
      </c>
      <c r="U309" s="2">
        <f t="shared" ca="1" si="124"/>
        <v>609905.54646068276</v>
      </c>
      <c r="V309" s="2">
        <f t="shared" ca="1" si="124"/>
        <v>617454.31472479575</v>
      </c>
      <c r="W309" s="2">
        <f t="shared" ca="1" si="124"/>
        <v>-127281.56032740459</v>
      </c>
      <c r="X309" s="2">
        <f t="shared" ca="1" si="124"/>
        <v>-128404.99809363425</v>
      </c>
      <c r="Y309" s="2">
        <f t="shared" ca="1" si="124"/>
        <v>-129552.02805295475</v>
      </c>
      <c r="Z309" s="2">
        <f t="shared" ca="1" si="124"/>
        <v>-130723.14564142097</v>
      </c>
      <c r="AA309" s="2">
        <f t="shared" ca="1" si="124"/>
        <v>-131918.85669924496</v>
      </c>
      <c r="AB309" s="2">
        <f t="shared" ref="AB309" ca="1" si="125">IF(V309=0,0,IF($G$15&gt;(AA309/V309)^(1/5)-1+2%,AA309*(AA309/V309)^(1/5)/($G$15-((AA309/V309)^(1/5)-1)),AA309*(1+$G$14)/$G$16))</f>
        <v>54244.455702961888</v>
      </c>
    </row>
    <row r="310" spans="1:28" x14ac:dyDescent="0.25">
      <c r="E310" t="s">
        <v>23</v>
      </c>
      <c r="F310" t="s">
        <v>7</v>
      </c>
      <c r="G310" s="2">
        <f t="shared" ref="G310:AB310" ca="1" si="126">SUM(G300:G309)</f>
        <v>-16353242.190885797</v>
      </c>
      <c r="H310" s="2">
        <f t="shared" ca="1" si="126"/>
        <v>-651990.37152828532</v>
      </c>
      <c r="I310" s="2">
        <f t="shared" ca="1" si="126"/>
        <v>-671276.43050760287</v>
      </c>
      <c r="J310" s="2">
        <f t="shared" ca="1" si="126"/>
        <v>-1439852.5229105977</v>
      </c>
      <c r="K310" s="2">
        <f t="shared" ca="1" si="126"/>
        <v>-702295.08698401519</v>
      </c>
      <c r="L310" s="2">
        <f t="shared" ca="1" si="126"/>
        <v>-2701843.4052787824</v>
      </c>
      <c r="M310" s="2">
        <f t="shared" ca="1" si="126"/>
        <v>-2073729.5596817725</v>
      </c>
      <c r="N310" s="2">
        <f t="shared" ca="1" si="126"/>
        <v>-722022.35116061312</v>
      </c>
      <c r="O310" s="2">
        <f t="shared" ca="1" si="126"/>
        <v>-730190.68550485349</v>
      </c>
      <c r="P310" s="2">
        <f t="shared" ca="1" si="126"/>
        <v>-753287.86101471132</v>
      </c>
      <c r="Q310" s="2">
        <f t="shared" ca="1" si="126"/>
        <v>-775533.09485415788</v>
      </c>
      <c r="R310" s="2">
        <f t="shared" ca="1" si="126"/>
        <v>-814003.48489455192</v>
      </c>
      <c r="S310" s="2">
        <f t="shared" ca="1" si="126"/>
        <v>-855155.55426065135</v>
      </c>
      <c r="T310" s="2">
        <f t="shared" ca="1" si="126"/>
        <v>-899023.88306826272</v>
      </c>
      <c r="U310" s="2">
        <f t="shared" ca="1" si="126"/>
        <v>-932504.27238331386</v>
      </c>
      <c r="V310" s="2">
        <f t="shared" ca="1" si="126"/>
        <v>-966765.68584544398</v>
      </c>
      <c r="W310" s="2">
        <f t="shared" ca="1" si="126"/>
        <v>-229365.34958677716</v>
      </c>
      <c r="X310" s="2">
        <f t="shared" ca="1" si="126"/>
        <v>-235731.4969287453</v>
      </c>
      <c r="Y310" s="2">
        <f t="shared" ca="1" si="126"/>
        <v>-242231.33336489473</v>
      </c>
      <c r="Z310" s="2">
        <f t="shared" ca="1" si="126"/>
        <v>-248867.66636620334</v>
      </c>
      <c r="AA310" s="2">
        <f t="shared" ca="1" si="126"/>
        <v>-255643.36236053929</v>
      </c>
      <c r="AB310" s="2">
        <f t="shared" ca="1" si="126"/>
        <v>-12972985.091029128</v>
      </c>
    </row>
    <row r="311" spans="1:28" x14ac:dyDescent="0.25">
      <c r="E311" t="s">
        <v>31</v>
      </c>
      <c r="F311" t="s">
        <v>7</v>
      </c>
      <c r="G311" s="2">
        <f ca="1">NPV($G$15,H310:AB310)+G310</f>
        <v>-32284121.311679907</v>
      </c>
    </row>
    <row r="313" spans="1:28" x14ac:dyDescent="0.25">
      <c r="E313" t="s">
        <v>13</v>
      </c>
      <c r="F313" t="s">
        <v>7</v>
      </c>
      <c r="G313" s="2">
        <f t="shared" ref="G313:AA313" ca="1" si="127">G285</f>
        <v>0</v>
      </c>
      <c r="H313" s="2">
        <f t="shared" ca="1" si="127"/>
        <v>2761121.3848647946</v>
      </c>
      <c r="I313" s="2">
        <f t="shared" ca="1" si="127"/>
        <v>2819104.933946955</v>
      </c>
      <c r="J313" s="2">
        <f t="shared" ca="1" si="127"/>
        <v>2878306.1375598409</v>
      </c>
      <c r="K313" s="2">
        <f t="shared" ca="1" si="127"/>
        <v>2938750.5664485972</v>
      </c>
      <c r="L313" s="2">
        <f t="shared" ca="1" si="127"/>
        <v>3000464.3283440177</v>
      </c>
      <c r="M313" s="2">
        <f t="shared" ca="1" si="127"/>
        <v>3063474.0792392418</v>
      </c>
      <c r="N313" s="2">
        <f t="shared" ca="1" si="127"/>
        <v>3127807.0349032655</v>
      </c>
      <c r="O313" s="2">
        <f t="shared" ca="1" si="127"/>
        <v>3193490.9826362338</v>
      </c>
      <c r="P313" s="2">
        <f t="shared" ca="1" si="127"/>
        <v>3260554.2932715942</v>
      </c>
      <c r="Q313" s="2">
        <f t="shared" ca="1" si="127"/>
        <v>3329025.9334302973</v>
      </c>
      <c r="R313" s="2">
        <f t="shared" ca="1" si="127"/>
        <v>3398935.4780323333</v>
      </c>
      <c r="S313" s="2">
        <f t="shared" ca="1" si="127"/>
        <v>3470313.1230710121</v>
      </c>
      <c r="T313" s="2">
        <f t="shared" ca="1" si="127"/>
        <v>3543189.6986555029</v>
      </c>
      <c r="U313" s="2">
        <f t="shared" ca="1" si="127"/>
        <v>3617596.6823272682</v>
      </c>
      <c r="V313" s="2">
        <f t="shared" ca="1" si="127"/>
        <v>3693566.2126561403</v>
      </c>
      <c r="W313" s="2">
        <f t="shared" ca="1" si="127"/>
        <v>0</v>
      </c>
      <c r="X313" s="2">
        <f t="shared" ca="1" si="127"/>
        <v>0</v>
      </c>
      <c r="Y313" s="2">
        <f t="shared" ca="1" si="127"/>
        <v>0</v>
      </c>
      <c r="Z313" s="2">
        <f t="shared" ca="1" si="127"/>
        <v>0</v>
      </c>
      <c r="AA313" s="2">
        <f t="shared" ca="1" si="127"/>
        <v>0</v>
      </c>
    </row>
    <row r="314" spans="1:28" x14ac:dyDescent="0.25">
      <c r="E314" t="s">
        <v>24</v>
      </c>
      <c r="F314" t="s">
        <v>7</v>
      </c>
      <c r="G314">
        <f ca="1">NPV($G$15,H313:AA313)+G313</f>
        <v>32284121.311679926</v>
      </c>
    </row>
    <row r="315" spans="1:28" x14ac:dyDescent="0.25">
      <c r="E315" s="3" t="s">
        <v>34</v>
      </c>
      <c r="F315" s="3"/>
      <c r="G315" s="4" t="str">
        <f ca="1">IF(G311&gt;0,"N/A",IF(ABS(G311+G314)&gt;1,"Error","OK"))</f>
        <v>OK</v>
      </c>
    </row>
    <row r="318" spans="1:28" x14ac:dyDescent="0.25">
      <c r="C318" s="1" t="s">
        <v>110</v>
      </c>
    </row>
    <row r="319" spans="1:28" x14ac:dyDescent="0.25">
      <c r="E319" t="s">
        <v>116</v>
      </c>
      <c r="F319" t="s">
        <v>117</v>
      </c>
    </row>
    <row r="320" spans="1:28" x14ac:dyDescent="0.25">
      <c r="A320" s="14">
        <f>'Notes &amp; Assumptions'!A68</f>
        <v>55</v>
      </c>
      <c r="E320" s="19" t="s">
        <v>111</v>
      </c>
      <c r="F320" s="19" t="s">
        <v>119</v>
      </c>
    </row>
    <row r="321" spans="5:6" customFormat="1" x14ac:dyDescent="0.25">
      <c r="E321" s="19" t="s">
        <v>112</v>
      </c>
      <c r="F321" s="19" t="s">
        <v>120</v>
      </c>
    </row>
    <row r="322" spans="5:6" customFormat="1" x14ac:dyDescent="0.25">
      <c r="E322" s="19" t="s">
        <v>113</v>
      </c>
      <c r="F322" s="19" t="s">
        <v>121</v>
      </c>
    </row>
  </sheetData>
  <mergeCells count="1">
    <mergeCell ref="G4:H4"/>
  </mergeCells>
  <dataValidations count="1">
    <dataValidation type="list" showInputMessage="1" showErrorMessage="1" sqref="G4" xr:uid="{F92F0F26-2929-4594-AF88-2639598F3A29}">
      <formula1>$E$320:$E$322</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454F6C-C5CD-48A8-AA5A-F32D1612B93F}">
  <dimension ref="A1:CB126"/>
  <sheetViews>
    <sheetView topLeftCell="A41" workbookViewId="0">
      <selection activeCell="F60" sqref="F60"/>
    </sheetView>
  </sheetViews>
  <sheetFormatPr defaultRowHeight="15.75" x14ac:dyDescent="0.25"/>
  <cols>
    <col min="1" max="1" width="18.375" customWidth="1"/>
    <col min="2" max="2" width="19.5" bestFit="1" customWidth="1"/>
    <col min="3" max="3" width="10.375" bestFit="1" customWidth="1"/>
    <col min="4" max="5" width="10.75" bestFit="1" customWidth="1"/>
    <col min="6" max="7" width="14.75" bestFit="1" customWidth="1"/>
    <col min="8" max="8" width="12.75" customWidth="1"/>
    <col min="9" max="15" width="14.75" bestFit="1" customWidth="1"/>
    <col min="16" max="22" width="11.25" bestFit="1" customWidth="1"/>
    <col min="23" max="23" width="10.75" bestFit="1" customWidth="1"/>
    <col min="24" max="32" width="11.25" bestFit="1" customWidth="1"/>
    <col min="33" max="33" width="10.75" bestFit="1" customWidth="1"/>
    <col min="34" max="35" width="11.25" bestFit="1" customWidth="1"/>
    <col min="36" max="36" width="11.25" customWidth="1"/>
    <col min="37" max="42" width="11.25" bestFit="1" customWidth="1"/>
    <col min="43" max="43" width="10.75" bestFit="1" customWidth="1"/>
    <col min="44" max="52" width="11.25" bestFit="1" customWidth="1"/>
    <col min="53" max="53" width="10.75" bestFit="1" customWidth="1"/>
    <col min="54" max="62" width="11.25" bestFit="1" customWidth="1"/>
    <col min="63" max="74" width="11.25" customWidth="1"/>
  </cols>
  <sheetData>
    <row r="1" spans="1:80" ht="45" x14ac:dyDescent="0.25">
      <c r="C1" s="56" t="s">
        <v>258</v>
      </c>
      <c r="D1" s="56" t="s">
        <v>259</v>
      </c>
      <c r="E1" s="56" t="s">
        <v>260</v>
      </c>
      <c r="F1" s="56" t="s">
        <v>231</v>
      </c>
      <c r="G1" s="56" t="s">
        <v>232</v>
      </c>
      <c r="H1" s="56" t="s">
        <v>233</v>
      </c>
      <c r="I1" s="56" t="s">
        <v>234</v>
      </c>
      <c r="J1" s="56" t="s">
        <v>235</v>
      </c>
      <c r="K1" s="56" t="s">
        <v>261</v>
      </c>
      <c r="L1" s="56" t="s">
        <v>262</v>
      </c>
      <c r="M1" s="56" t="s">
        <v>263</v>
      </c>
      <c r="N1" s="57" t="s">
        <v>264</v>
      </c>
      <c r="O1" s="56" t="s">
        <v>265</v>
      </c>
      <c r="P1" s="56" t="s">
        <v>266</v>
      </c>
      <c r="Q1" s="56" t="s">
        <v>267</v>
      </c>
      <c r="R1" s="56" t="s">
        <v>268</v>
      </c>
      <c r="S1" s="56" t="s">
        <v>269</v>
      </c>
      <c r="T1" s="56" t="s">
        <v>270</v>
      </c>
      <c r="U1" s="56" t="s">
        <v>271</v>
      </c>
      <c r="V1" s="56" t="s">
        <v>272</v>
      </c>
      <c r="W1" s="56" t="s">
        <v>273</v>
      </c>
      <c r="X1" s="56" t="s">
        <v>274</v>
      </c>
      <c r="Y1" s="56" t="s">
        <v>275</v>
      </c>
      <c r="Z1" s="56" t="s">
        <v>276</v>
      </c>
      <c r="AA1" s="58" t="str">
        <f>RIGHT(Z1,2)&amp;"/"&amp;VALUE(RIGHT(Z1,2)+1)</f>
        <v>34/35</v>
      </c>
      <c r="AB1" s="58" t="str">
        <f t="shared" ref="AB1:AI1" si="0">RIGHT(AA1,2)&amp;"/"&amp;VALUE(RIGHT(AA1,2)+1)</f>
        <v>35/36</v>
      </c>
      <c r="AC1" s="58" t="str">
        <f t="shared" si="0"/>
        <v>36/37</v>
      </c>
      <c r="AD1" s="58" t="str">
        <f t="shared" si="0"/>
        <v>37/38</v>
      </c>
      <c r="AE1" s="58" t="str">
        <f t="shared" si="0"/>
        <v>38/39</v>
      </c>
      <c r="AF1" s="58" t="str">
        <f t="shared" si="0"/>
        <v>39/40</v>
      </c>
      <c r="AG1" s="58" t="str">
        <f t="shared" si="0"/>
        <v>40/41</v>
      </c>
      <c r="AH1" s="58" t="str">
        <f t="shared" si="0"/>
        <v>41/42</v>
      </c>
      <c r="AI1" s="58" t="str">
        <f t="shared" si="0"/>
        <v>42/43</v>
      </c>
      <c r="AJ1" s="58"/>
      <c r="AK1" s="58"/>
      <c r="AL1" s="58"/>
      <c r="AM1" s="58"/>
      <c r="AN1" s="58"/>
      <c r="AO1" s="58"/>
      <c r="AP1" s="58"/>
      <c r="AQ1" s="58"/>
      <c r="AR1" s="58"/>
      <c r="AS1" s="58"/>
      <c r="AT1" s="58"/>
      <c r="AU1" s="58"/>
      <c r="AV1" s="58"/>
      <c r="AW1" s="58"/>
      <c r="AX1" s="58"/>
      <c r="AY1" s="58"/>
      <c r="AZ1" s="58"/>
      <c r="BA1" s="58"/>
      <c r="BB1" s="58"/>
      <c r="BC1" s="58"/>
      <c r="BD1" s="58"/>
      <c r="BE1" s="58"/>
      <c r="BF1" s="58"/>
      <c r="BG1" s="58"/>
      <c r="BH1" s="58"/>
      <c r="BI1" s="58"/>
      <c r="BJ1" s="58"/>
      <c r="BK1" s="58"/>
      <c r="BL1" s="58"/>
      <c r="BM1" s="58"/>
      <c r="BN1" s="58"/>
      <c r="BO1" s="58"/>
      <c r="BP1" s="58"/>
      <c r="BQ1" s="58"/>
      <c r="BR1" s="58"/>
      <c r="BS1" s="58"/>
      <c r="BT1" s="58"/>
      <c r="BU1" s="58"/>
      <c r="BV1" s="58"/>
      <c r="BX1" s="59" t="s">
        <v>277</v>
      </c>
      <c r="BY1" s="60" t="s">
        <v>278</v>
      </c>
    </row>
    <row r="2" spans="1:80" x14ac:dyDescent="0.25">
      <c r="A2" s="326" t="s">
        <v>279</v>
      </c>
      <c r="B2" s="61" t="s">
        <v>176</v>
      </c>
      <c r="C2" s="62">
        <f t="array" ref="C2:M2">TRANSPOSE('[1]Hist Series'!S5:S15)</f>
        <v>647274</v>
      </c>
      <c r="D2" s="62">
        <v>660986</v>
      </c>
      <c r="E2" s="62">
        <v>670778</v>
      </c>
      <c r="F2" s="62">
        <v>684741</v>
      </c>
      <c r="G2" s="62">
        <v>698667</v>
      </c>
      <c r="H2" s="62">
        <v>712451</v>
      </c>
      <c r="I2" s="62">
        <v>730259</v>
      </c>
      <c r="J2" s="62">
        <v>746925</v>
      </c>
      <c r="K2" s="62">
        <v>764589</v>
      </c>
      <c r="L2" s="62">
        <v>781288</v>
      </c>
      <c r="M2" s="62">
        <v>796883</v>
      </c>
      <c r="N2" s="63">
        <f t="shared" ref="N2:AI2" si="1">ROUND(M2*(1+N72),-1)</f>
        <v>805640</v>
      </c>
      <c r="O2" s="62">
        <f t="shared" si="1"/>
        <v>814500</v>
      </c>
      <c r="P2" s="62">
        <f t="shared" si="1"/>
        <v>826940</v>
      </c>
      <c r="Q2" s="62">
        <f t="shared" si="1"/>
        <v>839340</v>
      </c>
      <c r="R2" s="62">
        <f t="shared" si="1"/>
        <v>851930</v>
      </c>
      <c r="S2" s="62">
        <f t="shared" si="1"/>
        <v>864070</v>
      </c>
      <c r="T2" s="62">
        <f t="shared" si="1"/>
        <v>875740</v>
      </c>
      <c r="U2" s="62">
        <f t="shared" si="1"/>
        <v>886960</v>
      </c>
      <c r="V2" s="62">
        <f t="shared" si="1"/>
        <v>897730</v>
      </c>
      <c r="W2" s="62">
        <f t="shared" si="1"/>
        <v>908060</v>
      </c>
      <c r="X2" s="62">
        <f t="shared" si="1"/>
        <v>918990</v>
      </c>
      <c r="Y2" s="62">
        <f t="shared" si="1"/>
        <v>930560</v>
      </c>
      <c r="Z2" s="62">
        <f t="shared" si="1"/>
        <v>942810</v>
      </c>
      <c r="AA2" s="62">
        <f t="shared" si="1"/>
        <v>955790</v>
      </c>
      <c r="AB2" s="62">
        <f t="shared" si="1"/>
        <v>969540</v>
      </c>
      <c r="AC2" s="62">
        <f t="shared" si="1"/>
        <v>983200</v>
      </c>
      <c r="AD2" s="62">
        <f t="shared" si="1"/>
        <v>996760</v>
      </c>
      <c r="AE2" s="62">
        <f t="shared" si="1"/>
        <v>1010210</v>
      </c>
      <c r="AF2" s="62">
        <f t="shared" si="1"/>
        <v>1023550</v>
      </c>
      <c r="AG2" s="62">
        <f t="shared" si="1"/>
        <v>1036780</v>
      </c>
      <c r="AH2" s="62">
        <f t="shared" si="1"/>
        <v>1050620</v>
      </c>
      <c r="AI2" s="62">
        <f t="shared" si="1"/>
        <v>1065110</v>
      </c>
      <c r="AJ2" s="62"/>
      <c r="AK2" s="62"/>
      <c r="AL2" s="62"/>
      <c r="AM2" s="62"/>
      <c r="AN2" s="62"/>
      <c r="AO2" s="62"/>
      <c r="AP2" s="62"/>
      <c r="AQ2" s="62"/>
      <c r="AR2" s="62"/>
      <c r="AS2" s="62"/>
      <c r="AT2" s="62"/>
      <c r="AU2" s="62"/>
      <c r="AV2" s="62"/>
      <c r="AW2" s="62"/>
      <c r="AX2" s="62"/>
      <c r="AY2" s="62"/>
      <c r="AZ2" s="62"/>
      <c r="BA2" s="62"/>
      <c r="BB2" s="62"/>
      <c r="BC2" s="62"/>
      <c r="BD2" s="62"/>
      <c r="BE2" s="62"/>
      <c r="BF2" s="62"/>
      <c r="BG2" s="62"/>
      <c r="BH2" s="62"/>
      <c r="BI2" s="62"/>
      <c r="BJ2" s="62"/>
      <c r="BK2" s="62"/>
      <c r="BL2" s="62"/>
      <c r="BM2" s="62"/>
      <c r="BN2" s="62"/>
      <c r="BO2" s="62"/>
      <c r="BP2" s="62"/>
      <c r="BQ2" s="62"/>
      <c r="BR2" s="62"/>
      <c r="BS2" s="62"/>
      <c r="BT2" s="62"/>
      <c r="BU2" s="62"/>
      <c r="BV2" s="62"/>
      <c r="BX2" s="64">
        <f>(T2/H2)^(1/12)-1</f>
        <v>1.7345219953520674E-2</v>
      </c>
      <c r="BY2" s="65">
        <f>(H2/C2)^0.2-1</f>
        <v>1.9373566348853011E-2</v>
      </c>
      <c r="BZ2" s="2">
        <f>(U2-H2)</f>
        <v>174509</v>
      </c>
    </row>
    <row r="3" spans="1:80" x14ac:dyDescent="0.25">
      <c r="A3" s="326"/>
      <c r="B3" s="61" t="s">
        <v>175</v>
      </c>
      <c r="C3" s="62">
        <f t="array" ref="C3:M3">TRANSPOSE('[1]Hist Series'!T5:T15)</f>
        <v>601488</v>
      </c>
      <c r="D3" s="62">
        <v>620407</v>
      </c>
      <c r="E3" s="62">
        <v>632945</v>
      </c>
      <c r="F3" s="62">
        <v>646156</v>
      </c>
      <c r="G3" s="62">
        <v>660236</v>
      </c>
      <c r="H3" s="62">
        <v>674387</v>
      </c>
      <c r="I3" s="62">
        <v>678932</v>
      </c>
      <c r="J3" s="62">
        <v>695726</v>
      </c>
      <c r="K3" s="62">
        <v>714002</v>
      </c>
      <c r="L3" s="62">
        <v>730387</v>
      </c>
      <c r="M3" s="62">
        <v>745889</v>
      </c>
      <c r="N3" s="63">
        <f t="shared" ref="N3:AI3" si="2">ROUND(N2*N22,-1)</f>
        <v>755000</v>
      </c>
      <c r="O3" s="62">
        <f t="shared" si="2"/>
        <v>764230</v>
      </c>
      <c r="P3" s="62">
        <f t="shared" si="2"/>
        <v>776850</v>
      </c>
      <c r="Q3" s="62">
        <f t="shared" si="2"/>
        <v>789450</v>
      </c>
      <c r="R3" s="62">
        <f t="shared" si="2"/>
        <v>802260</v>
      </c>
      <c r="S3" s="62">
        <f t="shared" si="2"/>
        <v>814680</v>
      </c>
      <c r="T3" s="62">
        <f t="shared" si="2"/>
        <v>826680</v>
      </c>
      <c r="U3" s="62">
        <f t="shared" si="2"/>
        <v>838280</v>
      </c>
      <c r="V3" s="62">
        <f t="shared" si="2"/>
        <v>849480</v>
      </c>
      <c r="W3" s="62">
        <f t="shared" si="2"/>
        <v>860290</v>
      </c>
      <c r="X3" s="62">
        <f t="shared" si="2"/>
        <v>871690</v>
      </c>
      <c r="Y3" s="62">
        <f t="shared" si="2"/>
        <v>883730</v>
      </c>
      <c r="Z3" s="62">
        <f t="shared" si="2"/>
        <v>896430</v>
      </c>
      <c r="AA3" s="62">
        <f t="shared" si="2"/>
        <v>909860</v>
      </c>
      <c r="AB3" s="62">
        <f t="shared" si="2"/>
        <v>924060</v>
      </c>
      <c r="AC3" s="62">
        <f t="shared" si="2"/>
        <v>938200</v>
      </c>
      <c r="AD3" s="62">
        <f t="shared" si="2"/>
        <v>952270</v>
      </c>
      <c r="AE3" s="62">
        <f t="shared" si="2"/>
        <v>966270</v>
      </c>
      <c r="AF3" s="62">
        <f t="shared" si="2"/>
        <v>980190</v>
      </c>
      <c r="AG3" s="62">
        <f t="shared" si="2"/>
        <v>994040</v>
      </c>
      <c r="AH3" s="62">
        <f t="shared" si="2"/>
        <v>1008510</v>
      </c>
      <c r="AI3" s="62">
        <f t="shared" si="2"/>
        <v>1023630</v>
      </c>
      <c r="AJ3" s="62"/>
      <c r="AK3" s="62"/>
      <c r="AL3" s="62"/>
      <c r="AM3" s="62"/>
      <c r="AN3" s="62"/>
      <c r="AO3" s="62"/>
      <c r="AP3" s="62"/>
      <c r="AQ3" s="62"/>
      <c r="AR3" s="62"/>
      <c r="AS3" s="62"/>
      <c r="AT3" s="62"/>
      <c r="AU3" s="62"/>
      <c r="AV3" s="62"/>
      <c r="AW3" s="62"/>
      <c r="AX3" s="62"/>
      <c r="AY3" s="62"/>
      <c r="AZ3" s="62"/>
      <c r="BA3" s="62"/>
      <c r="BB3" s="62"/>
      <c r="BC3" s="62"/>
      <c r="BD3" s="62"/>
      <c r="BE3" s="62"/>
      <c r="BF3" s="62"/>
      <c r="BG3" s="62"/>
      <c r="BH3" s="62"/>
      <c r="BI3" s="62"/>
      <c r="BJ3" s="62"/>
      <c r="BK3" s="62"/>
      <c r="BL3" s="62"/>
      <c r="BM3" s="62"/>
      <c r="BN3" s="62"/>
      <c r="BO3" s="62"/>
      <c r="BP3" s="62"/>
      <c r="BQ3" s="62"/>
      <c r="BR3" s="62"/>
      <c r="BS3" s="62"/>
      <c r="BT3" s="62"/>
      <c r="BU3" s="62"/>
      <c r="BV3" s="62"/>
      <c r="BX3" s="64">
        <f>(T3/H3)^(1/12)-1</f>
        <v>1.7112566474599689E-2</v>
      </c>
      <c r="BY3" s="65">
        <f>(H3/C3)^0.2-1</f>
        <v>2.3143252569711059E-2</v>
      </c>
      <c r="BZ3" s="2">
        <f>(U3-H3)</f>
        <v>163893</v>
      </c>
      <c r="CA3" s="66">
        <f>(BZ3-BZ2)/13</f>
        <v>-816.61538461538464</v>
      </c>
      <c r="CB3" s="67" t="s">
        <v>280</v>
      </c>
    </row>
    <row r="4" spans="1:80" x14ac:dyDescent="0.25">
      <c r="A4" s="326"/>
      <c r="B4" s="61" t="s">
        <v>305</v>
      </c>
      <c r="C4" s="62"/>
      <c r="D4" s="62"/>
      <c r="E4" s="62"/>
      <c r="F4" s="62"/>
      <c r="G4" s="62"/>
      <c r="H4" s="62"/>
      <c r="I4" s="62"/>
      <c r="J4" s="62"/>
      <c r="K4" s="62"/>
      <c r="L4" s="62"/>
      <c r="M4" s="62"/>
      <c r="N4" s="63"/>
      <c r="O4" s="62"/>
      <c r="P4" s="62"/>
      <c r="Q4" s="62"/>
      <c r="R4" s="62"/>
      <c r="S4" s="62"/>
      <c r="T4" s="62"/>
      <c r="U4" s="62"/>
      <c r="V4" s="62"/>
      <c r="W4" s="62"/>
      <c r="X4" s="62"/>
      <c r="Y4" s="62"/>
      <c r="Z4" s="62"/>
      <c r="AA4" s="62"/>
      <c r="AB4" s="62"/>
      <c r="AC4" s="62"/>
      <c r="AD4" s="62"/>
      <c r="AE4" s="62"/>
      <c r="AF4" s="62"/>
      <c r="AG4" s="62"/>
      <c r="AH4" s="62"/>
      <c r="AI4" s="62"/>
      <c r="AJ4" s="62"/>
      <c r="AK4" s="62"/>
      <c r="AL4" s="62"/>
      <c r="AM4" s="62"/>
      <c r="AN4" s="62"/>
      <c r="AO4" s="62"/>
      <c r="AP4" s="62"/>
      <c r="AQ4" s="62"/>
      <c r="AR4" s="62"/>
      <c r="AS4" s="62"/>
      <c r="AT4" s="62"/>
      <c r="AU4" s="62"/>
      <c r="AV4" s="62"/>
      <c r="AW4" s="62"/>
      <c r="AX4" s="62"/>
      <c r="AY4" s="62"/>
      <c r="AZ4" s="62"/>
      <c r="BA4" s="62"/>
      <c r="BB4" s="62"/>
      <c r="BC4" s="62"/>
      <c r="BD4" s="62"/>
      <c r="BE4" s="62"/>
      <c r="BF4" s="62"/>
      <c r="BG4" s="62"/>
      <c r="BH4" s="62"/>
      <c r="BI4" s="62"/>
      <c r="BJ4" s="62"/>
      <c r="BK4" s="62"/>
      <c r="BL4" s="62"/>
      <c r="BM4" s="62"/>
      <c r="BN4" s="62"/>
      <c r="BO4" s="62"/>
      <c r="BP4" s="62"/>
      <c r="BQ4" s="62"/>
      <c r="BR4" s="62"/>
      <c r="BS4" s="62"/>
      <c r="BT4" s="62"/>
      <c r="BU4" s="62"/>
      <c r="BV4" s="62"/>
      <c r="BX4" s="64"/>
      <c r="BY4" s="65"/>
      <c r="BZ4" s="2"/>
      <c r="CA4" s="66"/>
      <c r="CB4" s="67"/>
    </row>
    <row r="5" spans="1:80" x14ac:dyDescent="0.25">
      <c r="A5" s="326"/>
      <c r="B5" s="61" t="s">
        <v>176</v>
      </c>
      <c r="C5" s="62"/>
      <c r="D5" s="62"/>
      <c r="E5" s="62"/>
      <c r="F5" s="62">
        <f>F2-E2</f>
        <v>13963</v>
      </c>
      <c r="G5" s="62">
        <f t="shared" ref="G5:AI5" si="3">G2-F2</f>
        <v>13926</v>
      </c>
      <c r="H5" s="62">
        <f t="shared" si="3"/>
        <v>13784</v>
      </c>
      <c r="I5" s="62">
        <f t="shared" si="3"/>
        <v>17808</v>
      </c>
      <c r="J5" s="62">
        <f t="shared" si="3"/>
        <v>16666</v>
      </c>
      <c r="K5" s="62">
        <f t="shared" si="3"/>
        <v>17664</v>
      </c>
      <c r="L5" s="62">
        <f t="shared" si="3"/>
        <v>16699</v>
      </c>
      <c r="M5" s="62">
        <f t="shared" si="3"/>
        <v>15595</v>
      </c>
      <c r="N5" s="62">
        <f t="shared" si="3"/>
        <v>8757</v>
      </c>
      <c r="O5" s="62">
        <f t="shared" si="3"/>
        <v>8860</v>
      </c>
      <c r="P5" s="62">
        <f t="shared" si="3"/>
        <v>12440</v>
      </c>
      <c r="Q5" s="62">
        <f t="shared" si="3"/>
        <v>12400</v>
      </c>
      <c r="R5" s="62">
        <f t="shared" si="3"/>
        <v>12590</v>
      </c>
      <c r="S5" s="62">
        <f t="shared" si="3"/>
        <v>12140</v>
      </c>
      <c r="T5" s="62">
        <f t="shared" si="3"/>
        <v>11670</v>
      </c>
      <c r="U5" s="62">
        <f t="shared" si="3"/>
        <v>11220</v>
      </c>
      <c r="V5" s="62">
        <f t="shared" si="3"/>
        <v>10770</v>
      </c>
      <c r="W5" s="62">
        <f t="shared" si="3"/>
        <v>10330</v>
      </c>
      <c r="X5" s="62">
        <f t="shared" si="3"/>
        <v>10930</v>
      </c>
      <c r="Y5" s="62">
        <f t="shared" si="3"/>
        <v>11570</v>
      </c>
      <c r="Z5" s="62">
        <f t="shared" si="3"/>
        <v>12250</v>
      </c>
      <c r="AA5" s="62">
        <f t="shared" si="3"/>
        <v>12980</v>
      </c>
      <c r="AB5" s="62">
        <f t="shared" si="3"/>
        <v>13750</v>
      </c>
      <c r="AC5" s="62">
        <f t="shared" si="3"/>
        <v>13660</v>
      </c>
      <c r="AD5" s="62">
        <f t="shared" si="3"/>
        <v>13560</v>
      </c>
      <c r="AE5" s="62">
        <f t="shared" si="3"/>
        <v>13450</v>
      </c>
      <c r="AF5" s="62">
        <f t="shared" si="3"/>
        <v>13340</v>
      </c>
      <c r="AG5" s="62">
        <f t="shared" si="3"/>
        <v>13230</v>
      </c>
      <c r="AH5" s="62">
        <f t="shared" si="3"/>
        <v>13840</v>
      </c>
      <c r="AI5" s="62">
        <f t="shared" si="3"/>
        <v>14490</v>
      </c>
      <c r="AJ5" s="62"/>
      <c r="AK5" s="62"/>
      <c r="AL5" s="62"/>
      <c r="AM5" s="62"/>
      <c r="AN5" s="62"/>
      <c r="AO5" s="62"/>
      <c r="AP5" s="62"/>
      <c r="AQ5" s="62"/>
      <c r="AR5" s="62"/>
      <c r="AS5" s="62"/>
      <c r="AT5" s="62"/>
      <c r="AU5" s="62"/>
      <c r="AV5" s="62"/>
      <c r="AW5" s="62"/>
      <c r="AX5" s="62"/>
      <c r="AY5" s="62"/>
      <c r="AZ5" s="62"/>
      <c r="BA5" s="62"/>
      <c r="BB5" s="62"/>
      <c r="BC5" s="62"/>
      <c r="BD5" s="62"/>
      <c r="BE5" s="62"/>
      <c r="BF5" s="62"/>
      <c r="BG5" s="62"/>
      <c r="BH5" s="62"/>
      <c r="BI5" s="62"/>
      <c r="BJ5" s="62"/>
      <c r="BK5" s="62"/>
      <c r="BL5" s="62"/>
      <c r="BM5" s="62"/>
      <c r="BN5" s="62"/>
      <c r="BO5" s="62"/>
      <c r="BP5" s="62"/>
      <c r="BQ5" s="62"/>
      <c r="BR5" s="62"/>
      <c r="BS5" s="62"/>
      <c r="BT5" s="62"/>
      <c r="BU5" s="62"/>
      <c r="BV5" s="62"/>
      <c r="BX5" s="64"/>
      <c r="BY5" s="65"/>
      <c r="BZ5" s="2"/>
      <c r="CA5" s="66"/>
      <c r="CB5" s="67"/>
    </row>
    <row r="6" spans="1:80" x14ac:dyDescent="0.25">
      <c r="A6" s="326"/>
      <c r="B6" s="121" t="s">
        <v>306</v>
      </c>
      <c r="C6" s="62"/>
      <c r="D6" s="62"/>
      <c r="E6" s="120">
        <v>0.75</v>
      </c>
      <c r="F6" s="62">
        <f>F$5*$E6</f>
        <v>10472.25</v>
      </c>
      <c r="G6" s="62">
        <f t="shared" ref="G6:O9" si="4">G$5*$E6</f>
        <v>10444.5</v>
      </c>
      <c r="H6" s="62">
        <f t="shared" si="4"/>
        <v>10338</v>
      </c>
      <c r="I6" s="62">
        <f t="shared" si="4"/>
        <v>13356</v>
      </c>
      <c r="J6" s="62">
        <f t="shared" si="4"/>
        <v>12499.5</v>
      </c>
      <c r="K6" s="62">
        <f t="shared" si="4"/>
        <v>13248</v>
      </c>
      <c r="L6" s="62">
        <f t="shared" si="4"/>
        <v>12524.25</v>
      </c>
      <c r="M6" s="62">
        <f t="shared" si="4"/>
        <v>11696.25</v>
      </c>
      <c r="N6" s="62">
        <f t="shared" si="4"/>
        <v>6567.75</v>
      </c>
      <c r="O6" s="62">
        <f t="shared" si="4"/>
        <v>6645</v>
      </c>
      <c r="P6" s="62">
        <f>[2]Sheet1!P6</f>
        <v>9330</v>
      </c>
      <c r="Q6" s="62">
        <f>[2]Sheet1!Q6</f>
        <v>8804</v>
      </c>
      <c r="R6" s="62">
        <f>[2]Sheet1!R6</f>
        <v>8435.2999999999993</v>
      </c>
      <c r="S6" s="62">
        <f>[2]Sheet1!S6</f>
        <v>7648.1999999999989</v>
      </c>
      <c r="T6" s="62">
        <f>[2]Sheet1!T6</f>
        <v>6885.2999999999984</v>
      </c>
      <c r="U6" s="62">
        <f>[2]Sheet1!U6</f>
        <v>6170.9999999999982</v>
      </c>
      <c r="V6" s="62">
        <f>[2]Sheet1!V6</f>
        <v>5492.699999999998</v>
      </c>
      <c r="W6" s="62">
        <f>[2]Sheet1!W6</f>
        <v>4855.0999999999976</v>
      </c>
      <c r="X6" s="62">
        <f>[2]Sheet1!X6</f>
        <v>4699.8999999999978</v>
      </c>
      <c r="Y6" s="62">
        <f>[2]Sheet1!Y6</f>
        <v>4512.2999999999984</v>
      </c>
      <c r="Z6" s="62">
        <f>[2]Sheet1!Z6</f>
        <v>4777.4999999999982</v>
      </c>
      <c r="AA6" s="62">
        <f>[2]Sheet1!AA6</f>
        <v>5062.199999999998</v>
      </c>
      <c r="AB6" s="62">
        <f>[2]Sheet1!AB6</f>
        <v>5362.4999999999982</v>
      </c>
      <c r="AC6" s="62">
        <f>[2]Sheet1!AC6</f>
        <v>5327.3999999999978</v>
      </c>
      <c r="AD6" s="62">
        <f>[2]Sheet1!AD6</f>
        <v>5288.3999999999978</v>
      </c>
      <c r="AE6" s="62">
        <f>[2]Sheet1!AE6</f>
        <v>5245.4999999999982</v>
      </c>
      <c r="AF6" s="62">
        <f>[2]Sheet1!AF6</f>
        <v>5202.5999999999976</v>
      </c>
      <c r="AG6" s="62">
        <f>[2]Sheet1!AG6</f>
        <v>5159.699999999998</v>
      </c>
      <c r="AH6" s="62">
        <f>[2]Sheet1!AH6</f>
        <v>5397.5999999999976</v>
      </c>
      <c r="AI6" s="62">
        <f>[2]Sheet1!AI6</f>
        <v>5651.0999999999976</v>
      </c>
      <c r="AJ6" s="62"/>
      <c r="AK6" s="62"/>
      <c r="AL6" s="62"/>
      <c r="AM6" s="62"/>
      <c r="AN6" s="62"/>
      <c r="AO6" s="62"/>
      <c r="AP6" s="62"/>
      <c r="AQ6" s="62"/>
      <c r="AR6" s="62"/>
      <c r="AS6" s="62"/>
      <c r="AT6" s="62"/>
      <c r="AU6" s="62"/>
      <c r="AV6" s="62"/>
      <c r="AW6" s="62"/>
      <c r="AX6" s="62"/>
      <c r="AY6" s="62"/>
      <c r="AZ6" s="62"/>
      <c r="BA6" s="62"/>
      <c r="BB6" s="62"/>
      <c r="BC6" s="62"/>
      <c r="BD6" s="62"/>
      <c r="BE6" s="62"/>
      <c r="BF6" s="62"/>
      <c r="BG6" s="62"/>
      <c r="BH6" s="62"/>
      <c r="BI6" s="62"/>
      <c r="BJ6" s="62"/>
      <c r="BK6" s="62"/>
      <c r="BL6" s="62"/>
      <c r="BM6" s="62"/>
      <c r="BN6" s="62"/>
      <c r="BO6" s="62"/>
      <c r="BP6" s="62"/>
      <c r="BQ6" s="62"/>
      <c r="BR6" s="62"/>
      <c r="BS6" s="62"/>
      <c r="BT6" s="62"/>
      <c r="BU6" s="62"/>
      <c r="BV6" s="62"/>
      <c r="BX6" s="64"/>
      <c r="BY6" s="65"/>
      <c r="BZ6" s="2"/>
      <c r="CA6" s="66"/>
      <c r="CB6" s="67"/>
    </row>
    <row r="7" spans="1:80" x14ac:dyDescent="0.25">
      <c r="A7" s="326"/>
      <c r="B7" s="121" t="s">
        <v>307</v>
      </c>
      <c r="C7" s="62"/>
      <c r="D7" s="62"/>
      <c r="E7" s="120">
        <v>0.15</v>
      </c>
      <c r="F7" s="62">
        <f>F$5*$E7</f>
        <v>2094.4499999999998</v>
      </c>
      <c r="G7" s="62">
        <f t="shared" ref="F7:O9" si="5">G$5*$E7</f>
        <v>2088.9</v>
      </c>
      <c r="H7" s="62">
        <f t="shared" si="5"/>
        <v>2067.6</v>
      </c>
      <c r="I7" s="62">
        <f t="shared" si="5"/>
        <v>2671.2</v>
      </c>
      <c r="J7" s="62">
        <f t="shared" si="5"/>
        <v>2499.9</v>
      </c>
      <c r="K7" s="62">
        <f t="shared" si="5"/>
        <v>2649.6</v>
      </c>
      <c r="L7" s="62">
        <f t="shared" si="5"/>
        <v>2504.85</v>
      </c>
      <c r="M7" s="62">
        <f t="shared" si="5"/>
        <v>2339.25</v>
      </c>
      <c r="N7" s="62">
        <f t="shared" si="5"/>
        <v>1313.55</v>
      </c>
      <c r="O7" s="62">
        <f t="shared" si="5"/>
        <v>1329</v>
      </c>
      <c r="P7" s="62">
        <f>[2]Sheet1!P7</f>
        <v>1866</v>
      </c>
      <c r="Q7" s="62">
        <f>[2]Sheet1!Q7</f>
        <v>2356</v>
      </c>
      <c r="R7" s="62">
        <f>[2]Sheet1!R7</f>
        <v>2895.7000000000003</v>
      </c>
      <c r="S7" s="62">
        <f>[2]Sheet1!S7</f>
        <v>3277.8</v>
      </c>
      <c r="T7" s="62">
        <f>[2]Sheet1!T7</f>
        <v>3617.7</v>
      </c>
      <c r="U7" s="62">
        <f>[2]Sheet1!U7</f>
        <v>3926.9999999999995</v>
      </c>
      <c r="V7" s="62">
        <f>[2]Sheet1!V7</f>
        <v>4200.2999999999993</v>
      </c>
      <c r="W7" s="62">
        <f>[2]Sheet1!W7</f>
        <v>4441.8999999999996</v>
      </c>
      <c r="X7" s="62">
        <f>[2]Sheet1!X7</f>
        <v>5137.0999999999995</v>
      </c>
      <c r="Y7" s="62">
        <f>[2]Sheet1!Y7</f>
        <v>5900.6999999999989</v>
      </c>
      <c r="Z7" s="62">
        <f>[2]Sheet1!Z7</f>
        <v>6247.4999999999991</v>
      </c>
      <c r="AA7" s="62">
        <f>[2]Sheet1!AA7</f>
        <v>6619.7999999999984</v>
      </c>
      <c r="AB7" s="62">
        <f>[2]Sheet1!AB7</f>
        <v>7012.4999999999982</v>
      </c>
      <c r="AC7" s="62">
        <f>[2]Sheet1!AC7</f>
        <v>6966.5999999999985</v>
      </c>
      <c r="AD7" s="62">
        <f>[2]Sheet1!AD7</f>
        <v>6915.5999999999985</v>
      </c>
      <c r="AE7" s="62">
        <f>[2]Sheet1!AE7</f>
        <v>6859.4999999999982</v>
      </c>
      <c r="AF7" s="62">
        <f>[2]Sheet1!AF7</f>
        <v>6803.3999999999987</v>
      </c>
      <c r="AG7" s="62">
        <f>[2]Sheet1!AG7</f>
        <v>6747.2999999999984</v>
      </c>
      <c r="AH7" s="62">
        <f>[2]Sheet1!AH7</f>
        <v>7058.3999999999987</v>
      </c>
      <c r="AI7" s="62">
        <f>[2]Sheet1!AI7</f>
        <v>7389.8999999999987</v>
      </c>
      <c r="AJ7" s="62"/>
      <c r="AK7" s="62"/>
      <c r="AL7" s="62"/>
      <c r="AM7" s="62"/>
      <c r="AN7" s="62"/>
      <c r="AO7" s="62"/>
      <c r="AP7" s="62"/>
      <c r="AQ7" s="62"/>
      <c r="AR7" s="62"/>
      <c r="AS7" s="62"/>
      <c r="AT7" s="62"/>
      <c r="AU7" s="62"/>
      <c r="AV7" s="62"/>
      <c r="AW7" s="62"/>
      <c r="AX7" s="62"/>
      <c r="AY7" s="62"/>
      <c r="AZ7" s="62"/>
      <c r="BA7" s="62"/>
      <c r="BB7" s="62"/>
      <c r="BC7" s="62"/>
      <c r="BD7" s="62"/>
      <c r="BE7" s="62"/>
      <c r="BF7" s="62"/>
      <c r="BG7" s="62"/>
      <c r="BH7" s="62"/>
      <c r="BI7" s="62"/>
      <c r="BJ7" s="62"/>
      <c r="BK7" s="62"/>
      <c r="BL7" s="62"/>
      <c r="BM7" s="62"/>
      <c r="BN7" s="62"/>
      <c r="BO7" s="62"/>
      <c r="BP7" s="62"/>
      <c r="BQ7" s="62"/>
      <c r="BR7" s="62"/>
      <c r="BS7" s="62"/>
      <c r="BT7" s="62"/>
      <c r="BU7" s="62"/>
      <c r="BV7" s="62"/>
      <c r="BX7" s="64"/>
      <c r="BY7" s="65"/>
      <c r="BZ7" s="2"/>
      <c r="CA7" s="66"/>
      <c r="CB7" s="67"/>
    </row>
    <row r="8" spans="1:80" x14ac:dyDescent="0.25">
      <c r="A8" s="326"/>
      <c r="B8" s="121" t="s">
        <v>229</v>
      </c>
      <c r="C8" s="62"/>
      <c r="D8" s="62"/>
      <c r="E8" s="120">
        <v>0.05</v>
      </c>
      <c r="F8" s="62">
        <f t="shared" si="5"/>
        <v>698.15000000000009</v>
      </c>
      <c r="G8" s="62">
        <f t="shared" si="4"/>
        <v>696.30000000000007</v>
      </c>
      <c r="H8" s="62">
        <f t="shared" si="4"/>
        <v>689.2</v>
      </c>
      <c r="I8" s="62">
        <f t="shared" si="4"/>
        <v>890.40000000000009</v>
      </c>
      <c r="J8" s="62">
        <f t="shared" si="4"/>
        <v>833.30000000000007</v>
      </c>
      <c r="K8" s="62">
        <f t="shared" si="4"/>
        <v>883.2</v>
      </c>
      <c r="L8" s="62">
        <f t="shared" si="4"/>
        <v>834.95</v>
      </c>
      <c r="M8" s="62">
        <f t="shared" si="4"/>
        <v>779.75</v>
      </c>
      <c r="N8" s="62">
        <f t="shared" si="4"/>
        <v>437.85</v>
      </c>
      <c r="O8" s="62">
        <f t="shared" si="4"/>
        <v>443</v>
      </c>
      <c r="P8" s="62">
        <f>[2]Sheet1!P8</f>
        <v>622</v>
      </c>
      <c r="Q8" s="62">
        <f>[2]Sheet1!Q8</f>
        <v>620</v>
      </c>
      <c r="R8" s="62">
        <f>[2]Sheet1!R8</f>
        <v>629.5</v>
      </c>
      <c r="S8" s="62">
        <f>[2]Sheet1!S8</f>
        <v>607</v>
      </c>
      <c r="T8" s="62">
        <f>[2]Sheet1!T8</f>
        <v>583.5</v>
      </c>
      <c r="U8" s="62">
        <f>[2]Sheet1!U8</f>
        <v>561</v>
      </c>
      <c r="V8" s="62">
        <f>[2]Sheet1!V8</f>
        <v>538.5</v>
      </c>
      <c r="W8" s="62">
        <f>[2]Sheet1!W8</f>
        <v>516.5</v>
      </c>
      <c r="X8" s="62">
        <f>[2]Sheet1!X8</f>
        <v>546.5</v>
      </c>
      <c r="Y8" s="62">
        <f>[2]Sheet1!Y8</f>
        <v>578.5</v>
      </c>
      <c r="Z8" s="62">
        <f>[2]Sheet1!Z8</f>
        <v>612.5</v>
      </c>
      <c r="AA8" s="62">
        <f>[2]Sheet1!AA8</f>
        <v>649</v>
      </c>
      <c r="AB8" s="62">
        <f>[2]Sheet1!AB8</f>
        <v>687.5</v>
      </c>
      <c r="AC8" s="62">
        <f>[2]Sheet1!AC8</f>
        <v>683</v>
      </c>
      <c r="AD8" s="62">
        <f>[2]Sheet1!AD8</f>
        <v>678</v>
      </c>
      <c r="AE8" s="62">
        <f>[2]Sheet1!AE8</f>
        <v>672.5</v>
      </c>
      <c r="AF8" s="62">
        <f>[2]Sheet1!AF8</f>
        <v>667</v>
      </c>
      <c r="AG8" s="62">
        <f>[2]Sheet1!AG8</f>
        <v>661.5</v>
      </c>
      <c r="AH8" s="62">
        <f>[2]Sheet1!AH8</f>
        <v>692</v>
      </c>
      <c r="AI8" s="62">
        <f>[2]Sheet1!AI8</f>
        <v>724.5</v>
      </c>
      <c r="AJ8" s="62"/>
      <c r="AK8" s="62"/>
      <c r="AL8" s="62"/>
      <c r="AM8" s="62"/>
      <c r="AN8" s="62"/>
      <c r="AO8" s="62"/>
      <c r="AP8" s="62"/>
      <c r="AQ8" s="62"/>
      <c r="AR8" s="62"/>
      <c r="AS8" s="62"/>
      <c r="AT8" s="62"/>
      <c r="AU8" s="62"/>
      <c r="AV8" s="62"/>
      <c r="AW8" s="62"/>
      <c r="AX8" s="62"/>
      <c r="AY8" s="62"/>
      <c r="AZ8" s="62"/>
      <c r="BA8" s="62"/>
      <c r="BB8" s="62"/>
      <c r="BC8" s="62"/>
      <c r="BD8" s="62"/>
      <c r="BE8" s="62"/>
      <c r="BF8" s="62"/>
      <c r="BG8" s="62"/>
      <c r="BH8" s="62"/>
      <c r="BI8" s="62"/>
      <c r="BJ8" s="62"/>
      <c r="BK8" s="62"/>
      <c r="BL8" s="62"/>
      <c r="BM8" s="62"/>
      <c r="BN8" s="62"/>
      <c r="BO8" s="62"/>
      <c r="BP8" s="62"/>
      <c r="BQ8" s="62"/>
      <c r="BR8" s="62"/>
      <c r="BS8" s="62"/>
      <c r="BT8" s="62"/>
      <c r="BU8" s="62"/>
      <c r="BV8" s="62"/>
      <c r="BX8" s="64"/>
      <c r="BY8" s="65"/>
      <c r="BZ8" s="2"/>
      <c r="CA8" s="66"/>
      <c r="CB8" s="67"/>
    </row>
    <row r="9" spans="1:80" x14ac:dyDescent="0.25">
      <c r="A9" s="326"/>
      <c r="B9" s="121" t="s">
        <v>228</v>
      </c>
      <c r="E9" s="120">
        <v>0.05</v>
      </c>
      <c r="F9" s="62">
        <f t="shared" si="5"/>
        <v>698.15000000000009</v>
      </c>
      <c r="G9" s="62">
        <f t="shared" si="4"/>
        <v>696.30000000000007</v>
      </c>
      <c r="H9" s="62">
        <f t="shared" si="4"/>
        <v>689.2</v>
      </c>
      <c r="I9" s="62">
        <f t="shared" si="4"/>
        <v>890.40000000000009</v>
      </c>
      <c r="J9" s="62">
        <f t="shared" si="4"/>
        <v>833.30000000000007</v>
      </c>
      <c r="K9" s="62">
        <f t="shared" si="4"/>
        <v>883.2</v>
      </c>
      <c r="L9" s="62">
        <f t="shared" si="4"/>
        <v>834.95</v>
      </c>
      <c r="M9" s="62">
        <f t="shared" si="4"/>
        <v>779.75</v>
      </c>
      <c r="N9" s="62">
        <f t="shared" si="4"/>
        <v>437.85</v>
      </c>
      <c r="O9" s="62">
        <f t="shared" si="4"/>
        <v>443</v>
      </c>
      <c r="P9" s="62">
        <f>[2]Sheet1!P9</f>
        <v>622</v>
      </c>
      <c r="Q9" s="62">
        <f>[2]Sheet1!Q9</f>
        <v>620</v>
      </c>
      <c r="R9" s="62">
        <f>[2]Sheet1!R9</f>
        <v>629.5</v>
      </c>
      <c r="S9" s="62">
        <f>[2]Sheet1!S9</f>
        <v>607</v>
      </c>
      <c r="T9" s="62">
        <f>[2]Sheet1!T9</f>
        <v>583.5</v>
      </c>
      <c r="U9" s="62">
        <f>[2]Sheet1!U9</f>
        <v>561</v>
      </c>
      <c r="V9" s="62">
        <f>[2]Sheet1!V9</f>
        <v>538.5</v>
      </c>
      <c r="W9" s="62">
        <f>[2]Sheet1!W9</f>
        <v>516.5</v>
      </c>
      <c r="X9" s="62">
        <f>[2]Sheet1!X9</f>
        <v>546.5</v>
      </c>
      <c r="Y9" s="62">
        <f>[2]Sheet1!Y9</f>
        <v>578.5</v>
      </c>
      <c r="Z9" s="62">
        <f>[2]Sheet1!Z9</f>
        <v>612.5</v>
      </c>
      <c r="AA9" s="62">
        <f>[2]Sheet1!AA9</f>
        <v>649</v>
      </c>
      <c r="AB9" s="62">
        <f>[2]Sheet1!AB9</f>
        <v>687.5</v>
      </c>
      <c r="AC9" s="62">
        <f>[2]Sheet1!AC9</f>
        <v>683</v>
      </c>
      <c r="AD9" s="62">
        <f>[2]Sheet1!AD9</f>
        <v>678</v>
      </c>
      <c r="AE9" s="62">
        <f>[2]Sheet1!AE9</f>
        <v>672.5</v>
      </c>
      <c r="AF9" s="62">
        <f>[2]Sheet1!AF9</f>
        <v>667</v>
      </c>
      <c r="AG9" s="62">
        <f>[2]Sheet1!AG9</f>
        <v>661.5</v>
      </c>
      <c r="AH9" s="62">
        <f>[2]Sheet1!AH9</f>
        <v>692</v>
      </c>
      <c r="AI9" s="62">
        <f>[2]Sheet1!AI9</f>
        <v>724.5</v>
      </c>
      <c r="AJ9" s="62"/>
      <c r="AK9" s="62"/>
      <c r="AL9" s="62" t="s">
        <v>176</v>
      </c>
      <c r="AM9" s="62" t="s">
        <v>308</v>
      </c>
      <c r="AN9" s="62"/>
      <c r="AO9" s="62"/>
      <c r="AP9" s="62"/>
      <c r="AQ9" s="62"/>
      <c r="AR9" s="62"/>
      <c r="AS9" s="62"/>
      <c r="AT9" s="62"/>
      <c r="AU9" s="62"/>
      <c r="AV9" s="62"/>
      <c r="AW9" s="62"/>
      <c r="AX9" s="62"/>
      <c r="AY9" s="62"/>
      <c r="AZ9" s="62"/>
      <c r="BA9" s="62"/>
      <c r="BB9" s="62"/>
      <c r="BC9" s="62"/>
      <c r="BD9" s="62"/>
      <c r="BE9" s="62"/>
      <c r="BF9" s="62"/>
      <c r="BG9" s="62"/>
      <c r="BH9" s="62"/>
      <c r="BI9" s="62"/>
      <c r="BJ9" s="62"/>
      <c r="BX9" s="71"/>
    </row>
    <row r="10" spans="1:80" x14ac:dyDescent="0.25">
      <c r="A10" s="326"/>
      <c r="B10" s="61"/>
      <c r="M10" s="68"/>
      <c r="N10" s="69"/>
      <c r="R10" s="70"/>
      <c r="AK10" t="s">
        <v>406</v>
      </c>
      <c r="AL10" s="2">
        <f>O2</f>
        <v>814500</v>
      </c>
      <c r="AM10" s="2">
        <f>O3</f>
        <v>764230</v>
      </c>
      <c r="BX10" s="71"/>
    </row>
    <row r="11" spans="1:80" x14ac:dyDescent="0.25">
      <c r="A11" s="326"/>
      <c r="B11" s="61" t="s">
        <v>308</v>
      </c>
      <c r="F11" s="2">
        <f>F3-E3</f>
        <v>13211</v>
      </c>
      <c r="G11" s="2">
        <f t="shared" ref="G11:AI11" si="6">G3-F3</f>
        <v>14080</v>
      </c>
      <c r="H11" s="2">
        <f t="shared" si="6"/>
        <v>14151</v>
      </c>
      <c r="I11" s="2">
        <f t="shared" si="6"/>
        <v>4545</v>
      </c>
      <c r="J11" s="2">
        <f t="shared" si="6"/>
        <v>16794</v>
      </c>
      <c r="K11" s="2">
        <f t="shared" si="6"/>
        <v>18276</v>
      </c>
      <c r="L11" s="2">
        <f t="shared" si="6"/>
        <v>16385</v>
      </c>
      <c r="M11" s="2">
        <f t="shared" si="6"/>
        <v>15502</v>
      </c>
      <c r="N11" s="2">
        <f t="shared" si="6"/>
        <v>9111</v>
      </c>
      <c r="O11" s="2">
        <f t="shared" si="6"/>
        <v>9230</v>
      </c>
      <c r="P11" s="2">
        <f t="shared" si="6"/>
        <v>12620</v>
      </c>
      <c r="Q11" s="2">
        <f t="shared" si="6"/>
        <v>12600</v>
      </c>
      <c r="R11" s="2">
        <f t="shared" si="6"/>
        <v>12810</v>
      </c>
      <c r="S11" s="2">
        <f t="shared" si="6"/>
        <v>12420</v>
      </c>
      <c r="T11" s="2">
        <f t="shared" si="6"/>
        <v>12000</v>
      </c>
      <c r="U11" s="2">
        <f t="shared" si="6"/>
        <v>11600</v>
      </c>
      <c r="V11" s="2">
        <f t="shared" si="6"/>
        <v>11200</v>
      </c>
      <c r="W11" s="2">
        <f t="shared" si="6"/>
        <v>10810</v>
      </c>
      <c r="X11" s="2">
        <f t="shared" si="6"/>
        <v>11400</v>
      </c>
      <c r="Y11" s="2">
        <f t="shared" si="6"/>
        <v>12040</v>
      </c>
      <c r="Z11" s="2">
        <f t="shared" si="6"/>
        <v>12700</v>
      </c>
      <c r="AA11" s="2">
        <f t="shared" si="6"/>
        <v>13430</v>
      </c>
      <c r="AB11" s="2">
        <f t="shared" si="6"/>
        <v>14200</v>
      </c>
      <c r="AC11" s="2">
        <f t="shared" si="6"/>
        <v>14140</v>
      </c>
      <c r="AD11" s="2">
        <f t="shared" si="6"/>
        <v>14070</v>
      </c>
      <c r="AE11" s="2">
        <f t="shared" si="6"/>
        <v>14000</v>
      </c>
      <c r="AF11" s="2">
        <f t="shared" si="6"/>
        <v>13920</v>
      </c>
      <c r="AG11" s="2">
        <f t="shared" si="6"/>
        <v>13850</v>
      </c>
      <c r="AH11" s="2">
        <f t="shared" si="6"/>
        <v>14470</v>
      </c>
      <c r="AI11" s="2">
        <f t="shared" si="6"/>
        <v>15120</v>
      </c>
      <c r="AK11" t="s">
        <v>407</v>
      </c>
      <c r="AL11" s="2">
        <f>SUM(P6:AI6)</f>
        <v>119308.29999999994</v>
      </c>
      <c r="AM11">
        <f>SUM(P12:AI12)</f>
        <v>123229.59999999999</v>
      </c>
      <c r="BX11" s="71"/>
    </row>
    <row r="12" spans="1:80" x14ac:dyDescent="0.25">
      <c r="A12" s="326"/>
      <c r="B12" s="121" t="s">
        <v>306</v>
      </c>
      <c r="E12" s="120">
        <v>0.75</v>
      </c>
      <c r="F12">
        <f>F$11*$E12</f>
        <v>9908.25</v>
      </c>
      <c r="G12">
        <f t="shared" ref="G12:O15" si="7">G$11*$E12</f>
        <v>10560</v>
      </c>
      <c r="H12">
        <f t="shared" si="7"/>
        <v>10613.25</v>
      </c>
      <c r="I12">
        <f t="shared" si="7"/>
        <v>3408.75</v>
      </c>
      <c r="J12">
        <f t="shared" si="7"/>
        <v>12595.5</v>
      </c>
      <c r="K12">
        <f t="shared" si="7"/>
        <v>13707</v>
      </c>
      <c r="L12">
        <f t="shared" si="7"/>
        <v>12288.75</v>
      </c>
      <c r="M12">
        <f t="shared" si="7"/>
        <v>11626.5</v>
      </c>
      <c r="N12">
        <f t="shared" si="7"/>
        <v>6833.25</v>
      </c>
      <c r="O12">
        <f t="shared" si="7"/>
        <v>6922.5</v>
      </c>
      <c r="P12">
        <f>[2]Sheet1!P12</f>
        <v>9465</v>
      </c>
      <c r="Q12">
        <f>[2]Sheet1!Q12</f>
        <v>8946</v>
      </c>
      <c r="R12">
        <f>[2]Sheet1!R12</f>
        <v>8582.6999999999989</v>
      </c>
      <c r="S12">
        <f>[2]Sheet1!S12</f>
        <v>7824.5999999999985</v>
      </c>
      <c r="T12">
        <f>[2]Sheet1!T12</f>
        <v>7079.9999999999982</v>
      </c>
      <c r="U12">
        <f>[2]Sheet1!U12</f>
        <v>6379.9999999999982</v>
      </c>
      <c r="V12">
        <f>[2]Sheet1!V12</f>
        <v>5711.9999999999973</v>
      </c>
      <c r="W12">
        <f>[2]Sheet1!W12</f>
        <v>5080.699999999998</v>
      </c>
      <c r="X12">
        <f>[2]Sheet1!X12</f>
        <v>4901.9999999999982</v>
      </c>
      <c r="Y12">
        <f>[2]Sheet1!Y12</f>
        <v>4695.5999999999985</v>
      </c>
      <c r="Z12">
        <f>[2]Sheet1!Z12</f>
        <v>4952.9999999999982</v>
      </c>
      <c r="AA12">
        <f>[2]Sheet1!AA12</f>
        <v>5237.699999999998</v>
      </c>
      <c r="AB12">
        <f>[2]Sheet1!AB12</f>
        <v>5537.9999999999982</v>
      </c>
      <c r="AC12">
        <f>[2]Sheet1!AC12</f>
        <v>5514.5999999999976</v>
      </c>
      <c r="AD12">
        <f>[2]Sheet1!AD12</f>
        <v>5487.2999999999975</v>
      </c>
      <c r="AE12">
        <f>[2]Sheet1!AE12</f>
        <v>5459.9999999999982</v>
      </c>
      <c r="AF12">
        <f>[2]Sheet1!AF12</f>
        <v>5428.7999999999975</v>
      </c>
      <c r="AG12">
        <f>[2]Sheet1!AG12</f>
        <v>5401.4999999999982</v>
      </c>
      <c r="AH12">
        <f>[2]Sheet1!AH12</f>
        <v>5643.2999999999975</v>
      </c>
      <c r="AI12">
        <f>[2]Sheet1!AI12</f>
        <v>5896.7999999999975</v>
      </c>
      <c r="AK12" t="s">
        <v>408</v>
      </c>
      <c r="AL12" s="301">
        <f>SUM(AL10:AL11)</f>
        <v>933808.29999999993</v>
      </c>
      <c r="AM12" s="2">
        <f>SUM(AM10:AM11)</f>
        <v>887459.6</v>
      </c>
      <c r="BX12" s="71"/>
    </row>
    <row r="13" spans="1:80" x14ac:dyDescent="0.25">
      <c r="A13" s="326"/>
      <c r="B13" s="121" t="s">
        <v>307</v>
      </c>
      <c r="E13" s="120">
        <v>0.15</v>
      </c>
      <c r="F13">
        <f t="shared" ref="F13:O15" si="8">F$11*$E13</f>
        <v>1981.6499999999999</v>
      </c>
      <c r="G13">
        <f t="shared" si="8"/>
        <v>2112</v>
      </c>
      <c r="H13">
        <f t="shared" si="8"/>
        <v>2122.65</v>
      </c>
      <c r="I13">
        <f t="shared" si="8"/>
        <v>681.75</v>
      </c>
      <c r="J13">
        <f t="shared" si="8"/>
        <v>2519.1</v>
      </c>
      <c r="K13">
        <f t="shared" si="8"/>
        <v>2741.4</v>
      </c>
      <c r="L13">
        <f t="shared" si="8"/>
        <v>2457.75</v>
      </c>
      <c r="M13">
        <f t="shared" si="8"/>
        <v>2325.2999999999997</v>
      </c>
      <c r="N13">
        <f t="shared" si="8"/>
        <v>1366.6499999999999</v>
      </c>
      <c r="O13">
        <f t="shared" si="8"/>
        <v>1384.5</v>
      </c>
      <c r="P13">
        <f>[2]Sheet1!P13</f>
        <v>1893</v>
      </c>
      <c r="Q13">
        <f>[2]Sheet1!Q13</f>
        <v>2394</v>
      </c>
      <c r="R13">
        <f>[2]Sheet1!R13</f>
        <v>2946.3</v>
      </c>
      <c r="S13">
        <f>[2]Sheet1!S13</f>
        <v>3353.4</v>
      </c>
      <c r="T13">
        <f>[2]Sheet1!T13</f>
        <v>3720</v>
      </c>
      <c r="U13">
        <f>[2]Sheet1!U13</f>
        <v>4059.9999999999995</v>
      </c>
      <c r="V13">
        <f>[2]Sheet1!V13</f>
        <v>4367.9999999999991</v>
      </c>
      <c r="W13">
        <f>[2]Sheet1!W13</f>
        <v>4648.2999999999993</v>
      </c>
      <c r="X13">
        <f>[2]Sheet1!X13</f>
        <v>5357.9999999999991</v>
      </c>
      <c r="Y13">
        <f>[2]Sheet1!Y13</f>
        <v>6140.3999999999987</v>
      </c>
      <c r="Z13">
        <f>[2]Sheet1!Z13</f>
        <v>6476.9999999999991</v>
      </c>
      <c r="AA13">
        <f>[2]Sheet1!AA13</f>
        <v>6849.2999999999984</v>
      </c>
      <c r="AB13">
        <f>[2]Sheet1!AB13</f>
        <v>7241.9999999999982</v>
      </c>
      <c r="AC13">
        <f>[2]Sheet1!AC13</f>
        <v>7211.3999999999987</v>
      </c>
      <c r="AD13">
        <f>[2]Sheet1!AD13</f>
        <v>7175.6999999999989</v>
      </c>
      <c r="AE13">
        <f>[2]Sheet1!AE13</f>
        <v>7139.9999999999982</v>
      </c>
      <c r="AF13">
        <f>[2]Sheet1!AF13</f>
        <v>7099.1999999999989</v>
      </c>
      <c r="AG13">
        <f>[2]Sheet1!AG13</f>
        <v>7063.4999999999982</v>
      </c>
      <c r="AH13">
        <f>[2]Sheet1!AH13</f>
        <v>7379.6999999999989</v>
      </c>
      <c r="AI13">
        <f>[2]Sheet1!AI13</f>
        <v>7711.1999999999989</v>
      </c>
      <c r="AK13" t="s">
        <v>409</v>
      </c>
      <c r="AL13" s="70">
        <f>AL11/SUM(AL10:AL11)</f>
        <v>0.12776530257869839</v>
      </c>
      <c r="AM13" s="70">
        <f>AM11/SUM(AM10:AM11)</f>
        <v>0.13885657442885288</v>
      </c>
      <c r="BX13" s="71"/>
    </row>
    <row r="14" spans="1:80" x14ac:dyDescent="0.25">
      <c r="A14" s="326"/>
      <c r="B14" s="121" t="s">
        <v>229</v>
      </c>
      <c r="E14" s="120">
        <v>0.05</v>
      </c>
      <c r="F14">
        <f t="shared" si="8"/>
        <v>660.55000000000007</v>
      </c>
      <c r="G14">
        <f t="shared" si="8"/>
        <v>704</v>
      </c>
      <c r="H14">
        <f t="shared" si="8"/>
        <v>707.55000000000007</v>
      </c>
      <c r="I14">
        <f t="shared" si="8"/>
        <v>227.25</v>
      </c>
      <c r="J14">
        <f t="shared" si="8"/>
        <v>839.7</v>
      </c>
      <c r="K14">
        <f t="shared" si="7"/>
        <v>913.80000000000007</v>
      </c>
      <c r="L14">
        <f t="shared" si="7"/>
        <v>819.25</v>
      </c>
      <c r="M14">
        <f t="shared" si="7"/>
        <v>775.1</v>
      </c>
      <c r="N14">
        <f t="shared" si="7"/>
        <v>455.55</v>
      </c>
      <c r="O14">
        <f t="shared" si="7"/>
        <v>461.5</v>
      </c>
      <c r="P14">
        <f>[2]Sheet1!P14</f>
        <v>631</v>
      </c>
      <c r="Q14">
        <f>[2]Sheet1!Q14</f>
        <v>630</v>
      </c>
      <c r="R14">
        <f>[2]Sheet1!R14</f>
        <v>640.5</v>
      </c>
      <c r="S14">
        <f>[2]Sheet1!S14</f>
        <v>621</v>
      </c>
      <c r="T14">
        <f>[2]Sheet1!T14</f>
        <v>600</v>
      </c>
      <c r="U14">
        <f>[2]Sheet1!U14</f>
        <v>580</v>
      </c>
      <c r="V14">
        <f>[2]Sheet1!V14</f>
        <v>560</v>
      </c>
      <c r="W14">
        <f>[2]Sheet1!W14</f>
        <v>540.5</v>
      </c>
      <c r="X14">
        <f>[2]Sheet1!X14</f>
        <v>570</v>
      </c>
      <c r="Y14">
        <f>[2]Sheet1!Y14</f>
        <v>602</v>
      </c>
      <c r="Z14">
        <f>[2]Sheet1!Z14</f>
        <v>635</v>
      </c>
      <c r="AA14">
        <f>[2]Sheet1!AA14</f>
        <v>671.5</v>
      </c>
      <c r="AB14">
        <f>[2]Sheet1!AB14</f>
        <v>710</v>
      </c>
      <c r="AC14">
        <f>[2]Sheet1!AC14</f>
        <v>707</v>
      </c>
      <c r="AD14">
        <f>[2]Sheet1!AD14</f>
        <v>703.5</v>
      </c>
      <c r="AE14">
        <f>[2]Sheet1!AE14</f>
        <v>700</v>
      </c>
      <c r="AF14">
        <f>[2]Sheet1!AF14</f>
        <v>696</v>
      </c>
      <c r="AG14">
        <f>[2]Sheet1!AG14</f>
        <v>692.5</v>
      </c>
      <c r="AH14">
        <f>[2]Sheet1!AH14</f>
        <v>723.5</v>
      </c>
      <c r="AI14">
        <f>[2]Sheet1!AI14</f>
        <v>756</v>
      </c>
      <c r="BX14" s="71"/>
    </row>
    <row r="15" spans="1:80" x14ac:dyDescent="0.25">
      <c r="A15" s="326"/>
      <c r="B15" s="121" t="s">
        <v>228</v>
      </c>
      <c r="E15" s="120">
        <v>0.05</v>
      </c>
      <c r="F15">
        <f t="shared" si="8"/>
        <v>660.55000000000007</v>
      </c>
      <c r="G15">
        <f t="shared" si="8"/>
        <v>704</v>
      </c>
      <c r="H15">
        <f t="shared" si="8"/>
        <v>707.55000000000007</v>
      </c>
      <c r="I15">
        <f t="shared" si="8"/>
        <v>227.25</v>
      </c>
      <c r="J15">
        <f t="shared" si="8"/>
        <v>839.7</v>
      </c>
      <c r="K15">
        <f t="shared" si="7"/>
        <v>913.80000000000007</v>
      </c>
      <c r="L15">
        <f t="shared" si="7"/>
        <v>819.25</v>
      </c>
      <c r="M15">
        <f t="shared" si="7"/>
        <v>775.1</v>
      </c>
      <c r="N15">
        <f t="shared" si="7"/>
        <v>455.55</v>
      </c>
      <c r="O15">
        <f t="shared" si="7"/>
        <v>461.5</v>
      </c>
      <c r="P15">
        <f>[2]Sheet1!P15</f>
        <v>631</v>
      </c>
      <c r="Q15">
        <f>[2]Sheet1!Q15</f>
        <v>630</v>
      </c>
      <c r="R15">
        <f>[2]Sheet1!R15</f>
        <v>640.5</v>
      </c>
      <c r="S15">
        <f>[2]Sheet1!S15</f>
        <v>621</v>
      </c>
      <c r="T15">
        <f>[2]Sheet1!T15</f>
        <v>600</v>
      </c>
      <c r="U15">
        <f>[2]Sheet1!U15</f>
        <v>580</v>
      </c>
      <c r="V15">
        <f>[2]Sheet1!V15</f>
        <v>560</v>
      </c>
      <c r="W15">
        <f>[2]Sheet1!W15</f>
        <v>540.5</v>
      </c>
      <c r="X15">
        <f>[2]Sheet1!X15</f>
        <v>570</v>
      </c>
      <c r="Y15">
        <f>[2]Sheet1!Y15</f>
        <v>602</v>
      </c>
      <c r="Z15">
        <f>[2]Sheet1!Z15</f>
        <v>635</v>
      </c>
      <c r="AA15">
        <f>[2]Sheet1!AA15</f>
        <v>671.5</v>
      </c>
      <c r="AB15">
        <f>[2]Sheet1!AB15</f>
        <v>710</v>
      </c>
      <c r="AC15">
        <f>[2]Sheet1!AC15</f>
        <v>707</v>
      </c>
      <c r="AD15">
        <f>[2]Sheet1!AD15</f>
        <v>703.5</v>
      </c>
      <c r="AE15">
        <f>[2]Sheet1!AE15</f>
        <v>700</v>
      </c>
      <c r="AF15">
        <f>[2]Sheet1!AF15</f>
        <v>696</v>
      </c>
      <c r="AG15">
        <f>[2]Sheet1!AG15</f>
        <v>692.5</v>
      </c>
      <c r="AH15">
        <f>[2]Sheet1!AH15</f>
        <v>723.5</v>
      </c>
      <c r="AI15">
        <f>[2]Sheet1!AI15</f>
        <v>756</v>
      </c>
      <c r="BX15" s="71"/>
    </row>
    <row r="16" spans="1:80" x14ac:dyDescent="0.25">
      <c r="A16" s="326"/>
      <c r="B16" s="121"/>
      <c r="E16" s="120"/>
      <c r="M16" s="68"/>
      <c r="N16" s="69"/>
      <c r="R16" s="70"/>
      <c r="BX16" s="71"/>
    </row>
    <row r="17" spans="1:77" x14ac:dyDescent="0.25">
      <c r="A17" s="326"/>
      <c r="B17" s="121"/>
      <c r="E17" s="120"/>
      <c r="F17" s="278">
        <f>F6*775</f>
        <v>8115993.75</v>
      </c>
      <c r="G17" s="278">
        <f t="shared" ref="G17:O17" si="9">G6*775</f>
        <v>8094487.5</v>
      </c>
      <c r="H17" s="278">
        <f t="shared" si="9"/>
        <v>8011950</v>
      </c>
      <c r="I17" s="278">
        <f t="shared" si="9"/>
        <v>10350900</v>
      </c>
      <c r="J17" s="278">
        <f t="shared" si="9"/>
        <v>9687112.5</v>
      </c>
      <c r="K17" s="278">
        <f t="shared" si="9"/>
        <v>10267200</v>
      </c>
      <c r="L17" s="278">
        <f t="shared" si="9"/>
        <v>9706293.75</v>
      </c>
      <c r="M17" s="278">
        <f t="shared" si="9"/>
        <v>9064593.75</v>
      </c>
      <c r="N17" s="278">
        <f t="shared" si="9"/>
        <v>5090006.25</v>
      </c>
      <c r="O17" s="278">
        <f t="shared" si="9"/>
        <v>5149875</v>
      </c>
      <c r="R17" s="70"/>
      <c r="BX17" s="71"/>
    </row>
    <row r="18" spans="1:77" x14ac:dyDescent="0.25">
      <c r="A18" s="326"/>
      <c r="B18" s="72"/>
      <c r="C18" s="73"/>
      <c r="D18" s="73"/>
      <c r="E18" s="73"/>
      <c r="F18" s="278">
        <f>F12*775</f>
        <v>7678893.75</v>
      </c>
      <c r="G18" s="278">
        <f t="shared" ref="G18:O18" si="10">G12*775</f>
        <v>8184000</v>
      </c>
      <c r="H18" s="278">
        <f t="shared" si="10"/>
        <v>8225268.75</v>
      </c>
      <c r="I18" s="278">
        <f t="shared" si="10"/>
        <v>2641781.25</v>
      </c>
      <c r="J18" s="278">
        <f t="shared" si="10"/>
        <v>9761512.5</v>
      </c>
      <c r="K18" s="278">
        <f t="shared" si="10"/>
        <v>10622925</v>
      </c>
      <c r="L18" s="278">
        <f t="shared" si="10"/>
        <v>9523781.25</v>
      </c>
      <c r="M18" s="278">
        <f t="shared" si="10"/>
        <v>9010537.5</v>
      </c>
      <c r="N18" s="278">
        <f t="shared" si="10"/>
        <v>5295768.75</v>
      </c>
      <c r="O18" s="278">
        <f t="shared" si="10"/>
        <v>5364937.5</v>
      </c>
      <c r="P18" s="73"/>
      <c r="Q18" s="73"/>
      <c r="R18" s="73"/>
      <c r="S18" s="73"/>
      <c r="T18" s="73"/>
      <c r="U18" s="73"/>
      <c r="V18" s="73"/>
      <c r="W18" s="73"/>
      <c r="X18" s="73"/>
      <c r="Y18" s="73"/>
      <c r="Z18" s="73"/>
      <c r="AA18" s="73"/>
      <c r="AB18" s="73"/>
      <c r="AC18" s="73"/>
      <c r="AD18" s="73"/>
      <c r="AE18" s="73"/>
      <c r="AF18" s="73"/>
      <c r="AG18" s="73"/>
      <c r="AH18" s="73"/>
      <c r="AI18" s="73"/>
      <c r="AJ18" s="73"/>
      <c r="AK18" s="73"/>
      <c r="AL18" s="73"/>
      <c r="AM18" s="73"/>
      <c r="AN18" s="73"/>
      <c r="AO18" s="73"/>
      <c r="AP18" s="73"/>
      <c r="AQ18" s="73"/>
      <c r="AR18" s="73"/>
      <c r="AS18" s="73"/>
      <c r="AT18" s="73"/>
      <c r="AU18" s="73"/>
      <c r="AV18" s="73"/>
      <c r="AW18" s="73"/>
      <c r="AX18" s="73"/>
      <c r="AY18" s="73"/>
      <c r="AZ18" s="73"/>
      <c r="BA18" s="73"/>
      <c r="BB18" s="73"/>
      <c r="BC18" s="73"/>
      <c r="BD18" s="73"/>
      <c r="BE18" s="73"/>
      <c r="BF18" s="73"/>
      <c r="BG18" s="73"/>
      <c r="BH18" s="73"/>
      <c r="BI18" s="73"/>
      <c r="BJ18" s="73"/>
      <c r="BK18" s="73"/>
      <c r="BL18" s="73"/>
      <c r="BM18" s="73"/>
      <c r="BN18" s="73"/>
      <c r="BO18" s="73"/>
      <c r="BP18" s="73"/>
      <c r="BQ18" s="73"/>
      <c r="BR18" s="73"/>
      <c r="BS18" s="73"/>
      <c r="BT18" s="73"/>
      <c r="BU18" s="73"/>
      <c r="BV18" s="73"/>
      <c r="BX18" s="64">
        <f>(T18/H18)^(1/12)-1</f>
        <v>-1</v>
      </c>
      <c r="BY18" s="65" t="e">
        <f>(H18/C18)^0.2-1</f>
        <v>#DIV/0!</v>
      </c>
    </row>
    <row r="19" spans="1:77" x14ac:dyDescent="0.25">
      <c r="A19" s="326"/>
      <c r="B19" s="72"/>
      <c r="C19" s="73"/>
      <c r="D19" s="73"/>
      <c r="E19" s="73"/>
      <c r="F19" s="73">
        <f t="shared" ref="F19:O19" si="11">SUM(F17:F18)</f>
        <v>15794887.5</v>
      </c>
      <c r="G19" s="73">
        <f t="shared" si="11"/>
        <v>16278487.5</v>
      </c>
      <c r="H19" s="73">
        <f t="shared" si="11"/>
        <v>16237218.75</v>
      </c>
      <c r="I19" s="73">
        <f t="shared" si="11"/>
        <v>12992681.25</v>
      </c>
      <c r="J19" s="73">
        <f t="shared" si="11"/>
        <v>19448625</v>
      </c>
      <c r="K19" s="73">
        <f t="shared" si="11"/>
        <v>20890125</v>
      </c>
      <c r="L19" s="73">
        <f t="shared" si="11"/>
        <v>19230075</v>
      </c>
      <c r="M19" s="74">
        <f t="shared" si="11"/>
        <v>18075131.25</v>
      </c>
      <c r="N19" s="75">
        <f t="shared" si="11"/>
        <v>10385775</v>
      </c>
      <c r="O19" s="73">
        <f t="shared" si="11"/>
        <v>10514812.5</v>
      </c>
      <c r="P19" s="73"/>
      <c r="Q19" s="73"/>
      <c r="R19" s="73"/>
      <c r="S19" s="73"/>
      <c r="T19" s="73"/>
      <c r="U19" s="73"/>
      <c r="V19" s="73"/>
      <c r="W19" s="73"/>
      <c r="X19" s="73"/>
      <c r="Y19" s="73"/>
      <c r="Z19" s="73"/>
      <c r="AA19" s="73"/>
      <c r="AB19" s="73"/>
      <c r="AC19" s="73"/>
      <c r="AD19" s="73"/>
      <c r="AE19" s="73"/>
      <c r="AF19" s="73"/>
      <c r="AG19" s="73"/>
      <c r="AH19" s="73"/>
      <c r="AI19" s="73"/>
      <c r="AJ19" s="73"/>
      <c r="AK19" s="73"/>
      <c r="AL19" s="73"/>
      <c r="AM19" s="73"/>
      <c r="AN19" s="73"/>
      <c r="AO19" s="73"/>
      <c r="AP19" s="73"/>
      <c r="AQ19" s="73"/>
      <c r="AR19" s="73"/>
      <c r="AS19" s="73"/>
      <c r="AT19" s="73"/>
      <c r="AU19" s="73"/>
      <c r="AV19" s="73"/>
      <c r="AW19" s="73"/>
      <c r="AX19" s="73"/>
      <c r="AY19" s="73"/>
      <c r="AZ19" s="73"/>
      <c r="BA19" s="73"/>
      <c r="BB19" s="73"/>
      <c r="BC19" s="73"/>
      <c r="BD19" s="73"/>
      <c r="BE19" s="73"/>
      <c r="BF19" s="73"/>
      <c r="BG19" s="73"/>
      <c r="BH19" s="73"/>
      <c r="BI19" s="73"/>
      <c r="BJ19" s="73"/>
      <c r="BK19" s="73"/>
      <c r="BL19" s="73"/>
      <c r="BM19" s="73"/>
      <c r="BN19" s="73"/>
      <c r="BO19" s="73"/>
      <c r="BP19" s="73"/>
      <c r="BQ19" s="73"/>
      <c r="BR19" s="73"/>
      <c r="BS19" s="73"/>
      <c r="BT19" s="73"/>
      <c r="BU19" s="73"/>
      <c r="BV19" s="73"/>
      <c r="BX19" s="64">
        <f>(T19/H19)^(1/12)-1</f>
        <v>-1</v>
      </c>
      <c r="BY19" s="65" t="e">
        <f>(H19/C19)^0.2-1</f>
        <v>#DIV/0!</v>
      </c>
    </row>
    <row r="20" spans="1:77" x14ac:dyDescent="0.25">
      <c r="A20" s="76"/>
      <c r="B20" s="61"/>
      <c r="C20" s="62"/>
      <c r="D20" s="62"/>
      <c r="E20" s="62"/>
      <c r="F20" s="62"/>
      <c r="G20" s="62"/>
      <c r="H20" s="62"/>
      <c r="M20" s="81"/>
      <c r="N20" s="69"/>
      <c r="U20" s="82"/>
      <c r="BX20" s="71"/>
    </row>
    <row r="21" spans="1:77" x14ac:dyDescent="0.25">
      <c r="A21" s="76"/>
      <c r="B21" s="61"/>
      <c r="C21" s="62"/>
      <c r="D21" s="62"/>
      <c r="E21" s="62"/>
      <c r="F21" s="62"/>
      <c r="G21" s="62"/>
      <c r="H21" s="62"/>
      <c r="M21" s="81"/>
      <c r="N21" s="69"/>
      <c r="U21" s="82"/>
      <c r="BX21" s="71"/>
    </row>
    <row r="22" spans="1:77" x14ac:dyDescent="0.25">
      <c r="A22" s="83" t="s">
        <v>285</v>
      </c>
      <c r="C22" s="84">
        <f t="shared" ref="C22:M22" si="12">C3/C2</f>
        <v>0.92926334133612654</v>
      </c>
      <c r="D22" s="84">
        <f t="shared" si="12"/>
        <v>0.93860838202321983</v>
      </c>
      <c r="E22" s="84">
        <f t="shared" si="12"/>
        <v>0.9435983291044131</v>
      </c>
      <c r="F22" s="84">
        <f t="shared" si="12"/>
        <v>0.94365022687410272</v>
      </c>
      <c r="G22" s="84">
        <f t="shared" si="12"/>
        <v>0.94499382395332832</v>
      </c>
      <c r="H22" s="85">
        <f t="shared" si="12"/>
        <v>0.94657316783891099</v>
      </c>
      <c r="I22" s="85">
        <f t="shared" si="12"/>
        <v>0.92971397819129931</v>
      </c>
      <c r="J22" s="85">
        <f t="shared" si="12"/>
        <v>0.93145362653546204</v>
      </c>
      <c r="K22" s="85">
        <f t="shared" si="12"/>
        <v>0.93383765657104667</v>
      </c>
      <c r="L22" s="85">
        <f t="shared" si="12"/>
        <v>0.93484988890140386</v>
      </c>
      <c r="M22" s="85">
        <f t="shared" si="12"/>
        <v>0.93600817183952978</v>
      </c>
      <c r="N22" s="86">
        <f>M22+'[1]Hist Series'!$H$254</f>
        <v>0.93714680816554674</v>
      </c>
      <c r="O22" s="84">
        <f>N22+'[1]Hist Series'!$H$254</f>
        <v>0.9382854444915637</v>
      </c>
      <c r="P22" s="84">
        <f>O22+'[1]Hist Series'!$H$254</f>
        <v>0.93942408081758066</v>
      </c>
      <c r="Q22" s="84">
        <f>P22+'[1]Hist Series'!$H$254</f>
        <v>0.94056271714359763</v>
      </c>
      <c r="R22" s="84">
        <f>Q22+'[1]Hist Series'!$H$254</f>
        <v>0.94170135346961459</v>
      </c>
      <c r="S22" s="84">
        <f>R22+'[1]Hist Series'!$H$254</f>
        <v>0.94283998979563155</v>
      </c>
      <c r="T22" s="84">
        <f>S22+'[1]Hist Series'!$H$254</f>
        <v>0.94397862612164851</v>
      </c>
      <c r="U22" s="84">
        <f>T22+'[1]Hist Series'!$H$254</f>
        <v>0.94511726244766547</v>
      </c>
      <c r="V22" s="84">
        <f>U22+'[1]Hist Series'!$H$254</f>
        <v>0.94625589877368244</v>
      </c>
      <c r="W22" s="84">
        <f>V22+'[1]Hist Series'!$H$254</f>
        <v>0.9473945350996994</v>
      </c>
      <c r="X22" s="84">
        <f>W22+'[1]Hist Series'!$H$254</f>
        <v>0.94853317142571636</v>
      </c>
      <c r="Y22" s="84">
        <f>X22+'[1]Hist Series'!$H$254</f>
        <v>0.94967180775173332</v>
      </c>
      <c r="Z22" s="84">
        <f>Y22+'[1]Hist Series'!$H$254</f>
        <v>0.95081044407775028</v>
      </c>
      <c r="AA22" s="84">
        <f>Z22+'[1]Hist Series'!$H$254</f>
        <v>0.95194908040376724</v>
      </c>
      <c r="AB22" s="84">
        <f>AA22+'[1]Hist Series'!$H$254</f>
        <v>0.95308771672978421</v>
      </c>
      <c r="AC22" s="84">
        <f>AB22+'[1]Hist Series'!$H$254</f>
        <v>0.95422635305580117</v>
      </c>
      <c r="AD22" s="84">
        <f>AC22+'[1]Hist Series'!$H$254</f>
        <v>0.95536498938181813</v>
      </c>
      <c r="AE22" s="84">
        <f>AD22+'[1]Hist Series'!$H$254</f>
        <v>0.95650362570783509</v>
      </c>
      <c r="AF22" s="84">
        <f>AE22+'[1]Hist Series'!$H$254</f>
        <v>0.95764226203385205</v>
      </c>
      <c r="AG22" s="84">
        <f>AF22+'[1]Hist Series'!$H$254</f>
        <v>0.95878089835986902</v>
      </c>
      <c r="AH22" s="84">
        <f>AG22+'[1]Hist Series'!$H$254</f>
        <v>0.95991953468588598</v>
      </c>
      <c r="AI22" s="84">
        <f>AH22+'[1]Hist Series'!$H$254</f>
        <v>0.96105817101190294</v>
      </c>
      <c r="AJ22" s="84"/>
      <c r="AK22" s="84"/>
      <c r="AL22" s="84"/>
      <c r="AM22" s="84"/>
      <c r="AN22" s="84"/>
      <c r="AO22" s="84"/>
      <c r="AP22" s="84"/>
      <c r="AQ22" s="84"/>
      <c r="AR22" s="84"/>
      <c r="AS22" s="84"/>
      <c r="AT22" s="84"/>
      <c r="AU22" s="84"/>
      <c r="AV22" s="84"/>
      <c r="AW22" s="84"/>
      <c r="AX22" s="84"/>
      <c r="AY22" s="84"/>
      <c r="AZ22" s="84"/>
      <c r="BA22" s="84"/>
      <c r="BB22" s="84"/>
      <c r="BC22" s="84"/>
      <c r="BD22" s="84"/>
      <c r="BE22" s="84"/>
      <c r="BF22" s="84"/>
      <c r="BG22" s="84"/>
      <c r="BH22" s="84"/>
      <c r="BI22" s="84"/>
      <c r="BJ22" s="84"/>
      <c r="BK22" s="84"/>
      <c r="BL22" s="84"/>
      <c r="BM22" s="84"/>
      <c r="BN22" s="84"/>
      <c r="BO22" s="84"/>
      <c r="BP22" s="84"/>
      <c r="BQ22" s="84"/>
      <c r="BR22" s="84"/>
      <c r="BS22" s="84"/>
      <c r="BT22" s="84"/>
      <c r="BU22" s="84"/>
      <c r="BV22" s="84"/>
      <c r="BX22" s="71"/>
    </row>
    <row r="23" spans="1:77" x14ac:dyDescent="0.25">
      <c r="A23" s="87" t="s">
        <v>286</v>
      </c>
      <c r="B23" s="61"/>
      <c r="C23" s="88">
        <f t="array" ref="C23:M23">TRANSPOSE('[1]Hist Series'!Y5:Y15)</f>
        <v>0.95511963663447985</v>
      </c>
      <c r="D23" s="88">
        <v>0.94962822792134838</v>
      </c>
      <c r="E23" s="88">
        <v>0.95143021905536818</v>
      </c>
      <c r="F23" s="88">
        <v>0.95201313614668903</v>
      </c>
      <c r="G23" s="88">
        <v>0.94503783495598548</v>
      </c>
      <c r="H23" s="89">
        <v>0.94434797823801464</v>
      </c>
      <c r="I23" s="89">
        <v>0.95901356836914453</v>
      </c>
      <c r="J23" s="90">
        <v>0.96061667955488228</v>
      </c>
      <c r="K23" s="90">
        <v>0.9568992803941726</v>
      </c>
      <c r="L23" s="90">
        <v>0.95740340394886547</v>
      </c>
      <c r="M23" s="91">
        <v>0.95711292162774886</v>
      </c>
      <c r="N23" s="92">
        <f t="shared" ref="N23:AI23" si="13">M23-0.001</f>
        <v>0.95611292162774886</v>
      </c>
      <c r="O23" s="90">
        <f t="shared" si="13"/>
        <v>0.95511292162774886</v>
      </c>
      <c r="P23" s="90">
        <f t="shared" si="13"/>
        <v>0.95411292162774886</v>
      </c>
      <c r="Q23" s="90">
        <f t="shared" si="13"/>
        <v>0.95311292162774885</v>
      </c>
      <c r="R23" s="90">
        <f t="shared" si="13"/>
        <v>0.95211292162774885</v>
      </c>
      <c r="S23" s="90">
        <f t="shared" si="13"/>
        <v>0.95111292162774885</v>
      </c>
      <c r="T23" s="90">
        <f t="shared" si="13"/>
        <v>0.95011292162774885</v>
      </c>
      <c r="U23" s="90">
        <f t="shared" si="13"/>
        <v>0.94911292162774885</v>
      </c>
      <c r="V23" s="90">
        <f t="shared" si="13"/>
        <v>0.94811292162774885</v>
      </c>
      <c r="W23" s="90">
        <f t="shared" si="13"/>
        <v>0.94711292162774885</v>
      </c>
      <c r="X23" s="90">
        <f t="shared" si="13"/>
        <v>0.94611292162774885</v>
      </c>
      <c r="Y23" s="90">
        <f t="shared" si="13"/>
        <v>0.94511292162774885</v>
      </c>
      <c r="Z23" s="90">
        <f t="shared" si="13"/>
        <v>0.94411292162774885</v>
      </c>
      <c r="AA23" s="90">
        <f t="shared" si="13"/>
        <v>0.94311292162774885</v>
      </c>
      <c r="AB23" s="90">
        <f t="shared" si="13"/>
        <v>0.94211292162774884</v>
      </c>
      <c r="AC23" s="90">
        <f t="shared" si="13"/>
        <v>0.94111292162774884</v>
      </c>
      <c r="AD23" s="90">
        <f t="shared" si="13"/>
        <v>0.94011292162774884</v>
      </c>
      <c r="AE23" s="90">
        <f t="shared" si="13"/>
        <v>0.93911292162774884</v>
      </c>
      <c r="AF23" s="90">
        <f t="shared" si="13"/>
        <v>0.93811292162774884</v>
      </c>
      <c r="AG23" s="90">
        <f t="shared" si="13"/>
        <v>0.93711292162774884</v>
      </c>
      <c r="AH23" s="90">
        <f t="shared" si="13"/>
        <v>0.93611292162774884</v>
      </c>
      <c r="AI23" s="90">
        <f t="shared" si="13"/>
        <v>0.93511292162774884</v>
      </c>
      <c r="AJ23" s="90"/>
      <c r="AK23" s="90"/>
      <c r="AL23" s="90"/>
      <c r="AM23" s="90"/>
      <c r="AN23" s="90"/>
      <c r="AO23" s="90"/>
      <c r="AP23" s="90"/>
      <c r="AQ23" s="90"/>
      <c r="AR23" s="90"/>
      <c r="AS23" s="90"/>
      <c r="AT23" s="90"/>
      <c r="AU23" s="90"/>
      <c r="AV23" s="90"/>
      <c r="AW23" s="90"/>
      <c r="AX23" s="90"/>
      <c r="AY23" s="90"/>
      <c r="AZ23" s="90"/>
      <c r="BA23" s="90"/>
      <c r="BB23" s="90"/>
      <c r="BC23" s="90"/>
      <c r="BD23" s="90"/>
      <c r="BE23" s="90"/>
      <c r="BF23" s="90"/>
      <c r="BG23" s="90"/>
      <c r="BH23" s="90"/>
      <c r="BI23" s="90"/>
      <c r="BJ23" s="90"/>
      <c r="BK23" s="90"/>
      <c r="BL23" s="90"/>
      <c r="BM23" s="90"/>
      <c r="BN23" s="90"/>
      <c r="BO23" s="90"/>
      <c r="BP23" s="90"/>
      <c r="BQ23" s="90"/>
      <c r="BR23" s="90"/>
      <c r="BS23" s="90"/>
      <c r="BT23" s="90"/>
      <c r="BU23" s="90"/>
      <c r="BV23" s="90"/>
      <c r="BX23" s="71"/>
    </row>
    <row r="24" spans="1:77" x14ac:dyDescent="0.25">
      <c r="A24" s="76"/>
      <c r="B24" s="61"/>
      <c r="C24" s="62"/>
      <c r="D24" s="62"/>
      <c r="E24" s="62"/>
      <c r="F24" s="62"/>
      <c r="G24" s="62"/>
      <c r="H24" s="62"/>
      <c r="M24" s="81"/>
      <c r="N24" s="69"/>
      <c r="U24" s="82"/>
      <c r="BX24" s="71"/>
    </row>
    <row r="25" spans="1:77" x14ac:dyDescent="0.25">
      <c r="M25" s="81"/>
      <c r="N25" s="69"/>
      <c r="U25" s="82"/>
      <c r="BX25" s="71" t="s">
        <v>287</v>
      </c>
    </row>
    <row r="26" spans="1:77" x14ac:dyDescent="0.25">
      <c r="A26" s="326" t="s">
        <v>288</v>
      </c>
      <c r="B26" s="61" t="s">
        <v>176</v>
      </c>
      <c r="C26" s="62">
        <f t="array" ref="C26:M27">TRANSPOSE('[1]Hist Series'!M5:N15)</f>
        <v>52239</v>
      </c>
      <c r="D26" s="62">
        <v>52202</v>
      </c>
      <c r="E26" s="62">
        <v>52478</v>
      </c>
      <c r="F26" s="62">
        <v>52696</v>
      </c>
      <c r="G26" s="62">
        <v>53263</v>
      </c>
      <c r="H26" s="62">
        <v>52836</v>
      </c>
      <c r="I26" s="62">
        <v>53627</v>
      </c>
      <c r="J26" s="62">
        <v>55205</v>
      </c>
      <c r="K26" s="62">
        <v>57145</v>
      </c>
      <c r="L26" s="62">
        <v>58228</v>
      </c>
      <c r="M26" s="93">
        <v>59209</v>
      </c>
      <c r="N26" s="63">
        <f>N53</f>
        <v>59860</v>
      </c>
      <c r="O26" s="62">
        <f t="shared" ref="O26:AI26" si="14">O53</f>
        <v>60520</v>
      </c>
      <c r="P26" s="62">
        <f t="shared" si="14"/>
        <v>61440</v>
      </c>
      <c r="Q26" s="62">
        <f t="shared" si="14"/>
        <v>62360</v>
      </c>
      <c r="R26" s="62">
        <f t="shared" si="14"/>
        <v>63300</v>
      </c>
      <c r="S26" s="62">
        <f t="shared" si="14"/>
        <v>64200</v>
      </c>
      <c r="T26" s="62">
        <f t="shared" si="14"/>
        <v>65070</v>
      </c>
      <c r="U26" s="62">
        <f t="shared" si="14"/>
        <v>65900</v>
      </c>
      <c r="V26" s="62">
        <f t="shared" si="14"/>
        <v>66700</v>
      </c>
      <c r="W26" s="62">
        <f t="shared" si="14"/>
        <v>67470</v>
      </c>
      <c r="X26" s="62">
        <f t="shared" si="14"/>
        <v>68280</v>
      </c>
      <c r="Y26" s="62">
        <f t="shared" si="14"/>
        <v>69140</v>
      </c>
      <c r="Z26" s="62">
        <f t="shared" si="14"/>
        <v>70050</v>
      </c>
      <c r="AA26" s="62">
        <f t="shared" si="14"/>
        <v>71020</v>
      </c>
      <c r="AB26" s="62">
        <f t="shared" si="14"/>
        <v>72040</v>
      </c>
      <c r="AC26" s="62">
        <f t="shared" si="14"/>
        <v>73050</v>
      </c>
      <c r="AD26" s="62">
        <f t="shared" si="14"/>
        <v>74060</v>
      </c>
      <c r="AE26" s="62">
        <f t="shared" si="14"/>
        <v>75060</v>
      </c>
      <c r="AF26" s="62">
        <f t="shared" si="14"/>
        <v>76050</v>
      </c>
      <c r="AG26" s="62">
        <f t="shared" si="14"/>
        <v>77030</v>
      </c>
      <c r="AH26" s="62">
        <f t="shared" si="14"/>
        <v>78060</v>
      </c>
      <c r="AI26" s="62">
        <f t="shared" si="14"/>
        <v>79140</v>
      </c>
      <c r="AJ26" s="62"/>
      <c r="AK26" s="62"/>
      <c r="AL26" s="62"/>
      <c r="AM26" s="62"/>
      <c r="AN26" s="62"/>
      <c r="AO26" s="62"/>
      <c r="AP26" s="62"/>
      <c r="AQ26" s="62"/>
      <c r="AR26" s="62"/>
      <c r="AS26" s="62"/>
      <c r="AT26" s="62"/>
      <c r="AU26" s="62"/>
      <c r="AV26" s="62"/>
      <c r="AW26" s="62"/>
      <c r="AX26" s="62"/>
      <c r="AY26" s="62"/>
      <c r="AZ26" s="62"/>
      <c r="BA26" s="62"/>
      <c r="BB26" s="62"/>
      <c r="BC26" s="62"/>
      <c r="BD26" s="62"/>
      <c r="BE26" s="62"/>
      <c r="BF26" s="62"/>
      <c r="BG26" s="62"/>
      <c r="BH26" s="62"/>
      <c r="BI26" s="62"/>
      <c r="BJ26" s="62"/>
      <c r="BK26" s="62"/>
      <c r="BL26" s="62"/>
      <c r="BM26" s="62"/>
      <c r="BN26" s="62"/>
      <c r="BO26" s="62"/>
      <c r="BP26" s="62"/>
      <c r="BQ26" s="62"/>
      <c r="BR26" s="62"/>
      <c r="BS26" s="62"/>
      <c r="BT26" s="62"/>
      <c r="BU26" s="62"/>
      <c r="BV26" s="62"/>
      <c r="BX26" s="64">
        <f>(T26/I26)^(1/11)-1</f>
        <v>1.7738300430194309E-2</v>
      </c>
      <c r="BY26" s="65">
        <f>(H26/C26)^0.2-1</f>
        <v>2.2752713495435284E-3</v>
      </c>
    </row>
    <row r="27" spans="1:77" x14ac:dyDescent="0.25">
      <c r="A27" s="326"/>
      <c r="B27" s="61" t="s">
        <v>175</v>
      </c>
      <c r="C27" s="62">
        <v>45219</v>
      </c>
      <c r="D27" s="62">
        <v>46314</v>
      </c>
      <c r="E27" s="62">
        <v>47189</v>
      </c>
      <c r="F27" s="62">
        <v>47845</v>
      </c>
      <c r="G27" s="62">
        <v>48812</v>
      </c>
      <c r="H27" s="62">
        <v>48312</v>
      </c>
      <c r="I27" s="62">
        <v>47876</v>
      </c>
      <c r="J27" s="62">
        <v>49370</v>
      </c>
      <c r="K27" s="62">
        <v>50988</v>
      </c>
      <c r="L27" s="62">
        <v>52114</v>
      </c>
      <c r="M27" s="93">
        <v>52812</v>
      </c>
      <c r="N27" s="63">
        <f t="shared" ref="N27:AI27" si="15">ROUND(N56*N26,-1)</f>
        <v>53390</v>
      </c>
      <c r="O27" s="62">
        <f t="shared" si="15"/>
        <v>53980</v>
      </c>
      <c r="P27" s="62">
        <f t="shared" si="15"/>
        <v>54800</v>
      </c>
      <c r="Q27" s="62">
        <f t="shared" si="15"/>
        <v>55620</v>
      </c>
      <c r="R27" s="62">
        <f t="shared" si="15"/>
        <v>56460</v>
      </c>
      <c r="S27" s="62">
        <f t="shared" si="15"/>
        <v>57260</v>
      </c>
      <c r="T27" s="62">
        <f t="shared" si="15"/>
        <v>58040</v>
      </c>
      <c r="U27" s="62">
        <f t="shared" si="15"/>
        <v>58780</v>
      </c>
      <c r="V27" s="62">
        <f t="shared" si="15"/>
        <v>59490</v>
      </c>
      <c r="W27" s="62">
        <f t="shared" si="15"/>
        <v>60180</v>
      </c>
      <c r="X27" s="62">
        <f t="shared" si="15"/>
        <v>60900</v>
      </c>
      <c r="Y27" s="62">
        <f t="shared" si="15"/>
        <v>61670</v>
      </c>
      <c r="Z27" s="62">
        <f t="shared" si="15"/>
        <v>62480</v>
      </c>
      <c r="AA27" s="62">
        <f t="shared" si="15"/>
        <v>63350</v>
      </c>
      <c r="AB27" s="62">
        <f t="shared" si="15"/>
        <v>64260</v>
      </c>
      <c r="AC27" s="62">
        <f t="shared" si="15"/>
        <v>65160</v>
      </c>
      <c r="AD27" s="62">
        <f t="shared" si="15"/>
        <v>66060</v>
      </c>
      <c r="AE27" s="62">
        <f t="shared" si="15"/>
        <v>66950</v>
      </c>
      <c r="AF27" s="62">
        <f t="shared" si="15"/>
        <v>67830</v>
      </c>
      <c r="AG27" s="62">
        <f t="shared" si="15"/>
        <v>68710</v>
      </c>
      <c r="AH27" s="62">
        <f t="shared" si="15"/>
        <v>69630</v>
      </c>
      <c r="AI27" s="62">
        <f t="shared" si="15"/>
        <v>70590</v>
      </c>
      <c r="AJ27" s="62"/>
      <c r="AK27" s="62"/>
      <c r="AL27" s="62"/>
      <c r="AM27" s="62"/>
      <c r="AN27" s="62"/>
      <c r="AO27" s="62"/>
      <c r="AP27" s="62"/>
      <c r="AQ27" s="62"/>
      <c r="AR27" s="62"/>
      <c r="AS27" s="62"/>
      <c r="AT27" s="62"/>
      <c r="AU27" s="62"/>
      <c r="AV27" s="62"/>
      <c r="AW27" s="62"/>
      <c r="AX27" s="62"/>
      <c r="AY27" s="62"/>
      <c r="AZ27" s="62"/>
      <c r="BA27" s="62"/>
      <c r="BB27" s="62"/>
      <c r="BC27" s="62"/>
      <c r="BD27" s="62"/>
      <c r="BE27" s="62"/>
      <c r="BF27" s="62"/>
      <c r="BG27" s="62"/>
      <c r="BH27" s="62"/>
      <c r="BI27" s="62"/>
      <c r="BJ27" s="62"/>
      <c r="BK27" s="62"/>
      <c r="BL27" s="62"/>
      <c r="BM27" s="62"/>
      <c r="BN27" s="62"/>
      <c r="BO27" s="62"/>
      <c r="BP27" s="62"/>
      <c r="BQ27" s="62"/>
      <c r="BR27" s="62"/>
      <c r="BS27" s="62"/>
      <c r="BT27" s="62"/>
      <c r="BU27" s="62"/>
      <c r="BV27" s="62"/>
      <c r="BX27" s="64">
        <f>(T27/I27)^(1/11)-1</f>
        <v>1.7655696008426869E-2</v>
      </c>
      <c r="BY27" s="65">
        <f>(H27/C27)^0.2-1</f>
        <v>1.3320462208900041E-2</v>
      </c>
    </row>
    <row r="28" spans="1:77" x14ac:dyDescent="0.25">
      <c r="A28" s="326"/>
      <c r="B28" s="61"/>
      <c r="M28" s="81"/>
      <c r="N28" s="69"/>
      <c r="U28" s="82"/>
    </row>
    <row r="29" spans="1:77" x14ac:dyDescent="0.25">
      <c r="A29" s="326"/>
      <c r="B29" s="61" t="s">
        <v>176</v>
      </c>
      <c r="C29" s="62"/>
      <c r="D29" s="62"/>
      <c r="E29" s="62"/>
      <c r="F29" s="2">
        <f>F26-E26</f>
        <v>218</v>
      </c>
      <c r="G29" s="2">
        <f t="shared" ref="G29:AI29" si="16">G26-F26</f>
        <v>567</v>
      </c>
      <c r="H29" s="2">
        <f t="shared" si="16"/>
        <v>-427</v>
      </c>
      <c r="I29" s="2">
        <f t="shared" si="16"/>
        <v>791</v>
      </c>
      <c r="J29" s="2">
        <f t="shared" si="16"/>
        <v>1578</v>
      </c>
      <c r="K29" s="2">
        <f t="shared" si="16"/>
        <v>1940</v>
      </c>
      <c r="L29" s="2">
        <f t="shared" si="16"/>
        <v>1083</v>
      </c>
      <c r="M29" s="2">
        <f t="shared" si="16"/>
        <v>981</v>
      </c>
      <c r="N29" s="2">
        <f t="shared" si="16"/>
        <v>651</v>
      </c>
      <c r="O29" s="2">
        <f t="shared" si="16"/>
        <v>660</v>
      </c>
      <c r="P29" s="2">
        <f t="shared" si="16"/>
        <v>920</v>
      </c>
      <c r="Q29" s="2">
        <f t="shared" si="16"/>
        <v>920</v>
      </c>
      <c r="R29" s="2">
        <f t="shared" si="16"/>
        <v>940</v>
      </c>
      <c r="S29" s="2">
        <f t="shared" si="16"/>
        <v>900</v>
      </c>
      <c r="T29" s="2">
        <f t="shared" si="16"/>
        <v>870</v>
      </c>
      <c r="U29" s="2">
        <f t="shared" si="16"/>
        <v>830</v>
      </c>
      <c r="V29" s="2">
        <f t="shared" si="16"/>
        <v>800</v>
      </c>
      <c r="W29" s="2">
        <f t="shared" si="16"/>
        <v>770</v>
      </c>
      <c r="X29" s="2">
        <f t="shared" si="16"/>
        <v>810</v>
      </c>
      <c r="Y29" s="2">
        <f t="shared" si="16"/>
        <v>860</v>
      </c>
      <c r="Z29" s="2">
        <f t="shared" si="16"/>
        <v>910</v>
      </c>
      <c r="AA29" s="2">
        <f t="shared" si="16"/>
        <v>970</v>
      </c>
      <c r="AB29" s="2">
        <f t="shared" si="16"/>
        <v>1020</v>
      </c>
      <c r="AC29" s="2">
        <f t="shared" si="16"/>
        <v>1010</v>
      </c>
      <c r="AD29" s="2">
        <f t="shared" si="16"/>
        <v>1010</v>
      </c>
      <c r="AE29" s="2">
        <f t="shared" si="16"/>
        <v>1000</v>
      </c>
      <c r="AF29" s="2">
        <f t="shared" si="16"/>
        <v>990</v>
      </c>
      <c r="AG29" s="2">
        <f t="shared" si="16"/>
        <v>980</v>
      </c>
      <c r="AH29" s="2">
        <f t="shared" si="16"/>
        <v>1030</v>
      </c>
      <c r="AI29" s="2">
        <f t="shared" si="16"/>
        <v>1080</v>
      </c>
    </row>
    <row r="30" spans="1:77" x14ac:dyDescent="0.25">
      <c r="A30" s="326"/>
      <c r="B30" s="121" t="s">
        <v>306</v>
      </c>
      <c r="C30" s="62"/>
      <c r="D30" s="62"/>
      <c r="E30" s="120">
        <v>0.7</v>
      </c>
      <c r="F30">
        <f>F$29*$E30</f>
        <v>152.6</v>
      </c>
      <c r="G30">
        <f t="shared" ref="G30:AI33" si="17">G$29*$E30</f>
        <v>396.9</v>
      </c>
      <c r="H30">
        <f t="shared" si="17"/>
        <v>-298.89999999999998</v>
      </c>
      <c r="I30">
        <f t="shared" si="17"/>
        <v>553.69999999999993</v>
      </c>
      <c r="J30">
        <f t="shared" si="17"/>
        <v>1104.5999999999999</v>
      </c>
      <c r="K30">
        <f t="shared" si="17"/>
        <v>1358</v>
      </c>
      <c r="L30">
        <f t="shared" si="17"/>
        <v>758.09999999999991</v>
      </c>
      <c r="M30">
        <f t="shared" si="17"/>
        <v>686.69999999999993</v>
      </c>
      <c r="N30">
        <f t="shared" si="17"/>
        <v>455.7</v>
      </c>
      <c r="O30">
        <f t="shared" si="17"/>
        <v>461.99999999999994</v>
      </c>
      <c r="P30">
        <f t="shared" si="17"/>
        <v>644</v>
      </c>
      <c r="Q30">
        <f t="shared" si="17"/>
        <v>644</v>
      </c>
      <c r="R30">
        <f t="shared" si="17"/>
        <v>658</v>
      </c>
      <c r="S30">
        <f t="shared" si="17"/>
        <v>630</v>
      </c>
      <c r="T30">
        <f t="shared" si="17"/>
        <v>609</v>
      </c>
      <c r="U30">
        <f t="shared" si="17"/>
        <v>581</v>
      </c>
      <c r="V30">
        <f t="shared" si="17"/>
        <v>560</v>
      </c>
      <c r="W30">
        <f t="shared" si="17"/>
        <v>539</v>
      </c>
      <c r="X30">
        <f t="shared" si="17"/>
        <v>567</v>
      </c>
      <c r="Y30">
        <f t="shared" si="17"/>
        <v>602</v>
      </c>
      <c r="Z30">
        <f t="shared" si="17"/>
        <v>637</v>
      </c>
      <c r="AA30">
        <f t="shared" si="17"/>
        <v>679</v>
      </c>
      <c r="AB30">
        <f t="shared" si="17"/>
        <v>714</v>
      </c>
      <c r="AC30">
        <f t="shared" si="17"/>
        <v>707</v>
      </c>
      <c r="AD30">
        <f t="shared" si="17"/>
        <v>707</v>
      </c>
      <c r="AE30">
        <f t="shared" si="17"/>
        <v>700</v>
      </c>
      <c r="AF30">
        <f t="shared" si="17"/>
        <v>693</v>
      </c>
      <c r="AG30">
        <f t="shared" si="17"/>
        <v>686</v>
      </c>
      <c r="AH30">
        <f t="shared" si="17"/>
        <v>721</v>
      </c>
      <c r="AI30">
        <f t="shared" si="17"/>
        <v>756</v>
      </c>
    </row>
    <row r="31" spans="1:77" x14ac:dyDescent="0.25">
      <c r="A31" s="326"/>
      <c r="B31" s="121" t="s">
        <v>307</v>
      </c>
      <c r="C31" s="62"/>
      <c r="D31" s="62"/>
      <c r="E31" s="120">
        <v>0.2</v>
      </c>
      <c r="F31">
        <f t="shared" ref="F31:U33" si="18">F$29*$E31</f>
        <v>43.6</v>
      </c>
      <c r="G31">
        <f t="shared" si="18"/>
        <v>113.4</v>
      </c>
      <c r="H31">
        <f t="shared" si="18"/>
        <v>-85.4</v>
      </c>
      <c r="I31">
        <f t="shared" si="18"/>
        <v>158.20000000000002</v>
      </c>
      <c r="J31">
        <f t="shared" si="18"/>
        <v>315.60000000000002</v>
      </c>
      <c r="K31">
        <f t="shared" si="18"/>
        <v>388</v>
      </c>
      <c r="L31">
        <f t="shared" si="18"/>
        <v>216.60000000000002</v>
      </c>
      <c r="M31">
        <f t="shared" si="18"/>
        <v>196.20000000000002</v>
      </c>
      <c r="N31">
        <f t="shared" si="18"/>
        <v>130.20000000000002</v>
      </c>
      <c r="O31">
        <f t="shared" si="18"/>
        <v>132</v>
      </c>
      <c r="P31">
        <f t="shared" si="18"/>
        <v>184</v>
      </c>
      <c r="Q31">
        <f t="shared" si="18"/>
        <v>184</v>
      </c>
      <c r="R31">
        <f t="shared" si="18"/>
        <v>188</v>
      </c>
      <c r="S31">
        <f t="shared" si="18"/>
        <v>180</v>
      </c>
      <c r="T31">
        <f t="shared" si="18"/>
        <v>174</v>
      </c>
      <c r="U31">
        <f t="shared" si="18"/>
        <v>166</v>
      </c>
      <c r="V31">
        <f t="shared" si="17"/>
        <v>160</v>
      </c>
      <c r="W31">
        <f t="shared" si="17"/>
        <v>154</v>
      </c>
      <c r="X31">
        <f t="shared" si="17"/>
        <v>162</v>
      </c>
      <c r="Y31">
        <f t="shared" si="17"/>
        <v>172</v>
      </c>
      <c r="Z31">
        <f t="shared" si="17"/>
        <v>182</v>
      </c>
      <c r="AA31">
        <f t="shared" si="17"/>
        <v>194</v>
      </c>
      <c r="AB31">
        <f t="shared" si="17"/>
        <v>204</v>
      </c>
      <c r="AC31">
        <f t="shared" si="17"/>
        <v>202</v>
      </c>
      <c r="AD31">
        <f t="shared" si="17"/>
        <v>202</v>
      </c>
      <c r="AE31">
        <f t="shared" si="17"/>
        <v>200</v>
      </c>
      <c r="AF31">
        <f t="shared" si="17"/>
        <v>198</v>
      </c>
      <c r="AG31">
        <f t="shared" si="17"/>
        <v>196</v>
      </c>
      <c r="AH31">
        <f t="shared" si="17"/>
        <v>206</v>
      </c>
      <c r="AI31">
        <f t="shared" si="17"/>
        <v>216</v>
      </c>
    </row>
    <row r="32" spans="1:77" x14ac:dyDescent="0.25">
      <c r="A32" s="326"/>
      <c r="B32" s="121" t="s">
        <v>229</v>
      </c>
      <c r="C32" s="62"/>
      <c r="D32" s="62"/>
      <c r="E32" s="120">
        <v>0.1</v>
      </c>
      <c r="F32">
        <f t="shared" si="18"/>
        <v>21.8</v>
      </c>
      <c r="G32">
        <f t="shared" si="17"/>
        <v>56.7</v>
      </c>
      <c r="H32">
        <f t="shared" si="17"/>
        <v>-42.7</v>
      </c>
      <c r="I32">
        <f t="shared" si="17"/>
        <v>79.100000000000009</v>
      </c>
      <c r="J32">
        <f t="shared" si="17"/>
        <v>157.80000000000001</v>
      </c>
      <c r="K32">
        <f t="shared" si="17"/>
        <v>194</v>
      </c>
      <c r="L32">
        <f t="shared" si="17"/>
        <v>108.30000000000001</v>
      </c>
      <c r="M32">
        <f t="shared" si="17"/>
        <v>98.100000000000009</v>
      </c>
      <c r="N32">
        <f t="shared" si="17"/>
        <v>65.100000000000009</v>
      </c>
      <c r="O32">
        <f t="shared" si="17"/>
        <v>66</v>
      </c>
      <c r="P32">
        <f t="shared" si="17"/>
        <v>92</v>
      </c>
      <c r="Q32">
        <f t="shared" si="17"/>
        <v>92</v>
      </c>
      <c r="R32">
        <f t="shared" si="17"/>
        <v>94</v>
      </c>
      <c r="S32">
        <f t="shared" si="17"/>
        <v>90</v>
      </c>
      <c r="T32">
        <f t="shared" si="17"/>
        <v>87</v>
      </c>
      <c r="U32">
        <f t="shared" si="17"/>
        <v>83</v>
      </c>
      <c r="V32">
        <f t="shared" si="17"/>
        <v>80</v>
      </c>
      <c r="W32">
        <f t="shared" si="17"/>
        <v>77</v>
      </c>
      <c r="X32">
        <f t="shared" si="17"/>
        <v>81</v>
      </c>
      <c r="Y32">
        <f t="shared" si="17"/>
        <v>86</v>
      </c>
      <c r="Z32">
        <f t="shared" si="17"/>
        <v>91</v>
      </c>
      <c r="AA32">
        <f t="shared" si="17"/>
        <v>97</v>
      </c>
      <c r="AB32">
        <f t="shared" si="17"/>
        <v>102</v>
      </c>
      <c r="AC32">
        <f t="shared" si="17"/>
        <v>101</v>
      </c>
      <c r="AD32">
        <f t="shared" si="17"/>
        <v>101</v>
      </c>
      <c r="AE32">
        <f t="shared" si="17"/>
        <v>100</v>
      </c>
      <c r="AF32">
        <f t="shared" si="17"/>
        <v>99</v>
      </c>
      <c r="AG32">
        <f t="shared" si="17"/>
        <v>98</v>
      </c>
      <c r="AH32">
        <f t="shared" si="17"/>
        <v>103</v>
      </c>
      <c r="AI32">
        <f t="shared" si="17"/>
        <v>108</v>
      </c>
    </row>
    <row r="33" spans="1:77" x14ac:dyDescent="0.25">
      <c r="A33" s="326"/>
      <c r="B33" s="121" t="s">
        <v>228</v>
      </c>
      <c r="E33" s="120">
        <v>0</v>
      </c>
      <c r="F33">
        <f t="shared" si="18"/>
        <v>0</v>
      </c>
      <c r="G33">
        <f t="shared" si="17"/>
        <v>0</v>
      </c>
      <c r="H33">
        <f t="shared" si="17"/>
        <v>0</v>
      </c>
      <c r="I33">
        <f t="shared" si="17"/>
        <v>0</v>
      </c>
      <c r="J33">
        <f t="shared" si="17"/>
        <v>0</v>
      </c>
      <c r="K33">
        <f t="shared" si="17"/>
        <v>0</v>
      </c>
      <c r="L33">
        <f t="shared" si="17"/>
        <v>0</v>
      </c>
      <c r="M33">
        <f t="shared" si="17"/>
        <v>0</v>
      </c>
      <c r="N33">
        <f t="shared" si="17"/>
        <v>0</v>
      </c>
      <c r="O33">
        <f t="shared" si="17"/>
        <v>0</v>
      </c>
      <c r="P33">
        <f t="shared" si="17"/>
        <v>0</v>
      </c>
      <c r="Q33">
        <f t="shared" si="17"/>
        <v>0</v>
      </c>
      <c r="R33">
        <f t="shared" si="17"/>
        <v>0</v>
      </c>
      <c r="S33">
        <f t="shared" si="17"/>
        <v>0</v>
      </c>
      <c r="T33">
        <f t="shared" si="17"/>
        <v>0</v>
      </c>
      <c r="U33">
        <f t="shared" si="17"/>
        <v>0</v>
      </c>
      <c r="V33">
        <f t="shared" si="17"/>
        <v>0</v>
      </c>
      <c r="W33">
        <f t="shared" si="17"/>
        <v>0</v>
      </c>
      <c r="X33">
        <f t="shared" si="17"/>
        <v>0</v>
      </c>
      <c r="Y33">
        <f t="shared" si="17"/>
        <v>0</v>
      </c>
      <c r="Z33">
        <f t="shared" si="17"/>
        <v>0</v>
      </c>
      <c r="AA33">
        <f t="shared" si="17"/>
        <v>0</v>
      </c>
      <c r="AB33">
        <f t="shared" si="17"/>
        <v>0</v>
      </c>
      <c r="AC33">
        <f t="shared" si="17"/>
        <v>0</v>
      </c>
      <c r="AD33">
        <f t="shared" si="17"/>
        <v>0</v>
      </c>
      <c r="AE33">
        <f t="shared" si="17"/>
        <v>0</v>
      </c>
      <c r="AF33">
        <f t="shared" si="17"/>
        <v>0</v>
      </c>
      <c r="AG33">
        <f t="shared" si="17"/>
        <v>0</v>
      </c>
      <c r="AH33">
        <f t="shared" si="17"/>
        <v>0</v>
      </c>
      <c r="AI33">
        <f t="shared" si="17"/>
        <v>0</v>
      </c>
    </row>
    <row r="34" spans="1:77" x14ac:dyDescent="0.25">
      <c r="A34" s="326"/>
      <c r="B34" s="61"/>
      <c r="F34">
        <f t="shared" ref="F34:AI34" si="19">SUM(F30:F33)</f>
        <v>218</v>
      </c>
      <c r="G34">
        <f t="shared" si="19"/>
        <v>567</v>
      </c>
      <c r="H34">
        <f t="shared" si="19"/>
        <v>-426.99999999999994</v>
      </c>
      <c r="I34">
        <f t="shared" si="19"/>
        <v>791</v>
      </c>
      <c r="J34">
        <f t="shared" si="19"/>
        <v>1577.9999999999998</v>
      </c>
      <c r="K34">
        <f t="shared" si="19"/>
        <v>1940</v>
      </c>
      <c r="L34">
        <f t="shared" si="19"/>
        <v>1083</v>
      </c>
      <c r="M34" s="81">
        <f t="shared" si="19"/>
        <v>981</v>
      </c>
      <c r="N34" s="69">
        <f t="shared" si="19"/>
        <v>651</v>
      </c>
      <c r="O34">
        <f t="shared" si="19"/>
        <v>660</v>
      </c>
      <c r="P34">
        <f t="shared" si="19"/>
        <v>920</v>
      </c>
      <c r="Q34">
        <f t="shared" si="19"/>
        <v>920</v>
      </c>
      <c r="R34">
        <f t="shared" si="19"/>
        <v>940</v>
      </c>
      <c r="S34">
        <f t="shared" si="19"/>
        <v>900</v>
      </c>
      <c r="T34">
        <f t="shared" si="19"/>
        <v>870</v>
      </c>
      <c r="U34" s="82">
        <f t="shared" si="19"/>
        <v>830</v>
      </c>
      <c r="V34">
        <f t="shared" si="19"/>
        <v>800</v>
      </c>
      <c r="W34">
        <f t="shared" si="19"/>
        <v>770</v>
      </c>
      <c r="X34">
        <f t="shared" si="19"/>
        <v>810</v>
      </c>
      <c r="Y34">
        <f t="shared" si="19"/>
        <v>860</v>
      </c>
      <c r="Z34">
        <f t="shared" si="19"/>
        <v>910</v>
      </c>
      <c r="AA34">
        <f t="shared" si="19"/>
        <v>970</v>
      </c>
      <c r="AB34">
        <f t="shared" si="19"/>
        <v>1020</v>
      </c>
      <c r="AC34">
        <f t="shared" si="19"/>
        <v>1010</v>
      </c>
      <c r="AD34">
        <f t="shared" si="19"/>
        <v>1010</v>
      </c>
      <c r="AE34">
        <f t="shared" si="19"/>
        <v>1000</v>
      </c>
      <c r="AF34">
        <f t="shared" si="19"/>
        <v>990</v>
      </c>
      <c r="AG34">
        <f t="shared" si="19"/>
        <v>980</v>
      </c>
      <c r="AH34">
        <f t="shared" si="19"/>
        <v>1030</v>
      </c>
      <c r="AI34">
        <f t="shared" si="19"/>
        <v>1080</v>
      </c>
    </row>
    <row r="35" spans="1:77" x14ac:dyDescent="0.25">
      <c r="A35" s="326"/>
      <c r="B35" s="61"/>
      <c r="M35" s="81"/>
      <c r="N35" s="69"/>
      <c r="U35" s="82"/>
    </row>
    <row r="36" spans="1:77" x14ac:dyDescent="0.25">
      <c r="A36" s="326"/>
      <c r="B36" s="61" t="s">
        <v>308</v>
      </c>
      <c r="F36" s="2">
        <f>F27-E27</f>
        <v>656</v>
      </c>
      <c r="G36" s="2">
        <f t="shared" ref="G36:AI36" si="20">G27-F27</f>
        <v>967</v>
      </c>
      <c r="H36" s="2">
        <f t="shared" si="20"/>
        <v>-500</v>
      </c>
      <c r="I36" s="2">
        <f t="shared" si="20"/>
        <v>-436</v>
      </c>
      <c r="J36" s="2">
        <f t="shared" si="20"/>
        <v>1494</v>
      </c>
      <c r="K36" s="2">
        <f t="shared" si="20"/>
        <v>1618</v>
      </c>
      <c r="L36" s="2">
        <f t="shared" si="20"/>
        <v>1126</v>
      </c>
      <c r="M36" s="2">
        <f t="shared" si="20"/>
        <v>698</v>
      </c>
      <c r="N36" s="2">
        <f t="shared" si="20"/>
        <v>578</v>
      </c>
      <c r="O36" s="2">
        <f t="shared" si="20"/>
        <v>590</v>
      </c>
      <c r="P36" s="2">
        <f t="shared" si="20"/>
        <v>820</v>
      </c>
      <c r="Q36" s="2">
        <f t="shared" si="20"/>
        <v>820</v>
      </c>
      <c r="R36" s="2">
        <f t="shared" si="20"/>
        <v>840</v>
      </c>
      <c r="S36" s="2">
        <f t="shared" si="20"/>
        <v>800</v>
      </c>
      <c r="T36" s="2">
        <f t="shared" si="20"/>
        <v>780</v>
      </c>
      <c r="U36" s="2">
        <f t="shared" si="20"/>
        <v>740</v>
      </c>
      <c r="V36" s="2">
        <f t="shared" si="20"/>
        <v>710</v>
      </c>
      <c r="W36" s="2">
        <f t="shared" si="20"/>
        <v>690</v>
      </c>
      <c r="X36" s="2">
        <f t="shared" si="20"/>
        <v>720</v>
      </c>
      <c r="Y36" s="2">
        <f t="shared" si="20"/>
        <v>770</v>
      </c>
      <c r="Z36" s="2">
        <f t="shared" si="20"/>
        <v>810</v>
      </c>
      <c r="AA36" s="2">
        <f t="shared" si="20"/>
        <v>870</v>
      </c>
      <c r="AB36" s="2">
        <f t="shared" si="20"/>
        <v>910</v>
      </c>
      <c r="AC36" s="2">
        <f t="shared" si="20"/>
        <v>900</v>
      </c>
      <c r="AD36" s="2">
        <f t="shared" si="20"/>
        <v>900</v>
      </c>
      <c r="AE36" s="2">
        <f t="shared" si="20"/>
        <v>890</v>
      </c>
      <c r="AF36" s="2">
        <f t="shared" si="20"/>
        <v>880</v>
      </c>
      <c r="AG36" s="2">
        <f t="shared" si="20"/>
        <v>880</v>
      </c>
      <c r="AH36" s="2">
        <f t="shared" si="20"/>
        <v>920</v>
      </c>
      <c r="AI36" s="2">
        <f t="shared" si="20"/>
        <v>960</v>
      </c>
    </row>
    <row r="37" spans="1:77" x14ac:dyDescent="0.25">
      <c r="A37" s="326"/>
      <c r="B37" s="121" t="s">
        <v>306</v>
      </c>
      <c r="E37" s="120">
        <v>0.7</v>
      </c>
      <c r="F37">
        <f>F$36*$E37</f>
        <v>459.2</v>
      </c>
      <c r="G37">
        <f t="shared" ref="G37:AI40" si="21">G$36*$E37</f>
        <v>676.9</v>
      </c>
      <c r="H37">
        <f t="shared" si="21"/>
        <v>-350</v>
      </c>
      <c r="I37">
        <f t="shared" si="21"/>
        <v>-305.2</v>
      </c>
      <c r="J37">
        <f t="shared" si="21"/>
        <v>1045.8</v>
      </c>
      <c r="K37">
        <f t="shared" si="21"/>
        <v>1132.5999999999999</v>
      </c>
      <c r="L37">
        <f t="shared" si="21"/>
        <v>788.19999999999993</v>
      </c>
      <c r="M37">
        <f t="shared" si="21"/>
        <v>488.59999999999997</v>
      </c>
      <c r="N37">
        <f t="shared" si="21"/>
        <v>404.59999999999997</v>
      </c>
      <c r="O37">
        <f t="shared" si="21"/>
        <v>413</v>
      </c>
      <c r="P37">
        <f t="shared" si="21"/>
        <v>574</v>
      </c>
      <c r="Q37">
        <f t="shared" si="21"/>
        <v>574</v>
      </c>
      <c r="R37">
        <f t="shared" si="21"/>
        <v>588</v>
      </c>
      <c r="S37">
        <f t="shared" si="21"/>
        <v>560</v>
      </c>
      <c r="T37">
        <f t="shared" si="21"/>
        <v>546</v>
      </c>
      <c r="U37">
        <f t="shared" si="21"/>
        <v>518</v>
      </c>
      <c r="V37">
        <f t="shared" si="21"/>
        <v>496.99999999999994</v>
      </c>
      <c r="W37">
        <f t="shared" si="21"/>
        <v>482.99999999999994</v>
      </c>
      <c r="X37">
        <f t="shared" si="21"/>
        <v>503.99999999999994</v>
      </c>
      <c r="Y37">
        <f t="shared" si="21"/>
        <v>539</v>
      </c>
      <c r="Z37">
        <f t="shared" si="21"/>
        <v>567</v>
      </c>
      <c r="AA37">
        <f t="shared" si="21"/>
        <v>609</v>
      </c>
      <c r="AB37">
        <f t="shared" si="21"/>
        <v>637</v>
      </c>
      <c r="AC37">
        <f t="shared" si="21"/>
        <v>630</v>
      </c>
      <c r="AD37">
        <f t="shared" si="21"/>
        <v>630</v>
      </c>
      <c r="AE37">
        <f t="shared" si="21"/>
        <v>623</v>
      </c>
      <c r="AF37">
        <f t="shared" si="21"/>
        <v>616</v>
      </c>
      <c r="AG37">
        <f t="shared" si="21"/>
        <v>616</v>
      </c>
      <c r="AH37">
        <f t="shared" si="21"/>
        <v>644</v>
      </c>
      <c r="AI37">
        <f t="shared" si="21"/>
        <v>672</v>
      </c>
    </row>
    <row r="38" spans="1:77" x14ac:dyDescent="0.25">
      <c r="A38" s="326"/>
      <c r="B38" s="121" t="s">
        <v>307</v>
      </c>
      <c r="E38" s="120">
        <v>0.2</v>
      </c>
      <c r="F38">
        <f t="shared" ref="F38:U40" si="22">F$36*$E38</f>
        <v>131.20000000000002</v>
      </c>
      <c r="G38">
        <f t="shared" si="22"/>
        <v>193.4</v>
      </c>
      <c r="H38">
        <f t="shared" si="22"/>
        <v>-100</v>
      </c>
      <c r="I38">
        <f t="shared" si="22"/>
        <v>-87.2</v>
      </c>
      <c r="J38">
        <f t="shared" si="22"/>
        <v>298.8</v>
      </c>
      <c r="K38">
        <f t="shared" si="22"/>
        <v>323.60000000000002</v>
      </c>
      <c r="L38">
        <f t="shared" si="22"/>
        <v>225.20000000000002</v>
      </c>
      <c r="M38">
        <f t="shared" si="22"/>
        <v>139.6</v>
      </c>
      <c r="N38">
        <f t="shared" si="22"/>
        <v>115.60000000000001</v>
      </c>
      <c r="O38">
        <f t="shared" si="22"/>
        <v>118</v>
      </c>
      <c r="P38">
        <f t="shared" si="22"/>
        <v>164</v>
      </c>
      <c r="Q38">
        <f t="shared" si="22"/>
        <v>164</v>
      </c>
      <c r="R38">
        <f t="shared" si="22"/>
        <v>168</v>
      </c>
      <c r="S38">
        <f t="shared" si="22"/>
        <v>160</v>
      </c>
      <c r="T38">
        <f t="shared" si="22"/>
        <v>156</v>
      </c>
      <c r="U38">
        <f t="shared" si="22"/>
        <v>148</v>
      </c>
      <c r="V38">
        <f t="shared" si="21"/>
        <v>142</v>
      </c>
      <c r="W38">
        <f t="shared" si="21"/>
        <v>138</v>
      </c>
      <c r="X38">
        <f t="shared" si="21"/>
        <v>144</v>
      </c>
      <c r="Y38">
        <f t="shared" si="21"/>
        <v>154</v>
      </c>
      <c r="Z38">
        <f t="shared" si="21"/>
        <v>162</v>
      </c>
      <c r="AA38">
        <f t="shared" si="21"/>
        <v>174</v>
      </c>
      <c r="AB38">
        <f t="shared" si="21"/>
        <v>182</v>
      </c>
      <c r="AC38">
        <f t="shared" si="21"/>
        <v>180</v>
      </c>
      <c r="AD38">
        <f t="shared" si="21"/>
        <v>180</v>
      </c>
      <c r="AE38">
        <f t="shared" si="21"/>
        <v>178</v>
      </c>
      <c r="AF38">
        <f t="shared" si="21"/>
        <v>176</v>
      </c>
      <c r="AG38">
        <f t="shared" si="21"/>
        <v>176</v>
      </c>
      <c r="AH38">
        <f t="shared" si="21"/>
        <v>184</v>
      </c>
      <c r="AI38">
        <f t="shared" si="21"/>
        <v>192</v>
      </c>
    </row>
    <row r="39" spans="1:77" x14ac:dyDescent="0.25">
      <c r="A39" s="326"/>
      <c r="B39" s="121" t="s">
        <v>229</v>
      </c>
      <c r="E39" s="120">
        <v>0.1</v>
      </c>
      <c r="F39">
        <f t="shared" si="22"/>
        <v>65.600000000000009</v>
      </c>
      <c r="G39">
        <f t="shared" si="21"/>
        <v>96.7</v>
      </c>
      <c r="H39">
        <f t="shared" si="21"/>
        <v>-50</v>
      </c>
      <c r="I39">
        <f t="shared" si="21"/>
        <v>-43.6</v>
      </c>
      <c r="J39">
        <f t="shared" si="21"/>
        <v>149.4</v>
      </c>
      <c r="K39">
        <f t="shared" si="21"/>
        <v>161.80000000000001</v>
      </c>
      <c r="L39">
        <f t="shared" si="21"/>
        <v>112.60000000000001</v>
      </c>
      <c r="M39">
        <f t="shared" si="21"/>
        <v>69.8</v>
      </c>
      <c r="N39">
        <f t="shared" si="21"/>
        <v>57.800000000000004</v>
      </c>
      <c r="O39">
        <f t="shared" si="21"/>
        <v>59</v>
      </c>
      <c r="P39">
        <f t="shared" si="21"/>
        <v>82</v>
      </c>
      <c r="Q39">
        <f t="shared" si="21"/>
        <v>82</v>
      </c>
      <c r="R39">
        <f t="shared" si="21"/>
        <v>84</v>
      </c>
      <c r="S39">
        <f t="shared" si="21"/>
        <v>80</v>
      </c>
      <c r="T39">
        <f t="shared" si="21"/>
        <v>78</v>
      </c>
      <c r="U39">
        <f t="shared" si="21"/>
        <v>74</v>
      </c>
      <c r="V39">
        <f t="shared" si="21"/>
        <v>71</v>
      </c>
      <c r="W39">
        <f t="shared" si="21"/>
        <v>69</v>
      </c>
      <c r="X39">
        <f t="shared" si="21"/>
        <v>72</v>
      </c>
      <c r="Y39">
        <f t="shared" si="21"/>
        <v>77</v>
      </c>
      <c r="Z39">
        <f t="shared" si="21"/>
        <v>81</v>
      </c>
      <c r="AA39">
        <f t="shared" si="21"/>
        <v>87</v>
      </c>
      <c r="AB39">
        <f t="shared" si="21"/>
        <v>91</v>
      </c>
      <c r="AC39">
        <f t="shared" si="21"/>
        <v>90</v>
      </c>
      <c r="AD39">
        <f t="shared" si="21"/>
        <v>90</v>
      </c>
      <c r="AE39">
        <f t="shared" si="21"/>
        <v>89</v>
      </c>
      <c r="AF39">
        <f t="shared" si="21"/>
        <v>88</v>
      </c>
      <c r="AG39">
        <f t="shared" si="21"/>
        <v>88</v>
      </c>
      <c r="AH39">
        <f t="shared" si="21"/>
        <v>92</v>
      </c>
      <c r="AI39">
        <f t="shared" si="21"/>
        <v>96</v>
      </c>
    </row>
    <row r="40" spans="1:77" x14ac:dyDescent="0.25">
      <c r="A40" s="326"/>
      <c r="B40" s="121" t="s">
        <v>228</v>
      </c>
      <c r="E40" s="120">
        <v>0</v>
      </c>
      <c r="F40">
        <f t="shared" si="22"/>
        <v>0</v>
      </c>
      <c r="G40">
        <f t="shared" si="21"/>
        <v>0</v>
      </c>
      <c r="H40">
        <f t="shared" si="21"/>
        <v>0</v>
      </c>
      <c r="I40">
        <f t="shared" si="21"/>
        <v>0</v>
      </c>
      <c r="J40">
        <f t="shared" si="21"/>
        <v>0</v>
      </c>
      <c r="K40">
        <f t="shared" si="21"/>
        <v>0</v>
      </c>
      <c r="L40">
        <f t="shared" si="21"/>
        <v>0</v>
      </c>
      <c r="M40">
        <f t="shared" si="21"/>
        <v>0</v>
      </c>
      <c r="N40">
        <f t="shared" si="21"/>
        <v>0</v>
      </c>
      <c r="O40">
        <f t="shared" si="21"/>
        <v>0</v>
      </c>
      <c r="P40">
        <f t="shared" si="21"/>
        <v>0</v>
      </c>
      <c r="Q40">
        <f t="shared" si="21"/>
        <v>0</v>
      </c>
      <c r="R40">
        <f t="shared" si="21"/>
        <v>0</v>
      </c>
      <c r="S40">
        <f t="shared" si="21"/>
        <v>0</v>
      </c>
      <c r="T40">
        <f t="shared" si="21"/>
        <v>0</v>
      </c>
      <c r="U40">
        <f t="shared" si="21"/>
        <v>0</v>
      </c>
      <c r="V40">
        <f t="shared" si="21"/>
        <v>0</v>
      </c>
      <c r="W40">
        <f t="shared" si="21"/>
        <v>0</v>
      </c>
      <c r="X40">
        <f t="shared" si="21"/>
        <v>0</v>
      </c>
      <c r="Y40">
        <f t="shared" si="21"/>
        <v>0</v>
      </c>
      <c r="Z40">
        <f t="shared" si="21"/>
        <v>0</v>
      </c>
      <c r="AA40">
        <f t="shared" si="21"/>
        <v>0</v>
      </c>
      <c r="AB40">
        <f t="shared" si="21"/>
        <v>0</v>
      </c>
      <c r="AC40">
        <f t="shared" si="21"/>
        <v>0</v>
      </c>
      <c r="AD40">
        <f t="shared" si="21"/>
        <v>0</v>
      </c>
      <c r="AE40">
        <f t="shared" si="21"/>
        <v>0</v>
      </c>
      <c r="AF40">
        <f t="shared" si="21"/>
        <v>0</v>
      </c>
      <c r="AG40">
        <f t="shared" si="21"/>
        <v>0</v>
      </c>
      <c r="AH40">
        <f t="shared" si="21"/>
        <v>0</v>
      </c>
      <c r="AI40">
        <f t="shared" si="21"/>
        <v>0</v>
      </c>
    </row>
    <row r="41" spans="1:77" x14ac:dyDescent="0.25">
      <c r="A41" s="326"/>
      <c r="B41" s="121"/>
      <c r="E41" s="120"/>
      <c r="F41">
        <f>SUM(F37:F40)</f>
        <v>656</v>
      </c>
      <c r="G41">
        <f t="shared" ref="G41:AI41" si="23">SUM(G37:G40)</f>
        <v>967</v>
      </c>
      <c r="H41">
        <f t="shared" si="23"/>
        <v>-500</v>
      </c>
      <c r="I41">
        <f t="shared" si="23"/>
        <v>-436</v>
      </c>
      <c r="J41">
        <f t="shared" si="23"/>
        <v>1494</v>
      </c>
      <c r="K41">
        <f t="shared" si="23"/>
        <v>1617.9999999999998</v>
      </c>
      <c r="L41">
        <f t="shared" si="23"/>
        <v>1126</v>
      </c>
      <c r="M41">
        <f t="shared" si="23"/>
        <v>697.99999999999989</v>
      </c>
      <c r="N41">
        <f t="shared" si="23"/>
        <v>577.99999999999989</v>
      </c>
      <c r="O41">
        <f t="shared" si="23"/>
        <v>590</v>
      </c>
      <c r="P41">
        <f t="shared" si="23"/>
        <v>820</v>
      </c>
      <c r="Q41">
        <f t="shared" si="23"/>
        <v>820</v>
      </c>
      <c r="R41">
        <f t="shared" si="23"/>
        <v>840</v>
      </c>
      <c r="S41">
        <f t="shared" si="23"/>
        <v>800</v>
      </c>
      <c r="T41">
        <f t="shared" si="23"/>
        <v>780</v>
      </c>
      <c r="U41">
        <f t="shared" si="23"/>
        <v>740</v>
      </c>
      <c r="V41">
        <f t="shared" si="23"/>
        <v>710</v>
      </c>
      <c r="W41">
        <f t="shared" si="23"/>
        <v>690</v>
      </c>
      <c r="X41">
        <f t="shared" si="23"/>
        <v>720</v>
      </c>
      <c r="Y41">
        <f t="shared" si="23"/>
        <v>770</v>
      </c>
      <c r="Z41">
        <f t="shared" si="23"/>
        <v>810</v>
      </c>
      <c r="AA41">
        <f t="shared" si="23"/>
        <v>870</v>
      </c>
      <c r="AB41">
        <f t="shared" si="23"/>
        <v>910</v>
      </c>
      <c r="AC41">
        <f t="shared" si="23"/>
        <v>900</v>
      </c>
      <c r="AD41">
        <f t="shared" si="23"/>
        <v>900</v>
      </c>
      <c r="AE41">
        <f t="shared" si="23"/>
        <v>890</v>
      </c>
      <c r="AF41">
        <f t="shared" si="23"/>
        <v>880</v>
      </c>
      <c r="AG41">
        <f t="shared" si="23"/>
        <v>880</v>
      </c>
      <c r="AH41">
        <f t="shared" si="23"/>
        <v>920</v>
      </c>
      <c r="AI41">
        <f t="shared" si="23"/>
        <v>960</v>
      </c>
    </row>
    <row r="42" spans="1:77" x14ac:dyDescent="0.25">
      <c r="A42" s="326"/>
      <c r="B42" s="72" t="s">
        <v>281</v>
      </c>
      <c r="C42" s="94">
        <f t="array" ref="C42:M43">TRANSPOSE('[1]Hist Series'!O5:P15)</f>
        <v>40890</v>
      </c>
      <c r="D42" s="94">
        <v>41063</v>
      </c>
      <c r="E42" s="94">
        <v>41185</v>
      </c>
      <c r="F42" s="94">
        <v>42315</v>
      </c>
      <c r="G42" s="94">
        <v>41757</v>
      </c>
      <c r="H42" s="95">
        <v>41404</v>
      </c>
      <c r="I42" s="73">
        <v>41986</v>
      </c>
      <c r="J42" s="73">
        <v>43164</v>
      </c>
      <c r="K42" s="73">
        <v>44073</v>
      </c>
      <c r="L42" s="73">
        <v>44757</v>
      </c>
      <c r="M42" s="74">
        <v>44855</v>
      </c>
      <c r="N42" s="75">
        <f>ROUND('[1]Hist Series'!$T$32*[1]Forecast!N15,-1)</f>
        <v>45870</v>
      </c>
      <c r="O42" s="73">
        <f>ROUND('[1]Hist Series'!$T$32*[1]Forecast!O15,-1)</f>
        <v>46370</v>
      </c>
      <c r="P42" s="73">
        <f>ROUND('[1]Hist Series'!$T$32*[1]Forecast!P15,-1)</f>
        <v>47080</v>
      </c>
      <c r="Q42" s="73">
        <f>ROUND('[1]Hist Series'!$T$32*[1]Forecast!Q15,-1)</f>
        <v>47780</v>
      </c>
      <c r="R42" s="73">
        <f>ROUND('[1]Hist Series'!$T$32*[1]Forecast!R15,-1)</f>
        <v>48500</v>
      </c>
      <c r="S42" s="73">
        <f>ROUND('[1]Hist Series'!$T$32*[1]Forecast!S15,-1)</f>
        <v>49190</v>
      </c>
      <c r="T42" s="73">
        <f>ROUND('[1]Hist Series'!$T$32*[1]Forecast!T15,-1)</f>
        <v>49860</v>
      </c>
      <c r="U42" s="73">
        <f>ROUND('[1]Hist Series'!$T$32*[1]Forecast!U15,-1)</f>
        <v>50490</v>
      </c>
      <c r="V42" s="73">
        <f>ROUND('[1]Hist Series'!$T$32*[1]Forecast!V15,-1)</f>
        <v>51110</v>
      </c>
      <c r="W42" s="73">
        <f>ROUND('[1]Hist Series'!$T$32*[1]Forecast!W15,-1)</f>
        <v>51700</v>
      </c>
      <c r="X42" s="73">
        <f>ROUND('[1]Hist Series'!$T$32*[1]Forecast!X15,-1)</f>
        <v>52320</v>
      </c>
      <c r="Y42" s="73">
        <f>ROUND('[1]Hist Series'!$T$32*[1]Forecast!Y15,-1)</f>
        <v>52980</v>
      </c>
      <c r="Z42" s="73">
        <f>ROUND('[1]Hist Series'!$T$32*[1]Forecast!Z15,-1)</f>
        <v>53670</v>
      </c>
      <c r="AA42" s="73">
        <f>ROUND('[1]Hist Series'!$T$32*[1]Forecast!AA15,-1)</f>
        <v>54420</v>
      </c>
      <c r="AB42" s="73">
        <f>ROUND('[1]Hist Series'!$T$32*[1]Forecast!AB15,-1)</f>
        <v>55200</v>
      </c>
      <c r="AC42" s="73">
        <f>ROUND('[1]Hist Series'!$T$32*[1]Forecast!AC15,-1)</f>
        <v>55970</v>
      </c>
      <c r="AD42" s="73">
        <f>ROUND('[1]Hist Series'!$T$32*[1]Forecast!AD15,-1)</f>
        <v>56750</v>
      </c>
      <c r="AE42" s="73">
        <f>ROUND('[1]Hist Series'!$T$32*[1]Forecast!AE15,-1)</f>
        <v>57510</v>
      </c>
      <c r="AF42" s="73">
        <f>ROUND('[1]Hist Series'!$T$32*[1]Forecast!AF15,-1)</f>
        <v>58270</v>
      </c>
      <c r="AG42" s="73">
        <f>ROUND('[1]Hist Series'!$T$32*[1]Forecast!AG15,-1)</f>
        <v>59020</v>
      </c>
      <c r="AH42" s="73">
        <f>ROUND('[1]Hist Series'!$T$32*[1]Forecast!AH15,-1)</f>
        <v>59810</v>
      </c>
      <c r="AI42" s="73">
        <f>ROUND('[1]Hist Series'!$T$32*[1]Forecast!AI15,-1)</f>
        <v>60640</v>
      </c>
      <c r="AJ42" s="73"/>
      <c r="AK42" s="73"/>
      <c r="AL42" s="73"/>
      <c r="AM42" s="73"/>
      <c r="AN42" s="73"/>
      <c r="AO42" s="73"/>
      <c r="AP42" s="73"/>
      <c r="AQ42" s="73"/>
      <c r="AR42" s="73"/>
      <c r="AS42" s="73"/>
      <c r="AT42" s="73"/>
      <c r="AU42" s="73"/>
      <c r="AV42" s="73"/>
      <c r="AW42" s="73"/>
      <c r="AX42" s="73"/>
      <c r="AY42" s="73"/>
      <c r="AZ42" s="73"/>
      <c r="BA42" s="73"/>
      <c r="BB42" s="73"/>
      <c r="BC42" s="73"/>
      <c r="BD42" s="73"/>
      <c r="BE42" s="73"/>
      <c r="BF42" s="73"/>
      <c r="BG42" s="73"/>
      <c r="BH42" s="73"/>
      <c r="BI42" s="73"/>
      <c r="BJ42" s="73"/>
      <c r="BK42" s="73"/>
      <c r="BL42" s="73"/>
      <c r="BM42" s="73"/>
      <c r="BN42" s="73"/>
      <c r="BO42" s="73"/>
      <c r="BP42" s="73"/>
      <c r="BQ42" s="73"/>
      <c r="BR42" s="73"/>
      <c r="BS42" s="73"/>
      <c r="BT42" s="73"/>
      <c r="BU42" s="73"/>
      <c r="BV42" s="73"/>
      <c r="BX42" s="64">
        <f>(T42/I42)^(1/11)-1</f>
        <v>1.5748433342628987E-2</v>
      </c>
      <c r="BY42" s="65">
        <f>(H42/C42)^0.2-1</f>
        <v>2.5015156111249937E-3</v>
      </c>
    </row>
    <row r="43" spans="1:77" x14ac:dyDescent="0.25">
      <c r="A43" s="326"/>
      <c r="B43" s="72" t="s">
        <v>282</v>
      </c>
      <c r="C43" s="94">
        <v>37836</v>
      </c>
      <c r="D43" s="94">
        <v>38660</v>
      </c>
      <c r="E43" s="94">
        <v>39057</v>
      </c>
      <c r="F43" s="94">
        <v>39634</v>
      </c>
      <c r="G43" s="94">
        <v>39330</v>
      </c>
      <c r="H43" s="95">
        <v>39182</v>
      </c>
      <c r="I43" s="73">
        <v>39788</v>
      </c>
      <c r="J43" s="73">
        <v>40997</v>
      </c>
      <c r="K43" s="73">
        <v>41740</v>
      </c>
      <c r="L43" s="73">
        <v>42430</v>
      </c>
      <c r="M43" s="74">
        <v>42494</v>
      </c>
      <c r="N43" s="75">
        <f>ROUND('[1]Hist Series'!$T$22*[1]Forecast!N16,-1)</f>
        <v>43380</v>
      </c>
      <c r="O43" s="73">
        <f>ROUND('[1]Hist Series'!$T$22*[1]Forecast!O16,-1)</f>
        <v>43860</v>
      </c>
      <c r="P43" s="73">
        <f>ROUND('[1]Hist Series'!$T$22*[1]Forecast!P16,-1)</f>
        <v>44520</v>
      </c>
      <c r="Q43" s="73">
        <f>ROUND('[1]Hist Series'!$T$22*[1]Forecast!Q16,-1)</f>
        <v>45190</v>
      </c>
      <c r="R43" s="73">
        <f>ROUND('[1]Hist Series'!$T$22*[1]Forecast!R16,-1)</f>
        <v>45870</v>
      </c>
      <c r="S43" s="73">
        <f>ROUND('[1]Hist Series'!$T$22*[1]Forecast!S16,-1)</f>
        <v>46520</v>
      </c>
      <c r="T43" s="73">
        <f>ROUND('[1]Hist Series'!$T$22*[1]Forecast!T16,-1)</f>
        <v>47150</v>
      </c>
      <c r="U43" s="73">
        <f>ROUND('[1]Hist Series'!$T$22*[1]Forecast!U16,-1)</f>
        <v>47760</v>
      </c>
      <c r="V43" s="73">
        <f>ROUND('[1]Hist Series'!$T$22*[1]Forecast!V16,-1)</f>
        <v>48330</v>
      </c>
      <c r="W43" s="73">
        <f>ROUND('[1]Hist Series'!$T$22*[1]Forecast!W16,-1)</f>
        <v>48890</v>
      </c>
      <c r="X43" s="73">
        <f>ROUND('[1]Hist Series'!$T$22*[1]Forecast!X16,-1)</f>
        <v>49480</v>
      </c>
      <c r="Y43" s="73">
        <f>ROUND('[1]Hist Series'!$T$22*[1]Forecast!Y16,-1)</f>
        <v>50100</v>
      </c>
      <c r="Z43" s="73">
        <f>ROUND('[1]Hist Series'!$T$22*[1]Forecast!Z16,-1)</f>
        <v>50760</v>
      </c>
      <c r="AA43" s="73">
        <f>ROUND('[1]Hist Series'!$T$22*[1]Forecast!AA16,-1)</f>
        <v>51470</v>
      </c>
      <c r="AB43" s="73">
        <f>ROUND('[1]Hist Series'!$T$22*[1]Forecast!AB16,-1)</f>
        <v>52210</v>
      </c>
      <c r="AC43" s="73">
        <f>ROUND('[1]Hist Series'!$T$22*[1]Forecast!AC16,-1)</f>
        <v>52940</v>
      </c>
      <c r="AD43" s="73">
        <f>ROUND('[1]Hist Series'!$T$22*[1]Forecast!AD16,-1)</f>
        <v>53670</v>
      </c>
      <c r="AE43" s="73">
        <f>ROUND('[1]Hist Series'!$T$22*[1]Forecast!AE16,-1)</f>
        <v>54390</v>
      </c>
      <c r="AF43" s="73">
        <f>ROUND('[1]Hist Series'!$T$22*[1]Forecast!AF16,-1)</f>
        <v>55110</v>
      </c>
      <c r="AG43" s="73">
        <f>ROUND('[1]Hist Series'!$T$22*[1]Forecast!AG16,-1)</f>
        <v>55820</v>
      </c>
      <c r="AH43" s="73">
        <f>ROUND('[1]Hist Series'!$T$22*[1]Forecast!AH16,-1)</f>
        <v>56570</v>
      </c>
      <c r="AI43" s="73">
        <f>ROUND('[1]Hist Series'!$T$22*[1]Forecast!AI16,-1)</f>
        <v>57350</v>
      </c>
      <c r="AJ43" s="73"/>
      <c r="AK43" s="73"/>
      <c r="AL43" s="73"/>
      <c r="AM43" s="73"/>
      <c r="AN43" s="73"/>
      <c r="AO43" s="73"/>
      <c r="AP43" s="73"/>
      <c r="AQ43" s="73"/>
      <c r="AR43" s="73"/>
      <c r="AS43" s="73"/>
      <c r="AT43" s="73"/>
      <c r="AU43" s="73"/>
      <c r="AV43" s="73"/>
      <c r="AW43" s="73"/>
      <c r="AX43" s="73"/>
      <c r="AY43" s="73"/>
      <c r="AZ43" s="73"/>
      <c r="BA43" s="73"/>
      <c r="BB43" s="73"/>
      <c r="BC43" s="73"/>
      <c r="BD43" s="73"/>
      <c r="BE43" s="73"/>
      <c r="BF43" s="73"/>
      <c r="BG43" s="73"/>
      <c r="BH43" s="73"/>
      <c r="BI43" s="73"/>
      <c r="BJ43" s="73"/>
      <c r="BK43" s="73"/>
      <c r="BL43" s="73"/>
      <c r="BM43" s="73"/>
      <c r="BN43" s="73"/>
      <c r="BO43" s="73"/>
      <c r="BP43" s="73"/>
      <c r="BQ43" s="73"/>
      <c r="BR43" s="73"/>
      <c r="BS43" s="73"/>
      <c r="BT43" s="73"/>
      <c r="BU43" s="73"/>
      <c r="BV43" s="73"/>
      <c r="BX43" s="64">
        <f>(T43/I43)^(1/11)-1</f>
        <v>1.5553225353180045E-2</v>
      </c>
      <c r="BY43" s="65">
        <f>(H43/C43)^0.2-1</f>
        <v>7.0157815523057554E-3</v>
      </c>
    </row>
    <row r="44" spans="1:77" x14ac:dyDescent="0.25">
      <c r="A44" s="186"/>
      <c r="B44" s="72"/>
      <c r="C44" s="94"/>
      <c r="D44" s="94"/>
      <c r="E44" s="94"/>
      <c r="F44" s="94"/>
      <c r="G44" s="94"/>
      <c r="H44" s="95"/>
      <c r="I44" s="73"/>
      <c r="J44" s="73"/>
      <c r="K44" s="73"/>
      <c r="L44" s="73"/>
      <c r="M44" s="74"/>
      <c r="N44" s="75"/>
      <c r="O44" s="73"/>
      <c r="P44" s="73"/>
      <c r="Q44" s="73"/>
      <c r="R44" s="73"/>
      <c r="S44" s="73"/>
      <c r="T44" s="73"/>
      <c r="U44" s="73"/>
      <c r="V44" s="73"/>
      <c r="W44" s="73"/>
      <c r="X44" s="73"/>
      <c r="Y44" s="73"/>
      <c r="Z44" s="73"/>
      <c r="AA44" s="73"/>
      <c r="AB44" s="73"/>
      <c r="AC44" s="73"/>
      <c r="AD44" s="73"/>
      <c r="AE44" s="73"/>
      <c r="AF44" s="73"/>
      <c r="AG44" s="73"/>
      <c r="AH44" s="73"/>
      <c r="AI44" s="73"/>
      <c r="AJ44" s="73"/>
      <c r="AK44" s="73"/>
      <c r="AL44" s="73"/>
      <c r="AM44" s="73"/>
      <c r="AN44" s="73"/>
      <c r="AO44" s="73"/>
      <c r="AP44" s="73"/>
      <c r="AQ44" s="73"/>
      <c r="AR44" s="73"/>
      <c r="AS44" s="73"/>
      <c r="AT44" s="73"/>
      <c r="AU44" s="73"/>
      <c r="AV44" s="73"/>
      <c r="AW44" s="73"/>
      <c r="AX44" s="73"/>
      <c r="AY44" s="73"/>
      <c r="AZ44" s="73"/>
      <c r="BA44" s="73"/>
      <c r="BB44" s="73"/>
      <c r="BC44" s="73"/>
      <c r="BD44" s="73"/>
      <c r="BE44" s="73"/>
      <c r="BF44" s="73"/>
      <c r="BG44" s="73"/>
      <c r="BH44" s="73"/>
      <c r="BI44" s="73"/>
      <c r="BJ44" s="73"/>
      <c r="BK44" s="73"/>
      <c r="BL44" s="73"/>
      <c r="BM44" s="73"/>
      <c r="BN44" s="73"/>
      <c r="BO44" s="73"/>
      <c r="BP44" s="73"/>
      <c r="BQ44" s="73"/>
      <c r="BR44" s="73"/>
      <c r="BS44" s="73"/>
      <c r="BT44" s="73"/>
      <c r="BU44" s="73"/>
      <c r="BV44" s="73"/>
      <c r="BX44" s="64"/>
      <c r="BY44" s="65"/>
    </row>
    <row r="45" spans="1:77" x14ac:dyDescent="0.25">
      <c r="A45" s="186"/>
      <c r="B45" s="72"/>
      <c r="C45" s="94"/>
      <c r="D45" s="94"/>
      <c r="E45" s="94"/>
      <c r="F45" s="94"/>
      <c r="G45" s="94"/>
      <c r="H45" s="95"/>
      <c r="I45" s="73"/>
      <c r="J45" s="73"/>
      <c r="K45" s="73"/>
      <c r="L45" s="73"/>
      <c r="M45" s="74"/>
      <c r="N45" s="75"/>
      <c r="O45" s="73"/>
      <c r="P45" s="73"/>
      <c r="Q45" s="73"/>
      <c r="R45" s="73"/>
      <c r="S45" s="73"/>
      <c r="T45" s="73"/>
      <c r="U45" s="73"/>
      <c r="V45" s="73"/>
      <c r="W45" s="73"/>
      <c r="X45" s="73"/>
      <c r="Y45" s="73"/>
      <c r="Z45" s="73"/>
      <c r="AA45" s="73"/>
      <c r="AB45" s="73"/>
      <c r="AC45" s="73"/>
      <c r="AD45" s="73"/>
      <c r="AE45" s="73"/>
      <c r="AF45" s="73"/>
      <c r="AG45" s="73"/>
      <c r="AH45" s="73"/>
      <c r="AI45" s="73"/>
      <c r="AJ45" s="73"/>
      <c r="AK45" s="73"/>
      <c r="AL45" s="73"/>
      <c r="AM45" s="73"/>
      <c r="AN45" s="73"/>
      <c r="AO45" s="73"/>
      <c r="AP45" s="73"/>
      <c r="AQ45" s="73"/>
      <c r="AR45" s="73"/>
      <c r="AS45" s="73"/>
      <c r="AT45" s="73"/>
      <c r="AU45" s="73"/>
      <c r="AV45" s="73"/>
      <c r="AW45" s="73"/>
      <c r="AX45" s="73"/>
      <c r="AY45" s="73"/>
      <c r="AZ45" s="73"/>
      <c r="BA45" s="73"/>
      <c r="BB45" s="73"/>
      <c r="BC45" s="73"/>
      <c r="BD45" s="73"/>
      <c r="BE45" s="73"/>
      <c r="BF45" s="73"/>
      <c r="BG45" s="73"/>
      <c r="BH45" s="73"/>
      <c r="BI45" s="73"/>
      <c r="BJ45" s="73"/>
      <c r="BK45" s="73"/>
      <c r="BL45" s="73"/>
      <c r="BM45" s="73"/>
      <c r="BN45" s="73"/>
      <c r="BO45" s="73"/>
      <c r="BP45" s="73"/>
      <c r="BQ45" s="73"/>
      <c r="BR45" s="73"/>
      <c r="BS45" s="73"/>
      <c r="BT45" s="73"/>
      <c r="BU45" s="73"/>
      <c r="BV45" s="73"/>
      <c r="BX45" s="64"/>
      <c r="BY45" s="65"/>
    </row>
    <row r="46" spans="1:77" x14ac:dyDescent="0.25">
      <c r="A46" s="186"/>
      <c r="B46" s="72"/>
      <c r="C46" s="94"/>
      <c r="D46" s="94"/>
      <c r="E46" s="94"/>
      <c r="F46" s="94"/>
      <c r="G46" s="94"/>
      <c r="H46" s="95"/>
      <c r="I46" s="73"/>
      <c r="J46" s="73"/>
      <c r="K46" s="73"/>
      <c r="L46" s="73"/>
      <c r="M46" s="74"/>
      <c r="N46" s="75"/>
      <c r="O46" s="73"/>
      <c r="P46" s="73"/>
      <c r="Q46" s="73"/>
      <c r="R46" s="73"/>
      <c r="S46" s="73"/>
      <c r="T46" s="73"/>
      <c r="U46" s="73"/>
      <c r="V46" s="73"/>
      <c r="W46" s="73"/>
      <c r="X46" s="73"/>
      <c r="Y46" s="73"/>
      <c r="Z46" s="73"/>
      <c r="AA46" s="73"/>
      <c r="AB46" s="73"/>
      <c r="AC46" s="73"/>
      <c r="AD46" s="73"/>
      <c r="AE46" s="73"/>
      <c r="AF46" s="73"/>
      <c r="AG46" s="73"/>
      <c r="AH46" s="73"/>
      <c r="AI46" s="73"/>
      <c r="AJ46" s="73"/>
      <c r="AK46" s="73"/>
      <c r="AL46" s="73"/>
      <c r="AM46" s="73"/>
      <c r="AN46" s="73"/>
      <c r="AO46" s="73"/>
      <c r="AP46" s="73"/>
      <c r="AQ46" s="73"/>
      <c r="AR46" s="73"/>
      <c r="AS46" s="73"/>
      <c r="AT46" s="73"/>
      <c r="AU46" s="73"/>
      <c r="AV46" s="73"/>
      <c r="AW46" s="73"/>
      <c r="AX46" s="73"/>
      <c r="AY46" s="73"/>
      <c r="AZ46" s="73"/>
      <c r="BA46" s="73"/>
      <c r="BB46" s="73"/>
      <c r="BC46" s="73"/>
      <c r="BD46" s="73"/>
      <c r="BE46" s="73"/>
      <c r="BF46" s="73"/>
      <c r="BG46" s="73"/>
      <c r="BH46" s="73"/>
      <c r="BI46" s="73"/>
      <c r="BJ46" s="73"/>
      <c r="BK46" s="73"/>
      <c r="BL46" s="73"/>
      <c r="BM46" s="73"/>
      <c r="BN46" s="73"/>
      <c r="BO46" s="73"/>
      <c r="BP46" s="73"/>
      <c r="BQ46" s="73"/>
      <c r="BR46" s="73"/>
      <c r="BS46" s="73"/>
      <c r="BT46" s="73"/>
      <c r="BU46" s="73"/>
      <c r="BV46" s="73"/>
      <c r="BX46" s="64"/>
      <c r="BY46" s="65"/>
    </row>
    <row r="47" spans="1:77" x14ac:dyDescent="0.25">
      <c r="A47" s="186"/>
      <c r="B47" s="72"/>
      <c r="C47" s="94"/>
      <c r="D47" s="94"/>
      <c r="E47" s="94"/>
      <c r="F47" s="94"/>
      <c r="G47" s="94"/>
      <c r="H47" s="95"/>
      <c r="I47" s="73"/>
      <c r="J47" s="73"/>
      <c r="K47" s="73"/>
      <c r="L47" s="73"/>
      <c r="M47" s="74"/>
      <c r="N47" s="75"/>
      <c r="O47" s="73"/>
      <c r="P47" s="73"/>
      <c r="Q47" s="73"/>
      <c r="R47" s="73"/>
      <c r="S47" s="73"/>
      <c r="T47" s="73"/>
      <c r="U47" s="73"/>
      <c r="V47" s="73"/>
      <c r="W47" s="73"/>
      <c r="X47" s="73"/>
      <c r="Y47" s="73"/>
      <c r="Z47" s="73"/>
      <c r="AA47" s="73"/>
      <c r="AB47" s="73"/>
      <c r="AC47" s="73"/>
      <c r="AD47" s="73"/>
      <c r="AE47" s="73"/>
      <c r="AF47" s="73"/>
      <c r="AG47" s="73"/>
      <c r="AH47" s="73"/>
      <c r="AI47" s="73"/>
      <c r="AJ47" s="73"/>
      <c r="AK47" s="73"/>
      <c r="AL47" s="73"/>
      <c r="AM47" s="73"/>
      <c r="AN47" s="73"/>
      <c r="AO47" s="73"/>
      <c r="AP47" s="73"/>
      <c r="AQ47" s="73"/>
      <c r="AR47" s="73"/>
      <c r="AS47" s="73"/>
      <c r="AT47" s="73"/>
      <c r="AU47" s="73"/>
      <c r="AV47" s="73"/>
      <c r="AW47" s="73"/>
      <c r="AX47" s="73"/>
      <c r="AY47" s="73"/>
      <c r="AZ47" s="73"/>
      <c r="BA47" s="73"/>
      <c r="BB47" s="73"/>
      <c r="BC47" s="73"/>
      <c r="BD47" s="73"/>
      <c r="BE47" s="73"/>
      <c r="BF47" s="73"/>
      <c r="BG47" s="73"/>
      <c r="BH47" s="73"/>
      <c r="BI47" s="73"/>
      <c r="BJ47" s="73"/>
      <c r="BK47" s="73"/>
      <c r="BL47" s="73"/>
      <c r="BM47" s="73"/>
      <c r="BN47" s="73"/>
      <c r="BO47" s="73"/>
      <c r="BP47" s="73"/>
      <c r="BQ47" s="73"/>
      <c r="BR47" s="73"/>
      <c r="BS47" s="73"/>
      <c r="BT47" s="73"/>
      <c r="BU47" s="73"/>
      <c r="BV47" s="73"/>
      <c r="BX47" s="64"/>
      <c r="BY47" s="65"/>
    </row>
    <row r="48" spans="1:77" x14ac:dyDescent="0.25">
      <c r="A48" s="186"/>
      <c r="B48" s="72"/>
      <c r="C48" s="94"/>
      <c r="D48" s="94"/>
      <c r="E48" s="94"/>
      <c r="F48" s="94"/>
      <c r="G48" s="94"/>
      <c r="H48" s="95"/>
      <c r="I48" s="73"/>
      <c r="J48" s="73"/>
      <c r="K48" s="73"/>
      <c r="L48" s="73"/>
      <c r="M48" s="74"/>
      <c r="N48" s="75"/>
      <c r="O48" s="73"/>
      <c r="P48" s="73"/>
      <c r="Q48" s="73"/>
      <c r="R48" s="73"/>
      <c r="S48" s="73"/>
      <c r="T48" s="73"/>
      <c r="U48" s="73"/>
      <c r="V48" s="73"/>
      <c r="W48" s="73"/>
      <c r="X48" s="73"/>
      <c r="Y48" s="73"/>
      <c r="Z48" s="73"/>
      <c r="AA48" s="73"/>
      <c r="AB48" s="73"/>
      <c r="AC48" s="73"/>
      <c r="AD48" s="73"/>
      <c r="AE48" s="73"/>
      <c r="AF48" s="73"/>
      <c r="AG48" s="73"/>
      <c r="AH48" s="73"/>
      <c r="AI48" s="73"/>
      <c r="AJ48" s="73"/>
      <c r="AK48" s="73"/>
      <c r="AL48" s="73"/>
      <c r="AM48" s="73"/>
      <c r="AN48" s="73"/>
      <c r="AO48" s="73"/>
      <c r="AP48" s="73"/>
      <c r="AQ48" s="73"/>
      <c r="AR48" s="73"/>
      <c r="AS48" s="73"/>
      <c r="AT48" s="73"/>
      <c r="AU48" s="73"/>
      <c r="AV48" s="73"/>
      <c r="AW48" s="73"/>
      <c r="AX48" s="73"/>
      <c r="AY48" s="73"/>
      <c r="AZ48" s="73"/>
      <c r="BA48" s="73"/>
      <c r="BB48" s="73"/>
      <c r="BC48" s="73"/>
      <c r="BD48" s="73"/>
      <c r="BE48" s="73"/>
      <c r="BF48" s="73"/>
      <c r="BG48" s="73"/>
      <c r="BH48" s="73"/>
      <c r="BI48" s="73"/>
      <c r="BJ48" s="73"/>
      <c r="BK48" s="73"/>
      <c r="BL48" s="73"/>
      <c r="BM48" s="73"/>
      <c r="BN48" s="73"/>
      <c r="BO48" s="73"/>
      <c r="BP48" s="73"/>
      <c r="BQ48" s="73"/>
      <c r="BR48" s="73"/>
      <c r="BS48" s="73"/>
      <c r="BT48" s="73"/>
      <c r="BU48" s="73"/>
      <c r="BV48" s="73"/>
      <c r="BX48" s="64"/>
      <c r="BY48" s="65"/>
    </row>
    <row r="49" spans="1:74" x14ac:dyDescent="0.25">
      <c r="A49" s="76"/>
      <c r="B49" s="77" t="s">
        <v>283</v>
      </c>
      <c r="C49" s="78"/>
      <c r="D49" s="78"/>
      <c r="E49" s="78">
        <f t="shared" ref="E49:AI49" si="24">AVERAGE(D42:E42)</f>
        <v>41124</v>
      </c>
      <c r="F49" s="78">
        <f t="shared" si="24"/>
        <v>41750</v>
      </c>
      <c r="G49" s="78">
        <f t="shared" si="24"/>
        <v>42036</v>
      </c>
      <c r="H49" s="78">
        <f t="shared" si="24"/>
        <v>41580.5</v>
      </c>
      <c r="I49" s="78">
        <f t="shared" si="24"/>
        <v>41695</v>
      </c>
      <c r="J49" s="78">
        <f t="shared" si="24"/>
        <v>42575</v>
      </c>
      <c r="K49" s="78">
        <f t="shared" si="24"/>
        <v>43618.5</v>
      </c>
      <c r="L49" s="78">
        <f t="shared" si="24"/>
        <v>44415</v>
      </c>
      <c r="M49" s="79">
        <f t="shared" si="24"/>
        <v>44806</v>
      </c>
      <c r="N49" s="80">
        <f t="shared" si="24"/>
        <v>45362.5</v>
      </c>
      <c r="O49" s="78">
        <f t="shared" si="24"/>
        <v>46120</v>
      </c>
      <c r="P49" s="78">
        <f t="shared" si="24"/>
        <v>46725</v>
      </c>
      <c r="Q49" s="78">
        <f t="shared" si="24"/>
        <v>47430</v>
      </c>
      <c r="R49" s="78">
        <f t="shared" si="24"/>
        <v>48140</v>
      </c>
      <c r="S49" s="78">
        <f t="shared" si="24"/>
        <v>48845</v>
      </c>
      <c r="T49" s="78">
        <f t="shared" si="24"/>
        <v>49525</v>
      </c>
      <c r="U49" s="78">
        <f t="shared" si="24"/>
        <v>50175</v>
      </c>
      <c r="V49" s="78">
        <f t="shared" si="24"/>
        <v>50800</v>
      </c>
      <c r="W49" s="78">
        <f t="shared" si="24"/>
        <v>51405</v>
      </c>
      <c r="X49" s="78">
        <f t="shared" si="24"/>
        <v>52010</v>
      </c>
      <c r="Y49" s="78">
        <f t="shared" si="24"/>
        <v>52650</v>
      </c>
      <c r="Z49" s="78">
        <f t="shared" si="24"/>
        <v>53325</v>
      </c>
      <c r="AA49" s="78">
        <f t="shared" si="24"/>
        <v>54045</v>
      </c>
      <c r="AB49" s="78">
        <f t="shared" si="24"/>
        <v>54810</v>
      </c>
      <c r="AC49" s="78">
        <f t="shared" si="24"/>
        <v>55585</v>
      </c>
      <c r="AD49" s="78">
        <f t="shared" si="24"/>
        <v>56360</v>
      </c>
      <c r="AE49" s="78">
        <f t="shared" si="24"/>
        <v>57130</v>
      </c>
      <c r="AF49" s="78">
        <f t="shared" si="24"/>
        <v>57890</v>
      </c>
      <c r="AG49" s="78">
        <f t="shared" si="24"/>
        <v>58645</v>
      </c>
      <c r="AH49" s="78">
        <f t="shared" si="24"/>
        <v>59415</v>
      </c>
      <c r="AI49" s="78">
        <f t="shared" si="24"/>
        <v>60225</v>
      </c>
      <c r="AJ49" s="78"/>
      <c r="AK49" s="78"/>
      <c r="AL49" s="78"/>
      <c r="AM49" s="78"/>
      <c r="AN49" s="78"/>
      <c r="AO49" s="78"/>
      <c r="AP49" s="78"/>
      <c r="AQ49" s="78"/>
      <c r="AR49" s="78"/>
      <c r="AS49" s="78"/>
      <c r="AT49" s="78"/>
      <c r="AU49" s="78"/>
      <c r="AV49" s="78"/>
      <c r="AW49" s="78"/>
      <c r="AX49" s="78"/>
      <c r="AY49" s="78"/>
      <c r="AZ49" s="78"/>
      <c r="BA49" s="78"/>
      <c r="BB49" s="78"/>
      <c r="BC49" s="78"/>
      <c r="BD49" s="78"/>
      <c r="BE49" s="78"/>
      <c r="BF49" s="78"/>
      <c r="BG49" s="78"/>
      <c r="BH49" s="78"/>
      <c r="BI49" s="78"/>
      <c r="BJ49" s="78"/>
      <c r="BK49" s="78"/>
      <c r="BL49" s="78"/>
      <c r="BM49" s="78"/>
      <c r="BN49" s="78"/>
      <c r="BO49" s="78"/>
      <c r="BP49" s="78"/>
      <c r="BQ49" s="78"/>
      <c r="BR49" s="78"/>
      <c r="BS49" s="78"/>
      <c r="BT49" s="78"/>
      <c r="BU49" s="78"/>
      <c r="BV49" s="78"/>
    </row>
    <row r="50" spans="1:74" x14ac:dyDescent="0.25">
      <c r="A50" s="76"/>
      <c r="B50" s="77" t="s">
        <v>284</v>
      </c>
      <c r="C50" s="78"/>
      <c r="D50" s="78"/>
      <c r="E50" s="78">
        <f t="shared" ref="E50:AI50" si="25">AVERAGE(D43:E43)</f>
        <v>38858.5</v>
      </c>
      <c r="F50" s="78">
        <f t="shared" si="25"/>
        <v>39345.5</v>
      </c>
      <c r="G50" s="78">
        <f t="shared" si="25"/>
        <v>39482</v>
      </c>
      <c r="H50" s="78">
        <f t="shared" si="25"/>
        <v>39256</v>
      </c>
      <c r="I50" s="78">
        <f t="shared" si="25"/>
        <v>39485</v>
      </c>
      <c r="J50" s="78">
        <f t="shared" si="25"/>
        <v>40392.5</v>
      </c>
      <c r="K50" s="78">
        <f t="shared" si="25"/>
        <v>41368.5</v>
      </c>
      <c r="L50" s="78">
        <f t="shared" si="25"/>
        <v>42085</v>
      </c>
      <c r="M50" s="79">
        <f t="shared" si="25"/>
        <v>42462</v>
      </c>
      <c r="N50" s="80">
        <f t="shared" si="25"/>
        <v>42937</v>
      </c>
      <c r="O50" s="78">
        <f t="shared" si="25"/>
        <v>43620</v>
      </c>
      <c r="P50" s="78">
        <f t="shared" si="25"/>
        <v>44190</v>
      </c>
      <c r="Q50" s="78">
        <f t="shared" si="25"/>
        <v>44855</v>
      </c>
      <c r="R50" s="78">
        <f t="shared" si="25"/>
        <v>45530</v>
      </c>
      <c r="S50" s="78">
        <f t="shared" si="25"/>
        <v>46195</v>
      </c>
      <c r="T50" s="78">
        <f t="shared" si="25"/>
        <v>46835</v>
      </c>
      <c r="U50" s="78">
        <f t="shared" si="25"/>
        <v>47455</v>
      </c>
      <c r="V50" s="78">
        <f t="shared" si="25"/>
        <v>48045</v>
      </c>
      <c r="W50" s="78">
        <f t="shared" si="25"/>
        <v>48610</v>
      </c>
      <c r="X50" s="78">
        <f t="shared" si="25"/>
        <v>49185</v>
      </c>
      <c r="Y50" s="78">
        <f t="shared" si="25"/>
        <v>49790</v>
      </c>
      <c r="Z50" s="78">
        <f t="shared" si="25"/>
        <v>50430</v>
      </c>
      <c r="AA50" s="78">
        <f t="shared" si="25"/>
        <v>51115</v>
      </c>
      <c r="AB50" s="78">
        <f t="shared" si="25"/>
        <v>51840</v>
      </c>
      <c r="AC50" s="78">
        <f t="shared" si="25"/>
        <v>52575</v>
      </c>
      <c r="AD50" s="78">
        <f t="shared" si="25"/>
        <v>53305</v>
      </c>
      <c r="AE50" s="78">
        <f t="shared" si="25"/>
        <v>54030</v>
      </c>
      <c r="AF50" s="78">
        <f t="shared" si="25"/>
        <v>54750</v>
      </c>
      <c r="AG50" s="78">
        <f t="shared" si="25"/>
        <v>55465</v>
      </c>
      <c r="AH50" s="78">
        <f t="shared" si="25"/>
        <v>56195</v>
      </c>
      <c r="AI50" s="78">
        <f t="shared" si="25"/>
        <v>56960</v>
      </c>
      <c r="AJ50" s="78"/>
      <c r="AK50" s="78"/>
      <c r="AL50" s="78"/>
      <c r="AM50" s="78"/>
      <c r="AN50" s="78"/>
      <c r="AO50" s="78"/>
      <c r="AP50" s="78"/>
      <c r="AQ50" s="78"/>
      <c r="AR50" s="78"/>
      <c r="AS50" s="78"/>
      <c r="AT50" s="78"/>
      <c r="AU50" s="78"/>
      <c r="AV50" s="78"/>
      <c r="AW50" s="78"/>
      <c r="AX50" s="78"/>
      <c r="AY50" s="78"/>
      <c r="AZ50" s="78"/>
      <c r="BA50" s="78"/>
      <c r="BB50" s="78"/>
      <c r="BC50" s="78"/>
      <c r="BD50" s="78"/>
      <c r="BE50" s="78"/>
      <c r="BF50" s="78"/>
      <c r="BG50" s="78"/>
      <c r="BH50" s="78"/>
      <c r="BI50" s="78"/>
      <c r="BJ50" s="78"/>
      <c r="BK50" s="78"/>
      <c r="BL50" s="78"/>
      <c r="BM50" s="78"/>
      <c r="BN50" s="78"/>
      <c r="BO50" s="78"/>
      <c r="BP50" s="78"/>
      <c r="BQ50" s="78"/>
      <c r="BR50" s="78"/>
      <c r="BS50" s="78"/>
      <c r="BT50" s="78"/>
      <c r="BU50" s="78"/>
      <c r="BV50" s="78"/>
    </row>
    <row r="51" spans="1:74" x14ac:dyDescent="0.25">
      <c r="B51" s="61"/>
      <c r="M51" s="81"/>
      <c r="N51" s="69"/>
      <c r="U51" s="82"/>
    </row>
    <row r="52" spans="1:74" x14ac:dyDescent="0.25">
      <c r="A52" s="96" t="s">
        <v>289</v>
      </c>
      <c r="B52" s="96"/>
      <c r="C52" s="96"/>
      <c r="D52" s="96"/>
      <c r="E52" s="96"/>
      <c r="F52" s="96"/>
      <c r="G52" s="96"/>
      <c r="H52" s="96"/>
      <c r="I52" s="97">
        <f t="array" ref="I52:M52">TRANSPOSE('[1]Hist Series'!N185:N189)</f>
        <v>7.3435589290922809E-2</v>
      </c>
      <c r="J52" s="97">
        <v>7.3909696421996851E-2</v>
      </c>
      <c r="K52" s="97">
        <v>7.473950056827916E-2</v>
      </c>
      <c r="L52" s="98">
        <v>7.4528214947624946E-2</v>
      </c>
      <c r="M52" s="99">
        <v>7.4300744274881009E-2</v>
      </c>
      <c r="N52" s="100">
        <f>M52</f>
        <v>7.4300744274881009E-2</v>
      </c>
      <c r="O52" s="101">
        <f t="shared" ref="O52:AI52" si="26">N52</f>
        <v>7.4300744274881009E-2</v>
      </c>
      <c r="P52" s="101">
        <f t="shared" si="26"/>
        <v>7.4300744274881009E-2</v>
      </c>
      <c r="Q52" s="101">
        <f t="shared" si="26"/>
        <v>7.4300744274881009E-2</v>
      </c>
      <c r="R52" s="101">
        <f t="shared" si="26"/>
        <v>7.4300744274881009E-2</v>
      </c>
      <c r="S52" s="101">
        <f t="shared" si="26"/>
        <v>7.4300744274881009E-2</v>
      </c>
      <c r="T52" s="101">
        <f t="shared" si="26"/>
        <v>7.4300744274881009E-2</v>
      </c>
      <c r="U52" s="101">
        <f t="shared" si="26"/>
        <v>7.4300744274881009E-2</v>
      </c>
      <c r="V52" s="101">
        <f t="shared" si="26"/>
        <v>7.4300744274881009E-2</v>
      </c>
      <c r="W52" s="101">
        <f t="shared" si="26"/>
        <v>7.4300744274881009E-2</v>
      </c>
      <c r="X52" s="101">
        <f t="shared" si="26"/>
        <v>7.4300744274881009E-2</v>
      </c>
      <c r="Y52" s="101">
        <f t="shared" si="26"/>
        <v>7.4300744274881009E-2</v>
      </c>
      <c r="Z52" s="101">
        <f t="shared" si="26"/>
        <v>7.4300744274881009E-2</v>
      </c>
      <c r="AA52" s="101">
        <f t="shared" si="26"/>
        <v>7.4300744274881009E-2</v>
      </c>
      <c r="AB52" s="101">
        <f t="shared" si="26"/>
        <v>7.4300744274881009E-2</v>
      </c>
      <c r="AC52" s="101">
        <f t="shared" si="26"/>
        <v>7.4300744274881009E-2</v>
      </c>
      <c r="AD52" s="101">
        <f t="shared" si="26"/>
        <v>7.4300744274881009E-2</v>
      </c>
      <c r="AE52" s="101">
        <f t="shared" si="26"/>
        <v>7.4300744274881009E-2</v>
      </c>
      <c r="AF52" s="101">
        <f t="shared" si="26"/>
        <v>7.4300744274881009E-2</v>
      </c>
      <c r="AG52" s="101">
        <f t="shared" si="26"/>
        <v>7.4300744274881009E-2</v>
      </c>
      <c r="AH52" s="101">
        <f t="shared" si="26"/>
        <v>7.4300744274881009E-2</v>
      </c>
      <c r="AI52" s="101">
        <f t="shared" si="26"/>
        <v>7.4300744274881009E-2</v>
      </c>
      <c r="AJ52" s="101"/>
      <c r="AK52" s="101"/>
      <c r="AL52" s="101"/>
      <c r="AM52" s="101"/>
      <c r="AN52" s="101"/>
      <c r="AO52" s="101"/>
      <c r="AP52" s="101"/>
      <c r="AQ52" s="101"/>
      <c r="AR52" s="101"/>
      <c r="AS52" s="101"/>
      <c r="AT52" s="101"/>
      <c r="AU52" s="101"/>
      <c r="AV52" s="101"/>
      <c r="AW52" s="101"/>
      <c r="AX52" s="101"/>
      <c r="AY52" s="101"/>
      <c r="AZ52" s="101"/>
      <c r="BA52" s="101"/>
      <c r="BB52" s="101"/>
      <c r="BC52" s="101"/>
      <c r="BD52" s="101"/>
      <c r="BE52" s="101"/>
      <c r="BF52" s="101"/>
      <c r="BG52" s="101"/>
      <c r="BH52" s="101"/>
      <c r="BI52" s="101"/>
      <c r="BJ52" s="101"/>
      <c r="BK52" s="101"/>
      <c r="BL52" s="101"/>
      <c r="BM52" s="101"/>
      <c r="BN52" s="101"/>
      <c r="BO52" s="101"/>
      <c r="BP52" s="101"/>
      <c r="BQ52" s="101"/>
      <c r="BR52" s="101"/>
      <c r="BS52" s="101"/>
      <c r="BT52" s="101"/>
      <c r="BU52" s="101"/>
      <c r="BV52" s="101"/>
    </row>
    <row r="53" spans="1:74" x14ac:dyDescent="0.25">
      <c r="A53" s="96"/>
      <c r="B53" s="96"/>
      <c r="C53" s="96"/>
      <c r="D53" s="96"/>
      <c r="E53" s="96"/>
      <c r="F53" s="96"/>
      <c r="G53" s="96"/>
      <c r="H53" s="96"/>
      <c r="I53" s="102">
        <f t="shared" ref="I53:AI53" si="27">ROUND(I2*I52,-1)</f>
        <v>53630</v>
      </c>
      <c r="J53" s="102">
        <f t="shared" si="27"/>
        <v>55210</v>
      </c>
      <c r="K53" s="102">
        <f t="shared" si="27"/>
        <v>57150</v>
      </c>
      <c r="L53" s="103">
        <f t="shared" si="27"/>
        <v>58230</v>
      </c>
      <c r="M53" s="104">
        <f t="shared" si="27"/>
        <v>59210</v>
      </c>
      <c r="N53" s="105">
        <f t="shared" si="27"/>
        <v>59860</v>
      </c>
      <c r="O53" s="103">
        <f t="shared" si="27"/>
        <v>60520</v>
      </c>
      <c r="P53" s="103">
        <f t="shared" si="27"/>
        <v>61440</v>
      </c>
      <c r="Q53" s="103">
        <f t="shared" si="27"/>
        <v>62360</v>
      </c>
      <c r="R53" s="103">
        <f t="shared" si="27"/>
        <v>63300</v>
      </c>
      <c r="S53" s="103">
        <f t="shared" si="27"/>
        <v>64200</v>
      </c>
      <c r="T53" s="103">
        <f t="shared" si="27"/>
        <v>65070</v>
      </c>
      <c r="U53" s="103">
        <f t="shared" si="27"/>
        <v>65900</v>
      </c>
      <c r="V53" s="103">
        <f t="shared" si="27"/>
        <v>66700</v>
      </c>
      <c r="W53" s="103">
        <f t="shared" si="27"/>
        <v>67470</v>
      </c>
      <c r="X53" s="103">
        <f t="shared" si="27"/>
        <v>68280</v>
      </c>
      <c r="Y53" s="103">
        <f t="shared" si="27"/>
        <v>69140</v>
      </c>
      <c r="Z53" s="103">
        <f t="shared" si="27"/>
        <v>70050</v>
      </c>
      <c r="AA53" s="103">
        <f t="shared" si="27"/>
        <v>71020</v>
      </c>
      <c r="AB53" s="103">
        <f t="shared" si="27"/>
        <v>72040</v>
      </c>
      <c r="AC53" s="103">
        <f t="shared" si="27"/>
        <v>73050</v>
      </c>
      <c r="AD53" s="103">
        <f t="shared" si="27"/>
        <v>74060</v>
      </c>
      <c r="AE53" s="103">
        <f t="shared" si="27"/>
        <v>75060</v>
      </c>
      <c r="AF53" s="103">
        <f t="shared" si="27"/>
        <v>76050</v>
      </c>
      <c r="AG53" s="103">
        <f t="shared" si="27"/>
        <v>77030</v>
      </c>
      <c r="AH53" s="103">
        <f t="shared" si="27"/>
        <v>78060</v>
      </c>
      <c r="AI53" s="103">
        <f t="shared" si="27"/>
        <v>79140</v>
      </c>
      <c r="AJ53" s="103"/>
      <c r="AK53" s="103"/>
      <c r="AL53" s="103"/>
      <c r="AM53" s="103"/>
      <c r="AN53" s="103"/>
      <c r="AO53" s="103"/>
      <c r="AP53" s="103"/>
      <c r="AQ53" s="103"/>
      <c r="AR53" s="103"/>
      <c r="AS53" s="103"/>
      <c r="AT53" s="103"/>
      <c r="AU53" s="103"/>
      <c r="AV53" s="103"/>
      <c r="AW53" s="103"/>
      <c r="AX53" s="103"/>
      <c r="AY53" s="103"/>
      <c r="AZ53" s="103"/>
      <c r="BA53" s="103"/>
      <c r="BB53" s="103"/>
      <c r="BC53" s="103"/>
      <c r="BD53" s="103"/>
      <c r="BE53" s="103"/>
      <c r="BF53" s="103"/>
      <c r="BG53" s="103"/>
      <c r="BH53" s="103"/>
      <c r="BI53" s="103"/>
      <c r="BJ53" s="103"/>
      <c r="BK53" s="103"/>
      <c r="BL53" s="103"/>
      <c r="BM53" s="103"/>
      <c r="BN53" s="103"/>
      <c r="BO53" s="103"/>
      <c r="BP53" s="103"/>
      <c r="BQ53" s="103"/>
      <c r="BR53" s="103"/>
      <c r="BS53" s="103"/>
      <c r="BT53" s="103"/>
      <c r="BU53" s="103"/>
      <c r="BV53" s="103"/>
    </row>
    <row r="54" spans="1:74" x14ac:dyDescent="0.25">
      <c r="A54" s="106" t="s">
        <v>290</v>
      </c>
      <c r="B54" s="106"/>
      <c r="C54" s="106"/>
      <c r="D54" s="106"/>
      <c r="E54" s="106"/>
      <c r="F54" s="106"/>
      <c r="G54" s="106"/>
      <c r="H54" s="106"/>
      <c r="I54" s="102"/>
      <c r="J54" s="102"/>
      <c r="K54" s="102"/>
      <c r="L54" s="107"/>
      <c r="M54" s="108"/>
      <c r="N54" s="109"/>
      <c r="O54" s="107"/>
      <c r="P54" s="107"/>
      <c r="Q54" s="107"/>
      <c r="R54" s="107"/>
      <c r="S54" s="107"/>
      <c r="T54" s="107"/>
      <c r="U54" s="107"/>
      <c r="V54" s="107"/>
      <c r="W54" s="107"/>
      <c r="X54" s="107"/>
      <c r="Y54" s="107"/>
      <c r="Z54" s="107"/>
      <c r="AA54" s="107"/>
      <c r="AB54" s="107"/>
      <c r="AC54" s="107"/>
      <c r="AD54" s="107"/>
      <c r="AE54" s="107"/>
      <c r="AF54" s="107"/>
      <c r="AG54" s="107"/>
      <c r="AH54" s="107"/>
      <c r="AI54" s="107"/>
      <c r="AJ54" s="107"/>
      <c r="AK54" s="107"/>
      <c r="AL54" s="107"/>
      <c r="AM54" s="107"/>
      <c r="AN54" s="107"/>
      <c r="AO54" s="107"/>
      <c r="AP54" s="107"/>
      <c r="AQ54" s="107"/>
      <c r="AR54" s="107"/>
      <c r="AS54" s="107"/>
      <c r="AT54" s="107"/>
      <c r="AU54" s="107"/>
      <c r="AV54" s="107"/>
      <c r="AW54" s="107"/>
      <c r="AX54" s="107"/>
      <c r="AY54" s="107"/>
      <c r="AZ54" s="107"/>
      <c r="BA54" s="107"/>
      <c r="BB54" s="107"/>
      <c r="BC54" s="107"/>
      <c r="BD54" s="107"/>
      <c r="BE54" s="107"/>
      <c r="BF54" s="107"/>
      <c r="BG54" s="107"/>
      <c r="BH54" s="107"/>
      <c r="BI54" s="107"/>
      <c r="BJ54" s="107"/>
      <c r="BK54" s="107"/>
      <c r="BL54" s="107"/>
      <c r="BM54" s="107"/>
      <c r="BN54" s="107"/>
      <c r="BO54" s="107"/>
      <c r="BP54" s="107"/>
      <c r="BQ54" s="107"/>
      <c r="BR54" s="107"/>
      <c r="BS54" s="107"/>
      <c r="BT54" s="107"/>
      <c r="BU54" s="107"/>
      <c r="BV54" s="107"/>
    </row>
    <row r="55" spans="1:74" x14ac:dyDescent="0.25">
      <c r="I55" s="110"/>
      <c r="J55" s="110"/>
      <c r="K55" s="110"/>
      <c r="M55" s="81"/>
      <c r="N55" s="69"/>
      <c r="U55" s="82"/>
      <c r="V55" s="82"/>
      <c r="W55" s="82"/>
      <c r="X55" s="82"/>
      <c r="Y55" s="82"/>
      <c r="Z55" s="82"/>
      <c r="AA55" s="82"/>
      <c r="AB55" s="82"/>
      <c r="AC55" s="82"/>
      <c r="AD55" s="82"/>
      <c r="AE55" s="82"/>
      <c r="AF55" s="82"/>
      <c r="AG55" s="82"/>
      <c r="AH55" s="82"/>
      <c r="AI55" s="82"/>
      <c r="AJ55" s="82"/>
      <c r="AK55" s="82"/>
      <c r="AL55" s="82"/>
      <c r="AM55" s="82"/>
      <c r="AN55" s="82"/>
      <c r="AO55" s="82"/>
      <c r="AP55" s="82"/>
      <c r="AQ55" s="82"/>
      <c r="AR55" s="82"/>
      <c r="AS55" s="82"/>
      <c r="AT55" s="82"/>
      <c r="AU55" s="82"/>
      <c r="AV55" s="82"/>
      <c r="AW55" s="82"/>
      <c r="AX55" s="82"/>
      <c r="AY55" s="82"/>
      <c r="AZ55" s="82"/>
      <c r="BA55" s="82"/>
      <c r="BB55" s="82"/>
      <c r="BC55" s="82"/>
      <c r="BD55" s="82"/>
      <c r="BE55" s="82"/>
      <c r="BF55" s="82"/>
      <c r="BG55" s="82"/>
      <c r="BH55" s="82"/>
      <c r="BI55" s="82"/>
      <c r="BJ55" s="82"/>
      <c r="BK55" s="82"/>
      <c r="BL55" s="82"/>
      <c r="BM55" s="82"/>
      <c r="BN55" s="82"/>
      <c r="BO55" s="82"/>
      <c r="BP55" s="82"/>
      <c r="BQ55" s="82"/>
      <c r="BR55" s="82"/>
      <c r="BS55" s="82"/>
      <c r="BT55" s="82"/>
      <c r="BU55" s="82"/>
      <c r="BV55" s="82"/>
    </row>
    <row r="56" spans="1:74" x14ac:dyDescent="0.25">
      <c r="A56" s="83" t="s">
        <v>285</v>
      </c>
      <c r="I56" s="97">
        <f>'[1]Hist Series'!H77</f>
        <v>0.89275924441046484</v>
      </c>
      <c r="J56" s="97">
        <f>'[1]Hist Series'!H89</f>
        <v>0.89430305225975903</v>
      </c>
      <c r="K56" s="97">
        <f>'[1]Hist Series'!H101</f>
        <v>0.89225654037973579</v>
      </c>
      <c r="L56" s="111">
        <f>'[1]Hist Series'!H113</f>
        <v>0.89499896956790548</v>
      </c>
      <c r="M56" s="112">
        <f>'[1]Hist Series'!H125</f>
        <v>0.89195899272070123</v>
      </c>
      <c r="N56" s="113">
        <f t="shared" ref="N56:AI56" si="28">M56</f>
        <v>0.89195899272070123</v>
      </c>
      <c r="O56" s="114">
        <f t="shared" si="28"/>
        <v>0.89195899272070123</v>
      </c>
      <c r="P56" s="114">
        <f t="shared" si="28"/>
        <v>0.89195899272070123</v>
      </c>
      <c r="Q56" s="114">
        <f t="shared" si="28"/>
        <v>0.89195899272070123</v>
      </c>
      <c r="R56" s="114">
        <f t="shared" si="28"/>
        <v>0.89195899272070123</v>
      </c>
      <c r="S56" s="114">
        <f t="shared" si="28"/>
        <v>0.89195899272070123</v>
      </c>
      <c r="T56" s="114">
        <f t="shared" si="28"/>
        <v>0.89195899272070123</v>
      </c>
      <c r="U56" s="114">
        <f t="shared" si="28"/>
        <v>0.89195899272070123</v>
      </c>
      <c r="V56" s="114">
        <f t="shared" si="28"/>
        <v>0.89195899272070123</v>
      </c>
      <c r="W56" s="114">
        <f t="shared" si="28"/>
        <v>0.89195899272070123</v>
      </c>
      <c r="X56" s="114">
        <f t="shared" si="28"/>
        <v>0.89195899272070123</v>
      </c>
      <c r="Y56" s="114">
        <f t="shared" si="28"/>
        <v>0.89195899272070123</v>
      </c>
      <c r="Z56" s="114">
        <f t="shared" si="28"/>
        <v>0.89195899272070123</v>
      </c>
      <c r="AA56" s="114">
        <f t="shared" si="28"/>
        <v>0.89195899272070123</v>
      </c>
      <c r="AB56" s="114">
        <f t="shared" si="28"/>
        <v>0.89195899272070123</v>
      </c>
      <c r="AC56" s="114">
        <f t="shared" si="28"/>
        <v>0.89195899272070123</v>
      </c>
      <c r="AD56" s="114">
        <f t="shared" si="28"/>
        <v>0.89195899272070123</v>
      </c>
      <c r="AE56" s="114">
        <f t="shared" si="28"/>
        <v>0.89195899272070123</v>
      </c>
      <c r="AF56" s="114">
        <f t="shared" si="28"/>
        <v>0.89195899272070123</v>
      </c>
      <c r="AG56" s="114">
        <f t="shared" si="28"/>
        <v>0.89195899272070123</v>
      </c>
      <c r="AH56" s="114">
        <f t="shared" si="28"/>
        <v>0.89195899272070123</v>
      </c>
      <c r="AI56" s="114">
        <f t="shared" si="28"/>
        <v>0.89195899272070123</v>
      </c>
      <c r="AJ56" s="114"/>
      <c r="AK56" s="114"/>
      <c r="AL56" s="114"/>
      <c r="AM56" s="114"/>
      <c r="AN56" s="114"/>
      <c r="AO56" s="114"/>
      <c r="AP56" s="114"/>
      <c r="AQ56" s="114"/>
      <c r="AR56" s="114"/>
      <c r="AS56" s="114"/>
      <c r="AT56" s="114"/>
      <c r="AU56" s="114"/>
      <c r="AV56" s="114"/>
      <c r="AW56" s="114"/>
      <c r="AX56" s="114"/>
      <c r="AY56" s="114"/>
      <c r="AZ56" s="114"/>
      <c r="BA56" s="114"/>
      <c r="BB56" s="114"/>
      <c r="BC56" s="114"/>
      <c r="BD56" s="114"/>
      <c r="BE56" s="114"/>
      <c r="BF56" s="114"/>
      <c r="BG56" s="114"/>
      <c r="BH56" s="114"/>
      <c r="BI56" s="114"/>
      <c r="BJ56" s="114"/>
      <c r="BK56" s="114"/>
      <c r="BL56" s="114"/>
      <c r="BM56" s="114"/>
      <c r="BN56" s="114"/>
      <c r="BO56" s="114"/>
      <c r="BP56" s="114"/>
      <c r="BQ56" s="114"/>
      <c r="BR56" s="114"/>
      <c r="BS56" s="114"/>
      <c r="BT56" s="114"/>
      <c r="BU56" s="114"/>
      <c r="BV56" s="114"/>
    </row>
    <row r="57" spans="1:74" x14ac:dyDescent="0.25">
      <c r="A57" s="87"/>
      <c r="M57" s="81"/>
      <c r="N57" s="69"/>
      <c r="U57" s="82"/>
    </row>
    <row r="58" spans="1:74" x14ac:dyDescent="0.25">
      <c r="M58" s="81"/>
      <c r="N58" s="69"/>
      <c r="U58" s="82"/>
    </row>
    <row r="59" spans="1:74" x14ac:dyDescent="0.25">
      <c r="F59" s="2">
        <f>F60-E60</f>
        <v>1192</v>
      </c>
      <c r="G59" s="2">
        <f t="shared" ref="G59:J59" si="29">G60-F60</f>
        <v>1919</v>
      </c>
      <c r="H59" s="2">
        <f t="shared" si="29"/>
        <v>3478</v>
      </c>
      <c r="I59" s="2">
        <f t="shared" si="29"/>
        <v>2951</v>
      </c>
      <c r="J59" s="2">
        <f t="shared" si="29"/>
        <v>4182</v>
      </c>
      <c r="M59" s="81"/>
      <c r="N59" s="69"/>
      <c r="U59" s="82"/>
    </row>
    <row r="60" spans="1:74" x14ac:dyDescent="0.25">
      <c r="A60" s="58" t="s">
        <v>291</v>
      </c>
      <c r="B60" s="58" t="s">
        <v>279</v>
      </c>
      <c r="C60" s="62">
        <f>[1]Recyc!G87</f>
        <v>3651</v>
      </c>
      <c r="D60" s="62">
        <f>[1]Recyc!H87</f>
        <v>5657</v>
      </c>
      <c r="E60" s="62">
        <f>[1]Recyc!I87</f>
        <v>8522</v>
      </c>
      <c r="F60" s="62">
        <f>[1]Recyc!J87</f>
        <v>9714</v>
      </c>
      <c r="G60" s="62">
        <f>[1]Recyc!K87</f>
        <v>11633</v>
      </c>
      <c r="H60" s="62">
        <f>[1]Recyc!L87</f>
        <v>15111</v>
      </c>
      <c r="I60" s="62">
        <f>[1]Recyc!M87</f>
        <v>18062</v>
      </c>
      <c r="J60" s="62">
        <f>[1]Recyc!N87</f>
        <v>22244</v>
      </c>
      <c r="K60" s="62">
        <f>[1]Recyc!O87</f>
        <v>25643</v>
      </c>
      <c r="L60" s="62">
        <f>[1]Recyc!Q77</f>
        <v>30000</v>
      </c>
      <c r="M60" s="93">
        <f>[1]Recyc!R77</f>
        <v>33500</v>
      </c>
      <c r="N60" s="63">
        <f>[1]Recyc!S77</f>
        <v>38300</v>
      </c>
      <c r="O60" s="62">
        <f>[1]Recyc!T77</f>
        <v>43200</v>
      </c>
      <c r="P60" s="62">
        <f>[1]Recyc!U77</f>
        <v>48000</v>
      </c>
      <c r="Q60" s="62">
        <f>[1]Recyc!V77</f>
        <v>53000</v>
      </c>
      <c r="R60" s="62">
        <f>[1]Recyc!W77</f>
        <v>58000</v>
      </c>
      <c r="S60" s="62">
        <f>[1]Recyc!X77</f>
        <v>63000</v>
      </c>
      <c r="T60" s="62">
        <f>[1]Recyc!Y77</f>
        <v>68000</v>
      </c>
      <c r="U60" s="115">
        <f>[1]Recyc!Z77</f>
        <v>72900</v>
      </c>
      <c r="V60" s="115">
        <f>[1]Recyc!AA77</f>
        <v>77600</v>
      </c>
      <c r="W60" s="115">
        <f>[1]Recyc!AB77</f>
        <v>82300</v>
      </c>
      <c r="X60" s="115">
        <f>[1]Recyc!AC77</f>
        <v>95000</v>
      </c>
      <c r="Y60" s="115">
        <f>[1]Recyc!AD77</f>
        <v>100100</v>
      </c>
      <c r="Z60" s="115">
        <f>[1]Recyc!AE77</f>
        <v>105000</v>
      </c>
      <c r="AA60" s="2">
        <f>Z60</f>
        <v>105000</v>
      </c>
      <c r="AB60" s="2">
        <f t="shared" ref="AB60:AI67" si="30">AA60</f>
        <v>105000</v>
      </c>
      <c r="AC60" s="2">
        <f t="shared" si="30"/>
        <v>105000</v>
      </c>
      <c r="AD60" s="2">
        <f t="shared" si="30"/>
        <v>105000</v>
      </c>
      <c r="AE60" s="2">
        <f t="shared" si="30"/>
        <v>105000</v>
      </c>
      <c r="AF60" s="2">
        <f t="shared" si="30"/>
        <v>105000</v>
      </c>
      <c r="AG60" s="2">
        <f t="shared" si="30"/>
        <v>105000</v>
      </c>
      <c r="AH60" s="2">
        <f t="shared" si="30"/>
        <v>105000</v>
      </c>
      <c r="AI60" s="2">
        <f t="shared" si="30"/>
        <v>105000</v>
      </c>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2"/>
    </row>
    <row r="61" spans="1:74" x14ac:dyDescent="0.25">
      <c r="A61" s="121" t="s">
        <v>306</v>
      </c>
      <c r="B61" s="61"/>
      <c r="C61" s="62"/>
      <c r="D61" s="62"/>
      <c r="E61" s="62"/>
      <c r="F61" s="62">
        <f>0.05*F6</f>
        <v>523.61250000000007</v>
      </c>
      <c r="G61" s="62">
        <f t="shared" ref="G61:AI61" si="31">0.05*G6</f>
        <v>522.22500000000002</v>
      </c>
      <c r="H61" s="62">
        <f t="shared" si="31"/>
        <v>516.9</v>
      </c>
      <c r="I61" s="62">
        <f t="shared" si="31"/>
        <v>667.80000000000007</v>
      </c>
      <c r="J61" s="62">
        <f t="shared" si="31"/>
        <v>624.97500000000002</v>
      </c>
      <c r="K61" s="62">
        <f t="shared" si="31"/>
        <v>662.40000000000009</v>
      </c>
      <c r="L61" s="62">
        <f t="shared" si="31"/>
        <v>626.21250000000009</v>
      </c>
      <c r="M61" s="62">
        <f t="shared" si="31"/>
        <v>584.8125</v>
      </c>
      <c r="N61" s="62">
        <f t="shared" si="31"/>
        <v>328.38750000000005</v>
      </c>
      <c r="O61" s="62">
        <f t="shared" si="31"/>
        <v>332.25</v>
      </c>
      <c r="P61" s="62">
        <f t="shared" si="31"/>
        <v>466.5</v>
      </c>
      <c r="Q61" s="62">
        <f t="shared" si="31"/>
        <v>440.20000000000005</v>
      </c>
      <c r="R61" s="62">
        <f t="shared" si="31"/>
        <v>421.76499999999999</v>
      </c>
      <c r="S61" s="62">
        <f t="shared" si="31"/>
        <v>382.40999999999997</v>
      </c>
      <c r="T61" s="62">
        <f t="shared" si="31"/>
        <v>344.26499999999993</v>
      </c>
      <c r="U61" s="62">
        <f t="shared" si="31"/>
        <v>308.54999999999995</v>
      </c>
      <c r="V61" s="62">
        <f t="shared" si="31"/>
        <v>274.63499999999993</v>
      </c>
      <c r="W61" s="62">
        <f t="shared" si="31"/>
        <v>242.75499999999988</v>
      </c>
      <c r="X61" s="62">
        <f t="shared" si="31"/>
        <v>234.99499999999989</v>
      </c>
      <c r="Y61" s="62">
        <f t="shared" si="31"/>
        <v>225.61499999999992</v>
      </c>
      <c r="Z61" s="62">
        <f t="shared" si="31"/>
        <v>238.87499999999991</v>
      </c>
      <c r="AA61" s="62">
        <f t="shared" si="31"/>
        <v>253.1099999999999</v>
      </c>
      <c r="AB61" s="62">
        <f t="shared" si="31"/>
        <v>268.12499999999994</v>
      </c>
      <c r="AC61" s="62">
        <f t="shared" si="31"/>
        <v>266.36999999999989</v>
      </c>
      <c r="AD61" s="62">
        <f t="shared" si="31"/>
        <v>264.4199999999999</v>
      </c>
      <c r="AE61" s="62">
        <f t="shared" si="31"/>
        <v>262.27499999999992</v>
      </c>
      <c r="AF61" s="62">
        <f t="shared" si="31"/>
        <v>260.12999999999988</v>
      </c>
      <c r="AG61" s="62">
        <f t="shared" si="31"/>
        <v>257.9849999999999</v>
      </c>
      <c r="AH61" s="62">
        <f t="shared" si="31"/>
        <v>269.87999999999988</v>
      </c>
      <c r="AI61" s="62">
        <f t="shared" si="31"/>
        <v>282.55499999999989</v>
      </c>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S61" s="2"/>
      <c r="BT61" s="2"/>
      <c r="BU61" s="2"/>
      <c r="BV61" s="2"/>
    </row>
    <row r="62" spans="1:74" x14ac:dyDescent="0.25">
      <c r="A62" s="121" t="s">
        <v>307</v>
      </c>
      <c r="B62" s="54">
        <v>1</v>
      </c>
      <c r="C62" s="62"/>
      <c r="D62" s="62"/>
      <c r="E62" s="62"/>
      <c r="F62" s="62">
        <f>$B62*F7</f>
        <v>2094.4499999999998</v>
      </c>
      <c r="G62" s="62">
        <f t="shared" ref="G62:AI64" si="32">$B62*G7</f>
        <v>2088.9</v>
      </c>
      <c r="H62" s="62">
        <f t="shared" si="32"/>
        <v>2067.6</v>
      </c>
      <c r="I62" s="62">
        <f t="shared" si="32"/>
        <v>2671.2</v>
      </c>
      <c r="J62" s="62">
        <f t="shared" si="32"/>
        <v>2499.9</v>
      </c>
      <c r="K62" s="62">
        <f t="shared" si="32"/>
        <v>2649.6</v>
      </c>
      <c r="L62" s="62">
        <f t="shared" si="32"/>
        <v>2504.85</v>
      </c>
      <c r="M62" s="62">
        <f t="shared" si="32"/>
        <v>2339.25</v>
      </c>
      <c r="N62" s="62">
        <f t="shared" si="32"/>
        <v>1313.55</v>
      </c>
      <c r="O62" s="62">
        <f t="shared" si="32"/>
        <v>1329</v>
      </c>
      <c r="P62" s="62">
        <f t="shared" si="32"/>
        <v>1866</v>
      </c>
      <c r="Q62" s="62">
        <f t="shared" si="32"/>
        <v>2356</v>
      </c>
      <c r="R62" s="62">
        <f t="shared" si="32"/>
        <v>2895.7000000000003</v>
      </c>
      <c r="S62" s="62">
        <f t="shared" si="32"/>
        <v>3277.8</v>
      </c>
      <c r="T62" s="62">
        <f>$B62*T7</f>
        <v>3617.7</v>
      </c>
      <c r="U62" s="62">
        <f t="shared" si="32"/>
        <v>3926.9999999999995</v>
      </c>
      <c r="V62" s="62">
        <f t="shared" si="32"/>
        <v>4200.2999999999993</v>
      </c>
      <c r="W62" s="62">
        <f t="shared" si="32"/>
        <v>4441.8999999999996</v>
      </c>
      <c r="X62" s="62">
        <f t="shared" si="32"/>
        <v>5137.0999999999995</v>
      </c>
      <c r="Y62" s="62">
        <f t="shared" si="32"/>
        <v>5900.6999999999989</v>
      </c>
      <c r="Z62" s="62">
        <f t="shared" si="32"/>
        <v>6247.4999999999991</v>
      </c>
      <c r="AA62" s="62">
        <f t="shared" si="32"/>
        <v>6619.7999999999984</v>
      </c>
      <c r="AB62" s="62">
        <f t="shared" si="32"/>
        <v>7012.4999999999982</v>
      </c>
      <c r="AC62" s="62">
        <f t="shared" si="32"/>
        <v>6966.5999999999985</v>
      </c>
      <c r="AD62" s="62">
        <f t="shared" si="32"/>
        <v>6915.5999999999985</v>
      </c>
      <c r="AE62" s="62">
        <f t="shared" si="32"/>
        <v>6859.4999999999982</v>
      </c>
      <c r="AF62" s="62">
        <f t="shared" si="32"/>
        <v>6803.3999999999987</v>
      </c>
      <c r="AG62" s="62">
        <f t="shared" si="32"/>
        <v>6747.2999999999984</v>
      </c>
      <c r="AH62" s="62">
        <f t="shared" si="32"/>
        <v>7058.3999999999987</v>
      </c>
      <c r="AI62" s="62">
        <f t="shared" si="32"/>
        <v>7389.8999999999987</v>
      </c>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S62" s="2"/>
      <c r="BT62" s="2"/>
      <c r="BU62" s="2"/>
      <c r="BV62" s="2"/>
    </row>
    <row r="63" spans="1:74" x14ac:dyDescent="0.25">
      <c r="A63" s="121" t="s">
        <v>229</v>
      </c>
      <c r="B63" s="54">
        <v>1</v>
      </c>
      <c r="C63" s="62"/>
      <c r="D63" s="62"/>
      <c r="E63" s="62"/>
      <c r="F63" s="62">
        <f t="shared" ref="F63:U64" si="33">$B63*F8</f>
        <v>698.15000000000009</v>
      </c>
      <c r="G63" s="62">
        <f t="shared" si="33"/>
        <v>696.30000000000007</v>
      </c>
      <c r="H63" s="62">
        <f t="shared" si="33"/>
        <v>689.2</v>
      </c>
      <c r="I63" s="62">
        <f t="shared" si="33"/>
        <v>890.40000000000009</v>
      </c>
      <c r="J63" s="62">
        <f t="shared" si="33"/>
        <v>833.30000000000007</v>
      </c>
      <c r="K63" s="62">
        <f t="shared" si="33"/>
        <v>883.2</v>
      </c>
      <c r="L63" s="62">
        <f t="shared" si="33"/>
        <v>834.95</v>
      </c>
      <c r="M63" s="62">
        <f t="shared" si="33"/>
        <v>779.75</v>
      </c>
      <c r="N63" s="62">
        <f t="shared" si="33"/>
        <v>437.85</v>
      </c>
      <c r="O63" s="62">
        <f t="shared" si="33"/>
        <v>443</v>
      </c>
      <c r="P63" s="62">
        <f t="shared" si="33"/>
        <v>622</v>
      </c>
      <c r="Q63" s="62">
        <f t="shared" si="33"/>
        <v>620</v>
      </c>
      <c r="R63" s="62">
        <f t="shared" si="33"/>
        <v>629.5</v>
      </c>
      <c r="S63" s="62">
        <f t="shared" si="33"/>
        <v>607</v>
      </c>
      <c r="T63" s="62">
        <f t="shared" si="33"/>
        <v>583.5</v>
      </c>
      <c r="U63" s="62">
        <f t="shared" si="33"/>
        <v>561</v>
      </c>
      <c r="V63" s="62">
        <f t="shared" si="32"/>
        <v>538.5</v>
      </c>
      <c r="W63" s="62">
        <f t="shared" si="32"/>
        <v>516.5</v>
      </c>
      <c r="X63" s="62">
        <f t="shared" si="32"/>
        <v>546.5</v>
      </c>
      <c r="Y63" s="62">
        <f t="shared" si="32"/>
        <v>578.5</v>
      </c>
      <c r="Z63" s="62">
        <f t="shared" si="32"/>
        <v>612.5</v>
      </c>
      <c r="AA63" s="62">
        <f t="shared" si="32"/>
        <v>649</v>
      </c>
      <c r="AB63" s="62">
        <f t="shared" si="32"/>
        <v>687.5</v>
      </c>
      <c r="AC63" s="62">
        <f t="shared" si="32"/>
        <v>683</v>
      </c>
      <c r="AD63" s="62">
        <f t="shared" si="32"/>
        <v>678</v>
      </c>
      <c r="AE63" s="62">
        <f t="shared" si="32"/>
        <v>672.5</v>
      </c>
      <c r="AF63" s="62">
        <f t="shared" si="32"/>
        <v>667</v>
      </c>
      <c r="AG63" s="62">
        <f t="shared" si="32"/>
        <v>661.5</v>
      </c>
      <c r="AH63" s="62">
        <f t="shared" si="32"/>
        <v>692</v>
      </c>
      <c r="AI63" s="62">
        <f t="shared" si="32"/>
        <v>724.5</v>
      </c>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S63" s="2"/>
      <c r="BT63" s="2"/>
      <c r="BU63" s="2"/>
      <c r="BV63" s="2"/>
    </row>
    <row r="64" spans="1:74" x14ac:dyDescent="0.25">
      <c r="A64" s="121" t="s">
        <v>228</v>
      </c>
      <c r="B64" s="54">
        <v>0.5</v>
      </c>
      <c r="C64" s="62"/>
      <c r="D64" s="62"/>
      <c r="E64" s="62"/>
      <c r="F64" s="62">
        <f t="shared" si="33"/>
        <v>349.07500000000005</v>
      </c>
      <c r="G64" s="62">
        <f t="shared" si="32"/>
        <v>348.15000000000003</v>
      </c>
      <c r="H64" s="62">
        <f t="shared" si="32"/>
        <v>344.6</v>
      </c>
      <c r="I64" s="62">
        <f t="shared" si="32"/>
        <v>445.20000000000005</v>
      </c>
      <c r="J64" s="62">
        <f t="shared" si="32"/>
        <v>416.65000000000003</v>
      </c>
      <c r="K64" s="62">
        <f t="shared" si="32"/>
        <v>441.6</v>
      </c>
      <c r="L64" s="62">
        <f t="shared" si="32"/>
        <v>417.47500000000002</v>
      </c>
      <c r="M64" s="62">
        <f t="shared" si="32"/>
        <v>389.875</v>
      </c>
      <c r="N64" s="62">
        <f>$B64*N9</f>
        <v>218.92500000000001</v>
      </c>
      <c r="O64" s="62">
        <f t="shared" si="32"/>
        <v>221.5</v>
      </c>
      <c r="P64" s="62">
        <f t="shared" si="32"/>
        <v>311</v>
      </c>
      <c r="Q64" s="62">
        <f t="shared" si="32"/>
        <v>310</v>
      </c>
      <c r="R64" s="62">
        <f t="shared" si="32"/>
        <v>314.75</v>
      </c>
      <c r="S64" s="62">
        <f t="shared" si="32"/>
        <v>303.5</v>
      </c>
      <c r="T64" s="62">
        <f t="shared" si="32"/>
        <v>291.75</v>
      </c>
      <c r="U64" s="62">
        <f t="shared" si="32"/>
        <v>280.5</v>
      </c>
      <c r="V64" s="62">
        <f t="shared" si="32"/>
        <v>269.25</v>
      </c>
      <c r="W64" s="62">
        <f t="shared" si="32"/>
        <v>258.25</v>
      </c>
      <c r="X64" s="62">
        <f t="shared" si="32"/>
        <v>273.25</v>
      </c>
      <c r="Y64" s="62">
        <f t="shared" si="32"/>
        <v>289.25</v>
      </c>
      <c r="Z64" s="62">
        <f t="shared" si="32"/>
        <v>306.25</v>
      </c>
      <c r="AA64" s="62">
        <f t="shared" si="32"/>
        <v>324.5</v>
      </c>
      <c r="AB64" s="62">
        <f t="shared" si="32"/>
        <v>343.75</v>
      </c>
      <c r="AC64" s="62">
        <f t="shared" si="32"/>
        <v>341.5</v>
      </c>
      <c r="AD64" s="62">
        <f t="shared" si="32"/>
        <v>339</v>
      </c>
      <c r="AE64" s="62">
        <f t="shared" si="32"/>
        <v>336.25</v>
      </c>
      <c r="AF64" s="62">
        <f t="shared" si="32"/>
        <v>333.5</v>
      </c>
      <c r="AG64" s="62">
        <f t="shared" si="32"/>
        <v>330.75</v>
      </c>
      <c r="AH64" s="62">
        <f t="shared" si="32"/>
        <v>346</v>
      </c>
      <c r="AI64" s="62">
        <f t="shared" si="32"/>
        <v>362.25</v>
      </c>
      <c r="AJ64" s="2"/>
      <c r="AK64" s="2"/>
      <c r="AL64" s="2"/>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S64" s="2"/>
      <c r="BT64" s="2"/>
      <c r="BU64" s="2"/>
      <c r="BV64" s="2"/>
    </row>
    <row r="65" spans="1:74" x14ac:dyDescent="0.25">
      <c r="A65" s="58"/>
      <c r="C65" s="62"/>
      <c r="D65" s="62"/>
      <c r="E65" s="62"/>
      <c r="F65" s="62"/>
      <c r="G65" s="62"/>
      <c r="H65" s="62"/>
      <c r="I65" s="62"/>
      <c r="J65" s="62"/>
      <c r="K65" s="62"/>
      <c r="L65" s="62"/>
      <c r="M65" s="93"/>
      <c r="N65" s="63"/>
      <c r="O65" s="62"/>
      <c r="P65" s="62"/>
      <c r="Q65" s="62"/>
      <c r="R65" s="62"/>
      <c r="S65" s="62"/>
      <c r="T65" s="62"/>
      <c r="U65" s="115"/>
      <c r="V65" s="115"/>
      <c r="W65" s="115"/>
      <c r="X65" s="115"/>
      <c r="Y65" s="115"/>
      <c r="Z65" s="115"/>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c r="BP65" s="2"/>
      <c r="BQ65" s="2"/>
      <c r="BR65" s="2"/>
      <c r="BS65" s="2"/>
      <c r="BT65" s="2"/>
      <c r="BU65" s="2"/>
      <c r="BV65" s="2"/>
    </row>
    <row r="66" spans="1:74" x14ac:dyDescent="0.25">
      <c r="A66" s="58"/>
      <c r="B66" s="58"/>
      <c r="C66" s="62"/>
      <c r="D66" s="62"/>
      <c r="E66" s="62"/>
      <c r="F66" s="62"/>
      <c r="G66" s="62"/>
      <c r="H66" s="62"/>
      <c r="I66" s="62"/>
      <c r="J66" s="62"/>
      <c r="K66" s="62"/>
      <c r="L66" s="62"/>
      <c r="M66" s="93"/>
      <c r="N66" s="63"/>
      <c r="O66" s="62"/>
      <c r="P66" s="62"/>
      <c r="Q66" s="62"/>
      <c r="R66" s="62"/>
      <c r="S66" s="62"/>
      <c r="T66" s="62"/>
      <c r="U66" s="115"/>
      <c r="V66" s="115"/>
      <c r="W66" s="115"/>
      <c r="X66" s="115"/>
      <c r="Y66" s="115"/>
      <c r="Z66" s="115"/>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c r="BG66" s="2"/>
      <c r="BH66" s="2"/>
      <c r="BI66" s="2"/>
      <c r="BJ66" s="2"/>
      <c r="BK66" s="2"/>
      <c r="BL66" s="2"/>
      <c r="BM66" s="2"/>
      <c r="BN66" s="2"/>
      <c r="BO66" s="2"/>
      <c r="BP66" s="2"/>
      <c r="BQ66" s="2"/>
      <c r="BR66" s="2"/>
      <c r="BS66" s="2"/>
      <c r="BT66" s="2"/>
      <c r="BU66" s="2"/>
      <c r="BV66" s="2"/>
    </row>
    <row r="67" spans="1:74" x14ac:dyDescent="0.25">
      <c r="B67" s="58" t="s">
        <v>292</v>
      </c>
      <c r="C67" s="62">
        <f>[1]Recyc!G88</f>
        <v>9</v>
      </c>
      <c r="D67" s="62">
        <f>[1]Recyc!H88</f>
        <v>101</v>
      </c>
      <c r="E67" s="62">
        <f>[1]Recyc!I88</f>
        <v>51</v>
      </c>
      <c r="F67" s="62">
        <f>[1]Recyc!J88</f>
        <v>53</v>
      </c>
      <c r="G67" s="62">
        <f>[1]Recyc!K88</f>
        <v>60</v>
      </c>
      <c r="H67" s="62">
        <f>[1]Recyc!L88</f>
        <v>59</v>
      </c>
      <c r="I67" s="62">
        <f>[1]Recyc!M88</f>
        <v>69</v>
      </c>
      <c r="J67" s="62">
        <f>[1]Recyc!N88</f>
        <v>77</v>
      </c>
      <c r="K67" s="62">
        <f>[1]Recyc!O88</f>
        <v>92</v>
      </c>
      <c r="L67" s="62">
        <f>[1]Recyc!Q79</f>
        <v>141</v>
      </c>
      <c r="M67" s="93">
        <f>[1]Recyc!R79</f>
        <v>169</v>
      </c>
      <c r="N67" s="63">
        <f>[1]Recyc!S79</f>
        <v>173</v>
      </c>
      <c r="O67" s="62">
        <f>[1]Recyc!T79</f>
        <v>177</v>
      </c>
      <c r="P67" s="62">
        <f>[1]Recyc!U79</f>
        <v>181</v>
      </c>
      <c r="Q67" s="62">
        <f>[1]Recyc!V79</f>
        <v>185</v>
      </c>
      <c r="R67" s="62">
        <f>[1]Recyc!W79</f>
        <v>189</v>
      </c>
      <c r="S67" s="62">
        <f>[1]Recyc!X79</f>
        <v>193</v>
      </c>
      <c r="T67" s="62">
        <f>[1]Recyc!Y79</f>
        <v>197</v>
      </c>
      <c r="U67" s="115">
        <f>[1]Recyc!Z79</f>
        <v>201</v>
      </c>
      <c r="V67" s="115">
        <f>[1]Recyc!AA79</f>
        <v>205</v>
      </c>
      <c r="W67" s="115">
        <f>[1]Recyc!AB79</f>
        <v>209</v>
      </c>
      <c r="X67" s="115">
        <f>[1]Recyc!AC79</f>
        <v>213</v>
      </c>
      <c r="Y67" s="115">
        <f>[1]Recyc!AD79</f>
        <v>217</v>
      </c>
      <c r="Z67" s="115">
        <f>[1]Recyc!AE79</f>
        <v>221</v>
      </c>
      <c r="AA67" s="62">
        <f t="shared" ref="AA67:AG67" si="34">Z67+2</f>
        <v>223</v>
      </c>
      <c r="AB67" s="62">
        <f t="shared" si="34"/>
        <v>225</v>
      </c>
      <c r="AC67" s="62">
        <f t="shared" si="34"/>
        <v>227</v>
      </c>
      <c r="AD67" s="62">
        <f t="shared" si="34"/>
        <v>229</v>
      </c>
      <c r="AE67" s="62">
        <f t="shared" si="34"/>
        <v>231</v>
      </c>
      <c r="AF67" s="62">
        <f t="shared" si="34"/>
        <v>233</v>
      </c>
      <c r="AG67" s="62">
        <f t="shared" si="34"/>
        <v>235</v>
      </c>
      <c r="AH67" s="2">
        <f>AG67</f>
        <v>235</v>
      </c>
      <c r="AI67" s="2">
        <f t="shared" si="30"/>
        <v>235</v>
      </c>
      <c r="AJ67" s="2"/>
      <c r="AK67" s="2"/>
      <c r="AL67" s="2"/>
      <c r="AM67" s="2"/>
      <c r="AN67" s="2"/>
      <c r="AO67" s="2"/>
      <c r="AP67" s="2"/>
      <c r="AQ67" s="2"/>
      <c r="AR67" s="2"/>
      <c r="AS67" s="2"/>
      <c r="AT67" s="2"/>
      <c r="AU67" s="2"/>
      <c r="AV67" s="2"/>
      <c r="AW67" s="2"/>
      <c r="AX67" s="2"/>
      <c r="AY67" s="2"/>
      <c r="AZ67" s="2"/>
      <c r="BA67" s="2"/>
      <c r="BB67" s="2"/>
      <c r="BC67" s="2"/>
      <c r="BD67" s="2"/>
      <c r="BE67" s="2"/>
      <c r="BF67" s="2"/>
      <c r="BG67" s="2"/>
      <c r="BH67" s="2"/>
      <c r="BI67" s="2"/>
      <c r="BJ67" s="2"/>
      <c r="BK67" s="2"/>
      <c r="BL67" s="2"/>
      <c r="BM67" s="2"/>
      <c r="BN67" s="2"/>
      <c r="BO67" s="2"/>
      <c r="BP67" s="2"/>
      <c r="BQ67" s="2"/>
      <c r="BR67" s="2"/>
      <c r="BS67" s="2"/>
      <c r="BT67" s="2"/>
      <c r="BU67" s="2"/>
      <c r="BV67" s="2"/>
    </row>
    <row r="68" spans="1:74" x14ac:dyDescent="0.25">
      <c r="F68" s="2">
        <f>F67-E67</f>
        <v>2</v>
      </c>
      <c r="G68" s="2">
        <f t="shared" ref="G68:AI68" si="35">G67-F67</f>
        <v>7</v>
      </c>
      <c r="H68" s="2">
        <f t="shared" si="35"/>
        <v>-1</v>
      </c>
      <c r="I68" s="2">
        <f t="shared" si="35"/>
        <v>10</v>
      </c>
      <c r="J68" s="2">
        <f t="shared" si="35"/>
        <v>8</v>
      </c>
      <c r="K68" s="2">
        <f t="shared" si="35"/>
        <v>15</v>
      </c>
      <c r="L68" s="2">
        <f t="shared" si="35"/>
        <v>49</v>
      </c>
      <c r="M68" s="2">
        <f t="shared" si="35"/>
        <v>28</v>
      </c>
      <c r="N68" s="2">
        <f t="shared" si="35"/>
        <v>4</v>
      </c>
      <c r="O68" s="2">
        <f t="shared" si="35"/>
        <v>4</v>
      </c>
      <c r="P68" s="2">
        <f t="shared" si="35"/>
        <v>4</v>
      </c>
      <c r="Q68" s="2">
        <f t="shared" si="35"/>
        <v>4</v>
      </c>
      <c r="R68" s="2">
        <f t="shared" si="35"/>
        <v>4</v>
      </c>
      <c r="S68" s="2">
        <f t="shared" si="35"/>
        <v>4</v>
      </c>
      <c r="T68" s="2">
        <f t="shared" si="35"/>
        <v>4</v>
      </c>
      <c r="U68" s="2">
        <f t="shared" si="35"/>
        <v>4</v>
      </c>
      <c r="V68" s="2">
        <f t="shared" si="35"/>
        <v>4</v>
      </c>
      <c r="W68" s="2">
        <f t="shared" si="35"/>
        <v>4</v>
      </c>
      <c r="X68" s="2">
        <f t="shared" si="35"/>
        <v>4</v>
      </c>
      <c r="Y68" s="2">
        <f t="shared" si="35"/>
        <v>4</v>
      </c>
      <c r="Z68" s="2">
        <f t="shared" si="35"/>
        <v>4</v>
      </c>
      <c r="AA68" s="2">
        <f t="shared" si="35"/>
        <v>2</v>
      </c>
      <c r="AB68" s="2">
        <f t="shared" si="35"/>
        <v>2</v>
      </c>
      <c r="AC68" s="2">
        <f t="shared" si="35"/>
        <v>2</v>
      </c>
      <c r="AD68" s="2">
        <f t="shared" si="35"/>
        <v>2</v>
      </c>
      <c r="AE68" s="2">
        <f t="shared" si="35"/>
        <v>2</v>
      </c>
      <c r="AF68" s="2">
        <f t="shared" si="35"/>
        <v>2</v>
      </c>
      <c r="AG68" s="2">
        <f t="shared" si="35"/>
        <v>2</v>
      </c>
      <c r="AH68" s="2">
        <f t="shared" si="35"/>
        <v>0</v>
      </c>
      <c r="AI68" s="2">
        <f t="shared" si="35"/>
        <v>0</v>
      </c>
    </row>
    <row r="69" spans="1:74" x14ac:dyDescent="0.25">
      <c r="A69" s="327" t="s">
        <v>293</v>
      </c>
      <c r="B69" s="116" t="s">
        <v>294</v>
      </c>
      <c r="C69" s="117">
        <f>AVERAGE([1]Recyc!G145:H145)</f>
        <v>2133</v>
      </c>
      <c r="D69" s="117">
        <f>AVERAGE([1]Recyc!H145:I145)</f>
        <v>3501</v>
      </c>
      <c r="E69" s="117">
        <f>AVERAGE([1]Recyc!I145:J145)</f>
        <v>4794</v>
      </c>
      <c r="F69" s="117">
        <f>AVERAGE([1]Recyc!J145:K145)</f>
        <v>6125</v>
      </c>
      <c r="G69" s="117">
        <f>AVERAGE([1]Recyc!K145:L145)</f>
        <v>7556</v>
      </c>
      <c r="H69" s="117">
        <f>AVERAGE([1]Recyc!L145:M145)</f>
        <v>9066.5</v>
      </c>
      <c r="I69" s="117">
        <f>ROUND(AVERAGE([1]Recyc!M145:N145),-1)</f>
        <v>11210</v>
      </c>
      <c r="J69" s="117">
        <f>ROUND(AVERAGE([1]Recyc!N145:O145),-1)</f>
        <v>14200</v>
      </c>
      <c r="K69" s="117"/>
      <c r="L69" s="117"/>
      <c r="M69" s="117"/>
      <c r="N69" s="117"/>
      <c r="O69" s="117"/>
      <c r="P69" s="117"/>
      <c r="Q69" s="117"/>
      <c r="R69" s="117"/>
      <c r="S69" s="117"/>
      <c r="T69" s="117"/>
      <c r="U69" s="118"/>
      <c r="V69" s="118"/>
      <c r="W69" s="118"/>
      <c r="X69" s="118"/>
      <c r="Y69" s="118"/>
      <c r="Z69" s="118"/>
    </row>
    <row r="70" spans="1:74" x14ac:dyDescent="0.25">
      <c r="A70" s="327"/>
      <c r="B70" s="116" t="s">
        <v>295</v>
      </c>
      <c r="C70" s="117">
        <f>AVERAGE([1]Recyc!G146:H146)</f>
        <v>20.5</v>
      </c>
      <c r="D70" s="117">
        <f>AVERAGE([1]Recyc!H146:I146)</f>
        <v>33</v>
      </c>
      <c r="E70" s="117">
        <f>AVERAGE([1]Recyc!I146:J146)</f>
        <v>34.5</v>
      </c>
      <c r="F70" s="117">
        <f>AVERAGE([1]Recyc!J146:K146)</f>
        <v>41</v>
      </c>
      <c r="G70" s="117">
        <f>AVERAGE([1]Recyc!K146:L146)</f>
        <v>53.5</v>
      </c>
      <c r="H70" s="117">
        <f>AVERAGE([1]Recyc!L146:M146)</f>
        <v>51</v>
      </c>
      <c r="I70" s="117">
        <f>ROUND(AVERAGE([1]Recyc!M146:N146),0)</f>
        <v>45</v>
      </c>
      <c r="J70" s="117">
        <f>ROUND(AVERAGE([1]Recyc!N146:O146),0)</f>
        <v>50</v>
      </c>
      <c r="K70" s="117"/>
      <c r="L70" s="117"/>
      <c r="M70" s="117"/>
      <c r="N70" s="117"/>
      <c r="O70" s="117"/>
      <c r="P70" s="117"/>
      <c r="Q70" s="117"/>
      <c r="R70" s="117"/>
      <c r="S70" s="117"/>
      <c r="T70" s="117"/>
      <c r="U70" s="118"/>
      <c r="V70" s="118"/>
      <c r="W70" s="118"/>
      <c r="X70" s="118"/>
      <c r="Y70" s="118"/>
      <c r="Z70" s="118"/>
    </row>
    <row r="71" spans="1:74" x14ac:dyDescent="0.25">
      <c r="I71" s="2"/>
      <c r="J71" s="2"/>
      <c r="K71" s="2"/>
      <c r="L71" s="2"/>
      <c r="M71" s="2"/>
      <c r="N71" s="2"/>
      <c r="O71" s="2"/>
      <c r="P71" s="2"/>
      <c r="Q71" s="2"/>
      <c r="R71" s="2"/>
      <c r="S71" s="2"/>
      <c r="T71" s="2"/>
      <c r="U71" s="2"/>
    </row>
    <row r="72" spans="1:74" x14ac:dyDescent="0.25">
      <c r="H72" s="82" t="s">
        <v>296</v>
      </c>
      <c r="J72" s="49">
        <f>J76</f>
        <v>2.2822039851614351E-2</v>
      </c>
      <c r="K72" s="49">
        <f t="shared" ref="K72:AI72" si="36">K76</f>
        <v>2.3648960739030001E-2</v>
      </c>
      <c r="L72" s="49">
        <f t="shared" si="36"/>
        <v>2.1840492081366625E-2</v>
      </c>
      <c r="M72" s="49">
        <f t="shared" si="36"/>
        <v>1.996062911499985E-2</v>
      </c>
      <c r="N72" s="49">
        <f>N76</f>
        <v>1.0993111105263157E-2</v>
      </c>
      <c r="O72" s="49">
        <f t="shared" si="36"/>
        <v>1.0993111105263157E-2</v>
      </c>
      <c r="P72" s="49">
        <f t="shared" si="36"/>
        <v>1.5275E-2</v>
      </c>
      <c r="Q72" s="49">
        <f t="shared" si="36"/>
        <v>1.4999999999999999E-2</v>
      </c>
      <c r="R72" s="49">
        <f t="shared" si="36"/>
        <v>1.4999999999999999E-2</v>
      </c>
      <c r="S72" s="49">
        <f t="shared" si="36"/>
        <v>1.4249999999999999E-2</v>
      </c>
      <c r="T72" s="49">
        <f t="shared" si="36"/>
        <v>1.3509011136554326E-2</v>
      </c>
      <c r="U72" s="49">
        <f t="shared" si="36"/>
        <v>1.2806553114915707E-2</v>
      </c>
      <c r="V72" s="49">
        <f t="shared" si="36"/>
        <v>1.2140622361422512E-2</v>
      </c>
      <c r="W72" s="49">
        <f t="shared" si="36"/>
        <v>1.1509319486677699E-2</v>
      </c>
      <c r="X72" s="49">
        <f t="shared" si="36"/>
        <v>1.203535961136603E-2</v>
      </c>
      <c r="Y72" s="49">
        <f t="shared" si="36"/>
        <v>1.2585442705154524E-2</v>
      </c>
      <c r="Z72" s="49">
        <f t="shared" si="36"/>
        <v>1.3160667665895309E-2</v>
      </c>
      <c r="AA72" s="49">
        <f t="shared" si="36"/>
        <v>1.3762183617204405E-2</v>
      </c>
      <c r="AB72" s="49">
        <f t="shared" si="36"/>
        <v>1.4391192204059409E-2</v>
      </c>
      <c r="AC72" s="49">
        <f t="shared" si="36"/>
        <v>1.4085909616201235E-2</v>
      </c>
      <c r="AD72" s="49">
        <f t="shared" si="36"/>
        <v>1.378710303513443E-2</v>
      </c>
      <c r="AE72" s="49">
        <f t="shared" si="36"/>
        <v>1.3494635084324498E-2</v>
      </c>
      <c r="AF72" s="49">
        <f t="shared" si="36"/>
        <v>1.3208371301426635E-2</v>
      </c>
      <c r="AG72" s="49">
        <f t="shared" si="36"/>
        <v>1.292818007646657E-2</v>
      </c>
      <c r="AH72" s="49">
        <f t="shared" si="36"/>
        <v>1.3353820411604926E-2</v>
      </c>
      <c r="AI72" s="49">
        <f t="shared" si="36"/>
        <v>1.3793474296510158E-2</v>
      </c>
      <c r="AJ72" s="49"/>
      <c r="AK72" s="49"/>
      <c r="AL72" s="49"/>
      <c r="AM72" s="49"/>
      <c r="AN72" s="49"/>
      <c r="AO72" s="49"/>
      <c r="AP72" s="49"/>
      <c r="AQ72" s="49"/>
      <c r="AR72" s="49"/>
      <c r="AS72" s="49"/>
      <c r="AT72" s="49"/>
      <c r="AU72" s="49"/>
      <c r="AV72" s="49"/>
      <c r="AW72" s="49"/>
      <c r="AX72" s="49"/>
      <c r="AY72" s="49"/>
      <c r="AZ72" s="49"/>
      <c r="BA72" s="49"/>
      <c r="BB72" s="49"/>
      <c r="BC72" s="49"/>
      <c r="BD72" s="49"/>
      <c r="BE72" s="49"/>
      <c r="BF72" s="49"/>
      <c r="BG72" s="49"/>
      <c r="BH72" s="49"/>
      <c r="BI72" s="49"/>
      <c r="BJ72" s="49"/>
      <c r="BK72" s="49"/>
      <c r="BL72" s="49"/>
      <c r="BM72" s="49"/>
      <c r="BN72" s="49"/>
      <c r="BO72" s="49"/>
      <c r="BP72" s="49"/>
      <c r="BQ72" s="49"/>
      <c r="BR72" s="49"/>
      <c r="BS72" s="49"/>
      <c r="BT72" s="49"/>
      <c r="BU72" s="49"/>
      <c r="BV72" s="49"/>
    </row>
    <row r="73" spans="1:74" x14ac:dyDescent="0.25">
      <c r="H73" s="82" t="s">
        <v>297</v>
      </c>
      <c r="J73" s="65">
        <f>'[3]YVW-Forecast'!E$13</f>
        <v>2.2822039851614351E-2</v>
      </c>
      <c r="K73" s="65">
        <f>'[3]YVW-Forecast'!F$13</f>
        <v>2.3648960739030001E-2</v>
      </c>
      <c r="L73" s="65">
        <f>'[3]YVW-Forecast'!G$13</f>
        <v>2.0768517321016144E-2</v>
      </c>
      <c r="M73" s="65">
        <f>'[3]YVW-Forecast'!H$13</f>
        <v>1.8238911911316377E-2</v>
      </c>
      <c r="N73" s="65">
        <f>'[3]YVW-Forecast'!I$13</f>
        <v>1.8084306246392432E-2</v>
      </c>
      <c r="O73" s="65">
        <f>'[3]YVW-Forecast'!J$13</f>
        <v>1.7931011126293903E-2</v>
      </c>
      <c r="P73" s="65">
        <f>'[3]YVW-Forecast'!K$13</f>
        <v>1.7779015441934068E-2</v>
      </c>
      <c r="Q73" s="65">
        <f>'[3]YVW-Forecast'!L$13</f>
        <v>1.7628308178394524E-2</v>
      </c>
      <c r="R73" s="65">
        <f>'[3]YVW-Forecast'!M$13</f>
        <v>1.7478878414126958E-2</v>
      </c>
      <c r="S73" s="65">
        <f>'[3]YVW-Forecast'!N$13</f>
        <v>1.6721533267595658E-2</v>
      </c>
      <c r="T73" s="65">
        <f>'[3]YVW-Forecast'!O$13</f>
        <v>1.5997003251268075E-2</v>
      </c>
      <c r="U73" s="65">
        <f>'[3]YVW-Forecast'!P$13</f>
        <v>1.5303866513066306E-2</v>
      </c>
      <c r="V73" s="65">
        <f>'[3]YVW-Forecast'!Q$13</f>
        <v>1.4640762808570826E-2</v>
      </c>
      <c r="W73" s="65">
        <f>'[3]YVW-Forecast'!R$13</f>
        <v>1.4006390831612321E-2</v>
      </c>
      <c r="X73" s="65">
        <f>'[3]YVW-Forecast'!S$13</f>
        <v>1.4344224978470809E-2</v>
      </c>
      <c r="Y73" s="65">
        <f>'[3]YVW-Forecast'!T$13</f>
        <v>1.4690207684951523E-2</v>
      </c>
      <c r="Z73" s="65">
        <f>'[3]YVW-Forecast'!U$13</f>
        <v>1.5044535494312552E-2</v>
      </c>
      <c r="AA73" s="65">
        <f>'[3]YVW-Forecast'!V$13</f>
        <v>1.5407409690435369E-2</v>
      </c>
      <c r="AB73" s="65">
        <f>'[3]YVW-Forecast'!W$13</f>
        <v>1.577903641216867E-2</v>
      </c>
      <c r="AC73" s="65">
        <f>'[3]YVW-Forecast'!X$13</f>
        <v>1.5421534756082544E-2</v>
      </c>
      <c r="AD73" s="65">
        <f>'[3]YVW-Forecast'!Y$13</f>
        <v>1.5072132925027923E-2</v>
      </c>
      <c r="AE73" s="65">
        <f>'[3]YVW-Forecast'!Z$13</f>
        <v>1.4730647403307959E-2</v>
      </c>
      <c r="AF73" s="65">
        <f>'[3]YVW-Forecast'!AA$13</f>
        <v>1.4396898833094755E-2</v>
      </c>
      <c r="AG73" s="65">
        <f>'[3]YVW-Forecast'!AB$13</f>
        <v>1.4070711920225567E-2</v>
      </c>
      <c r="AH73" s="65">
        <f>'[3]YVW-Forecast'!AC$13</f>
        <v>1.4080207160218339E-2</v>
      </c>
      <c r="AI73" s="65">
        <f>'[3]YVW-Forecast'!AD$13</f>
        <v>1.4089708807817423E-2</v>
      </c>
      <c r="AJ73" s="65"/>
      <c r="AK73" s="65"/>
      <c r="AL73" s="65"/>
      <c r="AM73" s="65"/>
      <c r="AN73" s="65"/>
      <c r="AO73" s="65"/>
      <c r="AP73" s="65"/>
      <c r="AQ73" s="65"/>
      <c r="AR73" s="65"/>
      <c r="AS73" s="65"/>
      <c r="AT73" s="65"/>
      <c r="AU73" s="65"/>
      <c r="AV73" s="65"/>
      <c r="AW73" s="65"/>
      <c r="AX73" s="65"/>
      <c r="AY73" s="65"/>
      <c r="AZ73" s="65"/>
      <c r="BA73" s="65"/>
      <c r="BB73" s="65"/>
      <c r="BC73" s="65"/>
      <c r="BD73" s="65"/>
      <c r="BE73" s="65"/>
      <c r="BF73" s="65"/>
      <c r="BG73" s="65"/>
      <c r="BH73" s="65"/>
      <c r="BI73" s="65"/>
      <c r="BJ73" s="65"/>
      <c r="BK73" s="65"/>
      <c r="BL73" s="65"/>
      <c r="BM73" s="65"/>
      <c r="BN73" s="65"/>
      <c r="BO73" s="65"/>
      <c r="BP73" s="65"/>
      <c r="BQ73" s="65"/>
      <c r="BR73" s="65"/>
      <c r="BS73" s="65"/>
      <c r="BT73" s="65"/>
      <c r="BU73" s="65"/>
      <c r="BV73" s="65"/>
    </row>
    <row r="74" spans="1:74" x14ac:dyDescent="0.25">
      <c r="H74" s="82" t="s">
        <v>298</v>
      </c>
      <c r="J74" s="65">
        <f>'[4]YVW-SPD'!Q3</f>
        <v>1.9863272063090281E-2</v>
      </c>
      <c r="K74" s="65">
        <f>'[4]YVW-SPD'!R3</f>
        <v>1.9246320831821602E-2</v>
      </c>
      <c r="L74" s="65">
        <f>'[4]YVW-SPD'!S3</f>
        <v>1.8648532043707051E-2</v>
      </c>
      <c r="M74" s="65">
        <f>'[4]YVW-SPD'!T3</f>
        <v>1.8069310515190739E-2</v>
      </c>
      <c r="N74" s="65">
        <f>'[4]YVW-SPD'!U3</f>
        <v>1.7000000000000001E-2</v>
      </c>
      <c r="O74" s="65">
        <f>'[4]YVW-SPD'!V3</f>
        <v>1.636180954308666E-2</v>
      </c>
      <c r="P74" s="65">
        <f>'[4]YVW-SPD'!W3</f>
        <v>1.5747577148484806E-2</v>
      </c>
      <c r="Q74" s="65">
        <f>'[4]YVW-SPD'!X3</f>
        <v>1.515640341579836E-2</v>
      </c>
      <c r="R74" s="65">
        <f>'[4]YVW-SPD'!Y3</f>
        <v>1.4587422708675343E-2</v>
      </c>
      <c r="S74" s="65">
        <f>'[4]YVW-SPD'!Z3</f>
        <v>1.4652673841108955E-2</v>
      </c>
      <c r="T74" s="65">
        <f>'[4]YVW-SPD'!AA3</f>
        <v>1.4718216848973127E-2</v>
      </c>
      <c r="U74" s="65">
        <f>'[4]YVW-SPD'!AB3</f>
        <v>1.4784053037858489E-2</v>
      </c>
      <c r="V74" s="65">
        <f>'[4]YVW-SPD'!AC3</f>
        <v>1.4850183719195716E-2</v>
      </c>
      <c r="W74" s="65">
        <f>'[4]YVW-SPD'!AD3</f>
        <v>1.4916610210281659E-2</v>
      </c>
      <c r="X74" s="65">
        <f>'[4]YVW-SPD'!AE3</f>
        <v>1.4538422799924372E-2</v>
      </c>
      <c r="Y74" s="65">
        <f>'[4]YVW-SPD'!AF3</f>
        <v>1.4466450409825735E-2</v>
      </c>
      <c r="Z74" s="65">
        <f>'[4]YVW-SPD'!AG3</f>
        <v>1.4394478019727101E-2</v>
      </c>
      <c r="AA74" s="65">
        <f>'[4]YVW-SPD'!AH3</f>
        <v>1.4322505629628465E-2</v>
      </c>
      <c r="AB74" s="65">
        <f>'[4]YVW-SPD'!AI3</f>
        <v>1.4250533239529829E-2</v>
      </c>
      <c r="AC74" s="65">
        <f>'[4]YVW-SPD'!AJ3</f>
        <v>1.3925428209727732E-2</v>
      </c>
      <c r="AD74" s="65">
        <f>'[4]YVW-SPD'!AK3</f>
        <v>1.3856490446313235E-2</v>
      </c>
      <c r="AE74" s="65">
        <f>'[4]YVW-SPD'!AL3</f>
        <v>1.3787552682898743E-2</v>
      </c>
      <c r="AF74" s="65">
        <f>'[4]YVW-SPD'!AM3</f>
        <v>1.371861491948425E-2</v>
      </c>
      <c r="AG74" s="65">
        <f>'[4]YVW-SPD'!AN3</f>
        <v>1.3649677156069755E-2</v>
      </c>
      <c r="AH74" s="65">
        <f>'[4]YVW-SPD'!AO3</f>
        <v>1.3621611681913089E-2</v>
      </c>
      <c r="AI74" s="65">
        <f>'[4]YVW-SPD'!AP3</f>
        <v>1.3554177960715497E-2</v>
      </c>
      <c r="AJ74" s="65"/>
      <c r="AK74" s="65"/>
      <c r="AL74" s="65"/>
      <c r="AM74" s="65"/>
      <c r="AN74" s="65"/>
      <c r="AO74" s="65"/>
      <c r="AP74" s="65"/>
      <c r="AQ74" s="65"/>
      <c r="AR74" s="65"/>
      <c r="AS74" s="65"/>
      <c r="AT74" s="65"/>
      <c r="AU74" s="65"/>
      <c r="AV74" s="65"/>
      <c r="AW74" s="65"/>
      <c r="AX74" s="65"/>
      <c r="AY74" s="65"/>
      <c r="AZ74" s="65"/>
      <c r="BA74" s="65"/>
      <c r="BB74" s="65"/>
      <c r="BC74" s="65"/>
      <c r="BD74" s="65"/>
      <c r="BE74" s="65"/>
      <c r="BF74" s="65"/>
      <c r="BG74" s="65"/>
      <c r="BH74" s="65"/>
      <c r="BI74" s="65"/>
      <c r="BJ74" s="65"/>
      <c r="BK74" s="65"/>
      <c r="BL74" s="65"/>
      <c r="BM74" s="65"/>
      <c r="BN74" s="65"/>
      <c r="BO74" s="65"/>
      <c r="BP74" s="65"/>
      <c r="BQ74" s="65"/>
      <c r="BR74" s="65"/>
      <c r="BS74" s="65"/>
      <c r="BT74" s="65"/>
      <c r="BU74" s="65"/>
      <c r="BV74" s="65"/>
    </row>
    <row r="75" spans="1:74" x14ac:dyDescent="0.25">
      <c r="H75" s="82" t="s">
        <v>299</v>
      </c>
      <c r="J75" s="65">
        <f>'[5]YVW-Forecast'!E$13</f>
        <v>2.2822039851614351E-2</v>
      </c>
      <c r="K75" s="65">
        <f>'[5]YVW-Forecast'!F$13</f>
        <v>2.2397093469577294E-2</v>
      </c>
      <c r="L75" s="65">
        <f>'[5]YVW-Forecast'!G$13</f>
        <v>2.1980059589173765E-2</v>
      </c>
      <c r="M75" s="65">
        <f>'[5]YVW-Forecast'!H$13</f>
        <v>2.1570790879623349E-2</v>
      </c>
      <c r="N75" s="65">
        <f>'[5]YVW-Forecast'!I$13</f>
        <v>2.0734147405241727E-2</v>
      </c>
      <c r="O75" s="65">
        <f>'[5]YVW-Forecast'!J$13</f>
        <v>1.9929953937312422E-2</v>
      </c>
      <c r="P75" s="65">
        <f>'[5]YVW-Forecast'!K$13</f>
        <v>1.9156951871721496E-2</v>
      </c>
      <c r="Q75" s="65">
        <f>'[5]YVW-Forecast'!L$13</f>
        <v>1.8413931420502953E-2</v>
      </c>
      <c r="R75" s="65">
        <f>'[5]YVW-Forecast'!M$13</f>
        <v>1.7699729718458384E-2</v>
      </c>
      <c r="S75" s="65">
        <f>'[5]YVW-Forecast'!N$13</f>
        <v>1.7313874765815231E-2</v>
      </c>
      <c r="T75" s="65">
        <f>'[5]YVW-Forecast'!O$13</f>
        <v>1.6936431469555958E-2</v>
      </c>
      <c r="U75" s="65">
        <f>'[5]YVW-Forecast'!P$13</f>
        <v>1.6567216455169925E-2</v>
      </c>
      <c r="V75" s="65">
        <f>'[5]YVW-Forecast'!Q$13</f>
        <v>1.6206050345719567E-2</v>
      </c>
      <c r="W75" s="65">
        <f>'[5]YVW-Forecast'!R$13</f>
        <v>1.6078736507131319E-2</v>
      </c>
      <c r="X75" s="65">
        <f>'[5]YVW-Forecast'!S$13</f>
        <v>1.5364619870020357E-2</v>
      </c>
      <c r="Y75" s="65">
        <f>'[5]YVW-Forecast'!T$13</f>
        <v>1.5132120589337772E-2</v>
      </c>
      <c r="Z75" s="65">
        <f>'[5]YVW-Forecast'!U$13</f>
        <v>1.4906552834278219E-2</v>
      </c>
      <c r="AA75" s="65">
        <f>'[5]YVW-Forecast'!V$13</f>
        <v>1.4687611182181648E-2</v>
      </c>
      <c r="AB75" s="65">
        <f>'[5]YVW-Forecast'!W$13</f>
        <v>1.4475007894370284E-2</v>
      </c>
      <c r="AC75" s="65">
        <f>'[5]YVW-Forecast'!X$13</f>
        <v>1.4348740417543082E-2</v>
      </c>
      <c r="AD75" s="65">
        <f>'[5]YVW-Forecast'!Y$13</f>
        <v>1.4145766486225009E-2</v>
      </c>
      <c r="AE75" s="65">
        <f>'[5]YVW-Forecast'!Z$13</f>
        <v>1.3948454900361007E-2</v>
      </c>
      <c r="AF75" s="65">
        <f>'[5]YVW-Forecast'!AA$13</f>
        <v>1.3756571976562215E-2</v>
      </c>
      <c r="AG75" s="65">
        <f>'[5]YVW-Forecast'!AB$13</f>
        <v>1.3569896715678542E-2</v>
      </c>
      <c r="AH75" s="65">
        <f>'[5]YVW-Forecast'!AC$13</f>
        <v>1.4394129839421455E-2</v>
      </c>
      <c r="AI75" s="65">
        <f>'[5]YVW-Forecast'!AD$13</f>
        <v>1.4189878880411344E-2</v>
      </c>
      <c r="AJ75" s="65"/>
      <c r="AK75" s="65"/>
      <c r="AL75" s="65"/>
      <c r="AM75" s="65"/>
      <c r="AN75" s="65"/>
      <c r="AO75" s="65"/>
      <c r="AP75" s="65"/>
      <c r="AQ75" s="65"/>
      <c r="AR75" s="65"/>
      <c r="AS75" s="65"/>
      <c r="AT75" s="65"/>
      <c r="AU75" s="65"/>
      <c r="AV75" s="65"/>
      <c r="AW75" s="65"/>
      <c r="AX75" s="65"/>
      <c r="AY75" s="65"/>
      <c r="AZ75" s="65"/>
      <c r="BA75" s="65"/>
      <c r="BB75" s="65"/>
      <c r="BC75" s="65"/>
      <c r="BD75" s="65"/>
      <c r="BE75" s="65"/>
      <c r="BF75" s="65"/>
      <c r="BG75" s="65"/>
      <c r="BH75" s="65"/>
      <c r="BI75" s="65"/>
      <c r="BJ75" s="65"/>
      <c r="BK75" s="65"/>
      <c r="BL75" s="65"/>
      <c r="BM75" s="65"/>
      <c r="BN75" s="65"/>
      <c r="BO75" s="65"/>
      <c r="BP75" s="65"/>
      <c r="BQ75" s="65"/>
      <c r="BR75" s="65"/>
      <c r="BS75" s="65"/>
      <c r="BT75" s="65"/>
      <c r="BU75" s="65"/>
      <c r="BV75" s="65"/>
    </row>
    <row r="76" spans="1:74" x14ac:dyDescent="0.25">
      <c r="H76" s="82" t="s">
        <v>300</v>
      </c>
      <c r="J76" s="65">
        <f>'[6]YVW-Forecast'!E$13</f>
        <v>2.2822039851614351E-2</v>
      </c>
      <c r="K76" s="65">
        <f>'[6]YVW-Forecast'!F$13</f>
        <v>2.3648960739030001E-2</v>
      </c>
      <c r="L76" s="65">
        <f>'[6]YVW-Forecast'!G$13</f>
        <v>2.1840492081366625E-2</v>
      </c>
      <c r="M76" s="65">
        <f>'[6]YVW-Forecast'!H$13</f>
        <v>1.996062911499985E-2</v>
      </c>
      <c r="N76" s="65">
        <f>'[6]YVW-Forecast'!I$13</f>
        <v>1.0993111105263157E-2</v>
      </c>
      <c r="O76" s="65">
        <f>'[6]YVW-Forecast'!J$13</f>
        <v>1.0993111105263157E-2</v>
      </c>
      <c r="P76" s="65">
        <f>'[6]YVW-Forecast'!K$13</f>
        <v>1.5275E-2</v>
      </c>
      <c r="Q76" s="65">
        <f>'[6]YVW-Forecast'!L$13</f>
        <v>1.4999999999999999E-2</v>
      </c>
      <c r="R76" s="65">
        <f>'[6]YVW-Forecast'!M$13</f>
        <v>1.4999999999999999E-2</v>
      </c>
      <c r="S76" s="65">
        <f>'[6]YVW-Forecast'!N$13</f>
        <v>1.4249999999999999E-2</v>
      </c>
      <c r="T76" s="65">
        <f>'[6]YVW-Forecast'!O$13</f>
        <v>1.3509011136554326E-2</v>
      </c>
      <c r="U76" s="65">
        <f>'[6]YVW-Forecast'!P$13</f>
        <v>1.2806553114915707E-2</v>
      </c>
      <c r="V76" s="65">
        <f>'[6]YVW-Forecast'!Q$13</f>
        <v>1.2140622361422512E-2</v>
      </c>
      <c r="W76" s="65">
        <f>'[6]YVW-Forecast'!R$13</f>
        <v>1.1509319486677699E-2</v>
      </c>
      <c r="X76" s="65">
        <f>'[6]YVW-Forecast'!S$13</f>
        <v>1.203535961136603E-2</v>
      </c>
      <c r="Y76" s="65">
        <f>'[6]YVW-Forecast'!T$13</f>
        <v>1.2585442705154524E-2</v>
      </c>
      <c r="Z76" s="65">
        <f>'[6]YVW-Forecast'!U$13</f>
        <v>1.3160667665895309E-2</v>
      </c>
      <c r="AA76" s="65">
        <f>'[6]YVW-Forecast'!V$13</f>
        <v>1.3762183617204405E-2</v>
      </c>
      <c r="AB76" s="65">
        <f>'[6]YVW-Forecast'!W$13</f>
        <v>1.4391192204059409E-2</v>
      </c>
      <c r="AC76" s="65">
        <f>'[6]YVW-Forecast'!X$13</f>
        <v>1.4085909616201235E-2</v>
      </c>
      <c r="AD76" s="65">
        <f>'[6]YVW-Forecast'!Y$13</f>
        <v>1.378710303513443E-2</v>
      </c>
      <c r="AE76" s="65">
        <f>'[6]YVW-Forecast'!Z$13</f>
        <v>1.3494635084324498E-2</v>
      </c>
      <c r="AF76" s="65">
        <f>'[6]YVW-Forecast'!AA$13</f>
        <v>1.3208371301426635E-2</v>
      </c>
      <c r="AG76" s="65">
        <f>'[6]YVW-Forecast'!AB$13</f>
        <v>1.292818007646657E-2</v>
      </c>
      <c r="AH76" s="65">
        <f>'[6]YVW-Forecast'!AC$13</f>
        <v>1.3353820411604926E-2</v>
      </c>
      <c r="AI76" s="65">
        <f>'[6]YVW-Forecast'!AD$13</f>
        <v>1.3793474296510158E-2</v>
      </c>
      <c r="AJ76" s="65"/>
      <c r="AK76" s="65"/>
      <c r="AL76" s="65"/>
      <c r="AM76" s="65"/>
      <c r="AN76" s="65"/>
      <c r="AO76" s="65"/>
      <c r="AP76" s="65"/>
      <c r="AQ76" s="65"/>
      <c r="AR76" s="65"/>
      <c r="AS76" s="65"/>
      <c r="AT76" s="65"/>
      <c r="AU76" s="65"/>
      <c r="AV76" s="65"/>
      <c r="AW76" s="65"/>
      <c r="AX76" s="65"/>
      <c r="AY76" s="65"/>
      <c r="AZ76" s="65"/>
      <c r="BA76" s="65"/>
      <c r="BB76" s="65"/>
      <c r="BC76" s="65"/>
      <c r="BD76" s="65"/>
      <c r="BE76" s="65"/>
      <c r="BF76" s="65"/>
      <c r="BG76" s="65"/>
      <c r="BH76" s="65"/>
      <c r="BI76" s="65"/>
      <c r="BJ76" s="65"/>
      <c r="BK76" s="65"/>
      <c r="BL76" s="65"/>
      <c r="BM76" s="65"/>
      <c r="BN76" s="65"/>
      <c r="BO76" s="65"/>
      <c r="BP76" s="65"/>
      <c r="BQ76" s="65"/>
      <c r="BR76" s="65"/>
      <c r="BS76" s="65"/>
      <c r="BT76" s="65"/>
      <c r="BU76" s="65"/>
      <c r="BV76" s="65"/>
    </row>
    <row r="77" spans="1:74" x14ac:dyDescent="0.25">
      <c r="H77" s="82" t="s">
        <v>301</v>
      </c>
      <c r="J77" s="49">
        <f>[7]Sheet1!J$49</f>
        <v>2.3905787277886059E-2</v>
      </c>
      <c r="K77" s="49">
        <f>[7]Sheet1!K$49</f>
        <v>2.3256425792499646E-2</v>
      </c>
      <c r="L77" s="49">
        <f>[7]Sheet1!L$49</f>
        <v>2.2892840929948921E-2</v>
      </c>
      <c r="M77" s="49">
        <f>[7]Sheet1!M$49</f>
        <v>2.2481629540359371E-2</v>
      </c>
      <c r="N77" s="49">
        <f>[7]Sheet1!N$49</f>
        <v>2.0665876737067324E-2</v>
      </c>
      <c r="O77" s="49">
        <f>[7]Sheet1!O$49</f>
        <v>1.9988198452603578E-2</v>
      </c>
      <c r="P77" s="49">
        <f>[7]Sheet1!P$49</f>
        <v>1.9573282573323025E-2</v>
      </c>
      <c r="Q77" s="49">
        <f>[7]Sheet1!Q$49</f>
        <v>1.917954655702081E-2</v>
      </c>
      <c r="R77" s="49">
        <f>[7]Sheet1!R$49</f>
        <v>1.8925289846709603E-2</v>
      </c>
      <c r="S77" s="49">
        <f>[7]Sheet1!S$49</f>
        <v>1.8343284324663367E-2</v>
      </c>
      <c r="T77" s="49">
        <f>[7]Sheet1!T$49</f>
        <v>1.757881045045151E-2</v>
      </c>
      <c r="U77" s="49">
        <f>[7]Sheet1!U$49</f>
        <v>1.743439815980663E-2</v>
      </c>
      <c r="V77" s="49">
        <f>[7]Sheet1!V$49</f>
        <v>1.724839737465178E-2</v>
      </c>
      <c r="W77" s="49">
        <f>[7]Sheet1!W$49</f>
        <v>1.7007255637069507E-2</v>
      </c>
      <c r="X77" s="49">
        <f>[7]Sheet1!X$49</f>
        <v>1.7862738659350397E-2</v>
      </c>
      <c r="Y77" s="49">
        <f>[7]Sheet1!Y$49</f>
        <v>1.7093948856500729E-2</v>
      </c>
      <c r="Z77" s="49">
        <f>[7]Sheet1!Z$49</f>
        <v>1.7114294993705759E-2</v>
      </c>
      <c r="AA77" s="49">
        <f>[7]Sheet1!AA$49</f>
        <v>1.6883601143775406E-2</v>
      </c>
      <c r="AB77" s="49">
        <f>[7]Sheet1!AB$49</f>
        <v>1.6635923265911234E-2</v>
      </c>
      <c r="AC77" s="49">
        <f>[7]Sheet1!AC$49</f>
        <v>1.6738856064110408E-2</v>
      </c>
      <c r="AD77" s="49">
        <f>[7]Sheet1!AD$49</f>
        <v>1.6085659514103678E-2</v>
      </c>
      <c r="AE77" s="49">
        <f>[7]Sheet1!AE$49</f>
        <v>1.6102917525955496E-2</v>
      </c>
      <c r="AF77" s="49">
        <f>[7]Sheet1!AF$49</f>
        <v>1.5829203846660089E-2</v>
      </c>
      <c r="AG77" s="49">
        <f>[7]Sheet1!AG$49</f>
        <v>1.5731034666694121E-2</v>
      </c>
      <c r="AH77" s="49">
        <f>[7]Sheet1!AH$49</f>
        <v>1.5994525390524705E-2</v>
      </c>
      <c r="AI77" s="49">
        <f>[7]Sheet1!AI$49</f>
        <v>1.543976234068456E-2</v>
      </c>
      <c r="AJ77" s="49"/>
      <c r="AK77" s="49"/>
      <c r="AL77" s="49"/>
      <c r="AM77" s="49"/>
      <c r="AN77" s="49"/>
      <c r="AO77" s="49"/>
      <c r="AP77" s="49"/>
      <c r="AQ77" s="49"/>
      <c r="AR77" s="49"/>
      <c r="AS77" s="49"/>
      <c r="AT77" s="49"/>
      <c r="AU77" s="49"/>
      <c r="AV77" s="49"/>
      <c r="AW77" s="49"/>
      <c r="AX77" s="49"/>
      <c r="AY77" s="49"/>
      <c r="AZ77" s="49"/>
      <c r="BA77" s="49"/>
      <c r="BB77" s="49"/>
      <c r="BC77" s="49"/>
      <c r="BD77" s="49"/>
      <c r="BE77" s="49"/>
      <c r="BF77" s="49"/>
      <c r="BG77" s="49"/>
      <c r="BH77" s="49"/>
      <c r="BI77" s="49"/>
      <c r="BJ77" s="49"/>
      <c r="BK77" s="49"/>
      <c r="BL77" s="49"/>
      <c r="BM77" s="49"/>
      <c r="BN77" s="49"/>
      <c r="BO77" s="49"/>
      <c r="BP77" s="49"/>
      <c r="BQ77" s="49"/>
      <c r="BR77" s="49"/>
      <c r="BS77" s="49"/>
      <c r="BT77" s="49"/>
      <c r="BU77" s="49"/>
      <c r="BV77" s="49"/>
    </row>
    <row r="78" spans="1:74" x14ac:dyDescent="0.25">
      <c r="H78" s="82" t="s">
        <v>302</v>
      </c>
    </row>
    <row r="108" spans="2:74" x14ac:dyDescent="0.25">
      <c r="B108" s="82" t="s">
        <v>0</v>
      </c>
      <c r="C108" s="119">
        <v>40724</v>
      </c>
      <c r="D108" s="119">
        <v>41090</v>
      </c>
      <c r="E108" s="119">
        <v>41455</v>
      </c>
      <c r="F108" s="119">
        <v>41820</v>
      </c>
      <c r="G108" s="119">
        <v>42185</v>
      </c>
      <c r="H108" s="119">
        <v>42551</v>
      </c>
      <c r="I108" s="119">
        <v>42916</v>
      </c>
      <c r="J108" s="119">
        <v>43281</v>
      </c>
      <c r="K108" s="119">
        <v>43646</v>
      </c>
      <c r="L108" s="119">
        <v>44012</v>
      </c>
      <c r="M108" s="119">
        <v>44377</v>
      </c>
      <c r="N108" s="119">
        <v>44742</v>
      </c>
      <c r="O108" s="119">
        <v>45107</v>
      </c>
      <c r="P108" s="119">
        <v>45473</v>
      </c>
      <c r="Q108" s="119">
        <v>45838</v>
      </c>
      <c r="R108" s="119">
        <v>46203</v>
      </c>
      <c r="S108" s="119">
        <v>46568</v>
      </c>
      <c r="T108" s="119">
        <v>46934</v>
      </c>
      <c r="U108" s="119">
        <v>47299</v>
      </c>
      <c r="V108" s="119">
        <v>47664</v>
      </c>
      <c r="W108" s="119">
        <v>48029</v>
      </c>
      <c r="X108" s="119">
        <v>48395</v>
      </c>
      <c r="Y108" s="119">
        <v>48760</v>
      </c>
      <c r="Z108" s="119">
        <v>49125</v>
      </c>
      <c r="AA108" s="119">
        <v>49490</v>
      </c>
      <c r="AB108" s="119">
        <v>49856</v>
      </c>
      <c r="AC108" s="119">
        <v>50221</v>
      </c>
      <c r="AD108" s="119">
        <v>50586</v>
      </c>
      <c r="AE108" s="119">
        <v>50951</v>
      </c>
      <c r="AF108" s="119">
        <v>51317</v>
      </c>
      <c r="AG108" s="119">
        <v>51682</v>
      </c>
      <c r="AH108" s="119">
        <v>52047</v>
      </c>
      <c r="AI108" s="119">
        <v>52412</v>
      </c>
      <c r="AJ108" s="119"/>
      <c r="AK108" s="119"/>
      <c r="AL108" s="119"/>
      <c r="AM108" s="119"/>
      <c r="AN108" s="119"/>
      <c r="AO108" s="119"/>
      <c r="AP108" s="119"/>
      <c r="AQ108" s="119"/>
      <c r="AR108" s="119"/>
      <c r="AS108" s="119"/>
      <c r="AT108" s="119"/>
      <c r="AU108" s="119"/>
      <c r="AV108" s="119"/>
      <c r="AW108" s="119"/>
      <c r="AX108" s="119"/>
      <c r="AY108" s="119"/>
      <c r="AZ108" s="119"/>
      <c r="BA108" s="119"/>
      <c r="BB108" s="119"/>
      <c r="BC108" s="119"/>
      <c r="BD108" s="119"/>
      <c r="BE108" s="119"/>
      <c r="BF108" s="119"/>
      <c r="BG108" s="119"/>
      <c r="BH108" s="119"/>
      <c r="BI108" s="119"/>
      <c r="BJ108" s="119"/>
      <c r="BK108" s="119"/>
      <c r="BL108" s="119"/>
      <c r="BM108" s="119"/>
      <c r="BN108" s="119"/>
      <c r="BO108" s="119"/>
      <c r="BP108" s="119"/>
      <c r="BQ108" s="119"/>
      <c r="BR108" s="119"/>
      <c r="BS108" s="119"/>
      <c r="BT108" s="119"/>
      <c r="BU108" s="119"/>
      <c r="BV108" s="119"/>
    </row>
    <row r="109" spans="2:74" x14ac:dyDescent="0.25">
      <c r="B109" s="82" t="s">
        <v>303</v>
      </c>
      <c r="C109" s="2">
        <f>C2</f>
        <v>647274</v>
      </c>
      <c r="D109" s="2">
        <f t="shared" ref="D109:M109" si="37">D2</f>
        <v>660986</v>
      </c>
      <c r="E109" s="2">
        <f t="shared" si="37"/>
        <v>670778</v>
      </c>
      <c r="F109" s="2">
        <f t="shared" si="37"/>
        <v>684741</v>
      </c>
      <c r="G109" s="2">
        <f t="shared" si="37"/>
        <v>698667</v>
      </c>
      <c r="H109" s="2">
        <f t="shared" si="37"/>
        <v>712451</v>
      </c>
      <c r="I109" s="2">
        <f t="shared" si="37"/>
        <v>730259</v>
      </c>
      <c r="J109" s="2">
        <f t="shared" si="37"/>
        <v>746925</v>
      </c>
      <c r="K109" s="2">
        <f t="shared" si="37"/>
        <v>764589</v>
      </c>
      <c r="L109" s="2">
        <f t="shared" si="37"/>
        <v>781288</v>
      </c>
      <c r="M109" s="2">
        <f t="shared" si="37"/>
        <v>796883</v>
      </c>
    </row>
    <row r="110" spans="2:74" x14ac:dyDescent="0.25">
      <c r="B110" s="82" t="s">
        <v>304</v>
      </c>
      <c r="K110" s="2"/>
      <c r="L110" s="2"/>
      <c r="M110" s="2">
        <f t="shared" ref="M110:AI110" si="38">M2</f>
        <v>796883</v>
      </c>
      <c r="N110" s="2">
        <f t="shared" si="38"/>
        <v>805640</v>
      </c>
      <c r="O110" s="2">
        <f t="shared" si="38"/>
        <v>814500</v>
      </c>
      <c r="P110" s="2">
        <f t="shared" si="38"/>
        <v>826940</v>
      </c>
      <c r="Q110" s="2">
        <f t="shared" si="38"/>
        <v>839340</v>
      </c>
      <c r="R110" s="2">
        <f t="shared" si="38"/>
        <v>851930</v>
      </c>
      <c r="S110" s="2">
        <f t="shared" si="38"/>
        <v>864070</v>
      </c>
      <c r="T110" s="2">
        <f t="shared" si="38"/>
        <v>875740</v>
      </c>
      <c r="U110" s="2">
        <f t="shared" si="38"/>
        <v>886960</v>
      </c>
      <c r="V110" s="2">
        <f t="shared" si="38"/>
        <v>897730</v>
      </c>
      <c r="W110" s="2">
        <f t="shared" si="38"/>
        <v>908060</v>
      </c>
      <c r="X110" s="2">
        <f t="shared" si="38"/>
        <v>918990</v>
      </c>
      <c r="Y110" s="2">
        <f t="shared" si="38"/>
        <v>930560</v>
      </c>
      <c r="Z110" s="2">
        <f t="shared" si="38"/>
        <v>942810</v>
      </c>
      <c r="AA110" s="2">
        <f t="shared" si="38"/>
        <v>955790</v>
      </c>
      <c r="AB110" s="2">
        <f t="shared" si="38"/>
        <v>969540</v>
      </c>
      <c r="AC110" s="2">
        <f t="shared" si="38"/>
        <v>983200</v>
      </c>
      <c r="AD110" s="2">
        <f t="shared" si="38"/>
        <v>996760</v>
      </c>
      <c r="AE110" s="2">
        <f t="shared" si="38"/>
        <v>1010210</v>
      </c>
      <c r="AF110" s="2">
        <f t="shared" si="38"/>
        <v>1023550</v>
      </c>
      <c r="AG110" s="2">
        <f t="shared" si="38"/>
        <v>1036780</v>
      </c>
      <c r="AH110" s="2">
        <f t="shared" si="38"/>
        <v>1050620</v>
      </c>
      <c r="AI110" s="2">
        <f t="shared" si="38"/>
        <v>1065110</v>
      </c>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c r="BV110" s="2"/>
    </row>
    <row r="115" spans="5:16" x14ac:dyDescent="0.25">
      <c r="E115" t="s">
        <v>404</v>
      </c>
      <c r="F115" s="56" t="s">
        <v>231</v>
      </c>
      <c r="G115" s="56" t="s">
        <v>232</v>
      </c>
      <c r="H115" s="56" t="s">
        <v>233</v>
      </c>
      <c r="I115" s="56" t="s">
        <v>234</v>
      </c>
      <c r="J115" s="56" t="s">
        <v>235</v>
      </c>
      <c r="K115" s="56" t="s">
        <v>261</v>
      </c>
      <c r="L115" s="56" t="s">
        <v>262</v>
      </c>
      <c r="M115" s="56" t="s">
        <v>263</v>
      </c>
      <c r="N115" s="57" t="s">
        <v>264</v>
      </c>
      <c r="O115" s="56" t="s">
        <v>265</v>
      </c>
    </row>
    <row r="116" spans="5:16" x14ac:dyDescent="0.25">
      <c r="E116" t="s">
        <v>176</v>
      </c>
      <c r="F116" s="56"/>
      <c r="G116" s="56"/>
      <c r="H116" s="56"/>
      <c r="I116" s="56"/>
      <c r="J116" s="56"/>
      <c r="K116" s="56"/>
      <c r="L116" s="56"/>
      <c r="M116" s="56"/>
      <c r="N116" s="56"/>
      <c r="O116" s="56"/>
    </row>
    <row r="117" spans="5:16" x14ac:dyDescent="0.25">
      <c r="E117" s="121" t="s">
        <v>306</v>
      </c>
      <c r="F117" s="222">
        <f>F6*775</f>
        <v>8115993.75</v>
      </c>
      <c r="G117" s="222">
        <f t="shared" ref="G117:M117" si="39">G6*775</f>
        <v>8094487.5</v>
      </c>
      <c r="H117" s="222">
        <f t="shared" si="39"/>
        <v>8011950</v>
      </c>
      <c r="I117" s="222">
        <f t="shared" si="39"/>
        <v>10350900</v>
      </c>
      <c r="J117" s="222">
        <f t="shared" si="39"/>
        <v>9687112.5</v>
      </c>
      <c r="K117" s="222">
        <f t="shared" si="39"/>
        <v>10267200</v>
      </c>
      <c r="L117" s="222">
        <f t="shared" si="39"/>
        <v>9706293.75</v>
      </c>
      <c r="M117" s="222">
        <f t="shared" si="39"/>
        <v>9064593.75</v>
      </c>
      <c r="N117" s="222">
        <f t="shared" ref="N117:O117" si="40">N6*775</f>
        <v>5090006.25</v>
      </c>
      <c r="O117" s="222">
        <f t="shared" si="40"/>
        <v>5149875</v>
      </c>
      <c r="P117" s="28">
        <f>SUM(F117:O117)</f>
        <v>83538412.5</v>
      </c>
    </row>
    <row r="118" spans="5:16" x14ac:dyDescent="0.25">
      <c r="E118" s="121" t="s">
        <v>307</v>
      </c>
      <c r="F118" s="222">
        <f>F7*'Summary of NCCS - 20 year model'!$D4</f>
        <v>6251933.2499999991</v>
      </c>
      <c r="G118" s="222">
        <f>G7*'Summary of NCCS - 20 year model'!$D4</f>
        <v>6235366.5</v>
      </c>
      <c r="H118" s="222">
        <f>H7*'Summary of NCCS - 20 year model'!$D4</f>
        <v>6171786</v>
      </c>
      <c r="I118" s="222">
        <f>I7*'Summary of NCCS - 20 year model'!$D4</f>
        <v>7973531.9999999991</v>
      </c>
      <c r="J118" s="222">
        <f>J7*'Summary of NCCS - 20 year model'!$D4</f>
        <v>7462201.5</v>
      </c>
      <c r="K118" s="222">
        <f>K7*'Summary of NCCS - 20 year model'!$D4</f>
        <v>7909056</v>
      </c>
      <c r="L118" s="222">
        <f>L7*'Summary of NCCS - 20 year model'!$D4</f>
        <v>7476977.25</v>
      </c>
      <c r="M118" s="222">
        <f>M7*'Summary of NCCS - 20 year model'!$D4</f>
        <v>6982661.25</v>
      </c>
      <c r="N118" s="222">
        <f>N7*'Summary of NCCS - 20 year model'!$D4</f>
        <v>3920946.75</v>
      </c>
      <c r="O118" s="222">
        <f>O7*'Summary of NCCS - 20 year model'!$D4</f>
        <v>3967065</v>
      </c>
      <c r="P118" s="28">
        <f>SUM(F118:O118)</f>
        <v>64351525.5</v>
      </c>
    </row>
    <row r="119" spans="5:16" x14ac:dyDescent="0.25">
      <c r="E119" s="121" t="s">
        <v>229</v>
      </c>
      <c r="F119" s="222" t="e">
        <f>F8*'Summary of NCCS - 20 year model'!#REF!</f>
        <v>#REF!</v>
      </c>
      <c r="G119" s="222" t="e">
        <f>G8*'Summary of NCCS - 20 year model'!#REF!</f>
        <v>#REF!</v>
      </c>
      <c r="H119" s="222" t="e">
        <f>H8*'Summary of NCCS - 20 year model'!#REF!</f>
        <v>#REF!</v>
      </c>
      <c r="I119" s="222" t="e">
        <f>I8*'Summary of NCCS - 20 year model'!#REF!</f>
        <v>#REF!</v>
      </c>
      <c r="J119" s="222" t="e">
        <f>J8*'Summary of NCCS - 20 year model'!#REF!</f>
        <v>#REF!</v>
      </c>
      <c r="K119" s="222" t="e">
        <f>K8*'Summary of NCCS - 20 year model'!#REF!</f>
        <v>#REF!</v>
      </c>
      <c r="L119" s="222" t="e">
        <f>L8*'Summary of NCCS - 20 year model'!#REF!</f>
        <v>#REF!</v>
      </c>
      <c r="M119" s="222" t="e">
        <f>M8*'Summary of NCCS - 20 year model'!#REF!</f>
        <v>#REF!</v>
      </c>
      <c r="N119" s="222" t="e">
        <f>N8*'Summary of NCCS - 20 year model'!#REF!</f>
        <v>#REF!</v>
      </c>
      <c r="O119" s="222" t="e">
        <f>O8*'Summary of NCCS - 20 year model'!#REF!</f>
        <v>#REF!</v>
      </c>
      <c r="P119" s="28" t="e">
        <f>SUM(F119:O119)</f>
        <v>#REF!</v>
      </c>
    </row>
    <row r="120" spans="5:16" x14ac:dyDescent="0.25">
      <c r="E120" s="121" t="s">
        <v>228</v>
      </c>
      <c r="F120" s="222" t="e">
        <f>F9*'Summary of NCCS - 20 year model'!#REF!</f>
        <v>#REF!</v>
      </c>
      <c r="G120" s="222" t="e">
        <f>G9*'Summary of NCCS - 20 year model'!#REF!</f>
        <v>#REF!</v>
      </c>
      <c r="H120" s="222" t="e">
        <f>H9*'Summary of NCCS - 20 year model'!#REF!</f>
        <v>#REF!</v>
      </c>
      <c r="I120" s="222" t="e">
        <f>I9*'Summary of NCCS - 20 year model'!#REF!</f>
        <v>#REF!</v>
      </c>
      <c r="J120" s="222" t="e">
        <f>J9*'Summary of NCCS - 20 year model'!#REF!</f>
        <v>#REF!</v>
      </c>
      <c r="K120" s="222" t="e">
        <f>K9*'Summary of NCCS - 20 year model'!#REF!</f>
        <v>#REF!</v>
      </c>
      <c r="L120" s="222" t="e">
        <f>L9*'Summary of NCCS - 20 year model'!#REF!</f>
        <v>#REF!</v>
      </c>
      <c r="M120" s="222" t="e">
        <f>M9*'Summary of NCCS - 20 year model'!#REF!</f>
        <v>#REF!</v>
      </c>
      <c r="N120" s="222" t="e">
        <f>N9*'Summary of NCCS - 20 year model'!#REF!</f>
        <v>#REF!</v>
      </c>
      <c r="O120" s="222" t="e">
        <f>O9*'Summary of NCCS - 20 year model'!#REF!</f>
        <v>#REF!</v>
      </c>
      <c r="P120" s="28" t="e">
        <f>SUM(F120:O120)</f>
        <v>#REF!</v>
      </c>
    </row>
    <row r="121" spans="5:16" x14ac:dyDescent="0.25">
      <c r="F121" s="222" t="e">
        <f t="shared" ref="F121:O121" si="41">SUM(F117:F120)</f>
        <v>#REF!</v>
      </c>
      <c r="G121" s="222" t="e">
        <f t="shared" si="41"/>
        <v>#REF!</v>
      </c>
      <c r="H121" s="222" t="e">
        <f t="shared" si="41"/>
        <v>#REF!</v>
      </c>
      <c r="I121" s="222" t="e">
        <f t="shared" si="41"/>
        <v>#REF!</v>
      </c>
      <c r="J121" s="222" t="e">
        <f t="shared" si="41"/>
        <v>#REF!</v>
      </c>
      <c r="K121" s="222" t="e">
        <f t="shared" si="41"/>
        <v>#REF!</v>
      </c>
      <c r="L121" s="222" t="e">
        <f t="shared" si="41"/>
        <v>#REF!</v>
      </c>
      <c r="M121" s="222" t="e">
        <f t="shared" si="41"/>
        <v>#REF!</v>
      </c>
      <c r="N121" s="222" t="e">
        <f t="shared" si="41"/>
        <v>#REF!</v>
      </c>
      <c r="O121" s="222" t="e">
        <f t="shared" si="41"/>
        <v>#REF!</v>
      </c>
      <c r="P121" s="28" t="e">
        <f>SUM(F121:O121)</f>
        <v>#REF!</v>
      </c>
    </row>
    <row r="122" spans="5:16" x14ac:dyDescent="0.25">
      <c r="E122" s="121" t="s">
        <v>308</v>
      </c>
    </row>
    <row r="123" spans="5:16" x14ac:dyDescent="0.25">
      <c r="E123" s="121" t="s">
        <v>306</v>
      </c>
    </row>
    <row r="124" spans="5:16" x14ac:dyDescent="0.25">
      <c r="E124" s="121" t="s">
        <v>307</v>
      </c>
    </row>
    <row r="125" spans="5:16" x14ac:dyDescent="0.25">
      <c r="E125" s="121" t="s">
        <v>229</v>
      </c>
    </row>
    <row r="126" spans="5:16" x14ac:dyDescent="0.25">
      <c r="E126" s="121" t="s">
        <v>228</v>
      </c>
    </row>
  </sheetData>
  <mergeCells count="3">
    <mergeCell ref="A2:A19"/>
    <mergeCell ref="A26:A43"/>
    <mergeCell ref="A69:A70"/>
  </mergeCells>
  <pageMargins left="0.7" right="0.7" top="0.75" bottom="0.75" header="0.3" footer="0.3"/>
  <drawing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F74F1B-4EEE-47E8-AFCC-845DF8B8E35D}">
  <dimension ref="B1:X157"/>
  <sheetViews>
    <sheetView workbookViewId="0">
      <selection activeCell="A13" sqref="A13"/>
    </sheetView>
  </sheetViews>
  <sheetFormatPr defaultColWidth="9" defaultRowHeight="12.75" x14ac:dyDescent="0.2"/>
  <cols>
    <col min="1" max="2" width="9" style="27"/>
    <col min="3" max="3" width="31.125" style="27" bestFit="1" customWidth="1"/>
    <col min="4" max="4" width="12.875" style="27" customWidth="1"/>
    <col min="5" max="5" width="12.125" style="27" bestFit="1" customWidth="1"/>
    <col min="6" max="8" width="12" style="27" customWidth="1"/>
    <col min="9" max="9" width="11.75" style="27" bestFit="1" customWidth="1"/>
    <col min="10" max="10" width="13.25" style="27" bestFit="1" customWidth="1"/>
    <col min="11" max="11" width="17.625" style="27" bestFit="1" customWidth="1"/>
    <col min="12" max="12" width="18.5" style="27" bestFit="1" customWidth="1"/>
    <col min="13" max="13" width="17.625" style="27" bestFit="1" customWidth="1"/>
    <col min="14" max="14" width="11.625" style="27" customWidth="1"/>
    <col min="15" max="16" width="18.5" style="27" bestFit="1" customWidth="1"/>
    <col min="17" max="17" width="19.75" style="27" bestFit="1" customWidth="1"/>
    <col min="18" max="22" width="18.5" style="27" bestFit="1" customWidth="1"/>
    <col min="23" max="23" width="12.75" style="27" customWidth="1"/>
    <col min="24" max="25" width="9.875" style="27" bestFit="1" customWidth="1"/>
    <col min="26" max="46" width="9.125" style="27" bestFit="1" customWidth="1"/>
    <col min="47" max="16384" width="9" style="27"/>
  </cols>
  <sheetData>
    <row r="1" spans="2:24" s="131" customFormat="1" x14ac:dyDescent="0.2">
      <c r="B1" s="122"/>
      <c r="C1" s="123"/>
      <c r="D1" s="123"/>
      <c r="E1" s="124" t="s">
        <v>177</v>
      </c>
      <c r="F1" s="125" t="s">
        <v>178</v>
      </c>
      <c r="G1" s="124" t="s">
        <v>179</v>
      </c>
      <c r="H1" s="126" t="s">
        <v>180</v>
      </c>
      <c r="I1" s="124" t="s">
        <v>181</v>
      </c>
      <c r="J1" s="126" t="s">
        <v>182</v>
      </c>
      <c r="K1" s="124" t="s">
        <v>189</v>
      </c>
      <c r="L1" s="126" t="s">
        <v>190</v>
      </c>
      <c r="M1" s="124" t="s">
        <v>191</v>
      </c>
      <c r="N1" s="126" t="s">
        <v>192</v>
      </c>
      <c r="O1" s="124" t="s">
        <v>193</v>
      </c>
      <c r="P1" s="127" t="s">
        <v>194</v>
      </c>
      <c r="Q1" s="128" t="s">
        <v>195</v>
      </c>
      <c r="R1" s="129" t="s">
        <v>196</v>
      </c>
      <c r="S1" s="130" t="s">
        <v>197</v>
      </c>
      <c r="T1" s="129" t="s">
        <v>198</v>
      </c>
      <c r="U1" s="130" t="s">
        <v>199</v>
      </c>
    </row>
    <row r="2" spans="2:24" s="140" customFormat="1" ht="51" x14ac:dyDescent="0.25">
      <c r="B2" s="132" t="s">
        <v>200</v>
      </c>
      <c r="C2" s="133"/>
      <c r="D2" s="133"/>
      <c r="E2" s="134" t="s">
        <v>201</v>
      </c>
      <c r="F2" s="135" t="s">
        <v>201</v>
      </c>
      <c r="G2" s="134" t="s">
        <v>201</v>
      </c>
      <c r="H2" s="135" t="s">
        <v>201</v>
      </c>
      <c r="I2" s="134" t="s">
        <v>201</v>
      </c>
      <c r="J2" s="135" t="s">
        <v>201</v>
      </c>
      <c r="K2" s="134" t="s">
        <v>201</v>
      </c>
      <c r="L2" s="134" t="s">
        <v>201</v>
      </c>
      <c r="M2" s="134" t="s">
        <v>201</v>
      </c>
      <c r="N2" s="135" t="s">
        <v>201</v>
      </c>
      <c r="O2" s="134" t="s">
        <v>201</v>
      </c>
      <c r="P2" s="136" t="s">
        <v>242</v>
      </c>
      <c r="Q2" s="137" t="s">
        <v>202</v>
      </c>
      <c r="R2" s="138" t="s">
        <v>202</v>
      </c>
      <c r="S2" s="139" t="s">
        <v>202</v>
      </c>
      <c r="T2" s="138" t="s">
        <v>202</v>
      </c>
      <c r="U2" s="139" t="s">
        <v>202</v>
      </c>
      <c r="V2" s="140" t="s">
        <v>203</v>
      </c>
    </row>
    <row r="3" spans="2:24" s="142" customFormat="1" x14ac:dyDescent="0.2">
      <c r="B3" s="141"/>
      <c r="E3" s="143"/>
      <c r="F3" s="144"/>
      <c r="G3" s="143"/>
      <c r="H3" s="145"/>
      <c r="I3" s="143"/>
      <c r="J3" s="145"/>
      <c r="K3" s="143"/>
      <c r="L3" s="145"/>
      <c r="M3" s="143"/>
      <c r="N3" s="145"/>
      <c r="O3" s="143"/>
      <c r="P3" s="146"/>
      <c r="Q3" s="147"/>
      <c r="R3" s="148"/>
      <c r="S3" s="149"/>
      <c r="T3" s="148"/>
      <c r="U3" s="150"/>
    </row>
    <row r="4" spans="2:24" s="140" customFormat="1" x14ac:dyDescent="0.25">
      <c r="B4" s="151"/>
      <c r="C4" s="140" t="s">
        <v>204</v>
      </c>
      <c r="E4" s="152">
        <v>19.100000000000001</v>
      </c>
      <c r="F4" s="153">
        <v>14.83</v>
      </c>
      <c r="G4" s="152">
        <v>12.42</v>
      </c>
      <c r="H4" s="154">
        <v>15.14</v>
      </c>
      <c r="I4" s="152">
        <v>14.27</v>
      </c>
      <c r="J4" s="154">
        <v>10.92</v>
      </c>
      <c r="K4" s="152">
        <v>19.29</v>
      </c>
      <c r="L4" s="154">
        <v>13.39</v>
      </c>
      <c r="M4" s="152">
        <v>11.62</v>
      </c>
      <c r="N4" s="154">
        <v>3.99</v>
      </c>
      <c r="O4" s="152">
        <v>10.039999999999999</v>
      </c>
      <c r="P4" s="155">
        <v>7.42</v>
      </c>
      <c r="Q4" s="156">
        <v>18.434999999999999</v>
      </c>
      <c r="R4" s="157">
        <v>25.192</v>
      </c>
      <c r="S4" s="158">
        <v>24.736000000000001</v>
      </c>
      <c r="T4" s="157">
        <v>25.06</v>
      </c>
      <c r="U4" s="159">
        <v>16.032</v>
      </c>
      <c r="W4" s="160"/>
      <c r="X4" s="160"/>
    </row>
    <row r="5" spans="2:24" s="140" customFormat="1" x14ac:dyDescent="0.25">
      <c r="B5" s="151"/>
      <c r="C5" s="140" t="s">
        <v>205</v>
      </c>
      <c r="E5" s="152">
        <v>6.88</v>
      </c>
      <c r="F5" s="153">
        <v>4.0599999999999996</v>
      </c>
      <c r="G5" s="152">
        <v>2.5</v>
      </c>
      <c r="H5" s="154">
        <v>1.79</v>
      </c>
      <c r="I5" s="152">
        <v>5.51</v>
      </c>
      <c r="J5" s="154">
        <v>1.9</v>
      </c>
      <c r="K5" s="152">
        <v>3.81</v>
      </c>
      <c r="L5" s="154">
        <v>4.09</v>
      </c>
      <c r="M5" s="152">
        <v>3.66</v>
      </c>
      <c r="N5" s="154">
        <v>0.5</v>
      </c>
      <c r="O5" s="152">
        <v>12.01</v>
      </c>
      <c r="P5" s="155">
        <v>4.2300000000000004</v>
      </c>
      <c r="Q5" s="156">
        <v>3.419</v>
      </c>
      <c r="R5" s="157">
        <v>2.8809999999999998</v>
      </c>
      <c r="S5" s="158">
        <v>2.306</v>
      </c>
      <c r="T5" s="157">
        <v>3.4180000000000001</v>
      </c>
      <c r="U5" s="159">
        <v>2.16</v>
      </c>
      <c r="W5" s="160"/>
      <c r="X5" s="160"/>
    </row>
    <row r="6" spans="2:24" s="140" customFormat="1" x14ac:dyDescent="0.25">
      <c r="B6" s="161"/>
      <c r="C6" s="140" t="s">
        <v>206</v>
      </c>
      <c r="E6" s="152"/>
      <c r="F6" s="153"/>
      <c r="G6" s="152"/>
      <c r="H6" s="154"/>
      <c r="I6" s="152"/>
      <c r="J6" s="154"/>
      <c r="K6" s="152"/>
      <c r="L6" s="154"/>
      <c r="M6" s="152">
        <v>0</v>
      </c>
      <c r="N6" s="154">
        <v>0</v>
      </c>
      <c r="O6" s="152">
        <v>0</v>
      </c>
      <c r="P6" s="155">
        <v>0</v>
      </c>
      <c r="Q6" s="156">
        <v>0</v>
      </c>
      <c r="R6" s="157">
        <v>0</v>
      </c>
      <c r="S6" s="158">
        <v>0</v>
      </c>
      <c r="T6" s="157">
        <v>0</v>
      </c>
      <c r="U6" s="159">
        <v>1</v>
      </c>
    </row>
    <row r="7" spans="2:24" s="163" customFormat="1" x14ac:dyDescent="0.25">
      <c r="B7" s="162"/>
      <c r="C7" s="163" t="s">
        <v>207</v>
      </c>
      <c r="E7" s="164">
        <f t="shared" ref="E7:U7" si="0">SUM(E4:E6)</f>
        <v>25.98</v>
      </c>
      <c r="F7" s="165">
        <f t="shared" si="0"/>
        <v>18.89</v>
      </c>
      <c r="G7" s="164">
        <f t="shared" si="0"/>
        <v>14.92</v>
      </c>
      <c r="H7" s="166">
        <f t="shared" si="0"/>
        <v>16.93</v>
      </c>
      <c r="I7" s="164">
        <f t="shared" si="0"/>
        <v>19.78</v>
      </c>
      <c r="J7" s="166">
        <f t="shared" si="0"/>
        <v>12.82</v>
      </c>
      <c r="K7" s="164">
        <f t="shared" si="0"/>
        <v>23.099999999999998</v>
      </c>
      <c r="L7" s="166">
        <f t="shared" si="0"/>
        <v>17.48</v>
      </c>
      <c r="M7" s="164">
        <f t="shared" si="0"/>
        <v>15.28</v>
      </c>
      <c r="N7" s="166">
        <f t="shared" si="0"/>
        <v>4.49</v>
      </c>
      <c r="O7" s="164">
        <f t="shared" si="0"/>
        <v>22.049999999999997</v>
      </c>
      <c r="P7" s="167">
        <f t="shared" si="0"/>
        <v>11.65</v>
      </c>
      <c r="Q7" s="168">
        <f t="shared" si="0"/>
        <v>21.853999999999999</v>
      </c>
      <c r="R7" s="169">
        <f t="shared" si="0"/>
        <v>28.073</v>
      </c>
      <c r="S7" s="170">
        <f t="shared" si="0"/>
        <v>27.042000000000002</v>
      </c>
      <c r="T7" s="169">
        <f t="shared" si="0"/>
        <v>28.477999999999998</v>
      </c>
      <c r="U7" s="171">
        <f t="shared" si="0"/>
        <v>19.192</v>
      </c>
      <c r="V7" s="172">
        <f>AVERAGE(M7:U7)</f>
        <v>19.789888888888889</v>
      </c>
    </row>
    <row r="8" spans="2:24" s="140" customFormat="1" x14ac:dyDescent="0.25">
      <c r="B8" s="151"/>
      <c r="E8" s="152"/>
      <c r="F8" s="153"/>
      <c r="G8" s="152"/>
      <c r="H8" s="154"/>
      <c r="I8" s="152"/>
      <c r="J8" s="154"/>
      <c r="K8" s="152"/>
      <c r="L8" s="154"/>
      <c r="M8" s="152"/>
      <c r="N8" s="154"/>
      <c r="O8" s="152"/>
      <c r="P8" s="155"/>
      <c r="Q8" s="156"/>
      <c r="R8" s="157"/>
      <c r="S8" s="158"/>
      <c r="T8" s="157"/>
      <c r="U8" s="159"/>
      <c r="W8" s="160"/>
      <c r="X8" s="160"/>
    </row>
    <row r="9" spans="2:24" s="140" customFormat="1" x14ac:dyDescent="0.25">
      <c r="B9" s="151"/>
      <c r="C9" s="140" t="s">
        <v>208</v>
      </c>
      <c r="E9" s="152"/>
      <c r="F9" s="153"/>
      <c r="G9" s="152"/>
      <c r="H9" s="154"/>
      <c r="I9" s="152"/>
      <c r="J9" s="154"/>
      <c r="K9" s="152">
        <v>5.95</v>
      </c>
      <c r="L9" s="154">
        <v>20.88</v>
      </c>
      <c r="M9" s="152">
        <v>2.35</v>
      </c>
      <c r="N9" s="154">
        <v>6.07</v>
      </c>
      <c r="O9" s="152">
        <v>3.51</v>
      </c>
      <c r="P9" s="155">
        <v>6.81</v>
      </c>
      <c r="Q9" s="156">
        <v>8.3550000000000004</v>
      </c>
      <c r="R9" s="157">
        <v>20.538</v>
      </c>
      <c r="S9" s="158">
        <v>16.038</v>
      </c>
      <c r="T9" s="157">
        <v>12.608000000000001</v>
      </c>
      <c r="U9" s="159">
        <v>13.590999999999999</v>
      </c>
      <c r="W9" s="160"/>
      <c r="X9" s="160"/>
    </row>
    <row r="10" spans="2:24" s="140" customFormat="1" x14ac:dyDescent="0.25">
      <c r="B10" s="151"/>
      <c r="C10" s="140" t="s">
        <v>209</v>
      </c>
      <c r="E10" s="152"/>
      <c r="F10" s="153"/>
      <c r="G10" s="152"/>
      <c r="H10" s="154"/>
      <c r="I10" s="152"/>
      <c r="J10" s="154"/>
      <c r="K10" s="152"/>
      <c r="L10" s="154"/>
      <c r="M10" s="152"/>
      <c r="N10" s="154">
        <v>0</v>
      </c>
      <c r="O10" s="152">
        <v>0</v>
      </c>
      <c r="P10" s="155"/>
      <c r="Q10" s="156">
        <v>0.624</v>
      </c>
      <c r="R10" s="157">
        <v>0</v>
      </c>
      <c r="S10" s="158">
        <v>0</v>
      </c>
      <c r="T10" s="157">
        <v>0.3</v>
      </c>
      <c r="U10" s="159">
        <v>0.46200000000000002</v>
      </c>
      <c r="W10" s="160"/>
      <c r="X10" s="160"/>
    </row>
    <row r="11" spans="2:24" s="140" customFormat="1" x14ac:dyDescent="0.25">
      <c r="B11" s="151"/>
      <c r="C11" s="140" t="s">
        <v>210</v>
      </c>
      <c r="E11" s="152"/>
      <c r="F11" s="153"/>
      <c r="G11" s="152">
        <v>3.96</v>
      </c>
      <c r="H11" s="154"/>
      <c r="I11" s="152"/>
      <c r="J11" s="154"/>
      <c r="K11" s="152"/>
      <c r="L11" s="154"/>
      <c r="M11" s="152">
        <v>0</v>
      </c>
      <c r="N11" s="154">
        <v>0</v>
      </c>
      <c r="O11" s="152">
        <v>0</v>
      </c>
      <c r="P11" s="155">
        <v>0</v>
      </c>
      <c r="Q11" s="156">
        <v>0</v>
      </c>
      <c r="R11" s="157">
        <v>0</v>
      </c>
      <c r="S11" s="158">
        <v>0</v>
      </c>
      <c r="T11" s="157">
        <v>0</v>
      </c>
      <c r="U11" s="159">
        <v>0</v>
      </c>
      <c r="W11" s="160"/>
      <c r="X11" s="160"/>
    </row>
    <row r="12" spans="2:24" s="140" customFormat="1" x14ac:dyDescent="0.25">
      <c r="B12" s="161"/>
      <c r="C12" s="140" t="s">
        <v>211</v>
      </c>
      <c r="E12" s="152"/>
      <c r="F12" s="153"/>
      <c r="G12" s="152"/>
      <c r="H12" s="154"/>
      <c r="I12" s="152"/>
      <c r="J12" s="154"/>
      <c r="K12" s="152"/>
      <c r="L12" s="154"/>
      <c r="M12" s="152">
        <v>0</v>
      </c>
      <c r="N12" s="154">
        <v>0</v>
      </c>
      <c r="O12" s="152">
        <v>0</v>
      </c>
      <c r="P12" s="155">
        <v>0</v>
      </c>
      <c r="Q12" s="156">
        <v>0</v>
      </c>
      <c r="R12" s="157">
        <v>0</v>
      </c>
      <c r="S12" s="158">
        <v>0.254</v>
      </c>
      <c r="T12" s="157">
        <v>0.4</v>
      </c>
      <c r="U12" s="159">
        <v>0.4</v>
      </c>
    </row>
    <row r="13" spans="2:24" s="163" customFormat="1" x14ac:dyDescent="0.25">
      <c r="B13" s="162"/>
      <c r="C13" s="163" t="s">
        <v>212</v>
      </c>
      <c r="E13" s="164">
        <f t="shared" ref="E13:U13" si="1">SUM(E9:E12)</f>
        <v>0</v>
      </c>
      <c r="F13" s="165">
        <f t="shared" si="1"/>
        <v>0</v>
      </c>
      <c r="G13" s="164">
        <f t="shared" si="1"/>
        <v>3.96</v>
      </c>
      <c r="H13" s="166">
        <f t="shared" si="1"/>
        <v>0</v>
      </c>
      <c r="I13" s="164">
        <f t="shared" si="1"/>
        <v>0</v>
      </c>
      <c r="J13" s="166">
        <f t="shared" si="1"/>
        <v>0</v>
      </c>
      <c r="K13" s="164">
        <f t="shared" si="1"/>
        <v>5.95</v>
      </c>
      <c r="L13" s="166">
        <f t="shared" si="1"/>
        <v>20.88</v>
      </c>
      <c r="M13" s="164">
        <f t="shared" si="1"/>
        <v>2.35</v>
      </c>
      <c r="N13" s="166">
        <f t="shared" si="1"/>
        <v>6.07</v>
      </c>
      <c r="O13" s="164">
        <f t="shared" si="1"/>
        <v>3.51</v>
      </c>
      <c r="P13" s="167">
        <f t="shared" si="1"/>
        <v>6.81</v>
      </c>
      <c r="Q13" s="168">
        <f t="shared" si="1"/>
        <v>8.979000000000001</v>
      </c>
      <c r="R13" s="169">
        <f t="shared" si="1"/>
        <v>20.538</v>
      </c>
      <c r="S13" s="170">
        <f t="shared" si="1"/>
        <v>16.292000000000002</v>
      </c>
      <c r="T13" s="169">
        <f t="shared" si="1"/>
        <v>13.308000000000002</v>
      </c>
      <c r="U13" s="171">
        <f t="shared" si="1"/>
        <v>14.452999999999999</v>
      </c>
      <c r="V13" s="172">
        <f>AVERAGE(S13:U13)</f>
        <v>14.684333333333333</v>
      </c>
      <c r="W13" s="163" t="s">
        <v>213</v>
      </c>
    </row>
    <row r="14" spans="2:24" s="140" customFormat="1" x14ac:dyDescent="0.25">
      <c r="B14" s="151"/>
      <c r="E14" s="152"/>
      <c r="F14" s="153"/>
      <c r="G14" s="152"/>
      <c r="H14" s="154"/>
      <c r="I14" s="152"/>
      <c r="J14" s="154"/>
      <c r="K14" s="152"/>
      <c r="L14" s="154"/>
      <c r="M14" s="152"/>
      <c r="N14" s="154"/>
      <c r="O14" s="152"/>
      <c r="P14" s="155"/>
      <c r="Q14" s="156"/>
      <c r="R14" s="157"/>
      <c r="S14" s="158"/>
      <c r="T14" s="157"/>
      <c r="U14" s="159"/>
      <c r="W14" s="160"/>
      <c r="X14" s="160"/>
    </row>
    <row r="15" spans="2:24" s="140" customFormat="1" x14ac:dyDescent="0.25">
      <c r="B15" s="173"/>
      <c r="C15" s="140" t="s">
        <v>214</v>
      </c>
      <c r="E15" s="152">
        <v>37.270000000000003</v>
      </c>
      <c r="F15" s="153">
        <v>31.35</v>
      </c>
      <c r="G15" s="152">
        <v>16.07</v>
      </c>
      <c r="H15" s="154">
        <v>17</v>
      </c>
      <c r="I15" s="152">
        <v>11.95</v>
      </c>
      <c r="J15" s="154">
        <v>20.77</v>
      </c>
      <c r="K15" s="152">
        <v>9.73</v>
      </c>
      <c r="L15" s="154">
        <v>6.77</v>
      </c>
      <c r="M15" s="152">
        <v>17.73</v>
      </c>
      <c r="N15" s="154">
        <v>12.66</v>
      </c>
      <c r="O15" s="152">
        <v>25.71</v>
      </c>
      <c r="P15" s="155">
        <v>17.329999999999998</v>
      </c>
      <c r="Q15" s="156">
        <v>16.053000000000001</v>
      </c>
      <c r="R15" s="157">
        <v>21.748000000000001</v>
      </c>
      <c r="S15" s="158">
        <v>15.512</v>
      </c>
      <c r="T15" s="157">
        <v>20.641999999999999</v>
      </c>
      <c r="U15" s="159">
        <v>17.518000000000001</v>
      </c>
    </row>
    <row r="16" spans="2:24" s="140" customFormat="1" x14ac:dyDescent="0.25">
      <c r="B16" s="173"/>
      <c r="C16" s="140" t="s">
        <v>215</v>
      </c>
      <c r="E16" s="152">
        <v>5.37</v>
      </c>
      <c r="F16" s="153">
        <v>5.04</v>
      </c>
      <c r="G16" s="152">
        <v>5.84</v>
      </c>
      <c r="H16" s="154">
        <v>20.58</v>
      </c>
      <c r="I16" s="152">
        <v>9.16</v>
      </c>
      <c r="J16" s="154">
        <v>4.17</v>
      </c>
      <c r="K16" s="152">
        <v>4.42</v>
      </c>
      <c r="L16" s="154">
        <v>6.84</v>
      </c>
      <c r="M16" s="152">
        <v>3.97</v>
      </c>
      <c r="N16" s="154">
        <v>1.52</v>
      </c>
      <c r="O16" s="152">
        <v>3.97</v>
      </c>
      <c r="P16" s="155">
        <v>4.08</v>
      </c>
      <c r="Q16" s="156">
        <v>1.5640000000000001</v>
      </c>
      <c r="R16" s="157">
        <v>1.5169999999999999</v>
      </c>
      <c r="S16" s="158">
        <v>1.956</v>
      </c>
      <c r="T16" s="157">
        <v>1.5109999999999999</v>
      </c>
      <c r="U16" s="159">
        <v>1.274</v>
      </c>
    </row>
    <row r="17" spans="2:24" s="140" customFormat="1" x14ac:dyDescent="0.25">
      <c r="B17" s="173"/>
      <c r="C17" s="140" t="s">
        <v>216</v>
      </c>
      <c r="E17" s="152"/>
      <c r="F17" s="153"/>
      <c r="G17" s="152">
        <v>1.62</v>
      </c>
      <c r="H17" s="154">
        <v>2.0699999999999998</v>
      </c>
      <c r="I17" s="152">
        <v>8.16</v>
      </c>
      <c r="J17" s="154">
        <v>3.08</v>
      </c>
      <c r="K17" s="152">
        <v>1.84</v>
      </c>
      <c r="L17" s="154">
        <v>0.44</v>
      </c>
      <c r="M17" s="152">
        <v>0</v>
      </c>
      <c r="N17" s="154">
        <v>0</v>
      </c>
      <c r="O17" s="152">
        <v>0</v>
      </c>
      <c r="P17" s="155"/>
      <c r="Q17" s="156">
        <v>12</v>
      </c>
      <c r="R17" s="157">
        <v>17.331</v>
      </c>
      <c r="S17" s="158">
        <v>0</v>
      </c>
      <c r="T17" s="157">
        <v>0</v>
      </c>
      <c r="U17" s="159">
        <v>0</v>
      </c>
    </row>
    <row r="18" spans="2:24" s="140" customFormat="1" x14ac:dyDescent="0.25">
      <c r="B18" s="173"/>
      <c r="C18" s="140" t="s">
        <v>241</v>
      </c>
      <c r="E18" s="152"/>
      <c r="F18" s="153"/>
      <c r="G18" s="152"/>
      <c r="H18" s="154"/>
      <c r="I18" s="152"/>
      <c r="J18" s="154"/>
      <c r="K18" s="152"/>
      <c r="L18" s="154"/>
      <c r="M18" s="152"/>
      <c r="N18" s="154">
        <v>12.18</v>
      </c>
      <c r="O18" s="152">
        <v>62.5</v>
      </c>
      <c r="P18" s="155">
        <v>22</v>
      </c>
      <c r="Q18" s="156"/>
      <c r="R18" s="157"/>
      <c r="S18" s="158"/>
      <c r="T18" s="157"/>
      <c r="U18" s="159"/>
    </row>
    <row r="19" spans="2:24" s="140" customFormat="1" x14ac:dyDescent="0.25">
      <c r="B19" s="173"/>
      <c r="C19" s="140" t="s">
        <v>243</v>
      </c>
      <c r="E19" s="152"/>
      <c r="F19" s="153"/>
      <c r="G19" s="152"/>
      <c r="H19" s="154"/>
      <c r="I19" s="152"/>
      <c r="J19" s="154"/>
      <c r="K19" s="152"/>
      <c r="L19" s="154"/>
      <c r="M19" s="152"/>
      <c r="N19" s="154"/>
      <c r="O19" s="152"/>
      <c r="P19" s="155">
        <v>20</v>
      </c>
      <c r="Q19" s="156"/>
      <c r="R19" s="157"/>
      <c r="S19" s="158"/>
      <c r="T19" s="157"/>
      <c r="U19" s="159"/>
    </row>
    <row r="20" spans="2:24" s="140" customFormat="1" x14ac:dyDescent="0.25">
      <c r="B20" s="161"/>
      <c r="C20" s="140" t="s">
        <v>217</v>
      </c>
      <c r="E20" s="152"/>
      <c r="F20" s="153"/>
      <c r="G20" s="152"/>
      <c r="H20" s="154"/>
      <c r="I20" s="152"/>
      <c r="J20" s="154"/>
      <c r="K20" s="152"/>
      <c r="L20" s="154"/>
      <c r="M20" s="152"/>
      <c r="N20" s="154"/>
      <c r="O20" s="152">
        <v>0</v>
      </c>
      <c r="P20" s="155">
        <v>0</v>
      </c>
      <c r="Q20" s="156">
        <v>0</v>
      </c>
      <c r="R20" s="157">
        <v>0</v>
      </c>
      <c r="S20" s="158">
        <v>0</v>
      </c>
      <c r="T20" s="157">
        <v>0</v>
      </c>
      <c r="U20" s="159">
        <v>0</v>
      </c>
    </row>
    <row r="21" spans="2:24" s="163" customFormat="1" x14ac:dyDescent="0.25">
      <c r="B21" s="174"/>
      <c r="C21" s="163" t="s">
        <v>218</v>
      </c>
      <c r="E21" s="164">
        <f t="shared" ref="E21:U21" si="2">SUM(E15:E20)</f>
        <v>42.64</v>
      </c>
      <c r="F21" s="165">
        <f t="shared" si="2"/>
        <v>36.39</v>
      </c>
      <c r="G21" s="164">
        <f t="shared" si="2"/>
        <v>23.53</v>
      </c>
      <c r="H21" s="166">
        <f t="shared" si="2"/>
        <v>39.65</v>
      </c>
      <c r="I21" s="164">
        <f t="shared" si="2"/>
        <v>29.27</v>
      </c>
      <c r="J21" s="166">
        <f t="shared" si="2"/>
        <v>28.019999999999996</v>
      </c>
      <c r="K21" s="164">
        <f t="shared" si="2"/>
        <v>15.99</v>
      </c>
      <c r="L21" s="166">
        <f t="shared" si="2"/>
        <v>14.049999999999999</v>
      </c>
      <c r="M21" s="164">
        <f t="shared" si="2"/>
        <v>21.7</v>
      </c>
      <c r="N21" s="166">
        <f t="shared" si="2"/>
        <v>26.36</v>
      </c>
      <c r="O21" s="164">
        <f>SUM(O15:O20)</f>
        <v>92.18</v>
      </c>
      <c r="P21" s="167">
        <f>SUM(P15:P20)</f>
        <v>63.41</v>
      </c>
      <c r="Q21" s="168">
        <f t="shared" si="2"/>
        <v>29.617000000000001</v>
      </c>
      <c r="R21" s="169">
        <f t="shared" si="2"/>
        <v>40.596000000000004</v>
      </c>
      <c r="S21" s="170">
        <f t="shared" si="2"/>
        <v>17.468</v>
      </c>
      <c r="T21" s="169">
        <f t="shared" si="2"/>
        <v>22.152999999999999</v>
      </c>
      <c r="U21" s="171">
        <f t="shared" si="2"/>
        <v>18.792000000000002</v>
      </c>
      <c r="V21" s="172">
        <f>AVERAGE(M21:U21)</f>
        <v>36.919555555555561</v>
      </c>
      <c r="W21" s="175"/>
      <c r="X21" s="175"/>
    </row>
    <row r="23" spans="2:24" s="176" customFormat="1" x14ac:dyDescent="0.2">
      <c r="C23" s="163" t="s">
        <v>219</v>
      </c>
      <c r="D23" s="163"/>
      <c r="E23" s="177">
        <f t="shared" ref="E23:U23" si="3">E21+E13+E7</f>
        <v>68.62</v>
      </c>
      <c r="F23" s="177">
        <f t="shared" si="3"/>
        <v>55.28</v>
      </c>
      <c r="G23" s="177">
        <f t="shared" si="3"/>
        <v>42.410000000000004</v>
      </c>
      <c r="H23" s="177">
        <f t="shared" si="3"/>
        <v>56.58</v>
      </c>
      <c r="I23" s="177">
        <f t="shared" si="3"/>
        <v>49.05</v>
      </c>
      <c r="J23" s="177">
        <f t="shared" si="3"/>
        <v>40.839999999999996</v>
      </c>
      <c r="K23" s="177">
        <f t="shared" si="3"/>
        <v>45.04</v>
      </c>
      <c r="L23" s="177">
        <f t="shared" si="3"/>
        <v>52.41</v>
      </c>
      <c r="M23" s="177">
        <f t="shared" si="3"/>
        <v>39.33</v>
      </c>
      <c r="N23" s="177">
        <f t="shared" si="3"/>
        <v>36.92</v>
      </c>
      <c r="O23" s="177">
        <f t="shared" si="3"/>
        <v>117.74000000000001</v>
      </c>
      <c r="P23" s="177">
        <f t="shared" si="3"/>
        <v>81.87</v>
      </c>
      <c r="Q23" s="177">
        <f t="shared" si="3"/>
        <v>60.45</v>
      </c>
      <c r="R23" s="177">
        <f t="shared" si="3"/>
        <v>89.206999999999994</v>
      </c>
      <c r="S23" s="177">
        <f t="shared" si="3"/>
        <v>60.802000000000007</v>
      </c>
      <c r="T23" s="177">
        <f t="shared" si="3"/>
        <v>63.938999999999993</v>
      </c>
      <c r="U23" s="177">
        <f t="shared" si="3"/>
        <v>52.437000000000005</v>
      </c>
    </row>
    <row r="26" spans="2:24" x14ac:dyDescent="0.2">
      <c r="D26" s="27" t="s">
        <v>350</v>
      </c>
      <c r="E26" s="267">
        <v>0.01</v>
      </c>
      <c r="F26" s="267">
        <f>E26</f>
        <v>0.01</v>
      </c>
      <c r="G26" s="267">
        <f t="shared" ref="G26:L26" si="4">F26</f>
        <v>0.01</v>
      </c>
      <c r="H26" s="267">
        <f t="shared" si="4"/>
        <v>0.01</v>
      </c>
      <c r="I26" s="267">
        <f t="shared" si="4"/>
        <v>0.01</v>
      </c>
      <c r="J26" s="267">
        <f t="shared" si="4"/>
        <v>0.01</v>
      </c>
      <c r="K26" s="267">
        <f t="shared" si="4"/>
        <v>0.01</v>
      </c>
      <c r="L26" s="267">
        <f t="shared" si="4"/>
        <v>0.01</v>
      </c>
    </row>
    <row r="27" spans="2:24" x14ac:dyDescent="0.2">
      <c r="C27" s="27" t="s">
        <v>176</v>
      </c>
      <c r="E27" s="176" t="s">
        <v>177</v>
      </c>
      <c r="F27" s="176" t="s">
        <v>178</v>
      </c>
      <c r="G27" s="176" t="s">
        <v>179</v>
      </c>
      <c r="H27" s="176" t="s">
        <v>180</v>
      </c>
      <c r="I27" s="176" t="s">
        <v>181</v>
      </c>
      <c r="J27" s="176" t="s">
        <v>182</v>
      </c>
      <c r="K27" s="176" t="s">
        <v>189</v>
      </c>
      <c r="L27" s="180" t="s">
        <v>190</v>
      </c>
      <c r="M27" s="180" t="s">
        <v>191</v>
      </c>
      <c r="N27" s="180" t="s">
        <v>192</v>
      </c>
      <c r="O27" s="180" t="s">
        <v>193</v>
      </c>
      <c r="P27" s="180" t="s">
        <v>194</v>
      </c>
      <c r="Q27" s="180" t="s">
        <v>195</v>
      </c>
      <c r="R27" s="180" t="s">
        <v>183</v>
      </c>
      <c r="S27" s="180" t="s">
        <v>184</v>
      </c>
      <c r="T27" s="180" t="s">
        <v>185</v>
      </c>
      <c r="U27" s="181" t="s">
        <v>186</v>
      </c>
      <c r="V27" s="180" t="s">
        <v>187</v>
      </c>
    </row>
    <row r="28" spans="2:24" x14ac:dyDescent="0.2">
      <c r="C28" s="27" t="s">
        <v>236</v>
      </c>
      <c r="E28" s="183">
        <f>F28-E26</f>
        <v>0.58452863143222289</v>
      </c>
      <c r="F28" s="183">
        <f t="shared" ref="F28:J28" si="5">G28-F26</f>
        <v>0.5945286314322229</v>
      </c>
      <c r="G28" s="183">
        <f t="shared" si="5"/>
        <v>0.60452863143222291</v>
      </c>
      <c r="H28" s="183">
        <f t="shared" si="5"/>
        <v>0.61452863143222292</v>
      </c>
      <c r="I28" s="183">
        <f t="shared" si="5"/>
        <v>0.62452863143222292</v>
      </c>
      <c r="J28" s="183">
        <f t="shared" si="5"/>
        <v>0.63452863143222293</v>
      </c>
      <c r="K28" s="183">
        <f>L28-K26</f>
        <v>0.64452863143222294</v>
      </c>
      <c r="L28" s="183">
        <f>AVERAGE(M28:V28)-L26</f>
        <v>0.65452863143222295</v>
      </c>
      <c r="M28" s="182">
        <v>0.38259242235209101</v>
      </c>
      <c r="N28" s="182">
        <v>0.42540862808145768</v>
      </c>
      <c r="O28" s="182">
        <v>0.56829104439047073</v>
      </c>
      <c r="P28" s="182">
        <v>0.61571225745385705</v>
      </c>
      <c r="Q28" s="182">
        <v>0.74746041914523653</v>
      </c>
      <c r="R28" s="182">
        <v>0.70405967579974182</v>
      </c>
      <c r="S28" s="182">
        <v>0.66453531863356252</v>
      </c>
      <c r="T28" s="182">
        <v>0.80920420087271649</v>
      </c>
      <c r="U28" s="182">
        <v>0.85179787906454107</v>
      </c>
      <c r="V28" s="182">
        <v>0.87622446852855296</v>
      </c>
    </row>
    <row r="29" spans="2:24" x14ac:dyDescent="0.2">
      <c r="C29" s="27" t="s">
        <v>237</v>
      </c>
      <c r="E29" s="183">
        <f t="shared" ref="E29:J30" si="6">F29</f>
        <v>6.4137897103439548E-2</v>
      </c>
      <c r="F29" s="183">
        <f t="shared" si="6"/>
        <v>6.4137897103439548E-2</v>
      </c>
      <c r="G29" s="183">
        <f t="shared" si="6"/>
        <v>6.4137897103439548E-2</v>
      </c>
      <c r="H29" s="183">
        <f t="shared" si="6"/>
        <v>6.4137897103439548E-2</v>
      </c>
      <c r="I29" s="183">
        <f t="shared" si="6"/>
        <v>6.4137897103439548E-2</v>
      </c>
      <c r="J29" s="183">
        <f t="shared" si="6"/>
        <v>6.4137897103439548E-2</v>
      </c>
      <c r="K29" s="183">
        <f t="shared" ref="K29:K30" si="7">L29</f>
        <v>6.4137897103439548E-2</v>
      </c>
      <c r="L29" s="183">
        <f t="shared" ref="L29:L30" si="8">AVERAGE(M29:V29)</f>
        <v>6.4137897103439548E-2</v>
      </c>
      <c r="M29" s="182">
        <v>0.14465821787379343</v>
      </c>
      <c r="N29" s="182">
        <v>0.16386990889603431</v>
      </c>
      <c r="O29" s="182">
        <v>7.1830913131104332E-2</v>
      </c>
      <c r="P29" s="182">
        <v>4.0095703843929117E-2</v>
      </c>
      <c r="Q29" s="182">
        <v>5.0757298435069098E-2</v>
      </c>
      <c r="R29" s="182">
        <v>5.0548701764452732E-2</v>
      </c>
      <c r="S29" s="182">
        <v>5.4144551704484734E-2</v>
      </c>
      <c r="T29" s="182">
        <v>2.755898232379262E-2</v>
      </c>
      <c r="U29" s="182">
        <v>2.1736076971697452E-2</v>
      </c>
      <c r="V29" s="182">
        <v>1.6178616090037515E-2</v>
      </c>
    </row>
    <row r="30" spans="2:24" x14ac:dyDescent="0.2">
      <c r="C30" s="27" t="s">
        <v>238</v>
      </c>
      <c r="E30" s="183">
        <f>F30</f>
        <v>4.0371193499202762E-2</v>
      </c>
      <c r="F30" s="183">
        <f t="shared" si="6"/>
        <v>4.0371193499202762E-2</v>
      </c>
      <c r="G30" s="183">
        <f t="shared" si="6"/>
        <v>4.0371193499202762E-2</v>
      </c>
      <c r="H30" s="183">
        <f t="shared" si="6"/>
        <v>4.0371193499202762E-2</v>
      </c>
      <c r="I30" s="183">
        <f t="shared" si="6"/>
        <v>4.0371193499202762E-2</v>
      </c>
      <c r="J30" s="183">
        <f t="shared" si="6"/>
        <v>4.0371193499202762E-2</v>
      </c>
      <c r="K30" s="183">
        <f t="shared" si="7"/>
        <v>4.0371193499202762E-2</v>
      </c>
      <c r="L30" s="183">
        <f t="shared" si="8"/>
        <v>4.0371193499202762E-2</v>
      </c>
      <c r="M30" s="182">
        <v>6.5335872348808194E-2</v>
      </c>
      <c r="N30" s="182">
        <v>4.8147775991425508E-2</v>
      </c>
      <c r="O30" s="182">
        <v>7.4156374347578935E-2</v>
      </c>
      <c r="P30" s="182">
        <v>0.11755271599095546</v>
      </c>
      <c r="Q30" s="182">
        <v>1.3555870778804796E-2</v>
      </c>
      <c r="R30" s="182">
        <v>3.1935877205565913E-2</v>
      </c>
      <c r="S30" s="182">
        <v>4.5167954974530689E-2</v>
      </c>
      <c r="T30" s="182">
        <v>2.3204644626876711E-3</v>
      </c>
      <c r="U30" s="182">
        <v>2.2824636561556287E-3</v>
      </c>
      <c r="V30" s="182">
        <v>3.2565652355147977E-3</v>
      </c>
    </row>
    <row r="31" spans="2:24" x14ac:dyDescent="0.2">
      <c r="C31" s="27" t="s">
        <v>222</v>
      </c>
      <c r="E31" s="183">
        <f t="shared" ref="E31:J31" si="9">F31+E26</f>
        <v>0.31096227796513487</v>
      </c>
      <c r="F31" s="183">
        <f t="shared" si="9"/>
        <v>0.30096227796513486</v>
      </c>
      <c r="G31" s="183">
        <f t="shared" si="9"/>
        <v>0.29096227796513485</v>
      </c>
      <c r="H31" s="183">
        <f t="shared" si="9"/>
        <v>0.28096227796513484</v>
      </c>
      <c r="I31" s="183">
        <f t="shared" si="9"/>
        <v>0.27096227796513483</v>
      </c>
      <c r="J31" s="183">
        <f t="shared" si="9"/>
        <v>0.26096227796513483</v>
      </c>
      <c r="K31" s="183">
        <f>L31+K26</f>
        <v>0.25096227796513482</v>
      </c>
      <c r="L31" s="183">
        <f>AVERAGE(M31:V31)+L26</f>
        <v>0.24096227796513481</v>
      </c>
      <c r="M31" s="182">
        <v>0.40741348742530697</v>
      </c>
      <c r="N31" s="182">
        <v>0.3625736870310825</v>
      </c>
      <c r="O31" s="182">
        <v>0.28572166813084593</v>
      </c>
      <c r="P31" s="182">
        <v>0.22663932271125833</v>
      </c>
      <c r="Q31" s="182">
        <v>0.18822641164088955</v>
      </c>
      <c r="R31" s="182">
        <v>0.21345574523023955</v>
      </c>
      <c r="S31" s="182">
        <v>0.23615217468742208</v>
      </c>
      <c r="T31" s="182">
        <v>0.1609163523408032</v>
      </c>
      <c r="U31" s="182">
        <v>0.12418358030760587</v>
      </c>
      <c r="V31" s="182">
        <v>0.10434035014589413</v>
      </c>
    </row>
    <row r="32" spans="2:24" x14ac:dyDescent="0.2">
      <c r="E32" s="183">
        <f t="shared" ref="E32:K32" si="10">SUM(E28:E31)</f>
        <v>1</v>
      </c>
      <c r="F32" s="183">
        <f t="shared" si="10"/>
        <v>1</v>
      </c>
      <c r="G32" s="183">
        <f t="shared" si="10"/>
        <v>1</v>
      </c>
      <c r="H32" s="183">
        <f t="shared" si="10"/>
        <v>1</v>
      </c>
      <c r="I32" s="183">
        <f t="shared" si="10"/>
        <v>1</v>
      </c>
      <c r="J32" s="183">
        <f t="shared" si="10"/>
        <v>1</v>
      </c>
      <c r="K32" s="183">
        <f t="shared" si="10"/>
        <v>1</v>
      </c>
      <c r="L32" s="183">
        <f>SUM(L28:L31)</f>
        <v>1</v>
      </c>
      <c r="M32" s="183">
        <v>1</v>
      </c>
      <c r="N32" s="183">
        <v>1</v>
      </c>
      <c r="O32" s="183">
        <v>1</v>
      </c>
      <c r="P32" s="183">
        <v>0.99999999999999989</v>
      </c>
      <c r="Q32" s="183">
        <v>1</v>
      </c>
      <c r="R32" s="183">
        <v>1</v>
      </c>
      <c r="S32" s="183">
        <v>1</v>
      </c>
      <c r="T32" s="183">
        <v>1</v>
      </c>
      <c r="U32" s="183">
        <v>1</v>
      </c>
      <c r="V32" s="183">
        <v>1</v>
      </c>
    </row>
    <row r="34" spans="3:22" x14ac:dyDescent="0.2">
      <c r="C34" s="27" t="s">
        <v>308</v>
      </c>
    </row>
    <row r="35" spans="3:22" x14ac:dyDescent="0.2">
      <c r="C35" s="27" t="s">
        <v>236</v>
      </c>
      <c r="E35" s="183">
        <f t="shared" ref="E35:J35" si="11">F35-E33</f>
        <v>0.6360783385336124</v>
      </c>
      <c r="F35" s="183">
        <f>G35-F33</f>
        <v>0.6360783385336124</v>
      </c>
      <c r="G35" s="183">
        <f t="shared" si="11"/>
        <v>0.6360783385336124</v>
      </c>
      <c r="H35" s="183">
        <f t="shared" si="11"/>
        <v>0.6360783385336124</v>
      </c>
      <c r="I35" s="183">
        <f t="shared" si="11"/>
        <v>0.6360783385336124</v>
      </c>
      <c r="J35" s="183">
        <f t="shared" si="11"/>
        <v>0.6360783385336124</v>
      </c>
      <c r="K35" s="183">
        <f>L35-K33</f>
        <v>0.6360783385336124</v>
      </c>
      <c r="L35" s="183">
        <f>AVERAGE(M35:V35)-L33</f>
        <v>0.6360783385336124</v>
      </c>
      <c r="M35" s="182">
        <v>0.65579472908823</v>
      </c>
      <c r="N35" s="182">
        <v>0.8066644356265239</v>
      </c>
      <c r="O35" s="182">
        <v>0.88891241741487381</v>
      </c>
      <c r="P35" s="182">
        <v>0.84552739039987679</v>
      </c>
      <c r="Q35" s="182">
        <v>0.75159536752540768</v>
      </c>
      <c r="R35" s="182">
        <v>0.56562477301890901</v>
      </c>
      <c r="S35" s="182">
        <v>0.56255542417972215</v>
      </c>
      <c r="T35" s="182">
        <v>0.58930615983512713</v>
      </c>
      <c r="U35" s="182">
        <v>0.34081162822191124</v>
      </c>
      <c r="V35" s="182">
        <v>0.35399106002554276</v>
      </c>
    </row>
    <row r="36" spans="3:22" x14ac:dyDescent="0.2">
      <c r="C36" s="27" t="s">
        <v>237</v>
      </c>
      <c r="E36" s="183">
        <f t="shared" ref="E36:K37" si="12">F36</f>
        <v>0.16786373245630296</v>
      </c>
      <c r="F36" s="183">
        <f t="shared" si="12"/>
        <v>0.16786373245630296</v>
      </c>
      <c r="G36" s="183">
        <f t="shared" si="12"/>
        <v>0.16786373245630296</v>
      </c>
      <c r="H36" s="183">
        <f t="shared" si="12"/>
        <v>0.16786373245630296</v>
      </c>
      <c r="I36" s="183">
        <f t="shared" si="12"/>
        <v>0.16786373245630296</v>
      </c>
      <c r="J36" s="183">
        <f t="shared" si="12"/>
        <v>0.16786373245630296</v>
      </c>
      <c r="K36" s="183">
        <f t="shared" si="12"/>
        <v>0.16786373245630296</v>
      </c>
      <c r="L36" s="183">
        <f t="shared" ref="L36:L37" si="13">AVERAGE(M36:V36)</f>
        <v>0.16786373245630296</v>
      </c>
      <c r="M36" s="182">
        <v>0.18787853985922409</v>
      </c>
      <c r="N36" s="182">
        <v>4.8047043075010759E-2</v>
      </c>
      <c r="O36" s="182">
        <v>1.9185160088090802E-2</v>
      </c>
      <c r="P36" s="182">
        <v>6.6992834578935206E-2</v>
      </c>
      <c r="Q36" s="182">
        <v>0.13512509707262721</v>
      </c>
      <c r="R36" s="182">
        <v>0.25748734958719705</v>
      </c>
      <c r="S36" s="182">
        <v>0.21298403783624001</v>
      </c>
      <c r="T36" s="182">
        <v>0.10699564918708496</v>
      </c>
      <c r="U36" s="182">
        <v>0.56502505304022033</v>
      </c>
      <c r="V36" s="182">
        <v>7.8916560238399325E-2</v>
      </c>
    </row>
    <row r="37" spans="3:22" x14ac:dyDescent="0.2">
      <c r="C37" s="27" t="s">
        <v>238</v>
      </c>
      <c r="E37" s="183">
        <f t="shared" ref="E37:J37" si="14">F37</f>
        <v>3.8880460094287347E-2</v>
      </c>
      <c r="F37" s="183">
        <f t="shared" si="14"/>
        <v>3.8880460094287347E-2</v>
      </c>
      <c r="G37" s="183">
        <f t="shared" si="14"/>
        <v>3.8880460094287347E-2</v>
      </c>
      <c r="H37" s="183">
        <f t="shared" si="14"/>
        <v>3.8880460094287347E-2</v>
      </c>
      <c r="I37" s="183">
        <f t="shared" si="14"/>
        <v>3.8880460094287347E-2</v>
      </c>
      <c r="J37" s="183">
        <f t="shared" si="14"/>
        <v>3.8880460094287347E-2</v>
      </c>
      <c r="K37" s="183">
        <f t="shared" si="12"/>
        <v>3.8880460094287347E-2</v>
      </c>
      <c r="L37" s="183">
        <f t="shared" si="13"/>
        <v>3.8880460094287347E-2</v>
      </c>
      <c r="M37" s="182">
        <v>1.3709281388115894E-2</v>
      </c>
      <c r="N37" s="182">
        <v>1.869292919634747E-2</v>
      </c>
      <c r="O37" s="182">
        <v>5.7174318143316961E-3</v>
      </c>
      <c r="P37" s="182">
        <v>5.2007088373526465E-3</v>
      </c>
      <c r="Q37" s="182">
        <v>2.9037377182023838E-3</v>
      </c>
      <c r="R37" s="182">
        <v>8.4739607292448485E-4</v>
      </c>
      <c r="S37" s="182">
        <v>8.6215390678884621E-4</v>
      </c>
      <c r="T37" s="182">
        <v>2.0036638424547745E-3</v>
      </c>
      <c r="U37" s="182">
        <v>8.0350291156953916E-3</v>
      </c>
      <c r="V37" s="182">
        <v>0.33083226905065988</v>
      </c>
    </row>
    <row r="38" spans="3:22" x14ac:dyDescent="0.2">
      <c r="C38" s="27" t="s">
        <v>222</v>
      </c>
      <c r="E38" s="183">
        <f t="shared" ref="E38:J38" si="15">F38+E33</f>
        <v>0.1571774689157972</v>
      </c>
      <c r="F38" s="183">
        <f t="shared" si="15"/>
        <v>0.1571774689157972</v>
      </c>
      <c r="G38" s="183">
        <f t="shared" si="15"/>
        <v>0.1571774689157972</v>
      </c>
      <c r="H38" s="183">
        <f t="shared" si="15"/>
        <v>0.1571774689157972</v>
      </c>
      <c r="I38" s="183">
        <f t="shared" si="15"/>
        <v>0.1571774689157972</v>
      </c>
      <c r="J38" s="183">
        <f t="shared" si="15"/>
        <v>0.1571774689157972</v>
      </c>
      <c r="K38" s="183">
        <f>L38+K33</f>
        <v>0.1571774689157972</v>
      </c>
      <c r="L38" s="183">
        <f>AVERAGE(M38:V38)+L33</f>
        <v>0.1571774689157972</v>
      </c>
      <c r="M38" s="182">
        <v>0.14261744966442952</v>
      </c>
      <c r="N38" s="182">
        <v>0.1265955921021179</v>
      </c>
      <c r="O38" s="182">
        <v>8.6184990682703716E-2</v>
      </c>
      <c r="P38" s="182">
        <v>8.2279066183835431E-2</v>
      </c>
      <c r="Q38" s="182">
        <v>0.1103757976837627</v>
      </c>
      <c r="R38" s="182">
        <v>0.17604048132096942</v>
      </c>
      <c r="S38" s="182">
        <v>0.223598384077249</v>
      </c>
      <c r="T38" s="182">
        <v>0.30169452713533318</v>
      </c>
      <c r="U38" s="182">
        <v>8.6128289622173074E-2</v>
      </c>
      <c r="V38" s="182">
        <v>0.23626011068539804</v>
      </c>
    </row>
    <row r="39" spans="3:22" x14ac:dyDescent="0.2">
      <c r="E39" s="183">
        <f t="shared" ref="E39:K39" si="16">SUM(E35:E38)</f>
        <v>0.99999999999999989</v>
      </c>
      <c r="F39" s="183">
        <f t="shared" si="16"/>
        <v>0.99999999999999989</v>
      </c>
      <c r="G39" s="183">
        <f t="shared" si="16"/>
        <v>0.99999999999999989</v>
      </c>
      <c r="H39" s="183">
        <f t="shared" si="16"/>
        <v>0.99999999999999989</v>
      </c>
      <c r="I39" s="183">
        <f t="shared" si="16"/>
        <v>0.99999999999999989</v>
      </c>
      <c r="J39" s="183">
        <f t="shared" si="16"/>
        <v>0.99999999999999989</v>
      </c>
      <c r="K39" s="183">
        <f t="shared" si="16"/>
        <v>0.99999999999999989</v>
      </c>
      <c r="L39" s="183">
        <f>SUM(L35:L38)</f>
        <v>0.99999999999999989</v>
      </c>
      <c r="M39" s="183">
        <f t="shared" ref="M39:V39" si="17">SUM(M35:M38)</f>
        <v>0.99999999999999956</v>
      </c>
      <c r="N39" s="183">
        <f t="shared" si="17"/>
        <v>1</v>
      </c>
      <c r="O39" s="183">
        <f t="shared" si="17"/>
        <v>1</v>
      </c>
      <c r="P39" s="183">
        <f t="shared" si="17"/>
        <v>1.0000000000000002</v>
      </c>
      <c r="Q39" s="183">
        <f t="shared" si="17"/>
        <v>1</v>
      </c>
      <c r="R39" s="183">
        <f t="shared" si="17"/>
        <v>0.99999999999999989</v>
      </c>
      <c r="S39" s="183">
        <f t="shared" si="17"/>
        <v>1</v>
      </c>
      <c r="T39" s="183">
        <f t="shared" si="17"/>
        <v>1</v>
      </c>
      <c r="U39" s="183">
        <f t="shared" si="17"/>
        <v>1</v>
      </c>
      <c r="V39" s="183">
        <f t="shared" si="17"/>
        <v>1</v>
      </c>
    </row>
    <row r="40" spans="3:22" x14ac:dyDescent="0.2">
      <c r="C40" s="27" t="s">
        <v>310</v>
      </c>
    </row>
    <row r="41" spans="3:22" x14ac:dyDescent="0.2">
      <c r="C41" s="27" t="s">
        <v>236</v>
      </c>
      <c r="E41" s="183">
        <f t="shared" ref="E41:J41" si="18">F41</f>
        <v>0.59539819475222677</v>
      </c>
      <c r="F41" s="183">
        <f t="shared" si="18"/>
        <v>0.59539819475222677</v>
      </c>
      <c r="G41" s="183">
        <f t="shared" si="18"/>
        <v>0.59539819475222677</v>
      </c>
      <c r="H41" s="183">
        <f t="shared" si="18"/>
        <v>0.59539819475222677</v>
      </c>
      <c r="I41" s="183">
        <f t="shared" si="18"/>
        <v>0.59539819475222677</v>
      </c>
      <c r="J41" s="183">
        <f t="shared" si="18"/>
        <v>0.59539819475222677</v>
      </c>
      <c r="K41" s="183">
        <f>L41</f>
        <v>0.59539819475222677</v>
      </c>
      <c r="L41" s="183">
        <f>AVERAGE(M41:V41)</f>
        <v>0.59539819475222677</v>
      </c>
      <c r="M41" s="182">
        <v>0.34321223709369025</v>
      </c>
      <c r="N41" s="182">
        <v>0.34224093486853413</v>
      </c>
      <c r="O41" s="182">
        <v>0.29325913994240249</v>
      </c>
      <c r="P41" s="182">
        <v>0.36936412643959815</v>
      </c>
      <c r="Q41" s="182">
        <v>0.48118944203140668</v>
      </c>
      <c r="R41" s="182">
        <v>0.84580831014110636</v>
      </c>
      <c r="S41" s="182">
        <v>0.72864933294381151</v>
      </c>
      <c r="T41" s="182">
        <v>0.92941320893690149</v>
      </c>
      <c r="U41" s="182">
        <v>0.81229335737902009</v>
      </c>
      <c r="V41" s="182">
        <v>0.80855185774579674</v>
      </c>
    </row>
    <row r="42" spans="3:22" x14ac:dyDescent="0.2">
      <c r="C42" s="27" t="s">
        <v>237</v>
      </c>
      <c r="E42" s="183">
        <f t="shared" ref="E42:K44" si="19">F42</f>
        <v>0.17439495876976058</v>
      </c>
      <c r="F42" s="183">
        <f t="shared" si="19"/>
        <v>0.17439495876976058</v>
      </c>
      <c r="G42" s="183">
        <f t="shared" si="19"/>
        <v>0.17439495876976058</v>
      </c>
      <c r="H42" s="183">
        <f t="shared" si="19"/>
        <v>0.17439495876976058</v>
      </c>
      <c r="I42" s="183">
        <f t="shared" si="19"/>
        <v>0.17439495876976058</v>
      </c>
      <c r="J42" s="183">
        <f t="shared" si="19"/>
        <v>0.17439495876976058</v>
      </c>
      <c r="K42" s="183">
        <f t="shared" si="19"/>
        <v>0.17439495876976058</v>
      </c>
      <c r="L42" s="183">
        <f t="shared" ref="L42:L44" si="20">AVERAGE(M42:V42)</f>
        <v>0.17439495876976058</v>
      </c>
      <c r="M42" s="182">
        <v>0.1972195666029318</v>
      </c>
      <c r="N42" s="182">
        <v>0.30670218250558517</v>
      </c>
      <c r="O42" s="182">
        <v>0.36608581051398448</v>
      </c>
      <c r="P42" s="182">
        <v>0.34210365106591523</v>
      </c>
      <c r="Q42" s="182">
        <v>0.22813230872034748</v>
      </c>
      <c r="R42" s="182">
        <v>6.4474390898881892E-2</v>
      </c>
      <c r="S42" s="182">
        <v>0.12228551952478332</v>
      </c>
      <c r="T42" s="182">
        <v>1.2275963663147557E-2</v>
      </c>
      <c r="U42" s="182">
        <v>5.921250375713856E-2</v>
      </c>
      <c r="V42" s="182">
        <v>4.5457690444890335E-2</v>
      </c>
    </row>
    <row r="43" spans="3:22" x14ac:dyDescent="0.2">
      <c r="C43" s="27" t="s">
        <v>238</v>
      </c>
      <c r="E43" s="183">
        <f t="shared" ref="E43:J43" si="21">F43</f>
        <v>1.5190636765182012E-2</v>
      </c>
      <c r="F43" s="183">
        <f t="shared" si="21"/>
        <v>1.5190636765182012E-2</v>
      </c>
      <c r="G43" s="183">
        <f t="shared" si="21"/>
        <v>1.5190636765182012E-2</v>
      </c>
      <c r="H43" s="183">
        <f t="shared" si="21"/>
        <v>1.5190636765182012E-2</v>
      </c>
      <c r="I43" s="183">
        <f t="shared" si="21"/>
        <v>1.5190636765182012E-2</v>
      </c>
      <c r="J43" s="183">
        <f t="shared" si="21"/>
        <v>1.5190636765182012E-2</v>
      </c>
      <c r="K43" s="183">
        <f t="shared" si="19"/>
        <v>1.5190636765182012E-2</v>
      </c>
      <c r="L43" s="183">
        <f t="shared" si="20"/>
        <v>1.5190636765182012E-2</v>
      </c>
      <c r="M43" s="182">
        <v>6.781389420012747E-2</v>
      </c>
      <c r="N43" s="182">
        <v>4.6588760955490631E-2</v>
      </c>
      <c r="O43" s="182">
        <v>1.9524576560745839E-3</v>
      </c>
      <c r="P43" s="182">
        <v>1.163930409213428E-3</v>
      </c>
      <c r="Q43" s="182">
        <v>0</v>
      </c>
      <c r="R43" s="182">
        <v>0</v>
      </c>
      <c r="S43" s="182">
        <v>0</v>
      </c>
      <c r="T43" s="182">
        <v>0</v>
      </c>
      <c r="U43" s="182">
        <v>0</v>
      </c>
      <c r="V43" s="182">
        <v>3.4387324430913996E-2</v>
      </c>
    </row>
    <row r="44" spans="3:22" x14ac:dyDescent="0.2">
      <c r="C44" s="27" t="s">
        <v>222</v>
      </c>
      <c r="E44" s="183">
        <f t="shared" ref="E44:J44" si="22">F44</f>
        <v>0.21501620971283061</v>
      </c>
      <c r="F44" s="183">
        <f t="shared" si="22"/>
        <v>0.21501620971283061</v>
      </c>
      <c r="G44" s="183">
        <f t="shared" si="22"/>
        <v>0.21501620971283061</v>
      </c>
      <c r="H44" s="183">
        <f t="shared" si="22"/>
        <v>0.21501620971283061</v>
      </c>
      <c r="I44" s="183">
        <f t="shared" si="22"/>
        <v>0.21501620971283061</v>
      </c>
      <c r="J44" s="183">
        <f t="shared" si="22"/>
        <v>0.21501620971283061</v>
      </c>
      <c r="K44" s="183">
        <f t="shared" si="19"/>
        <v>0.21501620971283061</v>
      </c>
      <c r="L44" s="183">
        <f t="shared" si="20"/>
        <v>0.21501620971283061</v>
      </c>
      <c r="M44" s="184">
        <v>0.39175430210325052</v>
      </c>
      <c r="N44" s="184">
        <v>0.30446812167039011</v>
      </c>
      <c r="O44" s="184">
        <v>0.33870259188753843</v>
      </c>
      <c r="P44" s="184">
        <v>0.2873682920852732</v>
      </c>
      <c r="Q44" s="184">
        <v>0.29067824924824592</v>
      </c>
      <c r="R44" s="184">
        <v>8.9717298960011724E-2</v>
      </c>
      <c r="S44" s="184">
        <v>0.14906514753140521</v>
      </c>
      <c r="T44" s="184">
        <v>5.8310827399950894E-2</v>
      </c>
      <c r="U44" s="184">
        <v>0.12849413886384131</v>
      </c>
      <c r="V44" s="184">
        <v>0.11160312737839895</v>
      </c>
    </row>
    <row r="45" spans="3:22" x14ac:dyDescent="0.2">
      <c r="M45" s="183">
        <v>1</v>
      </c>
      <c r="N45" s="183">
        <v>1</v>
      </c>
      <c r="O45" s="183">
        <v>1</v>
      </c>
      <c r="P45" s="183">
        <v>1</v>
      </c>
      <c r="Q45" s="183">
        <v>1</v>
      </c>
      <c r="R45" s="183">
        <v>0.99999999999999989</v>
      </c>
      <c r="S45" s="183">
        <v>1</v>
      </c>
      <c r="T45" s="183">
        <v>0.99999999999999989</v>
      </c>
      <c r="U45" s="183">
        <v>1</v>
      </c>
      <c r="V45" s="183">
        <v>1</v>
      </c>
    </row>
    <row r="49" spans="3:24" x14ac:dyDescent="0.2">
      <c r="C49" s="176" t="s">
        <v>313</v>
      </c>
      <c r="E49" s="176" t="s">
        <v>177</v>
      </c>
      <c r="F49" s="176" t="s">
        <v>178</v>
      </c>
      <c r="G49" s="176" t="s">
        <v>179</v>
      </c>
      <c r="H49" s="176" t="s">
        <v>180</v>
      </c>
      <c r="I49" s="176" t="s">
        <v>181</v>
      </c>
      <c r="J49" s="176" t="s">
        <v>182</v>
      </c>
      <c r="K49" s="176" t="s">
        <v>189</v>
      </c>
      <c r="L49" s="180" t="s">
        <v>190</v>
      </c>
      <c r="M49" s="180" t="s">
        <v>231</v>
      </c>
      <c r="N49" s="180" t="s">
        <v>232</v>
      </c>
      <c r="O49" s="180" t="s">
        <v>233</v>
      </c>
      <c r="P49" s="180" t="s">
        <v>234</v>
      </c>
      <c r="Q49" s="180" t="s">
        <v>235</v>
      </c>
      <c r="R49" s="180" t="s">
        <v>261</v>
      </c>
      <c r="S49" s="180" t="s">
        <v>262</v>
      </c>
      <c r="T49" s="180" t="s">
        <v>263</v>
      </c>
      <c r="U49" s="181" t="s">
        <v>264</v>
      </c>
      <c r="V49" s="180" t="s">
        <v>265</v>
      </c>
    </row>
    <row r="50" spans="3:24" x14ac:dyDescent="0.2">
      <c r="C50" s="27" t="s">
        <v>176</v>
      </c>
      <c r="E50" s="178">
        <f>E7*1000000</f>
        <v>25980000</v>
      </c>
      <c r="F50" s="178">
        <f t="shared" ref="F50:L50" si="23">F7*1000000</f>
        <v>18890000</v>
      </c>
      <c r="G50" s="178">
        <f t="shared" si="23"/>
        <v>14920000</v>
      </c>
      <c r="H50" s="178">
        <f t="shared" si="23"/>
        <v>16930000</v>
      </c>
      <c r="I50" s="178">
        <f t="shared" si="23"/>
        <v>19780000</v>
      </c>
      <c r="J50" s="178">
        <f t="shared" si="23"/>
        <v>12820000</v>
      </c>
      <c r="K50" s="178">
        <f t="shared" si="23"/>
        <v>23099999.999999996</v>
      </c>
      <c r="L50" s="178">
        <f t="shared" si="23"/>
        <v>17480000</v>
      </c>
      <c r="M50" s="178">
        <f>M7*1000000</f>
        <v>15280000</v>
      </c>
      <c r="N50" s="178">
        <f>N7*1000000</f>
        <v>4490000</v>
      </c>
      <c r="O50" s="178">
        <f>O7*1000000</f>
        <v>22049999.999999996</v>
      </c>
      <c r="P50" s="178">
        <f>P7*1000000</f>
        <v>11650000</v>
      </c>
      <c r="Q50" s="178">
        <f>[8]Sheet1!$C$7*1000</f>
        <v>10010240</v>
      </c>
      <c r="R50" s="178">
        <f>[8]Sheet1!$I$7*1000</f>
        <v>31234521.508666165</v>
      </c>
      <c r="S50" s="178">
        <f>[8]Sheet1!$O$7*1000</f>
        <v>37049116.580484889</v>
      </c>
      <c r="T50" s="178">
        <f>[8]Sheet1!$U$7*1000</f>
        <v>25488490.509488881</v>
      </c>
      <c r="U50" s="185">
        <f>SUM(D122:D123)*1000</f>
        <v>12763877.891914995</v>
      </c>
      <c r="V50" s="185">
        <f>SUM(E122:E123)*1000</f>
        <v>15234062.191968264</v>
      </c>
      <c r="W50" s="178">
        <f>SUM(M50:V50)</f>
        <v>185250308.68252319</v>
      </c>
    </row>
    <row r="51" spans="3:24" x14ac:dyDescent="0.2">
      <c r="C51" s="27" t="s">
        <v>311</v>
      </c>
      <c r="E51" s="178">
        <f>E21*1000000</f>
        <v>42640000</v>
      </c>
      <c r="F51" s="178">
        <f t="shared" ref="F51:L51" si="24">F21*1000000</f>
        <v>36390000</v>
      </c>
      <c r="G51" s="178">
        <f t="shared" si="24"/>
        <v>23530000</v>
      </c>
      <c r="H51" s="178">
        <f t="shared" si="24"/>
        <v>39650000</v>
      </c>
      <c r="I51" s="178">
        <f t="shared" si="24"/>
        <v>29270000</v>
      </c>
      <c r="J51" s="178">
        <f t="shared" si="24"/>
        <v>28019999.999999996</v>
      </c>
      <c r="K51" s="178">
        <f t="shared" si="24"/>
        <v>15990000</v>
      </c>
      <c r="L51" s="178">
        <f t="shared" si="24"/>
        <v>14049999.999999998</v>
      </c>
      <c r="M51" s="178">
        <f>M21*1000000</f>
        <v>21700000</v>
      </c>
      <c r="N51" s="178">
        <f>N21*1000000</f>
        <v>26360000</v>
      </c>
      <c r="O51" s="178">
        <f>O21*1000000</f>
        <v>92180000</v>
      </c>
      <c r="P51" s="178">
        <f>P21*1000000</f>
        <v>63410000</v>
      </c>
      <c r="Q51" s="178">
        <f>[8]Sheet1!$D$7*1000</f>
        <v>91459320</v>
      </c>
      <c r="R51" s="178">
        <f>[8]Sheet1!$J$7*1000</f>
        <v>97766714.060101703</v>
      </c>
      <c r="S51" s="178">
        <f>[8]Sheet1!$P$7*1000</f>
        <v>102345221.8665981</v>
      </c>
      <c r="T51" s="178">
        <f>[8]Sheet1!$V$7*1000</f>
        <v>109743329.20521764</v>
      </c>
      <c r="U51" s="185">
        <f>SUM(D124:D125)*1000</f>
        <v>54283393.727618843</v>
      </c>
      <c r="V51" s="185">
        <f>SUM(E124:E125)*1000</f>
        <v>34410134.077590995</v>
      </c>
      <c r="W51" s="178">
        <f>SUM(M51:V51)</f>
        <v>693658112.93712711</v>
      </c>
    </row>
    <row r="52" spans="3:24" x14ac:dyDescent="0.2">
      <c r="C52" s="27" t="s">
        <v>113</v>
      </c>
      <c r="E52" s="178">
        <f t="shared" ref="E52:L52" si="25">E13*1000000</f>
        <v>0</v>
      </c>
      <c r="F52" s="178">
        <f t="shared" si="25"/>
        <v>0</v>
      </c>
      <c r="G52" s="178">
        <f t="shared" si="25"/>
        <v>3960000</v>
      </c>
      <c r="H52" s="178">
        <f t="shared" si="25"/>
        <v>0</v>
      </c>
      <c r="I52" s="178">
        <f t="shared" si="25"/>
        <v>0</v>
      </c>
      <c r="J52" s="178">
        <f t="shared" si="25"/>
        <v>0</v>
      </c>
      <c r="K52" s="178">
        <f t="shared" si="25"/>
        <v>5950000</v>
      </c>
      <c r="L52" s="178">
        <f t="shared" si="25"/>
        <v>20880000</v>
      </c>
      <c r="M52" s="178">
        <f>M13*1000000</f>
        <v>2350000</v>
      </c>
      <c r="N52" s="178">
        <f>N13*1000000</f>
        <v>6070000</v>
      </c>
      <c r="O52" s="178">
        <f>O13*1000000</f>
        <v>3510000</v>
      </c>
      <c r="P52" s="178">
        <f>P13*1000000</f>
        <v>6810000</v>
      </c>
      <c r="Q52" s="178">
        <f>[8]Sheet1!$E$7*1000</f>
        <v>16971200</v>
      </c>
      <c r="R52" s="178">
        <f>[8]Sheet1!$K$7*1000</f>
        <v>10668347.313800002</v>
      </c>
      <c r="S52" s="178">
        <f>[8]Sheet1!$Q$7*1000</f>
        <v>6240864.8303999994</v>
      </c>
      <c r="T52" s="178">
        <f>[8]Sheet1!$W$7*1000</f>
        <v>5631046.3372</v>
      </c>
      <c r="U52" s="185">
        <f>D121*1000</f>
        <v>7100437.0616662186</v>
      </c>
      <c r="V52" s="185">
        <f>E121*1000</f>
        <v>21577252.706119508</v>
      </c>
      <c r="W52" s="178">
        <f>SUM(M52:V52)</f>
        <v>86929148.249185726</v>
      </c>
    </row>
    <row r="53" spans="3:24" x14ac:dyDescent="0.2">
      <c r="C53" s="27" t="s">
        <v>17</v>
      </c>
      <c r="E53" s="178">
        <f t="shared" ref="E53:L53" si="26">SUM(E50:E52)</f>
        <v>68620000</v>
      </c>
      <c r="F53" s="178">
        <f t="shared" si="26"/>
        <v>55280000</v>
      </c>
      <c r="G53" s="178">
        <f t="shared" si="26"/>
        <v>42410000</v>
      </c>
      <c r="H53" s="178">
        <f t="shared" si="26"/>
        <v>56580000</v>
      </c>
      <c r="I53" s="178">
        <f t="shared" si="26"/>
        <v>49050000</v>
      </c>
      <c r="J53" s="178">
        <f t="shared" si="26"/>
        <v>40840000</v>
      </c>
      <c r="K53" s="178">
        <f t="shared" si="26"/>
        <v>45040000</v>
      </c>
      <c r="L53" s="178">
        <f t="shared" si="26"/>
        <v>52410000</v>
      </c>
      <c r="M53" s="178">
        <f t="shared" ref="M53:V53" si="27">SUM(M50:M52)</f>
        <v>39330000</v>
      </c>
      <c r="N53" s="178">
        <f t="shared" si="27"/>
        <v>36920000</v>
      </c>
      <c r="O53" s="178">
        <f t="shared" si="27"/>
        <v>117740000</v>
      </c>
      <c r="P53" s="178">
        <f t="shared" si="27"/>
        <v>81870000</v>
      </c>
      <c r="Q53" s="178">
        <f t="shared" si="27"/>
        <v>118440760</v>
      </c>
      <c r="R53" s="178">
        <f t="shared" si="27"/>
        <v>139669582.88256788</v>
      </c>
      <c r="S53" s="178">
        <f t="shared" si="27"/>
        <v>145635203.27748299</v>
      </c>
      <c r="T53" s="178">
        <f t="shared" si="27"/>
        <v>140862866.05190653</v>
      </c>
      <c r="U53" s="185">
        <f t="shared" si="27"/>
        <v>74147708.681200057</v>
      </c>
      <c r="V53" s="185">
        <f t="shared" si="27"/>
        <v>71221448.975678772</v>
      </c>
      <c r="W53" s="178">
        <f>SUM(M53:V53)</f>
        <v>965837569.86883628</v>
      </c>
    </row>
    <row r="54" spans="3:24" x14ac:dyDescent="0.2">
      <c r="W54" s="178">
        <f>SUM(W53)</f>
        <v>965837569.86883628</v>
      </c>
      <c r="X54" s="184">
        <f>W54/E151-1</f>
        <v>4.3258417304526056</v>
      </c>
    </row>
    <row r="55" spans="3:24" x14ac:dyDescent="0.2">
      <c r="C55" s="176" t="s">
        <v>312</v>
      </c>
    </row>
    <row r="56" spans="3:24" x14ac:dyDescent="0.2">
      <c r="C56" s="176" t="s">
        <v>176</v>
      </c>
    </row>
    <row r="57" spans="3:24" x14ac:dyDescent="0.2">
      <c r="C57" s="27" t="s">
        <v>236</v>
      </c>
      <c r="E57" s="179">
        <f>E$50*E28</f>
        <v>15186053.844609151</v>
      </c>
      <c r="F57" s="179">
        <f t="shared" ref="F57:L57" si="28">F$50*F28</f>
        <v>11230645.847754691</v>
      </c>
      <c r="G57" s="179">
        <f t="shared" si="28"/>
        <v>9019567.1809687652</v>
      </c>
      <c r="H57" s="179">
        <f t="shared" si="28"/>
        <v>10403969.730147533</v>
      </c>
      <c r="I57" s="179">
        <f t="shared" si="28"/>
        <v>12353176.329729369</v>
      </c>
      <c r="J57" s="179">
        <f t="shared" si="28"/>
        <v>8134657.0549610984</v>
      </c>
      <c r="K57" s="179">
        <f t="shared" si="28"/>
        <v>14888611.386084348</v>
      </c>
      <c r="L57" s="179">
        <f t="shared" si="28"/>
        <v>11441160.477435257</v>
      </c>
      <c r="M57" s="179">
        <f t="shared" ref="M57:V57" si="29">M$50*M28</f>
        <v>5846012.2135399505</v>
      </c>
      <c r="N57" s="179">
        <f t="shared" si="29"/>
        <v>1910084.740085745</v>
      </c>
      <c r="O57" s="179">
        <f t="shared" si="29"/>
        <v>12530817.528809877</v>
      </c>
      <c r="P57" s="179">
        <f t="shared" si="29"/>
        <v>7173047.7993374346</v>
      </c>
      <c r="Q57" s="179">
        <f t="shared" si="29"/>
        <v>7482258.1861444125</v>
      </c>
      <c r="R57" s="179">
        <f t="shared" si="29"/>
        <v>21990967.087151565</v>
      </c>
      <c r="S57" s="179">
        <f t="shared" si="29"/>
        <v>24620446.491904531</v>
      </c>
      <c r="T57" s="179">
        <f t="shared" si="29"/>
        <v>20625393.594182767</v>
      </c>
      <c r="U57" s="179">
        <f>U$50*U28</f>
        <v>10872244.116971979</v>
      </c>
      <c r="V57" s="179">
        <f t="shared" si="29"/>
        <v>13348458.047688315</v>
      </c>
      <c r="W57" s="178">
        <f>SUM(M57:V57)</f>
        <v>126399729.80581659</v>
      </c>
      <c r="X57" s="182">
        <f>W57/W$61</f>
        <v>0.68231859209712264</v>
      </c>
    </row>
    <row r="58" spans="3:24" x14ac:dyDescent="0.2">
      <c r="C58" s="27" t="s">
        <v>237</v>
      </c>
      <c r="E58" s="179">
        <f t="shared" ref="E58:L58" si="30">E$50*E29</f>
        <v>1666302.5667473595</v>
      </c>
      <c r="F58" s="179">
        <f t="shared" si="30"/>
        <v>1211564.876283973</v>
      </c>
      <c r="G58" s="179">
        <f t="shared" si="30"/>
        <v>956937.42478331807</v>
      </c>
      <c r="H58" s="179">
        <f t="shared" si="30"/>
        <v>1085854.5979612316</v>
      </c>
      <c r="I58" s="179">
        <f t="shared" si="30"/>
        <v>1268647.6047060343</v>
      </c>
      <c r="J58" s="179">
        <f t="shared" si="30"/>
        <v>822247.84086609504</v>
      </c>
      <c r="K58" s="179">
        <f t="shared" si="30"/>
        <v>1481585.4230894533</v>
      </c>
      <c r="L58" s="179">
        <f t="shared" si="30"/>
        <v>1121130.4413681233</v>
      </c>
      <c r="M58" s="179">
        <f t="shared" ref="M58:V58" si="31">M$50*M29</f>
        <v>2210377.5691115637</v>
      </c>
      <c r="N58" s="179">
        <f t="shared" si="31"/>
        <v>735775.89094319404</v>
      </c>
      <c r="O58" s="179">
        <f t="shared" si="31"/>
        <v>1583871.6345408503</v>
      </c>
      <c r="P58" s="179">
        <f t="shared" si="31"/>
        <v>467114.94978177419</v>
      </c>
      <c r="Q58" s="179">
        <f t="shared" si="31"/>
        <v>508092.73908666609</v>
      </c>
      <c r="R58" s="179">
        <f t="shared" si="31"/>
        <v>1578864.5124969501</v>
      </c>
      <c r="S58" s="179">
        <f t="shared" si="31"/>
        <v>2006007.8082975468</v>
      </c>
      <c r="T58" s="179">
        <f t="shared" si="31"/>
        <v>702436.85941116</v>
      </c>
      <c r="U58" s="179">
        <f t="shared" si="31"/>
        <v>277436.63231601176</v>
      </c>
      <c r="V58" s="179">
        <f t="shared" si="31"/>
        <v>246466.04369560993</v>
      </c>
      <c r="W58" s="178">
        <f>SUM(M58:V58)</f>
        <v>10316444.639681328</v>
      </c>
      <c r="X58" s="182">
        <f t="shared" ref="X58:X60" si="32">W58/W$61</f>
        <v>5.5689217000773603E-2</v>
      </c>
    </row>
    <row r="59" spans="3:24" x14ac:dyDescent="0.2">
      <c r="C59" s="27" t="s">
        <v>238</v>
      </c>
      <c r="E59" s="179">
        <f t="shared" ref="E59:L59" si="33">E$50*E30</f>
        <v>1048843.6071092878</v>
      </c>
      <c r="F59" s="179">
        <f t="shared" si="33"/>
        <v>762611.84519994014</v>
      </c>
      <c r="G59" s="179">
        <f t="shared" si="33"/>
        <v>602338.20700810524</v>
      </c>
      <c r="H59" s="179">
        <f t="shared" si="33"/>
        <v>683484.3059415028</v>
      </c>
      <c r="I59" s="179">
        <f t="shared" si="33"/>
        <v>798542.20741423068</v>
      </c>
      <c r="J59" s="179">
        <f t="shared" si="33"/>
        <v>517558.70065977942</v>
      </c>
      <c r="K59" s="179">
        <f t="shared" si="33"/>
        <v>932574.56983158365</v>
      </c>
      <c r="L59" s="179">
        <f t="shared" si="33"/>
        <v>705688.46236606431</v>
      </c>
      <c r="M59" s="179">
        <f t="shared" ref="M59:V59" si="34">M$50*M30</f>
        <v>998332.12948978925</v>
      </c>
      <c r="N59" s="179">
        <f t="shared" si="34"/>
        <v>216183.51420150054</v>
      </c>
      <c r="O59" s="179">
        <f t="shared" si="34"/>
        <v>1635148.0543641152</v>
      </c>
      <c r="P59" s="179">
        <f t="shared" si="34"/>
        <v>1369489.1412946312</v>
      </c>
      <c r="Q59" s="179">
        <f t="shared" si="34"/>
        <v>135697.51990482293</v>
      </c>
      <c r="R59" s="179">
        <f t="shared" si="34"/>
        <v>997501.84347536997</v>
      </c>
      <c r="S59" s="179">
        <f t="shared" si="34"/>
        <v>1673432.8295534798</v>
      </c>
      <c r="T59" s="179">
        <f t="shared" si="34"/>
        <v>59145.136434820917</v>
      </c>
      <c r="U59" s="179">
        <f t="shared" si="34"/>
        <v>29133.0873999043</v>
      </c>
      <c r="V59" s="179">
        <f t="shared" si="34"/>
        <v>49610.717330034204</v>
      </c>
      <c r="W59" s="178">
        <f>SUM(M59:V59)</f>
        <v>7163673.9734484674</v>
      </c>
      <c r="X59" s="182">
        <f t="shared" si="32"/>
        <v>3.8670240413609093E-2</v>
      </c>
    </row>
    <row r="60" spans="3:24" x14ac:dyDescent="0.2">
      <c r="C60" s="27" t="s">
        <v>222</v>
      </c>
      <c r="E60" s="179">
        <f t="shared" ref="E60:L60" si="35">E$50*E31</f>
        <v>8078799.9815342035</v>
      </c>
      <c r="F60" s="179">
        <f t="shared" si="35"/>
        <v>5685177.4307613978</v>
      </c>
      <c r="G60" s="179">
        <f t="shared" si="35"/>
        <v>4341157.1872398118</v>
      </c>
      <c r="H60" s="179">
        <f t="shared" si="35"/>
        <v>4756691.3659497332</v>
      </c>
      <c r="I60" s="179">
        <f t="shared" si="35"/>
        <v>5359633.8581503667</v>
      </c>
      <c r="J60" s="179">
        <f t="shared" si="35"/>
        <v>3345536.4035130283</v>
      </c>
      <c r="K60" s="179">
        <f t="shared" si="35"/>
        <v>5797228.6209946135</v>
      </c>
      <c r="L60" s="179">
        <f t="shared" si="35"/>
        <v>4212020.618830556</v>
      </c>
      <c r="M60" s="179">
        <f t="shared" ref="M60:V60" si="36">M$50*M31</f>
        <v>6225278.0878586909</v>
      </c>
      <c r="N60" s="179">
        <f t="shared" si="36"/>
        <v>1627955.8547695605</v>
      </c>
      <c r="O60" s="179">
        <f t="shared" si="36"/>
        <v>6300162.782285152</v>
      </c>
      <c r="P60" s="179">
        <f t="shared" si="36"/>
        <v>2640348.1095861597</v>
      </c>
      <c r="Q60" s="179">
        <f t="shared" si="36"/>
        <v>1884191.5548640981</v>
      </c>
      <c r="R60" s="179">
        <f t="shared" si="36"/>
        <v>6667188.0655422825</v>
      </c>
      <c r="S60" s="179">
        <f t="shared" si="36"/>
        <v>8749229.4507293329</v>
      </c>
      <c r="T60" s="179">
        <f t="shared" si="36"/>
        <v>4101514.9194601313</v>
      </c>
      <c r="U60" s="179">
        <f t="shared" si="36"/>
        <v>1585064.0552271011</v>
      </c>
      <c r="V60" s="179">
        <f t="shared" si="36"/>
        <v>1589527.3832542961</v>
      </c>
      <c r="W60" s="178">
        <f>SUM(M60:V60)</f>
        <v>41370460.263576806</v>
      </c>
      <c r="X60" s="182">
        <f t="shared" si="32"/>
        <v>0.22332195048849471</v>
      </c>
    </row>
    <row r="61" spans="3:24" x14ac:dyDescent="0.2">
      <c r="C61" s="27" t="s">
        <v>17</v>
      </c>
      <c r="E61" s="179">
        <f t="shared" ref="E61:L61" si="37">SUM(E57:E60)</f>
        <v>25980000</v>
      </c>
      <c r="F61" s="179">
        <f t="shared" si="37"/>
        <v>18890000.000000004</v>
      </c>
      <c r="G61" s="179">
        <f t="shared" si="37"/>
        <v>14920000</v>
      </c>
      <c r="H61" s="179">
        <f t="shared" si="37"/>
        <v>16930000</v>
      </c>
      <c r="I61" s="179">
        <f t="shared" si="37"/>
        <v>19780000</v>
      </c>
      <c r="J61" s="179">
        <f t="shared" si="37"/>
        <v>12820000</v>
      </c>
      <c r="K61" s="179">
        <f t="shared" si="37"/>
        <v>23100000</v>
      </c>
      <c r="L61" s="179">
        <f t="shared" si="37"/>
        <v>17480000</v>
      </c>
      <c r="M61" s="179">
        <f>SUM(M57:M60)</f>
        <v>15279999.999999993</v>
      </c>
      <c r="N61" s="179">
        <f t="shared" ref="N61:V61" si="38">SUM(N57:N60)</f>
        <v>4490000</v>
      </c>
      <c r="O61" s="179">
        <f t="shared" si="38"/>
        <v>22049999.999999993</v>
      </c>
      <c r="P61" s="179">
        <f t="shared" si="38"/>
        <v>11650000</v>
      </c>
      <c r="Q61" s="179">
        <f t="shared" si="38"/>
        <v>10010240</v>
      </c>
      <c r="R61" s="179">
        <f t="shared" si="38"/>
        <v>31234521.508666165</v>
      </c>
      <c r="S61" s="179">
        <f t="shared" si="38"/>
        <v>37049116.580484897</v>
      </c>
      <c r="T61" s="179">
        <f t="shared" si="38"/>
        <v>25488490.509488881</v>
      </c>
      <c r="U61" s="179">
        <f t="shared" si="38"/>
        <v>12763877.891914995</v>
      </c>
      <c r="V61" s="179">
        <f t="shared" si="38"/>
        <v>15234062.191968255</v>
      </c>
      <c r="W61" s="178">
        <f>SUM(M61:V61)</f>
        <v>185250308.68252319</v>
      </c>
    </row>
    <row r="63" spans="3:24" x14ac:dyDescent="0.2">
      <c r="C63" s="176" t="s">
        <v>308</v>
      </c>
    </row>
    <row r="64" spans="3:24" x14ac:dyDescent="0.2">
      <c r="C64" s="27" t="s">
        <v>236</v>
      </c>
      <c r="E64" s="178">
        <f t="shared" ref="E64:L64" si="39">E35*E$51</f>
        <v>27122380.355073232</v>
      </c>
      <c r="F64" s="178">
        <f t="shared" si="39"/>
        <v>23146890.739238154</v>
      </c>
      <c r="G64" s="178">
        <f t="shared" si="39"/>
        <v>14966923.305695899</v>
      </c>
      <c r="H64" s="178">
        <f t="shared" si="39"/>
        <v>25220506.122857731</v>
      </c>
      <c r="I64" s="178">
        <f t="shared" si="39"/>
        <v>18618012.968878835</v>
      </c>
      <c r="J64" s="178">
        <f t="shared" si="39"/>
        <v>17822915.045711815</v>
      </c>
      <c r="K64" s="178">
        <f t="shared" si="39"/>
        <v>10170892.633152463</v>
      </c>
      <c r="L64" s="178">
        <f t="shared" si="39"/>
        <v>8936900.6563972533</v>
      </c>
      <c r="M64" s="178">
        <f t="shared" ref="M64:V64" si="40">M35*M$51</f>
        <v>14230745.621214591</v>
      </c>
      <c r="N64" s="178">
        <f t="shared" si="40"/>
        <v>21263674.523115169</v>
      </c>
      <c r="O64" s="178">
        <f t="shared" si="40"/>
        <v>81939946.637303069</v>
      </c>
      <c r="P64" s="178">
        <f t="shared" si="40"/>
        <v>53614891.825256184</v>
      </c>
      <c r="Q64" s="178">
        <f t="shared" si="40"/>
        <v>68740401.229023874</v>
      </c>
      <c r="R64" s="178">
        <f t="shared" si="40"/>
        <v>55299275.449049607</v>
      </c>
      <c r="S64" s="178">
        <f t="shared" si="40"/>
        <v>57574859.699931867</v>
      </c>
      <c r="T64" s="178">
        <f t="shared" si="40"/>
        <v>64672419.901448965</v>
      </c>
      <c r="U64" s="178">
        <f t="shared" si="40"/>
        <v>18500411.801720861</v>
      </c>
      <c r="V64" s="178">
        <f t="shared" si="40"/>
        <v>12180879.837747488</v>
      </c>
      <c r="W64" s="178">
        <f>SUM(M64:V64)</f>
        <v>448017506.52581167</v>
      </c>
      <c r="X64" s="182">
        <f>W64/W$68</f>
        <v>0.64587654663014049</v>
      </c>
    </row>
    <row r="65" spans="3:24" x14ac:dyDescent="0.2">
      <c r="C65" s="27" t="s">
        <v>237</v>
      </c>
      <c r="E65" s="178">
        <f t="shared" ref="E65:L65" si="41">E36*E$51</f>
        <v>7157709.5519367578</v>
      </c>
      <c r="F65" s="178">
        <f t="shared" si="41"/>
        <v>6108561.2240848644</v>
      </c>
      <c r="G65" s="178">
        <f t="shared" si="41"/>
        <v>3949833.6246968084</v>
      </c>
      <c r="H65" s="178">
        <f t="shared" si="41"/>
        <v>6655796.9918924123</v>
      </c>
      <c r="I65" s="178">
        <f t="shared" si="41"/>
        <v>4913371.4489959879</v>
      </c>
      <c r="J65" s="178">
        <f t="shared" si="41"/>
        <v>4703541.7834256086</v>
      </c>
      <c r="K65" s="178">
        <f t="shared" si="41"/>
        <v>2684141.0819762843</v>
      </c>
      <c r="L65" s="178">
        <f t="shared" si="41"/>
        <v>2358485.4410110563</v>
      </c>
      <c r="M65" s="178">
        <f t="shared" ref="M65:V65" si="42">M36*M$51</f>
        <v>4076964.3149451627</v>
      </c>
      <c r="N65" s="178">
        <f t="shared" si="42"/>
        <v>1266520.0554572835</v>
      </c>
      <c r="O65" s="178">
        <f t="shared" si="42"/>
        <v>1768488.0569202101</v>
      </c>
      <c r="P65" s="178">
        <f t="shared" si="42"/>
        <v>4248015.6406502817</v>
      </c>
      <c r="Q65" s="178">
        <f t="shared" si="42"/>
        <v>12358449.493196474</v>
      </c>
      <c r="R65" s="178">
        <f t="shared" si="42"/>
        <v>25173692.081184939</v>
      </c>
      <c r="S65" s="178">
        <f t="shared" si="42"/>
        <v>21797898.606393907</v>
      </c>
      <c r="T65" s="178">
        <f t="shared" si="42"/>
        <v>11742058.752264243</v>
      </c>
      <c r="U65" s="178">
        <f t="shared" si="42"/>
        <v>30671477.420150999</v>
      </c>
      <c r="V65" s="178">
        <f t="shared" si="42"/>
        <v>2715529.4187456071</v>
      </c>
      <c r="W65" s="178">
        <f>SUM(M65:V65)</f>
        <v>115819093.83990911</v>
      </c>
      <c r="X65" s="182">
        <f t="shared" ref="X65:X67" si="43">W65/W$68</f>
        <v>0.16696855652635739</v>
      </c>
    </row>
    <row r="66" spans="3:24" x14ac:dyDescent="0.2">
      <c r="C66" s="27" t="s">
        <v>238</v>
      </c>
      <c r="E66" s="178">
        <f t="shared" ref="E66:L66" si="44">E37*E$51</f>
        <v>1657862.8184204125</v>
      </c>
      <c r="F66" s="178">
        <f t="shared" si="44"/>
        <v>1414859.9428311165</v>
      </c>
      <c r="G66" s="178">
        <f t="shared" si="44"/>
        <v>914857.22601858131</v>
      </c>
      <c r="H66" s="178">
        <f t="shared" si="44"/>
        <v>1541610.2427384933</v>
      </c>
      <c r="I66" s="178">
        <f t="shared" si="44"/>
        <v>1138031.0669597907</v>
      </c>
      <c r="J66" s="178">
        <f t="shared" si="44"/>
        <v>1089430.4918419314</v>
      </c>
      <c r="K66" s="178">
        <f t="shared" si="44"/>
        <v>621698.55690765474</v>
      </c>
      <c r="L66" s="178">
        <f t="shared" si="44"/>
        <v>546270.4643247372</v>
      </c>
      <c r="M66" s="178">
        <f t="shared" ref="M66:V66" si="45">M37*M$51</f>
        <v>297491.40612211492</v>
      </c>
      <c r="N66" s="178">
        <f t="shared" si="45"/>
        <v>492745.61361571931</v>
      </c>
      <c r="O66" s="178">
        <f t="shared" si="45"/>
        <v>527032.86464509577</v>
      </c>
      <c r="P66" s="178">
        <f t="shared" si="45"/>
        <v>329776.94737653132</v>
      </c>
      <c r="Q66" s="178">
        <f t="shared" si="45"/>
        <v>265573.87716514163</v>
      </c>
      <c r="R66" s="178">
        <f t="shared" si="45"/>
        <v>82847.1295572612</v>
      </c>
      <c r="S66" s="178">
        <f t="shared" si="45"/>
        <v>88237.332873458799</v>
      </c>
      <c r="T66" s="178">
        <f t="shared" si="45"/>
        <v>219888.74067910566</v>
      </c>
      <c r="U66" s="178">
        <f t="shared" si="45"/>
        <v>436168.64910017402</v>
      </c>
      <c r="V66" s="178">
        <f t="shared" si="45"/>
        <v>11383982.735226864</v>
      </c>
      <c r="W66" s="178">
        <f>SUM(M66:V66)</f>
        <v>14123745.296361467</v>
      </c>
      <c r="X66" s="182">
        <f t="shared" si="43"/>
        <v>2.0361248622261321E-2</v>
      </c>
    </row>
    <row r="67" spans="3:24" x14ac:dyDescent="0.2">
      <c r="C67" s="27" t="s">
        <v>222</v>
      </c>
      <c r="E67" s="178">
        <f t="shared" ref="E67:L67" si="46">E38*E$51</f>
        <v>6702047.2745695924</v>
      </c>
      <c r="F67" s="178">
        <f t="shared" si="46"/>
        <v>5719688.0938458601</v>
      </c>
      <c r="G67" s="178">
        <f t="shared" si="46"/>
        <v>3698385.843588708</v>
      </c>
      <c r="H67" s="178">
        <f t="shared" si="46"/>
        <v>6232086.6425113594</v>
      </c>
      <c r="I67" s="178">
        <f t="shared" si="46"/>
        <v>4600584.5151653839</v>
      </c>
      <c r="J67" s="178">
        <f t="shared" si="46"/>
        <v>4404112.6790206367</v>
      </c>
      <c r="K67" s="178">
        <f t="shared" si="46"/>
        <v>2513267.727963597</v>
      </c>
      <c r="L67" s="178">
        <f t="shared" si="46"/>
        <v>2208343.4382669502</v>
      </c>
      <c r="M67" s="178">
        <f t="shared" ref="M67:V67" si="47">M38*M$51</f>
        <v>3094798.6577181206</v>
      </c>
      <c r="N67" s="178">
        <f t="shared" si="47"/>
        <v>3337059.8078118279</v>
      </c>
      <c r="O67" s="178">
        <f t="shared" si="47"/>
        <v>7944532.4411316281</v>
      </c>
      <c r="P67" s="178">
        <f t="shared" si="47"/>
        <v>5217315.5867170049</v>
      </c>
      <c r="Q67" s="178">
        <f t="shared" si="47"/>
        <v>10094895.400614511</v>
      </c>
      <c r="R67" s="178">
        <f t="shared" si="47"/>
        <v>17210899.400309891</v>
      </c>
      <c r="S67" s="178">
        <f t="shared" si="47"/>
        <v>22884226.227398865</v>
      </c>
      <c r="T67" s="178">
        <f t="shared" si="47"/>
        <v>33108961.810825337</v>
      </c>
      <c r="U67" s="178">
        <f t="shared" si="47"/>
        <v>4675335.8566468088</v>
      </c>
      <c r="V67" s="178">
        <f t="shared" si="47"/>
        <v>8129742.0858710352</v>
      </c>
      <c r="W67" s="178">
        <f>SUM(M67:V67)</f>
        <v>115697767.27504502</v>
      </c>
      <c r="X67" s="182">
        <f t="shared" si="43"/>
        <v>0.16679364822124099</v>
      </c>
    </row>
    <row r="68" spans="3:24" x14ac:dyDescent="0.2">
      <c r="C68" s="27" t="s">
        <v>17</v>
      </c>
      <c r="E68" s="178">
        <f t="shared" ref="E68:L68" si="48">SUM(E64:E67)</f>
        <v>42639999.999999993</v>
      </c>
      <c r="F68" s="178">
        <f t="shared" si="48"/>
        <v>36390000</v>
      </c>
      <c r="G68" s="178">
        <f t="shared" si="48"/>
        <v>23530000</v>
      </c>
      <c r="H68" s="178">
        <f t="shared" si="48"/>
        <v>39649999.999999993</v>
      </c>
      <c r="I68" s="178">
        <f t="shared" si="48"/>
        <v>29270000</v>
      </c>
      <c r="J68" s="178">
        <f t="shared" si="48"/>
        <v>28019999.999999989</v>
      </c>
      <c r="K68" s="178">
        <f t="shared" si="48"/>
        <v>15989999.999999996</v>
      </c>
      <c r="L68" s="178">
        <f t="shared" si="48"/>
        <v>14049999.999999996</v>
      </c>
      <c r="M68" s="178">
        <f>SUM(M64:M67)</f>
        <v>21699999.999999989</v>
      </c>
      <c r="N68" s="178">
        <f t="shared" ref="N68:V68" si="49">SUM(N64:N67)</f>
        <v>26359999.999999996</v>
      </c>
      <c r="O68" s="178">
        <f t="shared" si="49"/>
        <v>92180000</v>
      </c>
      <c r="P68" s="178">
        <f t="shared" si="49"/>
        <v>63410000</v>
      </c>
      <c r="Q68" s="178">
        <f t="shared" si="49"/>
        <v>91459320</v>
      </c>
      <c r="R68" s="178">
        <f t="shared" si="49"/>
        <v>97766714.060101703</v>
      </c>
      <c r="S68" s="178">
        <f t="shared" si="49"/>
        <v>102345221.8665981</v>
      </c>
      <c r="T68" s="178">
        <f t="shared" si="49"/>
        <v>109743329.20521764</v>
      </c>
      <c r="U68" s="178">
        <f t="shared" si="49"/>
        <v>54283393.727618843</v>
      </c>
      <c r="V68" s="178">
        <f t="shared" si="49"/>
        <v>34410134.077590995</v>
      </c>
      <c r="W68" s="178">
        <f>SUM(M68:V68)</f>
        <v>693658112.93712711</v>
      </c>
    </row>
    <row r="69" spans="3:24" x14ac:dyDescent="0.2">
      <c r="W69" s="199">
        <f>W68*0.15</f>
        <v>104048716.94056906</v>
      </c>
    </row>
    <row r="70" spans="3:24" x14ac:dyDescent="0.2">
      <c r="C70" s="176" t="s">
        <v>310</v>
      </c>
    </row>
    <row r="71" spans="3:24" x14ac:dyDescent="0.2">
      <c r="C71" s="27" t="s">
        <v>236</v>
      </c>
      <c r="E71" s="178">
        <f t="shared" ref="E71:L71" si="50">E$52*E41</f>
        <v>0</v>
      </c>
      <c r="F71" s="178">
        <f t="shared" si="50"/>
        <v>0</v>
      </c>
      <c r="G71" s="178">
        <f t="shared" si="50"/>
        <v>2357776.8512188182</v>
      </c>
      <c r="H71" s="178">
        <f t="shared" si="50"/>
        <v>0</v>
      </c>
      <c r="I71" s="178">
        <f t="shared" si="50"/>
        <v>0</v>
      </c>
      <c r="J71" s="178">
        <f t="shared" si="50"/>
        <v>0</v>
      </c>
      <c r="K71" s="178">
        <f t="shared" si="50"/>
        <v>3542619.2587757492</v>
      </c>
      <c r="L71" s="178">
        <f t="shared" si="50"/>
        <v>12431914.306426495</v>
      </c>
      <c r="M71" s="178">
        <f t="shared" ref="M71:V71" si="51">M$52*M41</f>
        <v>806548.75717017206</v>
      </c>
      <c r="N71" s="178">
        <f t="shared" si="51"/>
        <v>2077402.4746520021</v>
      </c>
      <c r="O71" s="178">
        <f t="shared" si="51"/>
        <v>1029339.5811978327</v>
      </c>
      <c r="P71" s="178">
        <f t="shared" si="51"/>
        <v>2515369.7010536636</v>
      </c>
      <c r="Q71" s="178">
        <f t="shared" si="51"/>
        <v>8166362.2586034089</v>
      </c>
      <c r="R71" s="178">
        <f t="shared" si="51"/>
        <v>9023376.8134835903</v>
      </c>
      <c r="S71" s="178">
        <f t="shared" si="51"/>
        <v>4547401.9956634529</v>
      </c>
      <c r="T71" s="178">
        <f t="shared" si="51"/>
        <v>5233568.8459294373</v>
      </c>
      <c r="U71" s="178">
        <f t="shared" si="51"/>
        <v>5767637.8596792771</v>
      </c>
      <c r="V71" s="178">
        <f t="shared" si="51"/>
        <v>17446327.760583449</v>
      </c>
      <c r="W71" s="178">
        <f>SUM(M71:V71)</f>
        <v>56613336.04801628</v>
      </c>
      <c r="X71" s="182">
        <f>W71/W$75</f>
        <v>0.65125837752064464</v>
      </c>
    </row>
    <row r="72" spans="3:24" x14ac:dyDescent="0.2">
      <c r="C72" s="27" t="s">
        <v>237</v>
      </c>
      <c r="E72" s="178">
        <f t="shared" ref="E72:L72" si="52">E$52*E42</f>
        <v>0</v>
      </c>
      <c r="F72" s="178">
        <f t="shared" si="52"/>
        <v>0</v>
      </c>
      <c r="G72" s="178">
        <f t="shared" si="52"/>
        <v>690604.03672825184</v>
      </c>
      <c r="H72" s="178">
        <f t="shared" si="52"/>
        <v>0</v>
      </c>
      <c r="I72" s="178">
        <f t="shared" si="52"/>
        <v>0</v>
      </c>
      <c r="J72" s="178">
        <f t="shared" si="52"/>
        <v>0</v>
      </c>
      <c r="K72" s="178">
        <f t="shared" si="52"/>
        <v>1037650.0046800754</v>
      </c>
      <c r="L72" s="178">
        <f t="shared" si="52"/>
        <v>3641366.7391126007</v>
      </c>
      <c r="M72" s="178">
        <f t="shared" ref="M72:V72" si="53">M$52*M42</f>
        <v>463465.9815168897</v>
      </c>
      <c r="N72" s="178">
        <f t="shared" si="53"/>
        <v>1861682.2478089021</v>
      </c>
      <c r="O72" s="178">
        <f t="shared" si="53"/>
        <v>1284961.1949040855</v>
      </c>
      <c r="P72" s="178">
        <f t="shared" si="53"/>
        <v>2329725.8637588825</v>
      </c>
      <c r="Q72" s="178">
        <f t="shared" si="53"/>
        <v>3871679.0377547611</v>
      </c>
      <c r="R72" s="178">
        <f t="shared" si="53"/>
        <v>687835.19495497795</v>
      </c>
      <c r="S72" s="178">
        <f t="shared" si="53"/>
        <v>763167.39806941268</v>
      </c>
      <c r="T72" s="178">
        <f t="shared" si="53"/>
        <v>69126.520220967344</v>
      </c>
      <c r="U72" s="178">
        <f t="shared" si="53"/>
        <v>420434.65619123686</v>
      </c>
      <c r="V72" s="178">
        <f t="shared" si="53"/>
        <v>980852.07416595286</v>
      </c>
      <c r="W72" s="178">
        <f>SUM(M72:V72)</f>
        <v>12732930.16934607</v>
      </c>
      <c r="X72" s="182">
        <f t="shared" ref="X72:X74" si="54">W72/W$75</f>
        <v>0.14647480650387415</v>
      </c>
    </row>
    <row r="73" spans="3:24" x14ac:dyDescent="0.2">
      <c r="C73" s="27" t="s">
        <v>238</v>
      </c>
      <c r="E73" s="178">
        <f t="shared" ref="E73:L73" si="55">E$52*E43</f>
        <v>0</v>
      </c>
      <c r="F73" s="178">
        <f t="shared" si="55"/>
        <v>0</v>
      </c>
      <c r="G73" s="178">
        <f t="shared" si="55"/>
        <v>60154.921590120764</v>
      </c>
      <c r="H73" s="178">
        <f t="shared" si="55"/>
        <v>0</v>
      </c>
      <c r="I73" s="178">
        <f t="shared" si="55"/>
        <v>0</v>
      </c>
      <c r="J73" s="178">
        <f t="shared" si="55"/>
        <v>0</v>
      </c>
      <c r="K73" s="178">
        <f t="shared" si="55"/>
        <v>90384.288752832974</v>
      </c>
      <c r="L73" s="178">
        <f t="shared" si="55"/>
        <v>317180.4956570004</v>
      </c>
      <c r="M73" s="178">
        <f t="shared" ref="M73:V73" si="56">M$52*M43</f>
        <v>159362.65137029954</v>
      </c>
      <c r="N73" s="178">
        <f t="shared" si="56"/>
        <v>282793.77899982815</v>
      </c>
      <c r="O73" s="178">
        <f t="shared" si="56"/>
        <v>6853.1263728217891</v>
      </c>
      <c r="P73" s="178">
        <f t="shared" si="56"/>
        <v>7926.3660867434446</v>
      </c>
      <c r="Q73" s="178">
        <f t="shared" si="56"/>
        <v>0</v>
      </c>
      <c r="R73" s="178">
        <f t="shared" si="56"/>
        <v>0</v>
      </c>
      <c r="S73" s="178">
        <f t="shared" si="56"/>
        <v>0</v>
      </c>
      <c r="T73" s="178">
        <f t="shared" si="56"/>
        <v>0</v>
      </c>
      <c r="U73" s="178">
        <f t="shared" si="56"/>
        <v>0</v>
      </c>
      <c r="V73" s="178">
        <f t="shared" si="56"/>
        <v>741983.98913314845</v>
      </c>
      <c r="W73" s="178">
        <f>SUM(M73:V73)</f>
        <v>1198919.9119628414</v>
      </c>
      <c r="X73" s="182">
        <f t="shared" si="54"/>
        <v>1.3791920617076469E-2</v>
      </c>
    </row>
    <row r="74" spans="3:24" x14ac:dyDescent="0.2">
      <c r="C74" s="27" t="s">
        <v>222</v>
      </c>
      <c r="E74" s="178">
        <f t="shared" ref="E74:L74" si="57">E$52*E44</f>
        <v>0</v>
      </c>
      <c r="F74" s="178">
        <f t="shared" si="57"/>
        <v>0</v>
      </c>
      <c r="G74" s="178">
        <f t="shared" si="57"/>
        <v>851464.19046280917</v>
      </c>
      <c r="H74" s="178">
        <f t="shared" si="57"/>
        <v>0</v>
      </c>
      <c r="I74" s="178">
        <f t="shared" si="57"/>
        <v>0</v>
      </c>
      <c r="J74" s="178">
        <f t="shared" si="57"/>
        <v>0</v>
      </c>
      <c r="K74" s="178">
        <f t="shared" si="57"/>
        <v>1279346.4477913422</v>
      </c>
      <c r="L74" s="178">
        <f t="shared" si="57"/>
        <v>4489538.4588039033</v>
      </c>
      <c r="M74" s="178">
        <f t="shared" ref="M74:V74" si="58">M$52*M44</f>
        <v>920622.60994263866</v>
      </c>
      <c r="N74" s="178">
        <f t="shared" si="58"/>
        <v>1848121.498539268</v>
      </c>
      <c r="O74" s="178">
        <f t="shared" si="58"/>
        <v>1188846.0975252599</v>
      </c>
      <c r="P74" s="178">
        <f t="shared" si="58"/>
        <v>1956978.0691007106</v>
      </c>
      <c r="Q74" s="178">
        <f t="shared" si="58"/>
        <v>4933158.7036418309</v>
      </c>
      <c r="R74" s="178">
        <f t="shared" si="58"/>
        <v>957135.30536143272</v>
      </c>
      <c r="S74" s="178">
        <f t="shared" si="58"/>
        <v>930295.43666713405</v>
      </c>
      <c r="T74" s="178">
        <f t="shared" si="58"/>
        <v>328350.97104959487</v>
      </c>
      <c r="U74" s="178">
        <f t="shared" si="58"/>
        <v>912364.54579570447</v>
      </c>
      <c r="V74" s="178">
        <f t="shared" si="58"/>
        <v>2408088.8822369589</v>
      </c>
      <c r="W74" s="178">
        <f>SUM(M74:V74)</f>
        <v>16383962.119860535</v>
      </c>
      <c r="X74" s="182">
        <f t="shared" si="54"/>
        <v>0.18847489535840478</v>
      </c>
    </row>
    <row r="75" spans="3:24" x14ac:dyDescent="0.2">
      <c r="C75" s="27" t="s">
        <v>17</v>
      </c>
      <c r="E75" s="178">
        <f t="shared" ref="E75:L75" si="59">SUM(E71:E74)</f>
        <v>0</v>
      </c>
      <c r="F75" s="178">
        <f t="shared" si="59"/>
        <v>0</v>
      </c>
      <c r="G75" s="178">
        <f t="shared" si="59"/>
        <v>3960000</v>
      </c>
      <c r="H75" s="178">
        <f t="shared" si="59"/>
        <v>0</v>
      </c>
      <c r="I75" s="178">
        <f t="shared" si="59"/>
        <v>0</v>
      </c>
      <c r="J75" s="178">
        <f t="shared" si="59"/>
        <v>0</v>
      </c>
      <c r="K75" s="178">
        <f t="shared" si="59"/>
        <v>5950000</v>
      </c>
      <c r="L75" s="178">
        <f t="shared" si="59"/>
        <v>20880000</v>
      </c>
      <c r="M75" s="178">
        <f>SUM(M71:M74)</f>
        <v>2350000</v>
      </c>
      <c r="N75" s="178">
        <f t="shared" ref="N75:V75" si="60">SUM(N71:N74)</f>
        <v>6070000</v>
      </c>
      <c r="O75" s="178">
        <f t="shared" si="60"/>
        <v>3509999.9999999995</v>
      </c>
      <c r="P75" s="178">
        <f t="shared" si="60"/>
        <v>6810000.0000000009</v>
      </c>
      <c r="Q75" s="178">
        <f t="shared" si="60"/>
        <v>16971200</v>
      </c>
      <c r="R75" s="178">
        <f t="shared" si="60"/>
        <v>10668347.313800002</v>
      </c>
      <c r="S75" s="178">
        <f t="shared" si="60"/>
        <v>6240864.8303999994</v>
      </c>
      <c r="T75" s="178">
        <f t="shared" si="60"/>
        <v>5631046.337199999</v>
      </c>
      <c r="U75" s="178">
        <f t="shared" si="60"/>
        <v>7100437.0616662186</v>
      </c>
      <c r="V75" s="178">
        <f t="shared" si="60"/>
        <v>21577252.706119508</v>
      </c>
      <c r="W75" s="178">
        <f>SUM(M75:V75)</f>
        <v>86929148.249185726</v>
      </c>
    </row>
    <row r="77" spans="3:24" x14ac:dyDescent="0.2">
      <c r="C77" s="27" t="s">
        <v>356</v>
      </c>
      <c r="D77" s="27" t="s">
        <v>357</v>
      </c>
      <c r="E77" s="27">
        <v>0.82172701949860727</v>
      </c>
      <c r="F77" s="27">
        <v>0.84623955431754883</v>
      </c>
      <c r="G77" s="27">
        <v>0.86685236768802221</v>
      </c>
      <c r="H77" s="27">
        <v>0.90362116991643449</v>
      </c>
      <c r="I77" s="27">
        <v>0.92590529247910858</v>
      </c>
      <c r="J77" s="27">
        <v>0.9526462395543176</v>
      </c>
      <c r="K77" s="27">
        <v>0.98440111420612808</v>
      </c>
      <c r="L77" s="27">
        <v>0.82990033719374068</v>
      </c>
      <c r="M77" s="27">
        <v>0.85066861390029069</v>
      </c>
      <c r="N77" s="27">
        <v>0.87559054594815078</v>
      </c>
      <c r="O77" s="27">
        <v>0.88722078090381873</v>
      </c>
      <c r="P77" s="27">
        <v>0.89885101585948679</v>
      </c>
      <c r="Q77" s="27">
        <v>0.91795783042951284</v>
      </c>
      <c r="R77" s="27">
        <v>0.93540318286301483</v>
      </c>
      <c r="S77" s="27">
        <v>0.94786414888694492</v>
      </c>
      <c r="T77" s="27">
        <v>0.96863242559349494</v>
      </c>
      <c r="U77" s="27">
        <v>0.97943192948090108</v>
      </c>
      <c r="V77" s="27">
        <v>1</v>
      </c>
    </row>
    <row r="78" spans="3:24" x14ac:dyDescent="0.2">
      <c r="C78" s="176" t="s">
        <v>176</v>
      </c>
    </row>
    <row r="79" spans="3:24" x14ac:dyDescent="0.2">
      <c r="C79" s="27" t="s">
        <v>236</v>
      </c>
      <c r="E79" s="179">
        <f>E57/E$77</f>
        <v>18480655.356659949</v>
      </c>
      <c r="F79" s="179">
        <f t="shared" ref="F79:V83" si="61">F57/F$77</f>
        <v>13271237.193363836</v>
      </c>
      <c r="G79" s="179">
        <f t="shared" si="61"/>
        <v>10404963.42534636</v>
      </c>
      <c r="H79" s="179">
        <f t="shared" si="61"/>
        <v>11513640.977567708</v>
      </c>
      <c r="I79" s="179">
        <f t="shared" si="61"/>
        <v>13341727.744803982</v>
      </c>
      <c r="J79" s="179">
        <f t="shared" si="61"/>
        <v>8539011.3530147206</v>
      </c>
      <c r="K79" s="179">
        <f t="shared" si="61"/>
        <v>15124537.316367518</v>
      </c>
      <c r="L79" s="179">
        <f t="shared" si="61"/>
        <v>13786186.081238225</v>
      </c>
      <c r="M79" s="179">
        <f t="shared" si="61"/>
        <v>6872255.679842419</v>
      </c>
      <c r="N79" s="179">
        <f t="shared" si="61"/>
        <v>2181481.6856175298</v>
      </c>
      <c r="O79" s="179">
        <f t="shared" si="61"/>
        <v>14123674.510920085</v>
      </c>
      <c r="P79" s="179">
        <f t="shared" si="61"/>
        <v>7980241.0775255375</v>
      </c>
      <c r="Q79" s="179">
        <f t="shared" si="61"/>
        <v>8150982.4723031782</v>
      </c>
      <c r="R79" s="179">
        <f t="shared" si="61"/>
        <v>23509613.276964907</v>
      </c>
      <c r="S79" s="179">
        <f t="shared" si="61"/>
        <v>25974657.360778708</v>
      </c>
      <c r="T79" s="179">
        <f t="shared" si="61"/>
        <v>21293313.17970828</v>
      </c>
      <c r="U79" s="179">
        <f t="shared" si="61"/>
        <v>11100561.24342839</v>
      </c>
      <c r="V79" s="179">
        <f t="shared" si="61"/>
        <v>13348458.047688315</v>
      </c>
      <c r="W79" s="268">
        <f>SUM(M79:V79)</f>
        <v>134535238.53477734</v>
      </c>
    </row>
    <row r="80" spans="3:24" x14ac:dyDescent="0.2">
      <c r="C80" s="27" t="s">
        <v>237</v>
      </c>
      <c r="E80" s="179">
        <f t="shared" ref="E80:T83" si="62">E58/E$77</f>
        <v>2027805.4964823797</v>
      </c>
      <c r="F80" s="179">
        <f t="shared" si="62"/>
        <v>1431704.3798089081</v>
      </c>
      <c r="G80" s="179">
        <f t="shared" si="62"/>
        <v>1103922.0292326838</v>
      </c>
      <c r="H80" s="179">
        <f t="shared" si="62"/>
        <v>1201670.1623553704</v>
      </c>
      <c r="I80" s="179">
        <f t="shared" si="62"/>
        <v>1370169.946117528</v>
      </c>
      <c r="J80" s="179">
        <f t="shared" si="62"/>
        <v>863119.80956411723</v>
      </c>
      <c r="K80" s="179">
        <f t="shared" si="62"/>
        <v>1505062.7246437853</v>
      </c>
      <c r="L80" s="179">
        <f t="shared" si="62"/>
        <v>1350921.7807516023</v>
      </c>
      <c r="M80" s="179">
        <f t="shared" si="62"/>
        <v>2598400.2853673506</v>
      </c>
      <c r="N80" s="179">
        <f t="shared" si="62"/>
        <v>840319.59270008374</v>
      </c>
      <c r="O80" s="179">
        <f t="shared" si="62"/>
        <v>1785205.7443101681</v>
      </c>
      <c r="P80" s="179">
        <f t="shared" si="62"/>
        <v>519680.0599208491</v>
      </c>
      <c r="Q80" s="179">
        <f t="shared" si="62"/>
        <v>553503.35521287436</v>
      </c>
      <c r="R80" s="179">
        <f t="shared" si="62"/>
        <v>1687897.3061268351</v>
      </c>
      <c r="S80" s="179">
        <f t="shared" si="62"/>
        <v>2116345.2702089804</v>
      </c>
      <c r="T80" s="179">
        <f t="shared" si="62"/>
        <v>725184.12645619095</v>
      </c>
      <c r="U80" s="179">
        <f t="shared" si="61"/>
        <v>283262.80159464799</v>
      </c>
      <c r="V80" s="179">
        <f t="shared" si="61"/>
        <v>246466.04369560993</v>
      </c>
      <c r="W80" s="268">
        <f>SUM(M80:V80)</f>
        <v>11356264.585593592</v>
      </c>
    </row>
    <row r="81" spans="3:23" x14ac:dyDescent="0.2">
      <c r="C81" s="27" t="s">
        <v>238</v>
      </c>
      <c r="E81" s="179">
        <f t="shared" si="62"/>
        <v>1276389.3388211331</v>
      </c>
      <c r="F81" s="179">
        <f t="shared" si="61"/>
        <v>901177.26276095619</v>
      </c>
      <c r="G81" s="179">
        <f t="shared" si="61"/>
        <v>694856.73623364326</v>
      </c>
      <c r="H81" s="179">
        <f t="shared" si="61"/>
        <v>756383.68012638565</v>
      </c>
      <c r="I81" s="179">
        <f t="shared" si="61"/>
        <v>862444.8028330591</v>
      </c>
      <c r="J81" s="179">
        <f t="shared" si="61"/>
        <v>543285.30273935909</v>
      </c>
      <c r="K81" s="179">
        <f t="shared" si="61"/>
        <v>947352.20874232752</v>
      </c>
      <c r="L81" s="179">
        <f t="shared" si="61"/>
        <v>850329.16693624738</v>
      </c>
      <c r="M81" s="179">
        <f t="shared" si="61"/>
        <v>1173585.2401000969</v>
      </c>
      <c r="N81" s="179">
        <f t="shared" si="61"/>
        <v>246900.23801867559</v>
      </c>
      <c r="O81" s="179">
        <f t="shared" si="61"/>
        <v>1843000.1748813605</v>
      </c>
      <c r="P81" s="179">
        <f t="shared" si="61"/>
        <v>1523599.7035449944</v>
      </c>
      <c r="Q81" s="179">
        <f t="shared" si="61"/>
        <v>147825.43969512195</v>
      </c>
      <c r="R81" s="179">
        <f t="shared" si="61"/>
        <v>1066387.0529307886</v>
      </c>
      <c r="S81" s="179">
        <f t="shared" si="61"/>
        <v>1765477.5017269652</v>
      </c>
      <c r="T81" s="179">
        <f t="shared" si="61"/>
        <v>61060.454793862438</v>
      </c>
      <c r="U81" s="179">
        <f t="shared" si="61"/>
        <v>29744.882235302292</v>
      </c>
      <c r="V81" s="179">
        <f t="shared" si="61"/>
        <v>49610.717330034204</v>
      </c>
      <c r="W81" s="268">
        <f>SUM(M81:V81)</f>
        <v>7907191.4052572027</v>
      </c>
    </row>
    <row r="82" spans="3:23" x14ac:dyDescent="0.2">
      <c r="C82" s="27" t="s">
        <v>222</v>
      </c>
      <c r="E82" s="179">
        <f t="shared" si="62"/>
        <v>9831488.7910873871</v>
      </c>
      <c r="F82" s="179">
        <f t="shared" si="61"/>
        <v>6718165.5616963189</v>
      </c>
      <c r="G82" s="179">
        <f t="shared" si="61"/>
        <v>5007954.4672850017</v>
      </c>
      <c r="H82" s="179">
        <f t="shared" si="61"/>
        <v>5264032.6768679237</v>
      </c>
      <c r="I82" s="179">
        <f t="shared" si="61"/>
        <v>5788533.5591936875</v>
      </c>
      <c r="J82" s="179">
        <f t="shared" si="61"/>
        <v>3511834.9966701083</v>
      </c>
      <c r="K82" s="179">
        <f t="shared" si="61"/>
        <v>5889091.8928609686</v>
      </c>
      <c r="L82" s="179">
        <f t="shared" si="61"/>
        <v>5075333.061164015</v>
      </c>
      <c r="M82" s="179">
        <f t="shared" si="61"/>
        <v>7318100.1228151266</v>
      </c>
      <c r="N82" s="179">
        <f t="shared" si="61"/>
        <v>1859266.1402102006</v>
      </c>
      <c r="O82" s="179">
        <f t="shared" si="61"/>
        <v>7101009.0361805176</v>
      </c>
      <c r="P82" s="179">
        <f t="shared" si="61"/>
        <v>2937470.2403394883</v>
      </c>
      <c r="Q82" s="179">
        <f t="shared" si="61"/>
        <v>2052590.5356485539</v>
      </c>
      <c r="R82" s="179">
        <f t="shared" si="61"/>
        <v>7127608.9152656421</v>
      </c>
      <c r="S82" s="179">
        <f t="shared" si="61"/>
        <v>9230467.74266476</v>
      </c>
      <c r="T82" s="179">
        <f t="shared" si="61"/>
        <v>4234335.7615217911</v>
      </c>
      <c r="U82" s="179">
        <f t="shared" si="61"/>
        <v>1618350.4003868701</v>
      </c>
      <c r="V82" s="179">
        <f t="shared" si="61"/>
        <v>1589527.3832542961</v>
      </c>
      <c r="W82" s="268">
        <f>SUM(M82:V82)</f>
        <v>45068726.278287247</v>
      </c>
    </row>
    <row r="83" spans="3:23" x14ac:dyDescent="0.2">
      <c r="C83" s="27" t="s">
        <v>17</v>
      </c>
      <c r="E83" s="179">
        <f t="shared" si="62"/>
        <v>31616338.983050846</v>
      </c>
      <c r="F83" s="179">
        <f t="shared" si="61"/>
        <v>22322284.397630021</v>
      </c>
      <c r="G83" s="179">
        <f t="shared" si="61"/>
        <v>17211696.658097688</v>
      </c>
      <c r="H83" s="179">
        <f t="shared" si="61"/>
        <v>18735727.496917386</v>
      </c>
      <c r="I83" s="179">
        <f t="shared" si="61"/>
        <v>21362876.052948255</v>
      </c>
      <c r="J83" s="179">
        <f t="shared" si="61"/>
        <v>13457251.461988304</v>
      </c>
      <c r="K83" s="179">
        <f t="shared" si="61"/>
        <v>23466044.142614603</v>
      </c>
      <c r="L83" s="179">
        <f t="shared" si="61"/>
        <v>21062770.090090089</v>
      </c>
      <c r="M83" s="179">
        <f t="shared" si="61"/>
        <v>17962341.328124993</v>
      </c>
      <c r="N83" s="179">
        <f t="shared" si="61"/>
        <v>5127967.6565464893</v>
      </c>
      <c r="O83" s="179">
        <f t="shared" si="61"/>
        <v>24852889.466292128</v>
      </c>
      <c r="P83" s="179">
        <f t="shared" si="61"/>
        <v>12960991.081330869</v>
      </c>
      <c r="Q83" s="179">
        <f t="shared" si="61"/>
        <v>10904901.802859729</v>
      </c>
      <c r="R83" s="179">
        <f t="shared" si="61"/>
        <v>33391506.551288169</v>
      </c>
      <c r="S83" s="179">
        <f t="shared" si="61"/>
        <v>39086947.875379421</v>
      </c>
      <c r="T83" s="179">
        <f t="shared" si="61"/>
        <v>26313893.522480126</v>
      </c>
      <c r="U83" s="179">
        <f t="shared" si="61"/>
        <v>13031919.327645211</v>
      </c>
      <c r="V83" s="179">
        <f t="shared" si="61"/>
        <v>15234062.191968255</v>
      </c>
      <c r="W83" s="268">
        <f>SUM(M83:V83)</f>
        <v>198867420.80391541</v>
      </c>
    </row>
    <row r="84" spans="3:23" x14ac:dyDescent="0.2">
      <c r="E84" s="179"/>
      <c r="F84" s="179"/>
      <c r="G84" s="179"/>
      <c r="H84" s="179"/>
      <c r="I84" s="179"/>
      <c r="J84" s="179"/>
      <c r="K84" s="179"/>
      <c r="L84" s="179"/>
      <c r="M84" s="179"/>
      <c r="N84" s="179"/>
      <c r="O84" s="179"/>
      <c r="P84" s="179"/>
      <c r="Q84" s="179"/>
      <c r="R84" s="179"/>
      <c r="S84" s="179"/>
      <c r="T84" s="179"/>
      <c r="U84" s="179"/>
      <c r="V84" s="179"/>
    </row>
    <row r="85" spans="3:23" x14ac:dyDescent="0.2">
      <c r="C85" s="176" t="s">
        <v>308</v>
      </c>
      <c r="E85" s="179"/>
      <c r="F85" s="179"/>
      <c r="G85" s="179"/>
      <c r="H85" s="179"/>
      <c r="I85" s="179"/>
      <c r="J85" s="179"/>
      <c r="K85" s="179"/>
      <c r="L85" s="179"/>
      <c r="M85" s="179"/>
      <c r="N85" s="179"/>
      <c r="O85" s="179"/>
      <c r="P85" s="179"/>
      <c r="Q85" s="179"/>
      <c r="R85" s="179"/>
      <c r="S85" s="179"/>
      <c r="T85" s="179"/>
      <c r="U85" s="179"/>
      <c r="V85" s="179"/>
    </row>
    <row r="86" spans="3:23" x14ac:dyDescent="0.2">
      <c r="C86" s="27" t="s">
        <v>236</v>
      </c>
      <c r="E86" s="179">
        <f>E64/E$77</f>
        <v>33006557.788038272</v>
      </c>
      <c r="F86" s="179">
        <f t="shared" ref="F86:V86" si="63">F64/F$77</f>
        <v>27352645.738599397</v>
      </c>
      <c r="G86" s="179">
        <f t="shared" si="63"/>
        <v>17265827.335298292</v>
      </c>
      <c r="H86" s="179">
        <f t="shared" si="63"/>
        <v>27910486.122398045</v>
      </c>
      <c r="I86" s="179">
        <f t="shared" si="63"/>
        <v>20107902.093343869</v>
      </c>
      <c r="J86" s="179">
        <f t="shared" si="63"/>
        <v>18708849.41932907</v>
      </c>
      <c r="K86" s="179">
        <f t="shared" si="63"/>
        <v>10332061.27702811</v>
      </c>
      <c r="L86" s="179">
        <f t="shared" si="63"/>
        <v>10768643.240484584</v>
      </c>
      <c r="M86" s="179">
        <f t="shared" si="63"/>
        <v>16728894.646726225</v>
      </c>
      <c r="N86" s="179">
        <f t="shared" si="63"/>
        <v>24284952.163444586</v>
      </c>
      <c r="O86" s="179">
        <f t="shared" si="63"/>
        <v>92355756.764207214</v>
      </c>
      <c r="P86" s="179">
        <f t="shared" si="63"/>
        <v>59648251.911902554</v>
      </c>
      <c r="Q86" s="179">
        <f t="shared" si="63"/>
        <v>74884051.260677427</v>
      </c>
      <c r="R86" s="179">
        <f t="shared" si="63"/>
        <v>59118117.686742909</v>
      </c>
      <c r="S86" s="179">
        <f t="shared" si="63"/>
        <v>60741678.823427074</v>
      </c>
      <c r="T86" s="179">
        <f t="shared" si="63"/>
        <v>66766730.281430803</v>
      </c>
      <c r="U86" s="179">
        <f t="shared" si="63"/>
        <v>18888920.449556999</v>
      </c>
      <c r="V86" s="179">
        <f t="shared" si="63"/>
        <v>12180879.837747488</v>
      </c>
      <c r="W86" s="179">
        <f>SUM(M86:V86)</f>
        <v>485598233.8258633</v>
      </c>
    </row>
    <row r="87" spans="3:23" x14ac:dyDescent="0.2">
      <c r="C87" s="27" t="s">
        <v>237</v>
      </c>
      <c r="E87" s="179">
        <f t="shared" ref="E87:V87" si="64">E65/E$77</f>
        <v>8710568.573373884</v>
      </c>
      <c r="F87" s="179">
        <f t="shared" si="64"/>
        <v>7218477.5491983742</v>
      </c>
      <c r="G87" s="179">
        <f t="shared" si="64"/>
        <v>4556524.0079246601</v>
      </c>
      <c r="H87" s="179">
        <f t="shared" si="64"/>
        <v>7365693.9583519613</v>
      </c>
      <c r="I87" s="179">
        <f t="shared" si="64"/>
        <v>5306559.4169361005</v>
      </c>
      <c r="J87" s="179">
        <f t="shared" si="64"/>
        <v>4937343.5679818522</v>
      </c>
      <c r="K87" s="179">
        <f t="shared" si="64"/>
        <v>2726674.160807827</v>
      </c>
      <c r="L87" s="179">
        <f t="shared" si="64"/>
        <v>2841889.9659519801</v>
      </c>
      <c r="M87" s="179">
        <f t="shared" si="64"/>
        <v>4792658.6785098379</v>
      </c>
      <c r="N87" s="179">
        <f t="shared" si="64"/>
        <v>1446475.2518379546</v>
      </c>
      <c r="O87" s="179">
        <f t="shared" si="64"/>
        <v>1993289.7143354076</v>
      </c>
      <c r="P87" s="179">
        <f t="shared" si="64"/>
        <v>4726050.8868517028</v>
      </c>
      <c r="Q87" s="179">
        <f t="shared" si="64"/>
        <v>13462981.722606964</v>
      </c>
      <c r="R87" s="179">
        <f t="shared" si="64"/>
        <v>26912130.023050714</v>
      </c>
      <c r="S87" s="179">
        <f t="shared" si="64"/>
        <v>22996859.446568031</v>
      </c>
      <c r="T87" s="179">
        <f t="shared" si="64"/>
        <v>12122306.090537611</v>
      </c>
      <c r="U87" s="179">
        <f t="shared" si="64"/>
        <v>31315578.445974171</v>
      </c>
      <c r="V87" s="179">
        <f t="shared" si="64"/>
        <v>2715529.4187456071</v>
      </c>
      <c r="W87" s="179">
        <f>SUM(M87:V87)</f>
        <v>122483859.67901799</v>
      </c>
    </row>
    <row r="88" spans="3:23" x14ac:dyDescent="0.2">
      <c r="C88" s="27" t="s">
        <v>238</v>
      </c>
      <c r="E88" s="179">
        <f t="shared" ref="E88:V88" si="65">E66/E$77</f>
        <v>2017534.7519082308</v>
      </c>
      <c r="F88" s="179">
        <f t="shared" si="65"/>
        <v>1671937.8521276193</v>
      </c>
      <c r="G88" s="179">
        <f t="shared" si="65"/>
        <v>1055378.3552078109</v>
      </c>
      <c r="H88" s="179">
        <f t="shared" si="65"/>
        <v>1706035.9961255214</v>
      </c>
      <c r="I88" s="179">
        <f t="shared" si="65"/>
        <v>1229100.9417526019</v>
      </c>
      <c r="J88" s="179">
        <f t="shared" si="65"/>
        <v>1143583.4695065888</v>
      </c>
      <c r="K88" s="179">
        <f t="shared" si="65"/>
        <v>631550.03375735157</v>
      </c>
      <c r="L88" s="179">
        <f t="shared" si="65"/>
        <v>658236.22408917046</v>
      </c>
      <c r="M88" s="179">
        <f t="shared" si="65"/>
        <v>349714.80228725675</v>
      </c>
      <c r="N88" s="179">
        <f t="shared" si="65"/>
        <v>562758.0333021296</v>
      </c>
      <c r="O88" s="179">
        <f t="shared" si="65"/>
        <v>594026.73606022086</v>
      </c>
      <c r="P88" s="179">
        <f t="shared" si="65"/>
        <v>366887.21663311089</v>
      </c>
      <c r="Q88" s="179">
        <f t="shared" si="65"/>
        <v>289309.45230989478</v>
      </c>
      <c r="R88" s="179">
        <f t="shared" si="65"/>
        <v>88568.363968667138</v>
      </c>
      <c r="S88" s="179">
        <f t="shared" si="65"/>
        <v>93090.695514830761</v>
      </c>
      <c r="T88" s="179">
        <f t="shared" si="65"/>
        <v>227009.47735089157</v>
      </c>
      <c r="U88" s="179">
        <f t="shared" si="65"/>
        <v>445328.19073127769</v>
      </c>
      <c r="V88" s="179">
        <f t="shared" si="65"/>
        <v>11383982.735226864</v>
      </c>
      <c r="W88" s="179">
        <f>SUM(M88:V88)</f>
        <v>14400675.703385144</v>
      </c>
    </row>
    <row r="89" spans="3:23" x14ac:dyDescent="0.2">
      <c r="C89" s="27" t="s">
        <v>222</v>
      </c>
      <c r="E89" s="179">
        <f t="shared" ref="E89:V89" si="66">E67/E$77</f>
        <v>8156050.751086385</v>
      </c>
      <c r="F89" s="179">
        <f t="shared" si="66"/>
        <v>6758946.7600087672</v>
      </c>
      <c r="G89" s="179">
        <f t="shared" si="66"/>
        <v>4266454.1061964855</v>
      </c>
      <c r="H89" s="179">
        <f t="shared" si="66"/>
        <v>6896791.3213982061</v>
      </c>
      <c r="I89" s="179">
        <f t="shared" si="66"/>
        <v>4968742.0004343353</v>
      </c>
      <c r="J89" s="179">
        <f t="shared" si="66"/>
        <v>4623030.5607263409</v>
      </c>
      <c r="K89" s="179">
        <f t="shared" si="66"/>
        <v>2553093.1362165576</v>
      </c>
      <c r="L89" s="179">
        <f t="shared" si="66"/>
        <v>2660974.2631679536</v>
      </c>
      <c r="M89" s="179">
        <f t="shared" si="66"/>
        <v>3638077.8685704172</v>
      </c>
      <c r="N89" s="179">
        <f t="shared" si="66"/>
        <v>3811210.4147929391</v>
      </c>
      <c r="O89" s="179">
        <f t="shared" si="66"/>
        <v>8954403.0213522166</v>
      </c>
      <c r="P89" s="179">
        <f t="shared" si="66"/>
        <v>5804427.5354444319</v>
      </c>
      <c r="Q89" s="179">
        <f t="shared" si="66"/>
        <v>10997123.251174955</v>
      </c>
      <c r="R89" s="179">
        <f t="shared" si="66"/>
        <v>18399444.983319394</v>
      </c>
      <c r="S89" s="179">
        <f t="shared" si="66"/>
        <v>24142938.895063482</v>
      </c>
      <c r="T89" s="179">
        <f t="shared" si="66"/>
        <v>34181141.303977102</v>
      </c>
      <c r="U89" s="179">
        <f t="shared" si="66"/>
        <v>4773517.9096363913</v>
      </c>
      <c r="V89" s="179">
        <f t="shared" si="66"/>
        <v>8129742.0858710352</v>
      </c>
      <c r="W89" s="179">
        <f>SUM(M89:V89)</f>
        <v>122832027.26920237</v>
      </c>
    </row>
    <row r="90" spans="3:23" x14ac:dyDescent="0.2">
      <c r="C90" s="27" t="s">
        <v>17</v>
      </c>
      <c r="E90" s="179">
        <f t="shared" ref="E90:V90" si="67">E68/E$77</f>
        <v>51890711.864406772</v>
      </c>
      <c r="F90" s="179">
        <f t="shared" si="67"/>
        <v>43002007.899934165</v>
      </c>
      <c r="G90" s="179">
        <f t="shared" si="67"/>
        <v>27144183.804627251</v>
      </c>
      <c r="H90" s="179">
        <f t="shared" si="67"/>
        <v>43879007.398273729</v>
      </c>
      <c r="I90" s="179">
        <f t="shared" si="67"/>
        <v>31612304.452466909</v>
      </c>
      <c r="J90" s="179">
        <f t="shared" si="67"/>
        <v>29412807.017543845</v>
      </c>
      <c r="K90" s="179">
        <f t="shared" si="67"/>
        <v>16243378.607809843</v>
      </c>
      <c r="L90" s="179">
        <f t="shared" si="67"/>
        <v>16929743.693693686</v>
      </c>
      <c r="M90" s="179">
        <f t="shared" si="67"/>
        <v>25509345.996093735</v>
      </c>
      <c r="N90" s="179">
        <f t="shared" si="67"/>
        <v>30105395.863377605</v>
      </c>
      <c r="O90" s="179">
        <f t="shared" si="67"/>
        <v>103897476.23595506</v>
      </c>
      <c r="P90" s="179">
        <f t="shared" si="67"/>
        <v>70545617.550831795</v>
      </c>
      <c r="Q90" s="179">
        <f t="shared" si="67"/>
        <v>99633465.686769232</v>
      </c>
      <c r="R90" s="179">
        <f t="shared" si="67"/>
        <v>104518261.05708168</v>
      </c>
      <c r="S90" s="179">
        <f t="shared" si="67"/>
        <v>107974567.86057341</v>
      </c>
      <c r="T90" s="179">
        <f t="shared" si="67"/>
        <v>113297187.1532964</v>
      </c>
      <c r="U90" s="179">
        <f t="shared" si="67"/>
        <v>55423344.995898843</v>
      </c>
      <c r="V90" s="179">
        <f t="shared" si="67"/>
        <v>34410134.077590995</v>
      </c>
      <c r="W90" s="179">
        <f>SUM(M90:V90)</f>
        <v>745314796.47746873</v>
      </c>
    </row>
    <row r="91" spans="3:23" x14ac:dyDescent="0.2">
      <c r="E91" s="179"/>
      <c r="F91" s="179"/>
      <c r="G91" s="179"/>
      <c r="H91" s="179"/>
      <c r="I91" s="179"/>
      <c r="J91" s="179"/>
      <c r="K91" s="179"/>
      <c r="L91" s="179"/>
      <c r="M91" s="179"/>
      <c r="N91" s="179"/>
      <c r="O91" s="179"/>
      <c r="P91" s="179"/>
      <c r="Q91" s="179"/>
      <c r="R91" s="179"/>
      <c r="S91" s="179"/>
      <c r="T91" s="179"/>
      <c r="U91" s="179"/>
      <c r="V91" s="179"/>
    </row>
    <row r="92" spans="3:23" x14ac:dyDescent="0.2">
      <c r="C92" s="176" t="s">
        <v>310</v>
      </c>
      <c r="E92" s="179"/>
      <c r="F92" s="179"/>
      <c r="G92" s="179"/>
      <c r="H92" s="179"/>
      <c r="I92" s="179"/>
      <c r="J92" s="179"/>
      <c r="K92" s="179"/>
      <c r="L92" s="179"/>
      <c r="M92" s="179"/>
      <c r="N92" s="179"/>
      <c r="O92" s="179"/>
      <c r="P92" s="179"/>
      <c r="Q92" s="179"/>
      <c r="R92" s="179"/>
      <c r="S92" s="179"/>
      <c r="T92" s="179"/>
      <c r="U92" s="179"/>
      <c r="V92" s="179"/>
    </row>
    <row r="93" spans="3:23" x14ac:dyDescent="0.2">
      <c r="C93" s="27" t="s">
        <v>236</v>
      </c>
      <c r="E93" s="179">
        <f>E71/E$77</f>
        <v>0</v>
      </c>
      <c r="F93" s="179">
        <f t="shared" ref="F93:V93" si="68">F71/F$77</f>
        <v>0</v>
      </c>
      <c r="G93" s="179">
        <f t="shared" si="68"/>
        <v>2719928.9511168245</v>
      </c>
      <c r="H93" s="179">
        <f t="shared" si="68"/>
        <v>0</v>
      </c>
      <c r="I93" s="179">
        <f t="shared" si="68"/>
        <v>0</v>
      </c>
      <c r="J93" s="179">
        <f t="shared" si="68"/>
        <v>0</v>
      </c>
      <c r="K93" s="179">
        <f t="shared" si="68"/>
        <v>3598755.840125903</v>
      </c>
      <c r="L93" s="179">
        <f t="shared" si="68"/>
        <v>14980008.742331982</v>
      </c>
      <c r="M93" s="179">
        <f t="shared" si="68"/>
        <v>948135.08338125888</v>
      </c>
      <c r="N93" s="179">
        <f t="shared" si="68"/>
        <v>2372572.9843307585</v>
      </c>
      <c r="O93" s="179">
        <f t="shared" si="68"/>
        <v>1160184.2555459943</v>
      </c>
      <c r="P93" s="179">
        <f t="shared" si="68"/>
        <v>2798427.8336142856</v>
      </c>
      <c r="Q93" s="179">
        <f t="shared" si="68"/>
        <v>8896228.1140761822</v>
      </c>
      <c r="R93" s="179">
        <f t="shared" si="68"/>
        <v>9646510.7012630496</v>
      </c>
      <c r="S93" s="179">
        <f t="shared" si="68"/>
        <v>4797525.047237373</v>
      </c>
      <c r="T93" s="179">
        <f t="shared" si="68"/>
        <v>5403049.4000061527</v>
      </c>
      <c r="U93" s="179">
        <f t="shared" si="68"/>
        <v>5888758.2547325417</v>
      </c>
      <c r="V93" s="179">
        <f t="shared" si="68"/>
        <v>17446327.760583449</v>
      </c>
      <c r="W93" s="179">
        <f>SUM(M93:V93)</f>
        <v>59357719.434771046</v>
      </c>
    </row>
    <row r="94" spans="3:23" x14ac:dyDescent="0.2">
      <c r="C94" s="27" t="s">
        <v>237</v>
      </c>
      <c r="E94" s="179">
        <f t="shared" ref="E94:V94" si="69">E72/E$77</f>
        <v>0</v>
      </c>
      <c r="F94" s="179">
        <f t="shared" si="69"/>
        <v>0</v>
      </c>
      <c r="G94" s="179">
        <f t="shared" si="69"/>
        <v>796680.10663702583</v>
      </c>
      <c r="H94" s="179">
        <f t="shared" si="69"/>
        <v>0</v>
      </c>
      <c r="I94" s="179">
        <f t="shared" si="69"/>
        <v>0</v>
      </c>
      <c r="J94" s="179">
        <f t="shared" si="69"/>
        <v>0</v>
      </c>
      <c r="K94" s="179">
        <f t="shared" si="69"/>
        <v>1054092.6759483507</v>
      </c>
      <c r="L94" s="179">
        <f t="shared" si="69"/>
        <v>4387715.7002076525</v>
      </c>
      <c r="M94" s="179">
        <f t="shared" si="69"/>
        <v>544825.53363748989</v>
      </c>
      <c r="N94" s="179">
        <f t="shared" si="69"/>
        <v>2126201.8604745693</v>
      </c>
      <c r="O94" s="179">
        <f t="shared" si="69"/>
        <v>1448299.2537608119</v>
      </c>
      <c r="P94" s="179">
        <f t="shared" si="69"/>
        <v>2591893.2310836678</v>
      </c>
      <c r="Q94" s="179">
        <f t="shared" si="69"/>
        <v>4217709.0378358671</v>
      </c>
      <c r="R94" s="179">
        <f t="shared" si="69"/>
        <v>735335.5297014293</v>
      </c>
      <c r="S94" s="179">
        <f t="shared" si="69"/>
        <v>805144.28039670305</v>
      </c>
      <c r="T94" s="179">
        <f t="shared" si="69"/>
        <v>71365.069343629017</v>
      </c>
      <c r="U94" s="179">
        <f t="shared" si="69"/>
        <v>429263.78397125285</v>
      </c>
      <c r="V94" s="179">
        <f t="shared" si="69"/>
        <v>980852.07416595286</v>
      </c>
      <c r="W94" s="179">
        <f>SUM(M94:V94)</f>
        <v>13950889.654371371</v>
      </c>
    </row>
    <row r="95" spans="3:23" x14ac:dyDescent="0.2">
      <c r="C95" s="27" t="s">
        <v>238</v>
      </c>
      <c r="E95" s="179">
        <f t="shared" ref="E95:V95" si="70">E73/E$77</f>
        <v>0</v>
      </c>
      <c r="F95" s="179">
        <f t="shared" si="70"/>
        <v>0</v>
      </c>
      <c r="G95" s="179">
        <f t="shared" si="70"/>
        <v>69394.655690402811</v>
      </c>
      <c r="H95" s="179">
        <f t="shared" si="70"/>
        <v>0</v>
      </c>
      <c r="I95" s="179">
        <f t="shared" si="70"/>
        <v>0</v>
      </c>
      <c r="J95" s="179">
        <f t="shared" si="70"/>
        <v>0</v>
      </c>
      <c r="K95" s="179">
        <f t="shared" si="70"/>
        <v>91816.524228259877</v>
      </c>
      <c r="L95" s="179">
        <f t="shared" si="70"/>
        <v>382191.06733891403</v>
      </c>
      <c r="M95" s="179">
        <f t="shared" si="70"/>
        <v>187338.11118248088</v>
      </c>
      <c r="N95" s="179">
        <f t="shared" si="70"/>
        <v>322974.91139948211</v>
      </c>
      <c r="O95" s="179">
        <f t="shared" si="70"/>
        <v>7724.2626867243298</v>
      </c>
      <c r="P95" s="179">
        <f t="shared" si="70"/>
        <v>8818.3313440038837</v>
      </c>
      <c r="Q95" s="179">
        <f t="shared" si="70"/>
        <v>0</v>
      </c>
      <c r="R95" s="179">
        <f t="shared" si="70"/>
        <v>0</v>
      </c>
      <c r="S95" s="179">
        <f t="shared" si="70"/>
        <v>0</v>
      </c>
      <c r="T95" s="179">
        <f t="shared" si="70"/>
        <v>0</v>
      </c>
      <c r="U95" s="179">
        <f t="shared" si="70"/>
        <v>0</v>
      </c>
      <c r="V95" s="179">
        <f t="shared" si="70"/>
        <v>741983.98913314845</v>
      </c>
      <c r="W95" s="179">
        <f>SUM(M95:V95)</f>
        <v>1268839.6057458397</v>
      </c>
    </row>
    <row r="96" spans="3:23" x14ac:dyDescent="0.2">
      <c r="C96" s="27" t="s">
        <v>222</v>
      </c>
      <c r="E96" s="179">
        <f t="shared" ref="E96:V96" si="71">E74/E$77</f>
        <v>0</v>
      </c>
      <c r="F96" s="179">
        <f t="shared" si="71"/>
        <v>0</v>
      </c>
      <c r="G96" s="179">
        <f t="shared" si="71"/>
        <v>982248.21457631269</v>
      </c>
      <c r="H96" s="179">
        <f t="shared" si="71"/>
        <v>0</v>
      </c>
      <c r="I96" s="179">
        <f t="shared" si="71"/>
        <v>0</v>
      </c>
      <c r="J96" s="179">
        <f t="shared" si="71"/>
        <v>0</v>
      </c>
      <c r="K96" s="179">
        <f t="shared" si="71"/>
        <v>1299619.0570376113</v>
      </c>
      <c r="L96" s="179">
        <f t="shared" si="71"/>
        <v>5409732.0576890167</v>
      </c>
      <c r="M96" s="179">
        <f t="shared" si="71"/>
        <v>1082234.1331268952</v>
      </c>
      <c r="N96" s="179">
        <f t="shared" si="71"/>
        <v>2110714.3140039193</v>
      </c>
      <c r="O96" s="179">
        <f t="shared" si="71"/>
        <v>1339966.4695795032</v>
      </c>
      <c r="P96" s="179">
        <f t="shared" si="71"/>
        <v>2177199.5965643274</v>
      </c>
      <c r="Q96" s="179">
        <f t="shared" si="71"/>
        <v>5374058.0886309389</v>
      </c>
      <c r="R96" s="179">
        <f t="shared" si="71"/>
        <v>1023232.8934694254</v>
      </c>
      <c r="S96" s="179">
        <f t="shared" si="71"/>
        <v>981464.94701752206</v>
      </c>
      <c r="T96" s="179">
        <f t="shared" si="71"/>
        <v>338984.0793822378</v>
      </c>
      <c r="U96" s="179">
        <f t="shared" si="71"/>
        <v>931524.2012574143</v>
      </c>
      <c r="V96" s="179">
        <f t="shared" si="71"/>
        <v>2408088.8822369589</v>
      </c>
      <c r="W96" s="179">
        <f>SUM(M96:V96)</f>
        <v>17767467.605269141</v>
      </c>
    </row>
    <row r="97" spans="3:23" x14ac:dyDescent="0.2">
      <c r="C97" s="27" t="s">
        <v>17</v>
      </c>
      <c r="E97" s="179">
        <f t="shared" ref="E97:V97" si="72">E75/E$77</f>
        <v>0</v>
      </c>
      <c r="F97" s="179">
        <f t="shared" si="72"/>
        <v>0</v>
      </c>
      <c r="G97" s="179">
        <f t="shared" si="72"/>
        <v>4568251.9280205658</v>
      </c>
      <c r="H97" s="179">
        <f t="shared" si="72"/>
        <v>0</v>
      </c>
      <c r="I97" s="179">
        <f t="shared" si="72"/>
        <v>0</v>
      </c>
      <c r="J97" s="179">
        <f t="shared" si="72"/>
        <v>0</v>
      </c>
      <c r="K97" s="179">
        <f t="shared" si="72"/>
        <v>6044284.0973401247</v>
      </c>
      <c r="L97" s="179">
        <f t="shared" si="72"/>
        <v>25159647.567567565</v>
      </c>
      <c r="M97" s="179">
        <f t="shared" si="72"/>
        <v>2762532.861328125</v>
      </c>
      <c r="N97" s="179">
        <f t="shared" si="72"/>
        <v>6932464.0702087283</v>
      </c>
      <c r="O97" s="179">
        <f t="shared" si="72"/>
        <v>3956174.2415730334</v>
      </c>
      <c r="P97" s="179">
        <f t="shared" si="72"/>
        <v>7576338.992606286</v>
      </c>
      <c r="Q97" s="179">
        <f t="shared" si="72"/>
        <v>18487995.240542985</v>
      </c>
      <c r="R97" s="179">
        <f t="shared" si="72"/>
        <v>11405079.124433905</v>
      </c>
      <c r="S97" s="179">
        <f t="shared" si="72"/>
        <v>6584134.2746515982</v>
      </c>
      <c r="T97" s="179">
        <f t="shared" si="72"/>
        <v>5813398.548732019</v>
      </c>
      <c r="U97" s="179">
        <f t="shared" si="72"/>
        <v>7249546.2399612088</v>
      </c>
      <c r="V97" s="179">
        <f t="shared" si="72"/>
        <v>21577252.706119508</v>
      </c>
      <c r="W97" s="179">
        <f>SUM(M97:V97)</f>
        <v>92344916.300157398</v>
      </c>
    </row>
    <row r="116" spans="3:5" ht="15" x14ac:dyDescent="0.2">
      <c r="C116" s="187" t="s">
        <v>328</v>
      </c>
      <c r="D116" s="328"/>
      <c r="E116" s="329"/>
    </row>
    <row r="117" spans="3:5" ht="15.75" thickBot="1" x14ac:dyDescent="0.25">
      <c r="C117" s="188"/>
      <c r="D117" s="330"/>
      <c r="E117" s="330"/>
    </row>
    <row r="118" spans="3:5" ht="13.5" thickBot="1" x14ac:dyDescent="0.25">
      <c r="C118" s="188"/>
      <c r="D118" s="189" t="s">
        <v>264</v>
      </c>
      <c r="E118" s="189" t="s">
        <v>265</v>
      </c>
    </row>
    <row r="119" spans="3:5" x14ac:dyDescent="0.2">
      <c r="C119" s="188"/>
      <c r="D119" s="331" t="s">
        <v>329</v>
      </c>
      <c r="E119" s="331" t="s">
        <v>330</v>
      </c>
    </row>
    <row r="120" spans="3:5" ht="13.5" thickBot="1" x14ac:dyDescent="0.25">
      <c r="C120" s="190"/>
      <c r="D120" s="332"/>
      <c r="E120" s="332"/>
    </row>
    <row r="121" spans="3:5" ht="13.5" thickBot="1" x14ac:dyDescent="0.25">
      <c r="C121" s="191" t="s">
        <v>208</v>
      </c>
      <c r="D121" s="192">
        <f>'Forecast capex'!H23</f>
        <v>7100.4370616662181</v>
      </c>
      <c r="E121" s="192">
        <f>'Forecast capex'!I23</f>
        <v>21577.252706119507</v>
      </c>
    </row>
    <row r="122" spans="3:5" ht="13.5" thickBot="1" x14ac:dyDescent="0.25">
      <c r="C122" s="191" t="s">
        <v>204</v>
      </c>
      <c r="D122" s="192">
        <f>'Forecast capex'!H25</f>
        <v>6653.2181916005638</v>
      </c>
      <c r="E122" s="192">
        <f>'Forecast capex'!I25</f>
        <v>15234.062191968264</v>
      </c>
    </row>
    <row r="123" spans="3:5" ht="13.5" thickBot="1" x14ac:dyDescent="0.25">
      <c r="C123" s="191" t="s">
        <v>331</v>
      </c>
      <c r="D123" s="192">
        <f>'Forecast capex'!H28</f>
        <v>6110.6597003144307</v>
      </c>
      <c r="E123" s="192">
        <f>'Forecast capex'!I28</f>
        <v>0</v>
      </c>
    </row>
    <row r="124" spans="3:5" ht="13.5" thickBot="1" x14ac:dyDescent="0.25">
      <c r="C124" s="193" t="s">
        <v>214</v>
      </c>
      <c r="D124" s="192">
        <f>'Forecast capex'!H36</f>
        <v>45809.710978208066</v>
      </c>
      <c r="E124" s="192">
        <f>'Forecast capex'!I36</f>
        <v>34410.134077590992</v>
      </c>
    </row>
    <row r="125" spans="3:5" x14ac:dyDescent="0.2">
      <c r="C125" s="194" t="s">
        <v>215</v>
      </c>
      <c r="D125" s="195">
        <f>'Forecast capex'!H40</f>
        <v>8473.6827494107783</v>
      </c>
      <c r="E125" s="195">
        <f>'Forecast capex'!I40</f>
        <v>0</v>
      </c>
    </row>
    <row r="129" spans="4:5" x14ac:dyDescent="0.2">
      <c r="E129" s="176" t="s">
        <v>344</v>
      </c>
    </row>
    <row r="130" spans="4:5" x14ac:dyDescent="0.2">
      <c r="D130" s="176" t="s">
        <v>176</v>
      </c>
    </row>
    <row r="131" spans="4:5" x14ac:dyDescent="0.2">
      <c r="D131" s="27" t="s">
        <v>236</v>
      </c>
      <c r="E131" s="27">
        <f>'[9]Past Capex'!$Q$60</f>
        <v>12671147.500000002</v>
      </c>
    </row>
    <row r="132" spans="4:5" x14ac:dyDescent="0.2">
      <c r="D132" s="27" t="s">
        <v>237</v>
      </c>
      <c r="E132" s="27">
        <f>'[9]Past Capex'!$T$60</f>
        <v>6335573.7500000009</v>
      </c>
    </row>
    <row r="133" spans="4:5" x14ac:dyDescent="0.2">
      <c r="D133" s="27" t="s">
        <v>238</v>
      </c>
      <c r="E133" s="27">
        <f>'[9]Past Capex'!$S$60</f>
        <v>6335573.7500000009</v>
      </c>
    </row>
    <row r="134" spans="4:5" x14ac:dyDescent="0.2">
      <c r="D134" s="27" t="s">
        <v>222</v>
      </c>
      <c r="E134" s="27">
        <f>SUM('[9]Past Capex'!$R$60,'[9]Past Capex'!$U$60,'[9]Past Capex'!$V$60)</f>
        <v>38013442.5</v>
      </c>
    </row>
    <row r="135" spans="4:5" x14ac:dyDescent="0.2">
      <c r="D135" s="27" t="s">
        <v>17</v>
      </c>
      <c r="E135" s="27">
        <f>SUM(E131:E134)</f>
        <v>63355737.5</v>
      </c>
    </row>
    <row r="137" spans="4:5" x14ac:dyDescent="0.2">
      <c r="D137" s="176" t="s">
        <v>308</v>
      </c>
    </row>
    <row r="138" spans="4:5" x14ac:dyDescent="0.2">
      <c r="D138" s="27" t="s">
        <v>236</v>
      </c>
      <c r="E138" s="27">
        <f>'[9]Past Capex'!$Q$84</f>
        <v>17565390</v>
      </c>
    </row>
    <row r="139" spans="4:5" x14ac:dyDescent="0.2">
      <c r="D139" s="27" t="s">
        <v>237</v>
      </c>
      <c r="E139" s="27">
        <f>'[9]Past Capex'!$T$84</f>
        <v>17565390</v>
      </c>
    </row>
    <row r="140" spans="4:5" x14ac:dyDescent="0.2">
      <c r="D140" s="27" t="s">
        <v>238</v>
      </c>
      <c r="E140" s="27">
        <f>'[9]Past Capex'!$S$84</f>
        <v>8782695</v>
      </c>
    </row>
    <row r="141" spans="4:5" x14ac:dyDescent="0.2">
      <c r="D141" s="27" t="s">
        <v>222</v>
      </c>
      <c r="E141" s="27">
        <f>SUM('[9]Past Capex'!$R$84,'[9]Past Capex'!$U$84,'[9]Past Capex'!$V$84)</f>
        <v>43913475.000000007</v>
      </c>
    </row>
    <row r="142" spans="4:5" x14ac:dyDescent="0.2">
      <c r="D142" s="27" t="s">
        <v>17</v>
      </c>
      <c r="E142" s="27">
        <f>SUM(E138:E141)</f>
        <v>87826950</v>
      </c>
    </row>
    <row r="144" spans="4:5" x14ac:dyDescent="0.2">
      <c r="D144" s="176" t="s">
        <v>310</v>
      </c>
    </row>
    <row r="145" spans="4:5" x14ac:dyDescent="0.2">
      <c r="D145" s="27" t="s">
        <v>236</v>
      </c>
      <c r="E145" s="27">
        <f>'[9]Past Capex'!$Q$72</f>
        <v>15083296.875000002</v>
      </c>
    </row>
    <row r="146" spans="4:5" x14ac:dyDescent="0.2">
      <c r="D146" s="27" t="s">
        <v>237</v>
      </c>
      <c r="E146" s="27">
        <f>'[9]Past Capex'!$T$72</f>
        <v>4524989.0625</v>
      </c>
    </row>
    <row r="147" spans="4:5" x14ac:dyDescent="0.2">
      <c r="D147" s="27" t="s">
        <v>238</v>
      </c>
      <c r="E147" s="27">
        <f>'[9]Past Capex'!$S$72</f>
        <v>0</v>
      </c>
    </row>
    <row r="148" spans="4:5" x14ac:dyDescent="0.2">
      <c r="D148" s="27" t="s">
        <v>222</v>
      </c>
      <c r="E148" s="27">
        <f>SUM('[9]Past Capex'!$R$72,'[9]Past Capex'!$U$72,'[9]Past Capex'!$V$72)</f>
        <v>10558307.8125</v>
      </c>
    </row>
    <row r="149" spans="4:5" x14ac:dyDescent="0.2">
      <c r="D149" s="27" t="s">
        <v>17</v>
      </c>
      <c r="E149" s="27">
        <f>SUM(E145:E148)</f>
        <v>30166593.75</v>
      </c>
    </row>
    <row r="151" spans="4:5" x14ac:dyDescent="0.2">
      <c r="D151" s="27" t="s">
        <v>17</v>
      </c>
      <c r="E151" s="27">
        <f>SUM(E135,E142,E149)</f>
        <v>181349281.25</v>
      </c>
    </row>
    <row r="155" spans="4:5" x14ac:dyDescent="0.2">
      <c r="D155" s="27" t="s">
        <v>345</v>
      </c>
      <c r="E155" s="27">
        <v>1.35</v>
      </c>
    </row>
    <row r="156" spans="4:5" x14ac:dyDescent="0.2">
      <c r="D156" s="27" t="s">
        <v>346</v>
      </c>
      <c r="E156" s="27">
        <f>(660+133+365+458)/1000</f>
        <v>1.6160000000000001</v>
      </c>
    </row>
    <row r="157" spans="4:5" x14ac:dyDescent="0.2">
      <c r="E157" s="27">
        <f>E156/E155-1</f>
        <v>0.19703703703703712</v>
      </c>
    </row>
  </sheetData>
  <mergeCells count="4">
    <mergeCell ref="D116:E116"/>
    <mergeCell ref="D117:E117"/>
    <mergeCell ref="D119:D120"/>
    <mergeCell ref="E119:E120"/>
  </mergeCell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E1F4DB-3F3C-4A95-80B0-3180D02DAD12}">
  <dimension ref="A2:T105"/>
  <sheetViews>
    <sheetView topLeftCell="C1" workbookViewId="0">
      <selection activeCell="J21" sqref="J21"/>
    </sheetView>
  </sheetViews>
  <sheetFormatPr defaultRowHeight="15.75" x14ac:dyDescent="0.25"/>
  <cols>
    <col min="2" max="2" width="37.5" bestFit="1" customWidth="1"/>
    <col min="3" max="3" width="49.375" bestFit="1" customWidth="1"/>
    <col min="4" max="4" width="23.375" bestFit="1" customWidth="1"/>
    <col min="5" max="5" width="9.625" bestFit="1" customWidth="1"/>
    <col min="6" max="7" width="7.625" customWidth="1"/>
    <col min="8" max="8" width="17.625" bestFit="1" customWidth="1"/>
    <col min="9" max="9" width="25" bestFit="1" customWidth="1"/>
    <col min="10" max="14" width="15" bestFit="1" customWidth="1"/>
    <col min="15" max="15" width="11.375" customWidth="1"/>
    <col min="16" max="16" width="11.125" customWidth="1"/>
    <col min="17" max="17" width="9.875" bestFit="1" customWidth="1"/>
    <col min="18" max="18" width="11.75" customWidth="1"/>
    <col min="19" max="19" width="11" customWidth="1"/>
    <col min="20" max="20" width="10.25" customWidth="1"/>
  </cols>
  <sheetData>
    <row r="2" spans="1:19" x14ac:dyDescent="0.25">
      <c r="B2" s="302"/>
      <c r="C2" s="302"/>
      <c r="D2" s="302"/>
      <c r="E2" s="303" t="s">
        <v>364</v>
      </c>
      <c r="F2" s="302"/>
      <c r="G2" s="302"/>
      <c r="H2" s="302"/>
      <c r="I2" s="302"/>
      <c r="J2" s="302"/>
      <c r="K2" s="302"/>
      <c r="L2" s="302"/>
      <c r="M2" s="302"/>
      <c r="N2" s="302"/>
      <c r="O2" s="302"/>
      <c r="P2" s="302"/>
      <c r="Q2" s="302"/>
      <c r="R2" s="302"/>
      <c r="S2" s="302"/>
    </row>
    <row r="3" spans="1:19" x14ac:dyDescent="0.25">
      <c r="B3" s="302"/>
      <c r="C3" s="303" t="s">
        <v>29</v>
      </c>
      <c r="D3" s="302"/>
      <c r="E3" s="304" t="s">
        <v>410</v>
      </c>
      <c r="F3" s="304"/>
      <c r="G3" s="304"/>
      <c r="H3" s="304"/>
      <c r="I3" s="304"/>
      <c r="J3" s="305" t="s">
        <v>411</v>
      </c>
      <c r="K3" s="305"/>
      <c r="L3" s="305"/>
      <c r="M3" s="305"/>
      <c r="N3" s="305"/>
      <c r="O3" s="306" t="s">
        <v>412</v>
      </c>
      <c r="P3" s="306"/>
      <c r="Q3" s="306"/>
      <c r="R3" s="306"/>
      <c r="S3" s="306"/>
    </row>
    <row r="4" spans="1:19" x14ac:dyDescent="0.25">
      <c r="B4" s="302"/>
      <c r="C4" s="302"/>
      <c r="D4" s="302"/>
      <c r="E4" s="304" t="s">
        <v>261</v>
      </c>
      <c r="F4" s="304" t="s">
        <v>262</v>
      </c>
      <c r="G4" s="304" t="s">
        <v>263</v>
      </c>
      <c r="H4" s="304" t="s">
        <v>264</v>
      </c>
      <c r="I4" s="304" t="s">
        <v>265</v>
      </c>
      <c r="J4" s="305" t="s">
        <v>266</v>
      </c>
      <c r="K4" s="305" t="s">
        <v>267</v>
      </c>
      <c r="L4" s="305" t="s">
        <v>268</v>
      </c>
      <c r="M4" s="305" t="s">
        <v>269</v>
      </c>
      <c r="N4" s="305" t="s">
        <v>270</v>
      </c>
      <c r="O4" s="306" t="s">
        <v>271</v>
      </c>
      <c r="P4" s="306" t="s">
        <v>272</v>
      </c>
      <c r="Q4" s="306" t="s">
        <v>273</v>
      </c>
      <c r="R4" s="306" t="s">
        <v>274</v>
      </c>
      <c r="S4" s="306" t="s">
        <v>275</v>
      </c>
    </row>
    <row r="5" spans="1:19" x14ac:dyDescent="0.25">
      <c r="B5" s="302"/>
      <c r="C5" s="303" t="s">
        <v>413</v>
      </c>
      <c r="D5" s="302"/>
      <c r="E5" s="304" t="s">
        <v>414</v>
      </c>
      <c r="F5" s="304" t="s">
        <v>414</v>
      </c>
      <c r="G5" s="304" t="s">
        <v>414</v>
      </c>
      <c r="H5" s="304" t="s">
        <v>415</v>
      </c>
      <c r="I5" s="304" t="s">
        <v>416</v>
      </c>
      <c r="J5" s="305" t="s">
        <v>417</v>
      </c>
      <c r="K5" s="305" t="s">
        <v>417</v>
      </c>
      <c r="L5" s="305" t="s">
        <v>417</v>
      </c>
      <c r="M5" s="305" t="s">
        <v>417</v>
      </c>
      <c r="N5" s="305" t="s">
        <v>417</v>
      </c>
      <c r="O5" s="306" t="s">
        <v>330</v>
      </c>
      <c r="P5" s="306" t="s">
        <v>330</v>
      </c>
      <c r="Q5" s="306" t="s">
        <v>330</v>
      </c>
      <c r="R5" s="306" t="s">
        <v>330</v>
      </c>
      <c r="S5" s="306" t="s">
        <v>330</v>
      </c>
    </row>
    <row r="6" spans="1:19" x14ac:dyDescent="0.25">
      <c r="B6" s="302" t="s">
        <v>347</v>
      </c>
      <c r="C6" s="302" t="s">
        <v>418</v>
      </c>
      <c r="D6" s="302" t="s">
        <v>419</v>
      </c>
      <c r="E6" s="307"/>
      <c r="F6" s="307"/>
      <c r="G6" s="307"/>
      <c r="H6" s="307"/>
      <c r="I6" s="307"/>
      <c r="J6" s="308">
        <v>4203.5623409669215</v>
      </c>
      <c r="K6" s="308">
        <v>6305.3435114503809</v>
      </c>
      <c r="L6" s="308">
        <v>13661.577608142494</v>
      </c>
      <c r="M6" s="308">
        <v>14712.468193384224</v>
      </c>
      <c r="N6" s="308">
        <v>4203.5623409669215</v>
      </c>
      <c r="O6" s="309">
        <v>0</v>
      </c>
      <c r="P6" s="309">
        <v>0</v>
      </c>
      <c r="Q6" s="309">
        <v>0</v>
      </c>
      <c r="R6" s="309">
        <v>0</v>
      </c>
      <c r="S6" s="309">
        <v>0</v>
      </c>
    </row>
    <row r="7" spans="1:19" x14ac:dyDescent="0.25">
      <c r="B7" s="302" t="s">
        <v>208</v>
      </c>
      <c r="C7" s="302" t="s">
        <v>420</v>
      </c>
      <c r="D7" s="302" t="s">
        <v>421</v>
      </c>
      <c r="E7" s="307"/>
      <c r="F7" s="307"/>
      <c r="G7" s="307"/>
      <c r="H7" s="307"/>
      <c r="I7" s="307"/>
      <c r="J7" s="308">
        <v>4992.0455470737916</v>
      </c>
      <c r="K7" s="308">
        <v>9122.2347073791334</v>
      </c>
      <c r="L7" s="308">
        <v>29655.007862595423</v>
      </c>
      <c r="M7" s="308">
        <v>59920.94045801527</v>
      </c>
      <c r="N7" s="308">
        <v>30597.099745547075</v>
      </c>
      <c r="O7" s="309">
        <v>0</v>
      </c>
      <c r="P7" s="309">
        <v>0</v>
      </c>
      <c r="Q7" s="309">
        <v>0</v>
      </c>
      <c r="R7" s="309">
        <v>0</v>
      </c>
      <c r="S7" s="309">
        <v>0</v>
      </c>
    </row>
    <row r="8" spans="1:19" x14ac:dyDescent="0.25">
      <c r="A8" t="s">
        <v>306</v>
      </c>
      <c r="B8" s="302" t="s">
        <v>208</v>
      </c>
      <c r="C8" s="302" t="s">
        <v>422</v>
      </c>
      <c r="D8" s="302" t="s">
        <v>421</v>
      </c>
      <c r="E8" s="307"/>
      <c r="F8" s="307"/>
      <c r="G8" s="307"/>
      <c r="H8" s="307"/>
      <c r="I8" s="307"/>
      <c r="J8" s="308">
        <v>3642.3867684478373</v>
      </c>
      <c r="K8" s="308">
        <v>17088.531806615778</v>
      </c>
      <c r="L8" s="308">
        <v>35590.511450381673</v>
      </c>
      <c r="M8" s="308">
        <v>6226.5267175572517</v>
      </c>
      <c r="N8" s="308">
        <v>0</v>
      </c>
      <c r="O8" s="309">
        <v>0</v>
      </c>
      <c r="P8" s="309">
        <v>0</v>
      </c>
      <c r="Q8" s="309">
        <v>0</v>
      </c>
      <c r="R8" s="309">
        <v>0</v>
      </c>
      <c r="S8" s="309">
        <v>0</v>
      </c>
    </row>
    <row r="9" spans="1:19" x14ac:dyDescent="0.25">
      <c r="B9" s="302" t="s">
        <v>214</v>
      </c>
      <c r="C9" s="302" t="s">
        <v>423</v>
      </c>
      <c r="D9" s="302" t="s">
        <v>421</v>
      </c>
      <c r="E9" s="307"/>
      <c r="F9" s="307"/>
      <c r="G9" s="307"/>
      <c r="H9" s="307"/>
      <c r="I9" s="307"/>
      <c r="J9" s="308">
        <v>12573.905852417303</v>
      </c>
      <c r="K9" s="308">
        <v>3508.9236641221373</v>
      </c>
      <c r="L9" s="308">
        <v>0</v>
      </c>
      <c r="M9" s="308">
        <v>47.290076335877863</v>
      </c>
      <c r="N9" s="308">
        <v>3967.1119592875316</v>
      </c>
      <c r="O9" s="309">
        <v>81876.987277353692</v>
      </c>
      <c r="P9" s="309">
        <v>68856.452926208658</v>
      </c>
      <c r="Q9" s="309">
        <v>0</v>
      </c>
      <c r="R9" s="309">
        <v>11629.155216284989</v>
      </c>
      <c r="S9" s="309">
        <v>0</v>
      </c>
    </row>
    <row r="10" spans="1:19" x14ac:dyDescent="0.25">
      <c r="B10" s="302" t="s">
        <v>214</v>
      </c>
      <c r="C10" s="302" t="s">
        <v>424</v>
      </c>
      <c r="D10" s="302" t="s">
        <v>421</v>
      </c>
      <c r="E10" s="307"/>
      <c r="F10" s="307"/>
      <c r="G10" s="307"/>
      <c r="H10" s="307"/>
      <c r="I10" s="307"/>
      <c r="J10" s="308">
        <v>7054.0837885089059</v>
      </c>
      <c r="K10" s="308">
        <v>8616.0338507022898</v>
      </c>
      <c r="L10" s="308">
        <v>1576.3358778625952</v>
      </c>
      <c r="M10" s="308">
        <v>0</v>
      </c>
      <c r="N10" s="308">
        <v>0</v>
      </c>
      <c r="O10" s="309">
        <v>0</v>
      </c>
      <c r="P10" s="309">
        <v>0</v>
      </c>
      <c r="Q10" s="309">
        <v>0</v>
      </c>
      <c r="R10" s="309">
        <v>0</v>
      </c>
      <c r="S10" s="309">
        <v>0</v>
      </c>
    </row>
    <row r="11" spans="1:19" x14ac:dyDescent="0.25">
      <c r="B11" s="302" t="s">
        <v>214</v>
      </c>
      <c r="C11" s="302" t="s">
        <v>425</v>
      </c>
      <c r="D11" s="302" t="s">
        <v>421</v>
      </c>
      <c r="E11" s="307"/>
      <c r="F11" s="307"/>
      <c r="G11" s="307"/>
      <c r="H11" s="307"/>
      <c r="I11" s="307"/>
      <c r="J11" s="308">
        <v>1719.2093008946565</v>
      </c>
      <c r="K11" s="308">
        <v>1903.2048854961831</v>
      </c>
      <c r="L11" s="308">
        <v>6708.508040161224</v>
      </c>
      <c r="M11" s="308">
        <v>7960.9808897583707</v>
      </c>
      <c r="N11" s="308">
        <v>2101.7811704834608</v>
      </c>
      <c r="O11" s="309">
        <v>0</v>
      </c>
      <c r="P11" s="309">
        <v>0</v>
      </c>
      <c r="Q11" s="309">
        <v>0</v>
      </c>
      <c r="R11" s="309">
        <v>0</v>
      </c>
      <c r="S11" s="309">
        <v>0</v>
      </c>
    </row>
    <row r="12" spans="1:19" x14ac:dyDescent="0.25">
      <c r="B12" s="302" t="s">
        <v>426</v>
      </c>
      <c r="C12" s="302" t="s">
        <v>427</v>
      </c>
      <c r="D12" s="302" t="s">
        <v>428</v>
      </c>
      <c r="E12" s="307"/>
      <c r="F12" s="307"/>
      <c r="G12" s="307"/>
      <c r="H12" s="307"/>
      <c r="I12" s="307"/>
      <c r="J12" s="308">
        <v>0</v>
      </c>
      <c r="K12" s="308">
        <v>0</v>
      </c>
      <c r="L12" s="308">
        <v>1050.8905852417304</v>
      </c>
      <c r="M12" s="308">
        <v>7944.7328244274804</v>
      </c>
      <c r="N12" s="308">
        <v>0</v>
      </c>
      <c r="O12" s="309">
        <v>0</v>
      </c>
      <c r="P12" s="309">
        <v>10162.111959287533</v>
      </c>
      <c r="Q12" s="309">
        <v>0</v>
      </c>
      <c r="R12" s="309">
        <v>10508.905852417303</v>
      </c>
      <c r="S12" s="309">
        <v>0</v>
      </c>
    </row>
    <row r="13" spans="1:19" x14ac:dyDescent="0.25">
      <c r="B13" s="310" t="s">
        <v>429</v>
      </c>
      <c r="C13" s="302" t="s">
        <v>430</v>
      </c>
      <c r="D13" s="302" t="s">
        <v>419</v>
      </c>
      <c r="E13" s="307"/>
      <c r="F13" s="307"/>
      <c r="G13" s="307"/>
      <c r="H13" s="307"/>
      <c r="I13" s="307"/>
      <c r="J13" s="308">
        <v>646.29770992366412</v>
      </c>
      <c r="K13" s="308">
        <v>6473.6313335844652</v>
      </c>
      <c r="L13" s="308">
        <v>9236.2773536895675</v>
      </c>
      <c r="M13" s="308">
        <v>9108.0687022900765</v>
      </c>
      <c r="N13" s="308">
        <v>3073.4451145038165</v>
      </c>
      <c r="O13" s="309">
        <v>0</v>
      </c>
      <c r="P13" s="309">
        <v>0</v>
      </c>
      <c r="Q13" s="309">
        <v>0</v>
      </c>
      <c r="R13" s="309">
        <v>0</v>
      </c>
      <c r="S13" s="309">
        <v>0</v>
      </c>
    </row>
    <row r="14" spans="1:19" x14ac:dyDescent="0.25">
      <c r="B14" s="302" t="s">
        <v>431</v>
      </c>
      <c r="C14" s="302" t="s">
        <v>432</v>
      </c>
      <c r="D14" s="302" t="s">
        <v>428</v>
      </c>
      <c r="E14" s="307"/>
      <c r="F14" s="307"/>
      <c r="G14" s="307"/>
      <c r="H14" s="307"/>
      <c r="I14" s="307"/>
      <c r="J14" s="308">
        <v>4079.6402722646308</v>
      </c>
      <c r="K14" s="308">
        <v>8159.2815954198468</v>
      </c>
      <c r="L14" s="308">
        <v>12238.921867684478</v>
      </c>
      <c r="M14" s="308">
        <v>12238.921867684478</v>
      </c>
      <c r="N14" s="308">
        <v>7139.3712646310432</v>
      </c>
      <c r="O14" s="309">
        <v>0</v>
      </c>
      <c r="P14" s="309">
        <v>0</v>
      </c>
      <c r="Q14" s="309">
        <v>0</v>
      </c>
      <c r="R14" s="309">
        <v>0</v>
      </c>
      <c r="S14" s="309">
        <v>0</v>
      </c>
    </row>
    <row r="15" spans="1:19" x14ac:dyDescent="0.25">
      <c r="B15" s="302" t="s">
        <v>208</v>
      </c>
      <c r="C15" s="302" t="s">
        <v>433</v>
      </c>
      <c r="D15" s="302" t="s">
        <v>421</v>
      </c>
      <c r="E15" s="307"/>
      <c r="F15" s="307"/>
      <c r="G15" s="307"/>
      <c r="H15" s="307"/>
      <c r="I15" s="307"/>
      <c r="J15" s="308">
        <v>5885.9840470737909</v>
      </c>
      <c r="K15" s="308">
        <v>25799.83676844784</v>
      </c>
      <c r="L15" s="308">
        <v>36088.441800254455</v>
      </c>
      <c r="M15" s="308">
        <v>7366.7430025445292</v>
      </c>
      <c r="N15" s="308">
        <v>0</v>
      </c>
      <c r="O15" s="309">
        <v>0</v>
      </c>
      <c r="P15" s="309">
        <v>0</v>
      </c>
      <c r="Q15" s="309">
        <v>0</v>
      </c>
      <c r="R15" s="309">
        <v>0</v>
      </c>
      <c r="S15" s="309">
        <v>0</v>
      </c>
    </row>
    <row r="16" spans="1:19" x14ac:dyDescent="0.25">
      <c r="B16" s="302"/>
      <c r="C16" s="303" t="s">
        <v>17</v>
      </c>
      <c r="D16" s="302"/>
      <c r="E16" s="311">
        <v>0</v>
      </c>
      <c r="F16" s="311">
        <v>0</v>
      </c>
      <c r="G16" s="311">
        <v>0</v>
      </c>
      <c r="H16" s="311">
        <v>0</v>
      </c>
      <c r="I16" s="311">
        <v>0</v>
      </c>
      <c r="J16" s="311">
        <v>44797.115627571504</v>
      </c>
      <c r="K16" s="311">
        <v>86977.022123218048</v>
      </c>
      <c r="L16" s="311">
        <v>145806.47244601365</v>
      </c>
      <c r="M16" s="311">
        <v>125526.67273199758</v>
      </c>
      <c r="N16" s="311">
        <v>51082.371595419856</v>
      </c>
      <c r="O16" s="311">
        <v>81876.987277353692</v>
      </c>
      <c r="P16" s="311">
        <v>79018.564885496191</v>
      </c>
      <c r="Q16" s="311">
        <v>0</v>
      </c>
      <c r="R16" s="311">
        <v>22138.061068702293</v>
      </c>
      <c r="S16" s="311">
        <v>0</v>
      </c>
    </row>
    <row r="17" spans="2:19" x14ac:dyDescent="0.25">
      <c r="B17" s="302"/>
      <c r="C17" s="302"/>
      <c r="D17" s="302"/>
      <c r="E17" s="312"/>
      <c r="F17" s="312"/>
      <c r="G17" s="312"/>
      <c r="H17" s="312"/>
      <c r="I17" s="312"/>
      <c r="J17" s="313"/>
      <c r="K17" s="313"/>
      <c r="L17" s="313"/>
      <c r="M17" s="313"/>
      <c r="N17" s="313"/>
      <c r="O17" s="314"/>
      <c r="P17" s="314"/>
      <c r="Q17" s="314"/>
      <c r="R17" s="314"/>
      <c r="S17" s="314"/>
    </row>
    <row r="18" spans="2:19" x14ac:dyDescent="0.25">
      <c r="B18" s="302"/>
      <c r="C18" s="303" t="s">
        <v>434</v>
      </c>
      <c r="D18" s="302"/>
      <c r="E18" s="312"/>
      <c r="F18" s="312"/>
      <c r="G18" s="312"/>
      <c r="H18" s="312"/>
      <c r="I18" s="312"/>
      <c r="J18" s="313"/>
      <c r="K18" s="313"/>
      <c r="L18" s="313"/>
      <c r="M18" s="313"/>
      <c r="N18" s="313"/>
      <c r="O18" s="314"/>
      <c r="P18" s="314"/>
      <c r="Q18" s="314"/>
      <c r="R18" s="314"/>
      <c r="S18" s="314"/>
    </row>
    <row r="19" spans="2:19" x14ac:dyDescent="0.25">
      <c r="B19" s="310" t="s">
        <v>435</v>
      </c>
      <c r="C19" s="302" t="s">
        <v>436</v>
      </c>
      <c r="D19" s="302" t="s">
        <v>419</v>
      </c>
      <c r="E19" s="307">
        <v>7745.1984216676401</v>
      </c>
      <c r="F19" s="307">
        <v>4440.8640631750286</v>
      </c>
      <c r="G19" s="307">
        <v>8665.6839992626064</v>
      </c>
      <c r="H19" s="307">
        <v>11598.31581266805</v>
      </c>
      <c r="I19" s="307">
        <v>7946.5670303829675</v>
      </c>
      <c r="J19" s="308">
        <v>8536.777539646142</v>
      </c>
      <c r="K19" s="308">
        <v>9168.8691613531737</v>
      </c>
      <c r="L19" s="308">
        <v>9790.4691996041274</v>
      </c>
      <c r="M19" s="308">
        <v>10651.788253435196</v>
      </c>
      <c r="N19" s="308">
        <v>11102.095845961359</v>
      </c>
      <c r="O19" s="309">
        <v>11520</v>
      </c>
      <c r="P19" s="309">
        <v>11520</v>
      </c>
      <c r="Q19" s="309">
        <v>11520</v>
      </c>
      <c r="R19" s="309">
        <v>11520</v>
      </c>
      <c r="S19" s="309">
        <v>11520</v>
      </c>
    </row>
    <row r="20" spans="2:19" x14ac:dyDescent="0.25">
      <c r="B20" s="310" t="s">
        <v>437</v>
      </c>
      <c r="C20" s="302" t="s">
        <v>438</v>
      </c>
      <c r="D20" s="302" t="s">
        <v>428</v>
      </c>
      <c r="E20" s="307">
        <v>0</v>
      </c>
      <c r="F20" s="307">
        <v>0</v>
      </c>
      <c r="G20" s="307">
        <v>0</v>
      </c>
      <c r="H20" s="307">
        <v>3633.9148938329386</v>
      </c>
      <c r="I20" s="307">
        <v>0</v>
      </c>
      <c r="J20" s="308">
        <v>0</v>
      </c>
      <c r="K20" s="308">
        <v>0</v>
      </c>
      <c r="L20" s="308">
        <v>0</v>
      </c>
      <c r="M20" s="308">
        <v>0</v>
      </c>
      <c r="N20" s="308">
        <v>0</v>
      </c>
      <c r="O20" s="309">
        <v>0</v>
      </c>
      <c r="P20" s="309">
        <v>0</v>
      </c>
      <c r="Q20" s="309">
        <v>0</v>
      </c>
      <c r="R20" s="309">
        <v>0</v>
      </c>
      <c r="S20" s="309">
        <v>0</v>
      </c>
    </row>
    <row r="21" spans="2:19" x14ac:dyDescent="0.25">
      <c r="B21" s="310" t="s">
        <v>439</v>
      </c>
      <c r="C21" s="302" t="s">
        <v>439</v>
      </c>
      <c r="D21" s="302" t="s">
        <v>428</v>
      </c>
      <c r="E21" s="307">
        <v>5170.062460540682</v>
      </c>
      <c r="F21" s="307">
        <v>8474.9588864714624</v>
      </c>
      <c r="G21" s="307">
        <v>8771.7351527616574</v>
      </c>
      <c r="H21" s="307">
        <v>6679.844543425962</v>
      </c>
      <c r="I21" s="307">
        <v>6333.7723987329246</v>
      </c>
      <c r="J21" s="308">
        <v>9421.8598718052472</v>
      </c>
      <c r="K21" s="308">
        <v>11521.482539834969</v>
      </c>
      <c r="L21" s="308">
        <v>13168.613585257042</v>
      </c>
      <c r="M21" s="308">
        <v>12748.221505897654</v>
      </c>
      <c r="N21" s="308">
        <v>12639.822497205088</v>
      </c>
      <c r="O21" s="309">
        <v>12800.000000000002</v>
      </c>
      <c r="P21" s="309">
        <v>12800.000000000002</v>
      </c>
      <c r="Q21" s="309">
        <v>12800.000000000002</v>
      </c>
      <c r="R21" s="309">
        <v>12800.000000000002</v>
      </c>
      <c r="S21" s="309">
        <v>12800.000000000002</v>
      </c>
    </row>
    <row r="22" spans="2:19" x14ac:dyDescent="0.25">
      <c r="B22" s="310" t="s">
        <v>440</v>
      </c>
      <c r="C22" s="302" t="s">
        <v>440</v>
      </c>
      <c r="D22" s="302" t="s">
        <v>428</v>
      </c>
      <c r="E22" s="307">
        <v>1744.1340578794072</v>
      </c>
      <c r="F22" s="307">
        <v>2744.4123442667646</v>
      </c>
      <c r="G22" s="307">
        <v>4523.6012829693018</v>
      </c>
      <c r="H22" s="307">
        <v>4363.078850187916</v>
      </c>
      <c r="I22" s="307">
        <v>9783.9898227307458</v>
      </c>
      <c r="J22" s="308">
        <v>11842.764019624068</v>
      </c>
      <c r="K22" s="308">
        <v>12917.932358704995</v>
      </c>
      <c r="L22" s="308">
        <v>11878.448033358773</v>
      </c>
      <c r="M22" s="308">
        <v>12547.70834291479</v>
      </c>
      <c r="N22" s="308">
        <v>12313.147245397386</v>
      </c>
      <c r="O22" s="309">
        <v>9168.208158918962</v>
      </c>
      <c r="P22" s="309">
        <v>9318.697537507227</v>
      </c>
      <c r="Q22" s="309">
        <v>9382.4657233696398</v>
      </c>
      <c r="R22" s="309">
        <v>9390.2272890921486</v>
      </c>
      <c r="S22" s="309">
        <v>9240.4012911120444</v>
      </c>
    </row>
    <row r="23" spans="2:19" x14ac:dyDescent="0.25">
      <c r="B23" s="310" t="s">
        <v>208</v>
      </c>
      <c r="C23" s="302" t="s">
        <v>208</v>
      </c>
      <c r="D23" s="302" t="s">
        <v>421</v>
      </c>
      <c r="E23" s="307">
        <v>10216.655170424621</v>
      </c>
      <c r="F23" s="307">
        <v>6171.0275931561819</v>
      </c>
      <c r="G23" s="307">
        <v>6390.9930609957464</v>
      </c>
      <c r="H23" s="307">
        <v>7100.4370616662181</v>
      </c>
      <c r="I23" s="307">
        <v>21577.252706119507</v>
      </c>
      <c r="J23" s="308">
        <v>11062.566495651343</v>
      </c>
      <c r="K23" s="308">
        <v>21545.845747744104</v>
      </c>
      <c r="L23" s="308">
        <v>16236.680730282271</v>
      </c>
      <c r="M23" s="308">
        <v>14449.316853810902</v>
      </c>
      <c r="N23" s="308">
        <v>21007.948000975182</v>
      </c>
      <c r="O23" s="309">
        <v>35789.685671127248</v>
      </c>
      <c r="P23" s="309">
        <v>60026.934099518199</v>
      </c>
      <c r="Q23" s="309">
        <v>91312.116662810993</v>
      </c>
      <c r="R23" s="309">
        <v>57801.613091869418</v>
      </c>
      <c r="S23" s="309">
        <v>22270.862212798304</v>
      </c>
    </row>
    <row r="24" spans="2:19" ht="16.5" thickBot="1" x14ac:dyDescent="0.3">
      <c r="B24" s="310" t="s">
        <v>441</v>
      </c>
      <c r="C24" s="302" t="s">
        <v>441</v>
      </c>
      <c r="D24" s="302" t="s">
        <v>428</v>
      </c>
      <c r="E24" s="307">
        <v>38883.993669435476</v>
      </c>
      <c r="F24" s="307">
        <v>36860.794935979728</v>
      </c>
      <c r="G24" s="307">
        <v>43551.808010077482</v>
      </c>
      <c r="H24" s="307">
        <v>38981.129076500518</v>
      </c>
      <c r="I24" s="307">
        <v>30917.503498356287</v>
      </c>
      <c r="J24" s="308">
        <v>36988.32579645345</v>
      </c>
      <c r="K24" s="308">
        <v>40040.000000000007</v>
      </c>
      <c r="L24" s="308">
        <v>41057.224734515534</v>
      </c>
      <c r="M24" s="308">
        <v>41057.224734515534</v>
      </c>
      <c r="N24" s="308">
        <v>41057.224734515534</v>
      </c>
      <c r="O24" s="309">
        <v>40040.000000000007</v>
      </c>
      <c r="P24" s="309">
        <v>40040.000000000007</v>
      </c>
      <c r="Q24" s="309">
        <v>40040.000000000007</v>
      </c>
      <c r="R24" s="309">
        <v>40040.000000000007</v>
      </c>
      <c r="S24" s="309">
        <v>40040.000000000007</v>
      </c>
    </row>
    <row r="25" spans="2:19" x14ac:dyDescent="0.25">
      <c r="B25" s="315" t="s">
        <v>204</v>
      </c>
      <c r="C25" s="302" t="s">
        <v>204</v>
      </c>
      <c r="D25" s="302" t="s">
        <v>421</v>
      </c>
      <c r="E25" s="307">
        <v>21491.288704431783</v>
      </c>
      <c r="F25" s="307">
        <v>21908.670992389252</v>
      </c>
      <c r="G25" s="307">
        <v>11763.429634943943</v>
      </c>
      <c r="H25" s="307">
        <v>6653.2181916005638</v>
      </c>
      <c r="I25" s="307">
        <v>15234.062191968264</v>
      </c>
      <c r="J25" s="308">
        <v>10551.405469149253</v>
      </c>
      <c r="K25" s="308">
        <v>17153.697495636552</v>
      </c>
      <c r="L25" s="308">
        <v>19791.805760744013</v>
      </c>
      <c r="M25" s="308">
        <v>22908.367904075611</v>
      </c>
      <c r="N25" s="308">
        <v>28165.838597278282</v>
      </c>
      <c r="O25" s="309">
        <v>42759.256367560709</v>
      </c>
      <c r="P25" s="309">
        <v>41542.179451081531</v>
      </c>
      <c r="Q25" s="309">
        <v>29992.183311784374</v>
      </c>
      <c r="R25" s="309">
        <v>20571.038171259523</v>
      </c>
      <c r="S25" s="309">
        <v>29155.246257710183</v>
      </c>
    </row>
    <row r="26" spans="2:19" x14ac:dyDescent="0.25">
      <c r="B26" s="310" t="s">
        <v>431</v>
      </c>
      <c r="C26" s="302" t="s">
        <v>431</v>
      </c>
      <c r="D26" s="302" t="s">
        <v>428</v>
      </c>
      <c r="E26" s="307">
        <v>7903.6105913280653</v>
      </c>
      <c r="F26" s="307">
        <v>4839.8808876197518</v>
      </c>
      <c r="G26" s="307">
        <v>3985.2257831302486</v>
      </c>
      <c r="H26" s="307">
        <v>692.44494588337511</v>
      </c>
      <c r="I26" s="307">
        <v>2510.4601024079202</v>
      </c>
      <c r="J26" s="308">
        <v>2107.5436278682118</v>
      </c>
      <c r="K26" s="308">
        <v>10910.973574786478</v>
      </c>
      <c r="L26" s="308">
        <v>8965.9319497233319</v>
      </c>
      <c r="M26" s="308">
        <v>8480.0007751238572</v>
      </c>
      <c r="N26" s="308">
        <v>12629.413204813629</v>
      </c>
      <c r="O26" s="309">
        <v>19225.277273670545</v>
      </c>
      <c r="P26" s="309">
        <v>20182.230581763753</v>
      </c>
      <c r="Q26" s="309">
        <v>20658.716340299088</v>
      </c>
      <c r="R26" s="309">
        <v>20437.064193608825</v>
      </c>
      <c r="S26" s="309">
        <v>21096.711610657807</v>
      </c>
    </row>
    <row r="27" spans="2:19" x14ac:dyDescent="0.25">
      <c r="B27" s="310" t="s">
        <v>442</v>
      </c>
      <c r="C27" s="302" t="s">
        <v>443</v>
      </c>
      <c r="D27" s="302" t="s">
        <v>428</v>
      </c>
      <c r="E27" s="307">
        <v>5004.6768945122649</v>
      </c>
      <c r="F27" s="307">
        <v>6040.4899187398978</v>
      </c>
      <c r="G27" s="307">
        <v>5328.4699901177373</v>
      </c>
      <c r="H27" s="307">
        <v>5067.7681637094274</v>
      </c>
      <c r="I27" s="307">
        <v>11934.76</v>
      </c>
      <c r="J27" s="308">
        <v>5422.5954443999999</v>
      </c>
      <c r="K27" s="308">
        <v>11833.028043400001</v>
      </c>
      <c r="L27" s="308">
        <v>21154.4275767</v>
      </c>
      <c r="M27" s="308">
        <v>20807.633682</v>
      </c>
      <c r="N27" s="308">
        <v>20450.330881400001</v>
      </c>
      <c r="O27" s="309">
        <v>9069.1857916999998</v>
      </c>
      <c r="P27" s="309">
        <v>8690.8651793000008</v>
      </c>
      <c r="Q27" s="309">
        <v>8554.2494026000004</v>
      </c>
      <c r="R27" s="309">
        <v>8564.7583085000006</v>
      </c>
      <c r="S27" s="309">
        <v>8585.7761203000009</v>
      </c>
    </row>
    <row r="28" spans="2:19" x14ac:dyDescent="0.25">
      <c r="B28" s="310" t="s">
        <v>444</v>
      </c>
      <c r="C28" s="302" t="s">
        <v>331</v>
      </c>
      <c r="D28" s="302" t="s">
        <v>421</v>
      </c>
      <c r="E28" s="307">
        <v>7677.4502094603549</v>
      </c>
      <c r="F28" s="307">
        <v>10451.704125483206</v>
      </c>
      <c r="G28" s="307">
        <v>8727.9881133954786</v>
      </c>
      <c r="H28" s="307">
        <v>6110.6597003144307</v>
      </c>
      <c r="I28" s="307">
        <v>0</v>
      </c>
      <c r="J28" s="308">
        <v>0</v>
      </c>
      <c r="K28" s="308">
        <v>0</v>
      </c>
      <c r="L28" s="308">
        <v>0</v>
      </c>
      <c r="M28" s="308">
        <v>0</v>
      </c>
      <c r="N28" s="308">
        <v>0</v>
      </c>
      <c r="O28" s="309">
        <v>0</v>
      </c>
      <c r="P28" s="309">
        <v>0</v>
      </c>
      <c r="Q28" s="309">
        <v>0</v>
      </c>
      <c r="R28" s="309">
        <v>0</v>
      </c>
      <c r="S28" s="309">
        <v>0</v>
      </c>
    </row>
    <row r="29" spans="2:19" x14ac:dyDescent="0.25">
      <c r="B29" s="310" t="s">
        <v>445</v>
      </c>
      <c r="C29" s="302" t="s">
        <v>446</v>
      </c>
      <c r="D29" s="302" t="s">
        <v>428</v>
      </c>
      <c r="E29" s="307">
        <v>3556.7570431026693</v>
      </c>
      <c r="F29" s="307">
        <v>4459.1176714785388</v>
      </c>
      <c r="G29" s="307">
        <v>4290.9317140170106</v>
      </c>
      <c r="H29" s="307">
        <v>5187.9462460856366</v>
      </c>
      <c r="I29" s="307">
        <v>2452.5264077369661</v>
      </c>
      <c r="J29" s="308">
        <v>7429.7964713000001</v>
      </c>
      <c r="K29" s="308">
        <v>7324.7074123000002</v>
      </c>
      <c r="L29" s="308">
        <v>7293.1806946000006</v>
      </c>
      <c r="M29" s="308">
        <v>1646.7455545300002</v>
      </c>
      <c r="N29" s="308">
        <v>672.56997760000002</v>
      </c>
      <c r="O29" s="309">
        <v>593.75546784242567</v>
      </c>
      <c r="P29" s="309">
        <v>598.13204377246814</v>
      </c>
      <c r="Q29" s="309">
        <v>598.13204377246814</v>
      </c>
      <c r="R29" s="309">
        <v>598.13204377246814</v>
      </c>
      <c r="S29" s="309">
        <v>598.13204377246814</v>
      </c>
    </row>
    <row r="30" spans="2:19" ht="16.5" thickBot="1" x14ac:dyDescent="0.3">
      <c r="B30" s="316"/>
      <c r="C30" s="303" t="s">
        <v>17</v>
      </c>
      <c r="D30" s="302"/>
      <c r="E30" s="311">
        <v>109393.82722278296</v>
      </c>
      <c r="F30" s="311">
        <v>106391.92141875981</v>
      </c>
      <c r="G30" s="311">
        <v>105999.86674167123</v>
      </c>
      <c r="H30" s="311">
        <v>96068.757485875016</v>
      </c>
      <c r="I30" s="311">
        <v>108690.89415843558</v>
      </c>
      <c r="J30" s="311">
        <v>103363.63473589771</v>
      </c>
      <c r="K30" s="311">
        <v>142416.53633376028</v>
      </c>
      <c r="L30" s="311">
        <v>149336.78226478511</v>
      </c>
      <c r="M30" s="311">
        <v>145297.00760630355</v>
      </c>
      <c r="N30" s="311">
        <v>160038.39098514649</v>
      </c>
      <c r="O30" s="311">
        <v>180965.36873081987</v>
      </c>
      <c r="P30" s="311">
        <v>204719.03889294315</v>
      </c>
      <c r="Q30" s="311">
        <v>224857.86348463656</v>
      </c>
      <c r="R30" s="311">
        <v>181722.83309810236</v>
      </c>
      <c r="S30" s="311">
        <v>155307.12953635081</v>
      </c>
    </row>
    <row r="31" spans="2:19" ht="16.5" thickBot="1" x14ac:dyDescent="0.3">
      <c r="B31" s="317"/>
      <c r="C31" s="303" t="s">
        <v>447</v>
      </c>
      <c r="D31" s="302"/>
      <c r="E31" s="307"/>
      <c r="F31" s="307"/>
      <c r="G31" s="307"/>
      <c r="H31" s="307"/>
      <c r="I31" s="307"/>
      <c r="J31" s="308"/>
      <c r="K31" s="308"/>
      <c r="L31" s="308"/>
      <c r="M31" s="308"/>
      <c r="N31" s="308"/>
      <c r="O31" s="309"/>
      <c r="P31" s="309"/>
      <c r="Q31" s="309"/>
      <c r="R31" s="309"/>
      <c r="S31" s="309"/>
    </row>
    <row r="32" spans="2:19" x14ac:dyDescent="0.25">
      <c r="B32" s="310" t="s">
        <v>448</v>
      </c>
      <c r="C32" s="302" t="s">
        <v>448</v>
      </c>
      <c r="D32" s="302" t="s">
        <v>428</v>
      </c>
      <c r="E32" s="307">
        <v>3887.93535153825</v>
      </c>
      <c r="F32" s="307">
        <v>1906.9562561804148</v>
      </c>
      <c r="G32" s="307">
        <v>2720.2867385949103</v>
      </c>
      <c r="H32" s="307">
        <v>4084.8229048058774</v>
      </c>
      <c r="I32" s="307">
        <v>6982.5522357762884</v>
      </c>
      <c r="J32" s="308">
        <v>7303.8892697121</v>
      </c>
      <c r="K32" s="308">
        <v>6659.6933380420996</v>
      </c>
      <c r="L32" s="308">
        <v>5889.2749376072006</v>
      </c>
      <c r="M32" s="308">
        <v>5909.2418588172004</v>
      </c>
      <c r="N32" s="308">
        <v>5930.2596706172008</v>
      </c>
      <c r="O32" s="309">
        <v>3536.2468353500003</v>
      </c>
      <c r="P32" s="309">
        <v>3536.2468353500003</v>
      </c>
      <c r="Q32" s="309">
        <v>3536.2468353500003</v>
      </c>
      <c r="R32" s="309">
        <v>3536.2468353500003</v>
      </c>
      <c r="S32" s="309">
        <v>3536.2468353500003</v>
      </c>
    </row>
    <row r="33" spans="2:19" x14ac:dyDescent="0.25">
      <c r="B33" s="310" t="s">
        <v>449</v>
      </c>
      <c r="C33" s="302" t="s">
        <v>449</v>
      </c>
      <c r="D33" s="302" t="s">
        <v>428</v>
      </c>
      <c r="E33" s="307">
        <v>7267.0506808081655</v>
      </c>
      <c r="F33" s="307">
        <v>6526.3523257466331</v>
      </c>
      <c r="G33" s="307">
        <v>6931.8616604944573</v>
      </c>
      <c r="H33" s="307">
        <v>7987.1022993959132</v>
      </c>
      <c r="I33" s="307">
        <v>7300.1932647267586</v>
      </c>
      <c r="J33" s="308">
        <v>9346.6471797247505</v>
      </c>
      <c r="K33" s="308">
        <v>9134.9883568834412</v>
      </c>
      <c r="L33" s="308">
        <v>9445.811317578331</v>
      </c>
      <c r="M33" s="308">
        <v>9102.7302193328014</v>
      </c>
      <c r="N33" s="308">
        <v>9233.7447491881012</v>
      </c>
      <c r="O33" s="309">
        <v>8110.4583064430008</v>
      </c>
      <c r="P33" s="309">
        <v>8110.4583064430008</v>
      </c>
      <c r="Q33" s="309">
        <v>8110.4583064430008</v>
      </c>
      <c r="R33" s="309">
        <v>8110.4583064430008</v>
      </c>
      <c r="S33" s="309">
        <v>8110.4583064430008</v>
      </c>
    </row>
    <row r="34" spans="2:19" x14ac:dyDescent="0.25">
      <c r="B34" s="310" t="s">
        <v>347</v>
      </c>
      <c r="C34" s="302" t="s">
        <v>347</v>
      </c>
      <c r="D34" s="302" t="s">
        <v>419</v>
      </c>
      <c r="E34" s="307">
        <v>25735.179283523135</v>
      </c>
      <c r="F34" s="307">
        <v>28344.11511870586</v>
      </c>
      <c r="G34" s="307">
        <v>21737.390359306904</v>
      </c>
      <c r="H34" s="307">
        <v>26157.314480497342</v>
      </c>
      <c r="I34" s="307">
        <v>20363.689999999999</v>
      </c>
      <c r="J34" s="308">
        <v>19966.92122903308</v>
      </c>
      <c r="K34" s="308">
        <v>17865.140058549619</v>
      </c>
      <c r="L34" s="308">
        <v>10508.905961857507</v>
      </c>
      <c r="M34" s="308">
        <v>9458.0153766157764</v>
      </c>
      <c r="N34" s="308">
        <v>19966.92122903308</v>
      </c>
      <c r="O34" s="309">
        <v>24170.48357</v>
      </c>
      <c r="P34" s="309">
        <v>24170.48357</v>
      </c>
      <c r="Q34" s="309">
        <v>24170.48357</v>
      </c>
      <c r="R34" s="309">
        <v>24170.48357</v>
      </c>
      <c r="S34" s="309">
        <v>24170.48357</v>
      </c>
    </row>
    <row r="35" spans="2:19" x14ac:dyDescent="0.25">
      <c r="B35" s="310" t="s">
        <v>429</v>
      </c>
      <c r="C35" s="302" t="s">
        <v>450</v>
      </c>
      <c r="D35" s="302" t="s">
        <v>419</v>
      </c>
      <c r="E35" s="307">
        <v>10883.584225486999</v>
      </c>
      <c r="F35" s="307">
        <v>9468.3714886995422</v>
      </c>
      <c r="G35" s="307">
        <v>12985.046597988105</v>
      </c>
      <c r="H35" s="307">
        <v>18346.394230219757</v>
      </c>
      <c r="I35" s="307">
        <v>23290.556662281022</v>
      </c>
      <c r="J35" s="308">
        <v>21616.136264817862</v>
      </c>
      <c r="K35" s="308">
        <v>16085.658023132422</v>
      </c>
      <c r="L35" s="308">
        <v>17113.901059251788</v>
      </c>
      <c r="M35" s="308">
        <v>16540.627666546912</v>
      </c>
      <c r="N35" s="308">
        <v>13814.754580112307</v>
      </c>
      <c r="O35" s="309">
        <v>8001.9958886491004</v>
      </c>
      <c r="P35" s="309">
        <v>10755.371270072699</v>
      </c>
      <c r="Q35" s="309">
        <v>9696.2206800353033</v>
      </c>
      <c r="R35" s="309">
        <v>6300.1416315795004</v>
      </c>
      <c r="S35" s="309">
        <v>7381.1927815124991</v>
      </c>
    </row>
    <row r="36" spans="2:19" x14ac:dyDescent="0.25">
      <c r="B36" s="310" t="s">
        <v>214</v>
      </c>
      <c r="C36" s="302" t="s">
        <v>214</v>
      </c>
      <c r="D36" s="302" t="s">
        <v>421</v>
      </c>
      <c r="E36" s="307">
        <v>87836.565261218348</v>
      </c>
      <c r="F36" s="307">
        <v>96646.746839196567</v>
      </c>
      <c r="G36" s="307">
        <v>95284.256807272817</v>
      </c>
      <c r="H36" s="307">
        <v>45809.710978208066</v>
      </c>
      <c r="I36" s="307">
        <v>34410.134077590992</v>
      </c>
      <c r="J36" s="308">
        <v>22209.149364102723</v>
      </c>
      <c r="K36" s="308">
        <v>21719.628474288795</v>
      </c>
      <c r="L36" s="308">
        <v>31819.557499094299</v>
      </c>
      <c r="M36" s="308">
        <v>27910.55926181934</v>
      </c>
      <c r="N36" s="308">
        <v>13215.831111993819</v>
      </c>
      <c r="O36" s="309">
        <v>31479.824547740413</v>
      </c>
      <c r="P36" s="309">
        <v>35646.540155107185</v>
      </c>
      <c r="Q36" s="309">
        <v>74974.57799214503</v>
      </c>
      <c r="R36" s="309">
        <v>95824.449646838621</v>
      </c>
      <c r="S36" s="309">
        <v>42291.508890598816</v>
      </c>
    </row>
    <row r="37" spans="2:19" x14ac:dyDescent="0.25">
      <c r="B37" s="310" t="s">
        <v>426</v>
      </c>
      <c r="C37" s="302" t="s">
        <v>426</v>
      </c>
      <c r="D37" s="302" t="s">
        <v>428</v>
      </c>
      <c r="E37" s="307">
        <v>30841.615027501106</v>
      </c>
      <c r="F37" s="307">
        <v>27711.20943997211</v>
      </c>
      <c r="G37" s="307">
        <v>28198.878917572296</v>
      </c>
      <c r="H37" s="307">
        <v>29200.160796081487</v>
      </c>
      <c r="I37" s="307">
        <v>24718.508659456238</v>
      </c>
      <c r="J37" s="308">
        <v>27571.72</v>
      </c>
      <c r="K37" s="308">
        <v>27571.72</v>
      </c>
      <c r="L37" s="308">
        <v>27571.72000475827</v>
      </c>
      <c r="M37" s="308">
        <v>27571.720035972528</v>
      </c>
      <c r="N37" s="308">
        <v>27571.72</v>
      </c>
      <c r="O37" s="309">
        <v>27571.720000000005</v>
      </c>
      <c r="P37" s="309">
        <v>27571.720046012473</v>
      </c>
      <c r="Q37" s="309">
        <v>27571.720000000005</v>
      </c>
      <c r="R37" s="309">
        <v>27571.720047582705</v>
      </c>
      <c r="S37" s="309">
        <v>27571.720000000005</v>
      </c>
    </row>
    <row r="38" spans="2:19" x14ac:dyDescent="0.25">
      <c r="B38" s="310" t="s">
        <v>451</v>
      </c>
      <c r="C38" s="302" t="s">
        <v>452</v>
      </c>
      <c r="D38" s="302" t="s">
        <v>428</v>
      </c>
      <c r="E38" s="307">
        <v>10466.708820126987</v>
      </c>
      <c r="F38" s="307">
        <v>11491.849038904478</v>
      </c>
      <c r="G38" s="307">
        <v>9738.4319875675283</v>
      </c>
      <c r="H38" s="307">
        <v>9413.8454116829562</v>
      </c>
      <c r="I38" s="307">
        <v>9081.7634888924822</v>
      </c>
      <c r="J38" s="308">
        <v>13714.122199500001</v>
      </c>
      <c r="K38" s="308">
        <v>13714.122199500001</v>
      </c>
      <c r="L38" s="308">
        <v>13714.122199500001</v>
      </c>
      <c r="M38" s="308">
        <v>13714.122199500001</v>
      </c>
      <c r="N38" s="308">
        <v>13714.122199500001</v>
      </c>
      <c r="O38" s="309">
        <v>13714.122199500001</v>
      </c>
      <c r="P38" s="309">
        <v>13714.122199500001</v>
      </c>
      <c r="Q38" s="309">
        <v>13714.122199500001</v>
      </c>
      <c r="R38" s="309">
        <v>13714.122199500001</v>
      </c>
      <c r="S38" s="309">
        <v>13714.122199500001</v>
      </c>
    </row>
    <row r="39" spans="2:19" x14ac:dyDescent="0.25">
      <c r="B39" s="310" t="s">
        <v>453</v>
      </c>
      <c r="C39" s="302" t="s">
        <v>454</v>
      </c>
      <c r="D39" s="302" t="s">
        <v>419</v>
      </c>
      <c r="E39" s="307">
        <v>841.09051030921592</v>
      </c>
      <c r="F39" s="307">
        <v>1093.1168872807525</v>
      </c>
      <c r="G39" s="307">
        <v>1399.7026417750292</v>
      </c>
      <c r="H39" s="307">
        <v>2422.7302281707648</v>
      </c>
      <c r="I39" s="307">
        <v>2506.6944655410675</v>
      </c>
      <c r="J39" s="308">
        <v>2929.5887155548003</v>
      </c>
      <c r="K39" s="308">
        <v>3307.8567834253004</v>
      </c>
      <c r="L39" s="308">
        <v>3425.7561987174008</v>
      </c>
      <c r="M39" s="308">
        <v>5929.0301286269005</v>
      </c>
      <c r="N39" s="308">
        <v>4914.6054420998998</v>
      </c>
      <c r="O39" s="309">
        <v>3537.4343417167001</v>
      </c>
      <c r="P39" s="309">
        <v>4138.9956421504003</v>
      </c>
      <c r="Q39" s="309">
        <v>3973.7956414024002</v>
      </c>
      <c r="R39" s="309">
        <v>4401.7182896504</v>
      </c>
      <c r="S39" s="309">
        <v>4131.4292299024</v>
      </c>
    </row>
    <row r="40" spans="2:19" x14ac:dyDescent="0.25">
      <c r="B40" s="310" t="s">
        <v>215</v>
      </c>
      <c r="C40" s="302" t="s">
        <v>215</v>
      </c>
      <c r="D40" s="302" t="s">
        <v>421</v>
      </c>
      <c r="E40" s="307">
        <v>10382.894915182655</v>
      </c>
      <c r="F40" s="307">
        <v>18452.53713845821</v>
      </c>
      <c r="G40" s="307">
        <v>7776.3953049701749</v>
      </c>
      <c r="H40" s="307">
        <v>8473.6827494107783</v>
      </c>
      <c r="I40" s="307">
        <v>0</v>
      </c>
      <c r="J40" s="308">
        <v>0</v>
      </c>
      <c r="K40" s="308">
        <v>0</v>
      </c>
      <c r="L40" s="308">
        <v>0</v>
      </c>
      <c r="M40" s="308">
        <v>0</v>
      </c>
      <c r="N40" s="308">
        <v>0</v>
      </c>
      <c r="O40" s="309">
        <v>0</v>
      </c>
      <c r="P40" s="309">
        <v>0</v>
      </c>
      <c r="Q40" s="309">
        <v>0</v>
      </c>
      <c r="R40" s="309">
        <v>0</v>
      </c>
      <c r="S40" s="309">
        <v>0</v>
      </c>
    </row>
    <row r="41" spans="2:19" x14ac:dyDescent="0.25">
      <c r="B41" s="318" t="s">
        <v>455</v>
      </c>
      <c r="C41" s="318" t="s">
        <v>455</v>
      </c>
      <c r="D41" s="318" t="s">
        <v>419</v>
      </c>
      <c r="E41" s="307">
        <v>0</v>
      </c>
      <c r="F41" s="307">
        <v>0</v>
      </c>
      <c r="G41" s="307">
        <v>175.71375879731994</v>
      </c>
      <c r="H41" s="307">
        <v>378.56078293543868</v>
      </c>
      <c r="I41" s="307">
        <v>720</v>
      </c>
      <c r="J41" s="308">
        <v>1944.8685024447402</v>
      </c>
      <c r="K41" s="308">
        <v>2872.12181453124</v>
      </c>
      <c r="L41" s="308">
        <v>950.50006282789002</v>
      </c>
      <c r="M41" s="308">
        <v>611.67822414363002</v>
      </c>
      <c r="N41" s="308">
        <v>1436.8438207551701</v>
      </c>
      <c r="O41" s="309">
        <v>928.53014415335008</v>
      </c>
      <c r="P41" s="309">
        <v>0</v>
      </c>
      <c r="Q41" s="309">
        <v>0</v>
      </c>
      <c r="R41" s="309">
        <v>0</v>
      </c>
      <c r="S41" s="309">
        <v>0</v>
      </c>
    </row>
    <row r="42" spans="2:19" x14ac:dyDescent="0.25">
      <c r="B42" s="318"/>
      <c r="C42" s="318"/>
      <c r="D42" s="318"/>
      <c r="E42" s="307"/>
      <c r="F42" s="307"/>
      <c r="G42" s="307"/>
      <c r="H42" s="307"/>
      <c r="I42" s="307"/>
      <c r="J42" s="308"/>
      <c r="K42" s="308"/>
      <c r="L42" s="308"/>
      <c r="M42" s="308"/>
      <c r="N42" s="308"/>
      <c r="O42" s="309"/>
      <c r="P42" s="309"/>
      <c r="Q42" s="309"/>
      <c r="R42" s="309"/>
      <c r="S42" s="309"/>
    </row>
    <row r="43" spans="2:19" ht="16.5" thickBot="1" x14ac:dyDescent="0.3">
      <c r="B43" s="317"/>
      <c r="C43" s="303" t="s">
        <v>17</v>
      </c>
      <c r="D43" s="302"/>
      <c r="E43" s="311">
        <v>188142.62407569485</v>
      </c>
      <c r="F43" s="311">
        <v>201641.25453314453</v>
      </c>
      <c r="G43" s="311">
        <v>186947.96477433955</v>
      </c>
      <c r="H43" s="311">
        <v>152274.32486140839</v>
      </c>
      <c r="I43" s="311">
        <v>129374.09285426483</v>
      </c>
      <c r="J43" s="311">
        <v>126603.04272489005</v>
      </c>
      <c r="K43" s="311">
        <v>118930.92904835292</v>
      </c>
      <c r="L43" s="311">
        <v>120439.5492411927</v>
      </c>
      <c r="M43" s="311">
        <v>116747.72497137506</v>
      </c>
      <c r="N43" s="311">
        <v>109798.80280329958</v>
      </c>
      <c r="O43" s="311">
        <v>121050.81583355258</v>
      </c>
      <c r="P43" s="311">
        <v>127643.93802463575</v>
      </c>
      <c r="Q43" s="311">
        <v>165747.62522487575</v>
      </c>
      <c r="R43" s="311">
        <v>183629.34052694423</v>
      </c>
      <c r="S43" s="311">
        <v>130907.16181330671</v>
      </c>
    </row>
    <row r="44" spans="2:19" x14ac:dyDescent="0.25">
      <c r="B44" s="302"/>
      <c r="C44" s="303" t="s">
        <v>456</v>
      </c>
      <c r="D44" s="302"/>
      <c r="E44" s="307"/>
      <c r="F44" s="307"/>
      <c r="G44" s="307"/>
      <c r="H44" s="307"/>
      <c r="I44" s="307"/>
      <c r="J44" s="308"/>
      <c r="K44" s="308"/>
      <c r="L44" s="308"/>
      <c r="M44" s="308"/>
      <c r="N44" s="308"/>
      <c r="O44" s="309"/>
      <c r="P44" s="309"/>
      <c r="Q44" s="309"/>
      <c r="R44" s="309"/>
      <c r="S44" s="309"/>
    </row>
    <row r="45" spans="2:19" x14ac:dyDescent="0.25">
      <c r="B45" s="310" t="s">
        <v>457</v>
      </c>
      <c r="C45" s="302" t="s">
        <v>457</v>
      </c>
      <c r="D45" s="302" t="s">
        <v>428</v>
      </c>
      <c r="E45" s="307">
        <v>3161.8923518032375</v>
      </c>
      <c r="F45" s="307">
        <v>2455.7774873770491</v>
      </c>
      <c r="G45" s="307">
        <v>444.47393151508203</v>
      </c>
      <c r="H45" s="307">
        <v>2318.4968568336726</v>
      </c>
      <c r="I45" s="307">
        <v>2692.2382647436166</v>
      </c>
      <c r="J45" s="308">
        <v>2784.8600635000003</v>
      </c>
      <c r="K45" s="308">
        <v>3226.2341113000002</v>
      </c>
      <c r="L45" s="308">
        <v>2953.0025579000003</v>
      </c>
      <c r="M45" s="308">
        <v>3951.3486184000003</v>
      </c>
      <c r="N45" s="308">
        <v>2175.3435213000002</v>
      </c>
      <c r="O45" s="309">
        <v>2616.7175691000002</v>
      </c>
      <c r="P45" s="309">
        <v>3678.1170650000004</v>
      </c>
      <c r="Q45" s="309">
        <v>2784.8600635000003</v>
      </c>
      <c r="R45" s="309">
        <v>2784.8600635000003</v>
      </c>
      <c r="S45" s="309">
        <v>2564.1730396000003</v>
      </c>
    </row>
    <row r="46" spans="2:19" x14ac:dyDescent="0.25">
      <c r="B46" s="310" t="s">
        <v>458</v>
      </c>
      <c r="C46" s="302" t="s">
        <v>459</v>
      </c>
      <c r="D46" s="302" t="s">
        <v>428</v>
      </c>
      <c r="E46" s="307">
        <v>21591.211524067174</v>
      </c>
      <c r="F46" s="307">
        <v>30351.878532827381</v>
      </c>
      <c r="G46" s="307">
        <v>33356.724208589796</v>
      </c>
      <c r="H46" s="307">
        <v>22743.237974377345</v>
      </c>
      <c r="I46" s="307">
        <v>20123.599999999999</v>
      </c>
      <c r="J46" s="308">
        <v>33139.834755650001</v>
      </c>
      <c r="K46" s="308">
        <v>27792.903433730004</v>
      </c>
      <c r="L46" s="308">
        <v>22698.185853410003</v>
      </c>
      <c r="M46" s="308">
        <v>17997.55224434</v>
      </c>
      <c r="N46" s="308">
        <v>12140.938986270001</v>
      </c>
      <c r="O46" s="309">
        <v>22753.883054680002</v>
      </c>
      <c r="P46" s="309">
        <v>22753.883054680002</v>
      </c>
      <c r="Q46" s="309">
        <v>22753.883054680002</v>
      </c>
      <c r="R46" s="309">
        <v>22753.883054680002</v>
      </c>
      <c r="S46" s="309">
        <v>22753.883054680002</v>
      </c>
    </row>
    <row r="47" spans="2:19" x14ac:dyDescent="0.25">
      <c r="B47" s="310" t="s">
        <v>460</v>
      </c>
      <c r="C47" s="302" t="s">
        <v>460</v>
      </c>
      <c r="D47" s="302" t="s">
        <v>428</v>
      </c>
      <c r="E47" s="307">
        <v>980.31737007815684</v>
      </c>
      <c r="F47" s="307">
        <v>1063.8860321177249</v>
      </c>
      <c r="G47" s="307">
        <v>1109.3875987109568</v>
      </c>
      <c r="H47" s="307">
        <v>590.74001730582256</v>
      </c>
      <c r="I47" s="307">
        <v>1141.0411993177051</v>
      </c>
      <c r="J47" s="308">
        <v>1155.9796490000001</v>
      </c>
      <c r="K47" s="308">
        <v>1155.9796490000001</v>
      </c>
      <c r="L47" s="308">
        <v>1155.9796490000001</v>
      </c>
      <c r="M47" s="308">
        <v>1155.9796490000001</v>
      </c>
      <c r="N47" s="308">
        <v>1155.9796490000001</v>
      </c>
      <c r="O47" s="309">
        <v>1155.9796490000001</v>
      </c>
      <c r="P47" s="309">
        <v>1155.9796490000001</v>
      </c>
      <c r="Q47" s="309">
        <v>1155.9796490000001</v>
      </c>
      <c r="R47" s="309">
        <v>1155.9796490000001</v>
      </c>
      <c r="S47" s="309">
        <v>1155.9796490000001</v>
      </c>
    </row>
    <row r="48" spans="2:19" x14ac:dyDescent="0.25">
      <c r="B48" s="310" t="s">
        <v>461</v>
      </c>
      <c r="C48" s="302" t="s">
        <v>461</v>
      </c>
      <c r="D48" s="302" t="s">
        <v>421</v>
      </c>
      <c r="E48" s="307">
        <v>0</v>
      </c>
      <c r="F48" s="307">
        <v>0</v>
      </c>
      <c r="G48" s="307">
        <v>0</v>
      </c>
      <c r="H48" s="307">
        <v>2912.3954519146109</v>
      </c>
      <c r="I48" s="307">
        <v>877.03102358396893</v>
      </c>
      <c r="J48" s="308">
        <v>0</v>
      </c>
      <c r="K48" s="308">
        <v>0</v>
      </c>
      <c r="L48" s="308">
        <v>0</v>
      </c>
      <c r="M48" s="308">
        <v>0</v>
      </c>
      <c r="N48" s="308">
        <v>0</v>
      </c>
      <c r="O48" s="309">
        <v>0</v>
      </c>
      <c r="P48" s="309">
        <v>0</v>
      </c>
      <c r="Q48" s="309">
        <v>0</v>
      </c>
      <c r="R48" s="309">
        <v>0</v>
      </c>
      <c r="S48" s="309">
        <v>0</v>
      </c>
    </row>
    <row r="49" spans="2:20" x14ac:dyDescent="0.25">
      <c r="B49" s="310" t="s">
        <v>462</v>
      </c>
      <c r="C49" s="302" t="s">
        <v>462</v>
      </c>
      <c r="D49" s="302" t="s">
        <v>419</v>
      </c>
      <c r="E49" s="307">
        <v>3397.3248881445506</v>
      </c>
      <c r="F49" s="307">
        <v>328.05031381664941</v>
      </c>
      <c r="G49" s="307">
        <v>292.58492082735211</v>
      </c>
      <c r="H49" s="307">
        <v>722.52911657938796</v>
      </c>
      <c r="I49" s="307">
        <v>2317.7953703477756</v>
      </c>
      <c r="J49" s="308">
        <v>2375.0127334000003</v>
      </c>
      <c r="K49" s="308">
        <v>264.82442868000004</v>
      </c>
      <c r="L49" s="308">
        <v>559.07379388000004</v>
      </c>
      <c r="M49" s="308">
        <v>0</v>
      </c>
      <c r="N49" s="308">
        <v>105.08905900000001</v>
      </c>
      <c r="O49" s="309">
        <v>0</v>
      </c>
      <c r="P49" s="309">
        <v>0</v>
      </c>
      <c r="Q49" s="309">
        <v>0</v>
      </c>
      <c r="R49" s="309">
        <v>0</v>
      </c>
      <c r="S49" s="309">
        <v>0</v>
      </c>
    </row>
    <row r="50" spans="2:20" x14ac:dyDescent="0.25">
      <c r="B50" s="310" t="s">
        <v>222</v>
      </c>
      <c r="C50" s="302" t="s">
        <v>463</v>
      </c>
      <c r="D50" s="302" t="s">
        <v>428</v>
      </c>
      <c r="E50" s="307">
        <v>439.17490765459064</v>
      </c>
      <c r="F50" s="307">
        <v>207.01842995575234</v>
      </c>
      <c r="G50" s="307">
        <v>2858.3613136369004</v>
      </c>
      <c r="H50" s="307">
        <v>-22.290618955890302</v>
      </c>
      <c r="I50" s="307">
        <v>0</v>
      </c>
      <c r="J50" s="308">
        <v>0</v>
      </c>
      <c r="K50" s="308">
        <v>0</v>
      </c>
      <c r="L50" s="308">
        <v>0</v>
      </c>
      <c r="M50" s="308">
        <v>0</v>
      </c>
      <c r="N50" s="308">
        <v>0</v>
      </c>
      <c r="O50" s="309">
        <v>0</v>
      </c>
      <c r="P50" s="309">
        <v>0</v>
      </c>
      <c r="Q50" s="309">
        <v>0</v>
      </c>
      <c r="R50" s="309">
        <v>0</v>
      </c>
      <c r="S50" s="309">
        <v>0</v>
      </c>
    </row>
    <row r="51" spans="2:20" ht="16.5" thickBot="1" x14ac:dyDescent="0.3">
      <c r="B51" s="319"/>
      <c r="C51" s="303" t="s">
        <v>17</v>
      </c>
      <c r="D51" s="302"/>
      <c r="E51" s="311">
        <v>29569.921041747708</v>
      </c>
      <c r="F51" s="311">
        <v>34406.610796094552</v>
      </c>
      <c r="G51" s="311">
        <v>38061.531973280085</v>
      </c>
      <c r="H51" s="311">
        <v>29265.108798054953</v>
      </c>
      <c r="I51" s="311">
        <v>27151.705857993064</v>
      </c>
      <c r="J51" s="311">
        <v>39455.687201549998</v>
      </c>
      <c r="K51" s="311">
        <v>32439.941622710005</v>
      </c>
      <c r="L51" s="311">
        <v>27366.241854190004</v>
      </c>
      <c r="M51" s="311">
        <v>23104.880511740001</v>
      </c>
      <c r="N51" s="311">
        <v>15577.351215570003</v>
      </c>
      <c r="O51" s="311">
        <v>26526.580272780004</v>
      </c>
      <c r="P51" s="311">
        <v>27587.979768680001</v>
      </c>
      <c r="Q51" s="311">
        <v>26694.722767180003</v>
      </c>
      <c r="R51" s="311">
        <v>26694.722767180003</v>
      </c>
      <c r="S51" s="311">
        <v>26474.035743280001</v>
      </c>
    </row>
    <row r="52" spans="2:20" x14ac:dyDescent="0.25">
      <c r="B52" s="320"/>
      <c r="C52" s="303" t="s">
        <v>464</v>
      </c>
      <c r="D52" s="302"/>
      <c r="E52" s="311">
        <v>327106.3723402255</v>
      </c>
      <c r="F52" s="311">
        <v>342439.78674799891</v>
      </c>
      <c r="G52" s="311">
        <v>331009.36348929087</v>
      </c>
      <c r="H52" s="311">
        <v>277608.19114533835</v>
      </c>
      <c r="I52" s="311">
        <v>265216.69287069351</v>
      </c>
      <c r="J52" s="311">
        <v>314219.48028990929</v>
      </c>
      <c r="K52" s="311">
        <v>380764.42912804126</v>
      </c>
      <c r="L52" s="311">
        <v>442949.04580618144</v>
      </c>
      <c r="M52" s="311">
        <v>410676.28582141618</v>
      </c>
      <c r="N52" s="311">
        <v>336496.91659943596</v>
      </c>
      <c r="O52" s="311">
        <v>410419.75211450615</v>
      </c>
      <c r="P52" s="311">
        <v>438969.52157175506</v>
      </c>
      <c r="Q52" s="311">
        <v>417300.21147669235</v>
      </c>
      <c r="R52" s="311">
        <v>414184.95746092888</v>
      </c>
      <c r="S52" s="311">
        <v>312688.32709293754</v>
      </c>
    </row>
    <row r="53" spans="2:20" ht="16.5" thickBot="1" x14ac:dyDescent="0.3">
      <c r="B53" s="321"/>
      <c r="C53" s="303" t="s">
        <v>465</v>
      </c>
      <c r="D53" s="302"/>
      <c r="E53" s="307"/>
      <c r="F53" s="307"/>
      <c r="G53" s="307"/>
      <c r="H53" s="307"/>
      <c r="I53" s="307"/>
      <c r="J53" s="308"/>
      <c r="K53" s="308"/>
      <c r="L53" s="308"/>
      <c r="M53" s="308"/>
      <c r="N53" s="308"/>
      <c r="O53" s="309"/>
      <c r="P53" s="309"/>
      <c r="Q53" s="309"/>
      <c r="R53" s="309"/>
      <c r="S53" s="309"/>
    </row>
    <row r="54" spans="2:20" ht="16.5" thickBot="1" x14ac:dyDescent="0.3">
      <c r="B54" s="317"/>
      <c r="C54" s="303" t="s">
        <v>466</v>
      </c>
      <c r="D54" s="302"/>
      <c r="E54" s="307"/>
      <c r="F54" s="307"/>
      <c r="G54" s="307"/>
      <c r="H54" s="307"/>
      <c r="I54" s="307"/>
      <c r="J54" s="308"/>
      <c r="K54" s="308"/>
      <c r="L54" s="308"/>
      <c r="M54" s="308"/>
      <c r="N54" s="308"/>
      <c r="O54" s="309"/>
      <c r="P54" s="309"/>
      <c r="Q54" s="309"/>
      <c r="R54" s="309"/>
      <c r="S54" s="309"/>
    </row>
    <row r="55" spans="2:20" x14ac:dyDescent="0.25">
      <c r="B55" s="310" t="s">
        <v>467</v>
      </c>
      <c r="C55" s="302" t="s">
        <v>468</v>
      </c>
      <c r="D55" s="302" t="s">
        <v>428</v>
      </c>
      <c r="E55" s="307">
        <v>1140.7356303959803</v>
      </c>
      <c r="F55" s="307">
        <v>775.20451455295051</v>
      </c>
      <c r="G55" s="307">
        <v>1304.9674899738709</v>
      </c>
      <c r="H55" s="307">
        <v>1302.366543352385</v>
      </c>
      <c r="I55" s="307">
        <v>0</v>
      </c>
      <c r="J55" s="308">
        <v>0</v>
      </c>
      <c r="K55" s="308">
        <v>0</v>
      </c>
      <c r="L55" s="308">
        <v>0</v>
      </c>
      <c r="M55" s="308">
        <v>0</v>
      </c>
      <c r="N55" s="308">
        <v>0</v>
      </c>
      <c r="O55" s="309">
        <v>0</v>
      </c>
      <c r="P55" s="309">
        <v>0</v>
      </c>
      <c r="Q55" s="309">
        <v>0</v>
      </c>
      <c r="R55" s="309">
        <v>0</v>
      </c>
      <c r="S55" s="309">
        <v>0</v>
      </c>
    </row>
    <row r="56" spans="2:20" x14ac:dyDescent="0.25">
      <c r="B56" s="310" t="s">
        <v>469</v>
      </c>
      <c r="C56" s="302" t="s">
        <v>470</v>
      </c>
      <c r="D56" s="302" t="s">
        <v>421</v>
      </c>
      <c r="E56" s="307">
        <v>14966.470462046502</v>
      </c>
      <c r="F56" s="307">
        <v>15514.581439450074</v>
      </c>
      <c r="G56" s="307">
        <v>15666.194665290877</v>
      </c>
      <c r="H56" s="307">
        <v>12025.55930185445</v>
      </c>
      <c r="I56" s="307">
        <v>11000</v>
      </c>
      <c r="J56" s="308">
        <v>13451.399552000001</v>
      </c>
      <c r="K56" s="308">
        <v>13451.399552000001</v>
      </c>
      <c r="L56" s="308">
        <v>13451.399552000001</v>
      </c>
      <c r="M56" s="308">
        <v>13451.399552000001</v>
      </c>
      <c r="N56" s="308">
        <v>13451.399552000001</v>
      </c>
      <c r="O56" s="309">
        <v>15553.180732000001</v>
      </c>
      <c r="P56" s="309">
        <v>15553.180732000001</v>
      </c>
      <c r="Q56" s="309">
        <v>15553.180732000001</v>
      </c>
      <c r="R56" s="309">
        <v>15553.180732000001</v>
      </c>
      <c r="S56" s="309">
        <v>15553.180732000001</v>
      </c>
    </row>
    <row r="57" spans="2:20" ht="16.5" thickBot="1" x14ac:dyDescent="0.3">
      <c r="B57" s="322" t="s">
        <v>471</v>
      </c>
      <c r="C57" s="255" t="s">
        <v>472</v>
      </c>
      <c r="D57" s="302" t="s">
        <v>421</v>
      </c>
      <c r="E57" s="307">
        <v>0</v>
      </c>
      <c r="F57" s="307">
        <v>0</v>
      </c>
      <c r="G57" s="307">
        <v>0</v>
      </c>
      <c r="H57" s="307">
        <v>0</v>
      </c>
      <c r="I57" s="307">
        <v>0</v>
      </c>
      <c r="J57" s="308">
        <v>2206.8702390000003</v>
      </c>
      <c r="K57" s="308">
        <v>315.267177</v>
      </c>
      <c r="L57" s="308">
        <v>1786.5140030000002</v>
      </c>
      <c r="M57" s="308">
        <v>4308.6514190000007</v>
      </c>
      <c r="N57" s="308">
        <v>1050.89059</v>
      </c>
      <c r="O57" s="309">
        <v>0</v>
      </c>
      <c r="P57" s="309">
        <v>0</v>
      </c>
      <c r="Q57" s="309">
        <v>0</v>
      </c>
      <c r="R57" s="309">
        <v>0</v>
      </c>
      <c r="S57" s="309">
        <v>0</v>
      </c>
    </row>
    <row r="59" spans="2:20" x14ac:dyDescent="0.25">
      <c r="I59" s="303" t="s">
        <v>473</v>
      </c>
    </row>
    <row r="60" spans="2:20" x14ac:dyDescent="0.25">
      <c r="E60" s="40"/>
      <c r="F60" s="40"/>
      <c r="G60" s="40"/>
      <c r="H60" s="40"/>
      <c r="I60" t="s">
        <v>474</v>
      </c>
      <c r="J60" s="40">
        <f>J25+J14</f>
        <v>14631.045741413884</v>
      </c>
      <c r="K60" s="40">
        <f t="shared" ref="K60:S60" si="0">K25+K14</f>
        <v>25312.979091056397</v>
      </c>
      <c r="L60" s="40">
        <f t="shared" si="0"/>
        <v>32030.727628428489</v>
      </c>
      <c r="M60" s="40">
        <f t="shared" si="0"/>
        <v>35147.289771760086</v>
      </c>
      <c r="N60" s="40">
        <f t="shared" si="0"/>
        <v>35305.209861909323</v>
      </c>
      <c r="O60" s="40">
        <f t="shared" si="0"/>
        <v>42759.256367560709</v>
      </c>
      <c r="P60" s="40">
        <f t="shared" si="0"/>
        <v>41542.179451081531</v>
      </c>
      <c r="Q60" s="40">
        <f t="shared" si="0"/>
        <v>29992.183311784374</v>
      </c>
      <c r="R60" s="40">
        <f t="shared" si="0"/>
        <v>20571.038171259523</v>
      </c>
      <c r="S60" s="40">
        <f t="shared" si="0"/>
        <v>29155.246257710183</v>
      </c>
      <c r="T60" s="40">
        <f>SUM(J60:S60)</f>
        <v>306447.1556539645</v>
      </c>
    </row>
    <row r="61" spans="2:20" x14ac:dyDescent="0.25">
      <c r="E61" s="40"/>
      <c r="F61" s="40"/>
      <c r="G61" s="40"/>
      <c r="H61" s="40"/>
      <c r="I61" t="s">
        <v>475</v>
      </c>
      <c r="J61" s="40">
        <f>J36+SUM(J9:J11)</f>
        <v>43556.348305923588</v>
      </c>
      <c r="K61" s="40">
        <f t="shared" ref="K61:S61" si="1">K36+SUM(K9:K11)</f>
        <v>35747.790874609404</v>
      </c>
      <c r="L61" s="40">
        <f t="shared" si="1"/>
        <v>40104.401417118119</v>
      </c>
      <c r="M61" s="40">
        <f t="shared" si="1"/>
        <v>35918.83022791359</v>
      </c>
      <c r="N61" s="40">
        <f t="shared" si="1"/>
        <v>19284.724241764812</v>
      </c>
      <c r="O61" s="40">
        <f t="shared" si="1"/>
        <v>113356.8118250941</v>
      </c>
      <c r="P61" s="40">
        <f t="shared" si="1"/>
        <v>104502.99308131584</v>
      </c>
      <c r="Q61" s="40">
        <f t="shared" si="1"/>
        <v>74974.57799214503</v>
      </c>
      <c r="R61" s="40">
        <f t="shared" si="1"/>
        <v>107453.6048631236</v>
      </c>
      <c r="S61" s="40">
        <f t="shared" si="1"/>
        <v>42291.508890598816</v>
      </c>
      <c r="T61" s="40">
        <f t="shared" ref="T61:T62" si="2">SUM(J61:S61)</f>
        <v>617191.59171960689</v>
      </c>
    </row>
    <row r="62" spans="2:20" x14ac:dyDescent="0.25">
      <c r="E62" s="40"/>
      <c r="F62" s="40"/>
      <c r="G62" s="40"/>
      <c r="H62" s="40"/>
      <c r="I62" t="s">
        <v>310</v>
      </c>
      <c r="J62" s="40">
        <f>J23+SUM(J7,J8,J15)</f>
        <v>25582.982858246763</v>
      </c>
      <c r="K62" s="40">
        <f t="shared" ref="K62:S62" si="3">K23+SUM(K7,K8,K15)</f>
        <v>73556.449030186865</v>
      </c>
      <c r="L62" s="40">
        <f t="shared" si="3"/>
        <v>117570.64184351382</v>
      </c>
      <c r="M62" s="40">
        <f t="shared" si="3"/>
        <v>87963.527031927966</v>
      </c>
      <c r="N62" s="40">
        <f t="shared" si="3"/>
        <v>51605.047746522258</v>
      </c>
      <c r="O62" s="40">
        <f t="shared" si="3"/>
        <v>35789.685671127248</v>
      </c>
      <c r="P62" s="40">
        <f t="shared" si="3"/>
        <v>60026.934099518199</v>
      </c>
      <c r="Q62" s="40">
        <f t="shared" si="3"/>
        <v>91312.116662810993</v>
      </c>
      <c r="R62" s="40">
        <f t="shared" si="3"/>
        <v>57801.613091869418</v>
      </c>
      <c r="S62" s="40">
        <f t="shared" si="3"/>
        <v>22270.862212798304</v>
      </c>
      <c r="T62" s="40">
        <f t="shared" si="2"/>
        <v>623479.86024852179</v>
      </c>
    </row>
    <row r="63" spans="2:20" x14ac:dyDescent="0.25">
      <c r="E63" s="40"/>
      <c r="F63" s="40"/>
      <c r="G63" s="40"/>
      <c r="H63" s="40"/>
      <c r="I63" t="s">
        <v>476</v>
      </c>
      <c r="J63" s="40">
        <f t="shared" ref="J63:S63" si="4">SUM(J60:J62)</f>
        <v>83770.376905584228</v>
      </c>
      <c r="K63" s="40">
        <f t="shared" si="4"/>
        <v>134617.21899585266</v>
      </c>
      <c r="L63" s="40">
        <f t="shared" si="4"/>
        <v>189705.77088906043</v>
      </c>
      <c r="M63" s="40">
        <f t="shared" si="4"/>
        <v>159029.64703160163</v>
      </c>
      <c r="N63" s="40">
        <f t="shared" si="4"/>
        <v>106194.9818501964</v>
      </c>
      <c r="O63" s="40">
        <f t="shared" si="4"/>
        <v>191905.75386378207</v>
      </c>
      <c r="P63" s="40">
        <f t="shared" si="4"/>
        <v>206072.10663191558</v>
      </c>
      <c r="Q63" s="40">
        <f t="shared" si="4"/>
        <v>196278.8779667404</v>
      </c>
      <c r="R63" s="40">
        <f t="shared" si="4"/>
        <v>185826.25612625256</v>
      </c>
      <c r="S63" s="40">
        <f t="shared" si="4"/>
        <v>93717.617361107288</v>
      </c>
      <c r="T63" s="40">
        <f>SUM(E63:S63)</f>
        <v>1547118.6076220933</v>
      </c>
    </row>
    <row r="65" spans="9:20" x14ac:dyDescent="0.25">
      <c r="I65" s="26" t="s">
        <v>477</v>
      </c>
    </row>
    <row r="66" spans="9:20" x14ac:dyDescent="0.25">
      <c r="I66" s="1" t="s">
        <v>176</v>
      </c>
      <c r="T66" s="18"/>
    </row>
    <row r="67" spans="9:20" x14ac:dyDescent="0.25">
      <c r="I67" t="s">
        <v>307</v>
      </c>
      <c r="J67" s="18">
        <f>'[10]potable water'!N195</f>
        <v>0.6990203414770767</v>
      </c>
      <c r="K67" s="18">
        <f>'[10]potable water'!O195</f>
        <v>0.92766681819239416</v>
      </c>
      <c r="L67" s="18">
        <f>'[10]potable water'!P195</f>
        <v>0.90351729317154506</v>
      </c>
      <c r="M67" s="18">
        <f>'[10]potable water'!Q195</f>
        <v>0.91084219530288157</v>
      </c>
      <c r="N67" s="18">
        <f>'[10]potable water'!R195</f>
        <v>0.91376953932568328</v>
      </c>
      <c r="O67" s="18">
        <f>'[10]potable water'!S195</f>
        <v>0.85288038468670357</v>
      </c>
      <c r="P67" s="18">
        <f>'[10]potable water'!T195</f>
        <v>1</v>
      </c>
      <c r="Q67" s="18">
        <f>'[10]potable water'!U195</f>
        <v>1</v>
      </c>
      <c r="R67" s="18">
        <f>'[10]potable water'!V195</f>
        <v>1</v>
      </c>
      <c r="S67" s="18">
        <f>'[10]potable water'!W195</f>
        <v>1</v>
      </c>
      <c r="T67" s="18"/>
    </row>
    <row r="68" spans="9:20" x14ac:dyDescent="0.25">
      <c r="I68" t="s">
        <v>229</v>
      </c>
      <c r="J68" s="18">
        <f>'[10]potable water'!N196</f>
        <v>9.583580945729633E-3</v>
      </c>
      <c r="K68" s="18">
        <f>'[10]potable water'!O196</f>
        <v>6.4647781643527052E-2</v>
      </c>
      <c r="L68" s="18">
        <f>'[10]potable water'!P196</f>
        <v>7.7062585639509726E-2</v>
      </c>
      <c r="M68" s="18">
        <f>'[10]potable water'!Q196</f>
        <v>0</v>
      </c>
      <c r="N68" s="18">
        <f>'[10]potable water'!R196</f>
        <v>0</v>
      </c>
      <c r="O68" s="18">
        <f>'[10]potable water'!S196</f>
        <v>0</v>
      </c>
      <c r="P68" s="18">
        <f>'[10]potable water'!T196</f>
        <v>0</v>
      </c>
      <c r="Q68" s="18">
        <f>'[10]potable water'!U196</f>
        <v>0</v>
      </c>
      <c r="R68" s="18">
        <f>'[10]potable water'!V196</f>
        <v>0</v>
      </c>
      <c r="S68" s="18">
        <f>'[10]potable water'!W196</f>
        <v>0</v>
      </c>
      <c r="T68" s="18"/>
    </row>
    <row r="69" spans="9:20" x14ac:dyDescent="0.25">
      <c r="I69" t="s">
        <v>228</v>
      </c>
      <c r="J69" s="18">
        <f>'[10]potable water'!N197</f>
        <v>6.0369668047251792E-3</v>
      </c>
      <c r="K69" s="18">
        <f>'[10]potable water'!O197</f>
        <v>7.6854001640789052E-3</v>
      </c>
      <c r="L69" s="18">
        <f>'[10]potable water'!P197</f>
        <v>0</v>
      </c>
      <c r="M69" s="18">
        <f>'[10]potable water'!Q197</f>
        <v>0</v>
      </c>
      <c r="N69" s="18">
        <f>'[10]potable water'!R197</f>
        <v>0</v>
      </c>
      <c r="O69" s="18">
        <f>'[10]potable water'!S197</f>
        <v>0</v>
      </c>
      <c r="P69" s="18">
        <f>'[10]potable water'!T197</f>
        <v>0</v>
      </c>
      <c r="Q69" s="18">
        <f>'[10]potable water'!U197</f>
        <v>0</v>
      </c>
      <c r="R69" s="18">
        <f>'[10]potable water'!V197</f>
        <v>0</v>
      </c>
      <c r="S69" s="18">
        <f>'[10]potable water'!W197</f>
        <v>0</v>
      </c>
      <c r="T69" s="18"/>
    </row>
    <row r="70" spans="9:20" x14ac:dyDescent="0.25">
      <c r="I70" t="s">
        <v>478</v>
      </c>
      <c r="J70" s="18">
        <f>'[10]potable water'!N198</f>
        <v>0.2853591107724685</v>
      </c>
      <c r="K70" s="18">
        <f>'[10]potable water'!O198</f>
        <v>0</v>
      </c>
      <c r="L70" s="18">
        <f>'[10]potable water'!P198</f>
        <v>1.9420121188945278E-2</v>
      </c>
      <c r="M70" s="18">
        <f>'[10]potable water'!Q198</f>
        <v>8.915780469711844E-2</v>
      </c>
      <c r="N70" s="18">
        <f>'[10]potable water'!R198</f>
        <v>8.6230460674316708E-2</v>
      </c>
      <c r="O70" s="18">
        <f>'[10]potable water'!S198</f>
        <v>0.14711961531329637</v>
      </c>
      <c r="P70" s="18">
        <f>'[10]potable water'!T198</f>
        <v>0</v>
      </c>
      <c r="Q70" s="18">
        <f>'[10]potable water'!U198</f>
        <v>0</v>
      </c>
      <c r="R70" s="18">
        <f>'[10]potable water'!V198</f>
        <v>0</v>
      </c>
      <c r="S70" s="18">
        <f>'[10]potable water'!W198</f>
        <v>0</v>
      </c>
      <c r="T70" s="18"/>
    </row>
    <row r="71" spans="9:20" x14ac:dyDescent="0.25">
      <c r="J71" s="18">
        <f>'[10]potable water'!N199</f>
        <v>1</v>
      </c>
      <c r="K71" s="18">
        <f>'[10]potable water'!O199</f>
        <v>1</v>
      </c>
      <c r="L71" s="18">
        <f>'[10]potable water'!P199</f>
        <v>1</v>
      </c>
      <c r="M71" s="18">
        <f>'[10]potable water'!Q199</f>
        <v>1</v>
      </c>
      <c r="N71" s="18">
        <f>'[10]potable water'!R199</f>
        <v>1</v>
      </c>
      <c r="O71" s="18">
        <f>'[10]potable water'!S199</f>
        <v>1</v>
      </c>
      <c r="P71" s="18">
        <f>'[10]potable water'!T199</f>
        <v>1</v>
      </c>
      <c r="Q71" s="18">
        <f>'[10]potable water'!U199</f>
        <v>1</v>
      </c>
      <c r="R71" s="18">
        <f>'[10]potable water'!V199</f>
        <v>1</v>
      </c>
      <c r="S71" s="18">
        <f>'[10]potable water'!W199</f>
        <v>1</v>
      </c>
    </row>
    <row r="72" spans="9:20" x14ac:dyDescent="0.25">
      <c r="I72" s="1" t="s">
        <v>479</v>
      </c>
    </row>
    <row r="73" spans="9:20" x14ac:dyDescent="0.25">
      <c r="I73" t="s">
        <v>307</v>
      </c>
      <c r="J73" s="50">
        <f>J$60*J67</f>
        <v>10227.398590329862</v>
      </c>
      <c r="K73" s="50">
        <f t="shared" ref="K73:S73" si="5">K$60*K67</f>
        <v>23482.01077237089</v>
      </c>
      <c r="L73" s="50">
        <f t="shared" si="5"/>
        <v>28940.316325152729</v>
      </c>
      <c r="M73" s="50">
        <f t="shared" si="5"/>
        <v>32013.634574656473</v>
      </c>
      <c r="N73" s="50">
        <f t="shared" si="5"/>
        <v>32260.825351313451</v>
      </c>
      <c r="O73" s="50">
        <f t="shared" si="5"/>
        <v>36468.531019682559</v>
      </c>
      <c r="P73" s="50">
        <f t="shared" si="5"/>
        <v>41542.179451081531</v>
      </c>
      <c r="Q73" s="50">
        <f t="shared" si="5"/>
        <v>29992.183311784374</v>
      </c>
      <c r="R73" s="50">
        <f t="shared" si="5"/>
        <v>20571.038171259523</v>
      </c>
      <c r="S73" s="50">
        <f t="shared" si="5"/>
        <v>29155.246257710183</v>
      </c>
    </row>
    <row r="74" spans="9:20" x14ac:dyDescent="0.25">
      <c r="I74" t="s">
        <v>229</v>
      </c>
      <c r="J74" s="50">
        <f t="shared" ref="J74:S77" si="6">J$60*J68</f>
        <v>140.21781118351279</v>
      </c>
      <c r="K74" s="50">
        <f t="shared" si="6"/>
        <v>1636.4279450257798</v>
      </c>
      <c r="L74" s="50">
        <f t="shared" si="6"/>
        <v>2468.3706909615807</v>
      </c>
      <c r="M74" s="50">
        <f t="shared" si="6"/>
        <v>0</v>
      </c>
      <c r="N74" s="50">
        <f t="shared" si="6"/>
        <v>0</v>
      </c>
      <c r="O74" s="50">
        <f t="shared" si="6"/>
        <v>0</v>
      </c>
      <c r="P74" s="50">
        <f t="shared" si="6"/>
        <v>0</v>
      </c>
      <c r="Q74" s="50">
        <f t="shared" si="6"/>
        <v>0</v>
      </c>
      <c r="R74" s="50">
        <f t="shared" si="6"/>
        <v>0</v>
      </c>
      <c r="S74" s="50">
        <f t="shared" si="6"/>
        <v>0</v>
      </c>
    </row>
    <row r="75" spans="9:20" x14ac:dyDescent="0.25">
      <c r="I75" t="s">
        <v>228</v>
      </c>
      <c r="J75" s="50">
        <f t="shared" si="6"/>
        <v>88.327137459331311</v>
      </c>
      <c r="K75" s="50">
        <f t="shared" si="6"/>
        <v>194.54037365973073</v>
      </c>
      <c r="L75" s="50">
        <f t="shared" si="6"/>
        <v>0</v>
      </c>
      <c r="M75" s="50">
        <f t="shared" si="6"/>
        <v>0</v>
      </c>
      <c r="N75" s="50">
        <f t="shared" si="6"/>
        <v>0</v>
      </c>
      <c r="O75" s="50">
        <f t="shared" si="6"/>
        <v>0</v>
      </c>
      <c r="P75" s="50">
        <f t="shared" si="6"/>
        <v>0</v>
      </c>
      <c r="Q75" s="50">
        <f t="shared" si="6"/>
        <v>0</v>
      </c>
      <c r="R75" s="50">
        <f t="shared" si="6"/>
        <v>0</v>
      </c>
      <c r="S75" s="50">
        <f t="shared" si="6"/>
        <v>0</v>
      </c>
    </row>
    <row r="76" spans="9:20" x14ac:dyDescent="0.25">
      <c r="I76" t="s">
        <v>478</v>
      </c>
      <c r="J76" s="50">
        <f t="shared" si="6"/>
        <v>4175.1022024411777</v>
      </c>
      <c r="K76" s="50">
        <f t="shared" si="6"/>
        <v>0</v>
      </c>
      <c r="L76" s="50">
        <f t="shared" si="6"/>
        <v>622.04061231417904</v>
      </c>
      <c r="M76" s="50">
        <f t="shared" si="6"/>
        <v>3133.6551971036142</v>
      </c>
      <c r="N76" s="50">
        <f t="shared" si="6"/>
        <v>3044.3845105958703</v>
      </c>
      <c r="O76" s="50">
        <f t="shared" si="6"/>
        <v>6290.7253478781495</v>
      </c>
      <c r="P76" s="50">
        <f t="shared" si="6"/>
        <v>0</v>
      </c>
      <c r="Q76" s="50">
        <f t="shared" si="6"/>
        <v>0</v>
      </c>
      <c r="R76" s="50">
        <f t="shared" si="6"/>
        <v>0</v>
      </c>
      <c r="S76" s="50">
        <f t="shared" si="6"/>
        <v>0</v>
      </c>
    </row>
    <row r="77" spans="9:20" x14ac:dyDescent="0.25">
      <c r="I77" t="s">
        <v>17</v>
      </c>
      <c r="J77" s="50">
        <f t="shared" si="6"/>
        <v>14631.045741413884</v>
      </c>
      <c r="K77" s="50">
        <f t="shared" si="6"/>
        <v>25312.979091056397</v>
      </c>
      <c r="L77" s="50">
        <f t="shared" si="6"/>
        <v>32030.727628428489</v>
      </c>
      <c r="M77" s="50">
        <f t="shared" si="6"/>
        <v>35147.289771760086</v>
      </c>
      <c r="N77" s="50">
        <f t="shared" si="6"/>
        <v>35305.209861909323</v>
      </c>
      <c r="O77" s="50">
        <f t="shared" si="6"/>
        <v>42759.256367560709</v>
      </c>
      <c r="P77" s="50">
        <f t="shared" si="6"/>
        <v>41542.179451081531</v>
      </c>
      <c r="Q77" s="50">
        <f t="shared" si="6"/>
        <v>29992.183311784374</v>
      </c>
      <c r="R77" s="50">
        <f t="shared" si="6"/>
        <v>20571.038171259523</v>
      </c>
      <c r="S77" s="50">
        <f t="shared" si="6"/>
        <v>29155.246257710183</v>
      </c>
    </row>
    <row r="79" spans="9:20" x14ac:dyDescent="0.25">
      <c r="I79" s="1" t="s">
        <v>308</v>
      </c>
    </row>
    <row r="80" spans="9:20" x14ac:dyDescent="0.25">
      <c r="I80" t="s">
        <v>307</v>
      </c>
      <c r="J80" s="54">
        <f>'[11]Capex Profile'!N149</f>
        <v>0.72244198020167716</v>
      </c>
      <c r="K80" s="54">
        <f>'[11]Capex Profile'!O149</f>
        <v>0.68119439806753312</v>
      </c>
      <c r="L80" s="54">
        <f>'[11]Capex Profile'!P149</f>
        <v>0.99117701925189483</v>
      </c>
      <c r="M80" s="54">
        <f>'[11]Capex Profile'!Q149</f>
        <v>0.94937095816102635</v>
      </c>
      <c r="N80" s="54">
        <f>'[11]Capex Profile'!R149</f>
        <v>0.96727104544265663</v>
      </c>
      <c r="O80" s="54">
        <f>'[11]Capex Profile'!S149</f>
        <v>0.99088217839027448</v>
      </c>
      <c r="P80" s="54">
        <f>'[11]Capex Profile'!T149</f>
        <v>1</v>
      </c>
      <c r="Q80" s="54">
        <f>'[11]Capex Profile'!U149</f>
        <v>1</v>
      </c>
      <c r="R80" s="54">
        <f>'[11]Capex Profile'!V149</f>
        <v>1</v>
      </c>
      <c r="S80" s="54">
        <f>'[11]Capex Profile'!W149</f>
        <v>1</v>
      </c>
    </row>
    <row r="81" spans="9:19" x14ac:dyDescent="0.25">
      <c r="I81" t="s">
        <v>229</v>
      </c>
      <c r="J81" s="54">
        <f>'[11]Capex Profile'!N150</f>
        <v>7.3331244333618789E-2</v>
      </c>
      <c r="K81" s="54">
        <f>'[11]Capex Profile'!O150</f>
        <v>6.1847825813567445E-2</v>
      </c>
      <c r="L81" s="54">
        <f>'[11]Capex Profile'!P150</f>
        <v>8.8229807481051432E-3</v>
      </c>
      <c r="M81" s="54">
        <f>'[11]Capex Profile'!Q150</f>
        <v>2.4252984378948732E-2</v>
      </c>
      <c r="N81" s="54">
        <f>'[11]Capex Profile'!R150</f>
        <v>4.3915630712099982E-3</v>
      </c>
      <c r="O81" s="54">
        <f>'[11]Capex Profile'!S150</f>
        <v>0</v>
      </c>
      <c r="P81" s="54">
        <f>'[11]Capex Profile'!T150</f>
        <v>0</v>
      </c>
      <c r="Q81" s="54">
        <f>'[11]Capex Profile'!U150</f>
        <v>0</v>
      </c>
      <c r="R81" s="54">
        <f>'[11]Capex Profile'!V150</f>
        <v>0</v>
      </c>
      <c r="S81" s="54">
        <f>'[11]Capex Profile'!W150</f>
        <v>0</v>
      </c>
    </row>
    <row r="82" spans="9:19" x14ac:dyDescent="0.25">
      <c r="I82" t="s">
        <v>228</v>
      </c>
      <c r="J82" s="54">
        <f>'[11]Capex Profile'!N151</f>
        <v>4.9274222489145265E-2</v>
      </c>
      <c r="K82" s="54">
        <f>'[11]Capex Profile'!O151</f>
        <v>6.1190739849063369E-2</v>
      </c>
      <c r="L82" s="54">
        <f>'[11]Capex Profile'!P151</f>
        <v>0</v>
      </c>
      <c r="M82" s="54">
        <f>'[11]Capex Profile'!Q151</f>
        <v>0</v>
      </c>
      <c r="N82" s="54">
        <f>'[11]Capex Profile'!R151</f>
        <v>1.8109907170475458E-2</v>
      </c>
      <c r="O82" s="54">
        <f>'[11]Capex Profile'!S151</f>
        <v>9.1178216097255928E-3</v>
      </c>
      <c r="P82" s="54">
        <f>'[11]Capex Profile'!T151</f>
        <v>0</v>
      </c>
      <c r="Q82" s="54">
        <f>'[11]Capex Profile'!U151</f>
        <v>0</v>
      </c>
      <c r="R82" s="54">
        <f>'[11]Capex Profile'!V151</f>
        <v>0</v>
      </c>
      <c r="S82" s="54">
        <f>'[11]Capex Profile'!W151</f>
        <v>0</v>
      </c>
    </row>
    <row r="83" spans="9:19" x14ac:dyDescent="0.25">
      <c r="I83" t="s">
        <v>478</v>
      </c>
      <c r="J83" s="54">
        <f>'[11]Capex Profile'!N152</f>
        <v>0.15495255297555888</v>
      </c>
      <c r="K83" s="54">
        <f>'[11]Capex Profile'!O152</f>
        <v>0.19576703626983627</v>
      </c>
      <c r="L83" s="54">
        <f>'[11]Capex Profile'!P152</f>
        <v>0</v>
      </c>
      <c r="M83" s="54">
        <f>'[11]Capex Profile'!Q152</f>
        <v>2.637605746002495E-2</v>
      </c>
      <c r="N83" s="54">
        <f>'[11]Capex Profile'!R152</f>
        <v>1.0227484315657964E-2</v>
      </c>
      <c r="O83" s="54">
        <f>'[11]Capex Profile'!S152</f>
        <v>0</v>
      </c>
      <c r="P83" s="54">
        <f>'[11]Capex Profile'!T152</f>
        <v>0</v>
      </c>
      <c r="Q83" s="54">
        <f>'[11]Capex Profile'!U152</f>
        <v>0</v>
      </c>
      <c r="R83" s="54">
        <f>'[11]Capex Profile'!V152</f>
        <v>0</v>
      </c>
      <c r="S83" s="54">
        <f>'[11]Capex Profile'!W152</f>
        <v>0</v>
      </c>
    </row>
    <row r="85" spans="9:19" x14ac:dyDescent="0.25">
      <c r="I85" s="1" t="s">
        <v>480</v>
      </c>
    </row>
    <row r="86" spans="9:19" x14ac:dyDescent="0.25">
      <c r="I86" t="s">
        <v>307</v>
      </c>
      <c r="J86" s="50">
        <f>J80*J$61</f>
        <v>31466.934520485403</v>
      </c>
      <c r="K86" s="50">
        <f t="shared" ref="K86:S86" si="7">K80*K$61</f>
        <v>24351.194887073605</v>
      </c>
      <c r="L86" s="50">
        <f t="shared" si="7"/>
        <v>39750.561055500606</v>
      </c>
      <c r="M86" s="50">
        <f t="shared" si="7"/>
        <v>34100.294269497565</v>
      </c>
      <c r="N86" s="50">
        <f t="shared" si="7"/>
        <v>18653.555378405195</v>
      </c>
      <c r="O86" s="50">
        <f t="shared" si="7"/>
        <v>112323.24463662568</v>
      </c>
      <c r="P86" s="50">
        <f t="shared" si="7"/>
        <v>104502.99308131584</v>
      </c>
      <c r="Q86" s="50">
        <f t="shared" si="7"/>
        <v>74974.57799214503</v>
      </c>
      <c r="R86" s="50">
        <f t="shared" si="7"/>
        <v>107453.6048631236</v>
      </c>
      <c r="S86" s="50">
        <f t="shared" si="7"/>
        <v>42291.508890598816</v>
      </c>
    </row>
    <row r="87" spans="9:19" x14ac:dyDescent="0.25">
      <c r="I87" t="s">
        <v>229</v>
      </c>
      <c r="J87" s="50">
        <f t="shared" ref="J87:S89" si="8">J81*J$61</f>
        <v>3194.0412199018856</v>
      </c>
      <c r="K87" s="50">
        <f t="shared" si="8"/>
        <v>2210.9231432326783</v>
      </c>
      <c r="L87" s="50">
        <f t="shared" si="8"/>
        <v>353.84036161751379</v>
      </c>
      <c r="M87" s="50">
        <f t="shared" si="8"/>
        <v>871.13882842769976</v>
      </c>
      <c r="N87" s="50">
        <f t="shared" si="8"/>
        <v>84.690082818602576</v>
      </c>
      <c r="O87" s="50">
        <f t="shared" si="8"/>
        <v>0</v>
      </c>
      <c r="P87" s="50">
        <f t="shared" si="8"/>
        <v>0</v>
      </c>
      <c r="Q87" s="50">
        <f t="shared" si="8"/>
        <v>0</v>
      </c>
      <c r="R87" s="50">
        <f t="shared" si="8"/>
        <v>0</v>
      </c>
      <c r="S87" s="50">
        <f t="shared" si="8"/>
        <v>0</v>
      </c>
    </row>
    <row r="88" spans="9:19" x14ac:dyDescent="0.25">
      <c r="I88" t="s">
        <v>228</v>
      </c>
      <c r="J88" s="50">
        <f t="shared" si="8"/>
        <v>2146.2051972407844</v>
      </c>
      <c r="K88" s="50">
        <f t="shared" si="8"/>
        <v>2187.4337715869456</v>
      </c>
      <c r="L88" s="50">
        <f t="shared" si="8"/>
        <v>0</v>
      </c>
      <c r="M88" s="50">
        <f t="shared" si="8"/>
        <v>0</v>
      </c>
      <c r="N88" s="50">
        <f t="shared" si="8"/>
        <v>349.24456582657848</v>
      </c>
      <c r="O88" s="50">
        <f t="shared" si="8"/>
        <v>1033.5671884684407</v>
      </c>
      <c r="P88" s="50">
        <f t="shared" si="8"/>
        <v>0</v>
      </c>
      <c r="Q88" s="50">
        <f t="shared" si="8"/>
        <v>0</v>
      </c>
      <c r="R88" s="50">
        <f t="shared" si="8"/>
        <v>0</v>
      </c>
      <c r="S88" s="50">
        <f t="shared" si="8"/>
        <v>0</v>
      </c>
    </row>
    <row r="89" spans="9:19" x14ac:dyDescent="0.25">
      <c r="I89" t="s">
        <v>478</v>
      </c>
      <c r="J89" s="50">
        <f t="shared" si="8"/>
        <v>6749.1673682955188</v>
      </c>
      <c r="K89" s="50">
        <f t="shared" si="8"/>
        <v>6998.239072716181</v>
      </c>
      <c r="L89" s="50">
        <f t="shared" si="8"/>
        <v>0</v>
      </c>
      <c r="M89" s="50">
        <f t="shared" si="8"/>
        <v>947.39712998832988</v>
      </c>
      <c r="N89" s="50">
        <f t="shared" si="8"/>
        <v>197.23421471443854</v>
      </c>
      <c r="O89" s="50">
        <f t="shared" si="8"/>
        <v>0</v>
      </c>
      <c r="P89" s="50">
        <f t="shared" si="8"/>
        <v>0</v>
      </c>
      <c r="Q89" s="50">
        <f t="shared" si="8"/>
        <v>0</v>
      </c>
      <c r="R89" s="50">
        <f t="shared" si="8"/>
        <v>0</v>
      </c>
      <c r="S89" s="50">
        <f t="shared" si="8"/>
        <v>0</v>
      </c>
    </row>
    <row r="90" spans="9:19" x14ac:dyDescent="0.25">
      <c r="I90" t="s">
        <v>17</v>
      </c>
      <c r="J90" s="50">
        <f>SUM(J86:J89)</f>
        <v>43556.348305923588</v>
      </c>
      <c r="K90" s="50">
        <f t="shared" ref="K90:S90" si="9">SUM(K86:K89)</f>
        <v>35747.790874609411</v>
      </c>
      <c r="L90" s="50">
        <f t="shared" si="9"/>
        <v>40104.401417118119</v>
      </c>
      <c r="M90" s="50">
        <f t="shared" si="9"/>
        <v>35918.83022791359</v>
      </c>
      <c r="N90" s="50">
        <f t="shared" si="9"/>
        <v>19284.724241764812</v>
      </c>
      <c r="O90" s="50">
        <f t="shared" si="9"/>
        <v>113356.81182509412</v>
      </c>
      <c r="P90" s="50">
        <f t="shared" si="9"/>
        <v>104502.99308131584</v>
      </c>
      <c r="Q90" s="50">
        <f t="shared" si="9"/>
        <v>74974.57799214503</v>
      </c>
      <c r="R90" s="50">
        <f t="shared" si="9"/>
        <v>107453.6048631236</v>
      </c>
      <c r="S90" s="50">
        <f t="shared" si="9"/>
        <v>42291.508890598816</v>
      </c>
    </row>
    <row r="92" spans="9:19" x14ac:dyDescent="0.25">
      <c r="I92" s="1" t="s">
        <v>310</v>
      </c>
    </row>
    <row r="93" spans="9:19" x14ac:dyDescent="0.25">
      <c r="I93" t="s">
        <v>307</v>
      </c>
      <c r="J93" s="70">
        <f>'[10]recycled water'!N164</f>
        <v>0.99087217652279147</v>
      </c>
      <c r="K93" s="70">
        <f>'[10]recycled water'!O164</f>
        <v>0.98028944232509529</v>
      </c>
      <c r="L93" s="70">
        <f>'[10]recycled water'!P164</f>
        <v>0.98513744328874764</v>
      </c>
      <c r="M93" s="70">
        <f>'[10]recycled water'!Q164</f>
        <v>1</v>
      </c>
      <c r="N93" s="70">
        <f>'[10]recycled water'!R164</f>
        <v>0.96516663838285588</v>
      </c>
      <c r="O93" s="70">
        <f>'[10]recycled water'!S164</f>
        <v>0.96645319120564954</v>
      </c>
      <c r="P93" s="70">
        <f>'[10]recycled water'!T164</f>
        <v>1</v>
      </c>
      <c r="Q93" s="70">
        <f>'[10]recycled water'!U164</f>
        <v>1</v>
      </c>
      <c r="R93" s="70">
        <f>'[10]recycled water'!V164</f>
        <v>1</v>
      </c>
      <c r="S93" s="70">
        <f>'[10]recycled water'!W164</f>
        <v>1</v>
      </c>
    </row>
    <row r="94" spans="9:19" x14ac:dyDescent="0.25">
      <c r="I94" t="s">
        <v>229</v>
      </c>
      <c r="J94" s="70">
        <f>'[10]recycled water'!N165</f>
        <v>3.3628823337083966E-3</v>
      </c>
      <c r="K94" s="70">
        <f>'[10]recycled water'!O165</f>
        <v>1.5425196206029328E-2</v>
      </c>
      <c r="L94" s="70">
        <f>'[10]recycled water'!P165</f>
        <v>8.8906656726087264E-3</v>
      </c>
      <c r="M94" s="70">
        <f>'[10]recycled water'!Q165</f>
        <v>0</v>
      </c>
      <c r="N94" s="70">
        <f>'[10]recycled water'!R165</f>
        <v>0</v>
      </c>
      <c r="O94" s="70">
        <f>'[10]recycled water'!S165</f>
        <v>0</v>
      </c>
      <c r="P94" s="70">
        <f>'[10]recycled water'!T165</f>
        <v>0</v>
      </c>
      <c r="Q94" s="70">
        <f>'[10]recycled water'!U165</f>
        <v>0</v>
      </c>
      <c r="R94" s="70">
        <f>'[10]recycled water'!V165</f>
        <v>0</v>
      </c>
      <c r="S94" s="70">
        <f>'[10]recycled water'!W165</f>
        <v>0</v>
      </c>
    </row>
    <row r="95" spans="9:19" x14ac:dyDescent="0.25">
      <c r="I95" t="s">
        <v>228</v>
      </c>
      <c r="J95" s="70">
        <f>'[10]recycled water'!N166</f>
        <v>5.7649411435001068E-3</v>
      </c>
      <c r="K95" s="70">
        <f>'[10]recycled water'!O166</f>
        <v>4.285361468875276E-3</v>
      </c>
      <c r="L95" s="70">
        <f>'[10]recycled water'!P166</f>
        <v>0</v>
      </c>
      <c r="M95" s="70">
        <f>'[10]recycled water'!Q166</f>
        <v>0</v>
      </c>
      <c r="N95" s="70">
        <f>'[10]recycled water'!R166</f>
        <v>0</v>
      </c>
      <c r="O95" s="70">
        <f>'[10]recycled water'!S166</f>
        <v>0</v>
      </c>
      <c r="P95" s="70">
        <f>'[10]recycled water'!T166</f>
        <v>0</v>
      </c>
      <c r="Q95" s="70">
        <f>'[10]recycled water'!U166</f>
        <v>0</v>
      </c>
      <c r="R95" s="70">
        <f>'[10]recycled water'!V166</f>
        <v>0</v>
      </c>
      <c r="S95" s="70">
        <f>'[10]recycled water'!W166</f>
        <v>0</v>
      </c>
    </row>
    <row r="96" spans="9:19" x14ac:dyDescent="0.25">
      <c r="I96" t="s">
        <v>478</v>
      </c>
      <c r="J96" s="70">
        <f>'[10]recycled water'!N167</f>
        <v>0</v>
      </c>
      <c r="K96" s="70">
        <f>'[10]recycled water'!O167</f>
        <v>0</v>
      </c>
      <c r="L96" s="70">
        <f>'[10]recycled water'!P167</f>
        <v>5.9718910386436092E-3</v>
      </c>
      <c r="M96" s="70">
        <f>'[10]recycled water'!Q167</f>
        <v>0</v>
      </c>
      <c r="N96" s="70">
        <f>'[10]recycled water'!R167</f>
        <v>3.48333616171441E-2</v>
      </c>
      <c r="O96" s="70">
        <f>'[10]recycled water'!S167</f>
        <v>3.354680879435043E-2</v>
      </c>
      <c r="P96" s="70">
        <f>'[10]recycled water'!T167</f>
        <v>0</v>
      </c>
      <c r="Q96" s="70">
        <f>'[10]recycled water'!U167</f>
        <v>0</v>
      </c>
      <c r="R96" s="70">
        <f>'[10]recycled water'!V167</f>
        <v>0</v>
      </c>
      <c r="S96" s="70">
        <f>'[10]recycled water'!W167</f>
        <v>0</v>
      </c>
    </row>
    <row r="98" spans="9:19" x14ac:dyDescent="0.25">
      <c r="I98" s="1" t="s">
        <v>481</v>
      </c>
    </row>
    <row r="99" spans="9:19" x14ac:dyDescent="0.25">
      <c r="I99" t="s">
        <v>307</v>
      </c>
      <c r="J99" s="50">
        <f>J93*J$62</f>
        <v>25349.465906696234</v>
      </c>
      <c r="K99" s="50">
        <f t="shared" ref="K99:S99" si="10">K93*K$62</f>
        <v>72106.610399216181</v>
      </c>
      <c r="L99" s="50">
        <f t="shared" si="10"/>
        <v>115823.24151153625</v>
      </c>
      <c r="M99" s="50">
        <f t="shared" si="10"/>
        <v>87963.527031927966</v>
      </c>
      <c r="N99" s="50">
        <f t="shared" si="10"/>
        <v>49807.470457097661</v>
      </c>
      <c r="O99" s="50">
        <f t="shared" si="10"/>
        <v>34589.055929108035</v>
      </c>
      <c r="P99" s="50">
        <f t="shared" si="10"/>
        <v>60026.934099518199</v>
      </c>
      <c r="Q99" s="50">
        <f t="shared" si="10"/>
        <v>91312.116662810993</v>
      </c>
      <c r="R99" s="50">
        <f t="shared" si="10"/>
        <v>57801.613091869418</v>
      </c>
      <c r="S99" s="50">
        <f t="shared" si="10"/>
        <v>22270.862212798304</v>
      </c>
    </row>
    <row r="100" spans="9:19" x14ac:dyDescent="0.25">
      <c r="I100" t="s">
        <v>229</v>
      </c>
      <c r="J100" s="50">
        <f t="shared" ref="J100:S102" si="11">J94*J$62</f>
        <v>86.032561097562777</v>
      </c>
      <c r="K100" s="50">
        <f t="shared" si="11"/>
        <v>1134.622658509428</v>
      </c>
      <c r="L100" s="50">
        <f t="shared" si="11"/>
        <v>1045.2812695447035</v>
      </c>
      <c r="M100" s="50">
        <f t="shared" si="11"/>
        <v>0</v>
      </c>
      <c r="N100" s="50">
        <f t="shared" si="11"/>
        <v>0</v>
      </c>
      <c r="O100" s="50">
        <f t="shared" si="11"/>
        <v>0</v>
      </c>
      <c r="P100" s="50">
        <f t="shared" si="11"/>
        <v>0</v>
      </c>
      <c r="Q100" s="50">
        <f t="shared" si="11"/>
        <v>0</v>
      </c>
      <c r="R100" s="50">
        <f t="shared" si="11"/>
        <v>0</v>
      </c>
      <c r="S100" s="50">
        <f t="shared" si="11"/>
        <v>0</v>
      </c>
    </row>
    <row r="101" spans="9:19" x14ac:dyDescent="0.25">
      <c r="I101" t="s">
        <v>228</v>
      </c>
      <c r="J101" s="50">
        <f t="shared" si="11"/>
        <v>147.48439045296473</v>
      </c>
      <c r="K101" s="50">
        <f t="shared" si="11"/>
        <v>315.21597246125094</v>
      </c>
      <c r="L101" s="50">
        <f t="shared" si="11"/>
        <v>0</v>
      </c>
      <c r="M101" s="50">
        <f t="shared" si="11"/>
        <v>0</v>
      </c>
      <c r="N101" s="50">
        <f t="shared" si="11"/>
        <v>0</v>
      </c>
      <c r="O101" s="50">
        <f t="shared" si="11"/>
        <v>0</v>
      </c>
      <c r="P101" s="50">
        <f t="shared" si="11"/>
        <v>0</v>
      </c>
      <c r="Q101" s="50">
        <f t="shared" si="11"/>
        <v>0</v>
      </c>
      <c r="R101" s="50">
        <f t="shared" si="11"/>
        <v>0</v>
      </c>
      <c r="S101" s="50">
        <f t="shared" si="11"/>
        <v>0</v>
      </c>
    </row>
    <row r="102" spans="9:19" x14ac:dyDescent="0.25">
      <c r="I102" t="s">
        <v>478</v>
      </c>
      <c r="J102" s="50">
        <f t="shared" si="11"/>
        <v>0</v>
      </c>
      <c r="K102" s="50">
        <f t="shared" si="11"/>
        <v>0</v>
      </c>
      <c r="L102" s="50">
        <f t="shared" si="11"/>
        <v>702.1190624328575</v>
      </c>
      <c r="M102" s="50">
        <f t="shared" si="11"/>
        <v>0</v>
      </c>
      <c r="N102" s="50">
        <f t="shared" si="11"/>
        <v>1797.577289424597</v>
      </c>
      <c r="O102" s="50">
        <f t="shared" si="11"/>
        <v>1200.6297420192091</v>
      </c>
      <c r="P102" s="50">
        <f t="shared" si="11"/>
        <v>0</v>
      </c>
      <c r="Q102" s="50">
        <f t="shared" si="11"/>
        <v>0</v>
      </c>
      <c r="R102" s="50">
        <f t="shared" si="11"/>
        <v>0</v>
      </c>
      <c r="S102" s="50">
        <f t="shared" si="11"/>
        <v>0</v>
      </c>
    </row>
    <row r="103" spans="9:19" x14ac:dyDescent="0.25">
      <c r="I103" t="s">
        <v>17</v>
      </c>
      <c r="J103" s="50">
        <f t="shared" ref="J103:S103" si="12">SUM(J99:J102)</f>
        <v>25582.982858246763</v>
      </c>
      <c r="K103" s="50">
        <f t="shared" si="12"/>
        <v>73556.449030186865</v>
      </c>
      <c r="L103" s="50">
        <f t="shared" si="12"/>
        <v>117570.64184351382</v>
      </c>
      <c r="M103" s="50">
        <f t="shared" si="12"/>
        <v>87963.527031927966</v>
      </c>
      <c r="N103" s="50">
        <f t="shared" si="12"/>
        <v>51605.047746522258</v>
      </c>
      <c r="O103" s="50">
        <f t="shared" si="12"/>
        <v>35789.685671127241</v>
      </c>
      <c r="P103" s="50">
        <f t="shared" si="12"/>
        <v>60026.934099518199</v>
      </c>
      <c r="Q103" s="50">
        <f t="shared" si="12"/>
        <v>91312.116662810993</v>
      </c>
      <c r="R103" s="50">
        <f t="shared" si="12"/>
        <v>57801.613091869418</v>
      </c>
      <c r="S103" s="50">
        <f t="shared" si="12"/>
        <v>22270.862212798304</v>
      </c>
    </row>
    <row r="105" spans="9:19" x14ac:dyDescent="0.25">
      <c r="I105" t="s">
        <v>225</v>
      </c>
      <c r="J105" s="50">
        <f>SUM(J103,J90,J77)-J63</f>
        <v>0</v>
      </c>
      <c r="K105" s="50">
        <f t="shared" ref="K105:S105" si="13">SUM(K103,K90,K77)-K63</f>
        <v>0</v>
      </c>
      <c r="L105" s="50">
        <f t="shared" si="13"/>
        <v>0</v>
      </c>
      <c r="M105" s="50">
        <f t="shared" si="13"/>
        <v>0</v>
      </c>
      <c r="N105" s="50">
        <f t="shared" si="13"/>
        <v>0</v>
      </c>
      <c r="O105" s="50">
        <f t="shared" si="13"/>
        <v>0</v>
      </c>
      <c r="P105" s="50">
        <f t="shared" si="13"/>
        <v>0</v>
      </c>
      <c r="Q105" s="50">
        <f t="shared" si="13"/>
        <v>0</v>
      </c>
      <c r="R105" s="50">
        <f t="shared" si="13"/>
        <v>0</v>
      </c>
      <c r="S105" s="50">
        <f t="shared" si="13"/>
        <v>0</v>
      </c>
    </row>
  </sheetData>
  <conditionalFormatting sqref="B19">
    <cfRule type="containsText" dxfId="33" priority="34" operator="containsText" text="[Capex Item - Significant Project / Capital Program / Other Capex]">
      <formula>NOT(ISERROR(SEARCH("[Capex Item - Significant Project / Capital Program / Other Capex]",B19)))</formula>
    </cfRule>
  </conditionalFormatting>
  <conditionalFormatting sqref="B25">
    <cfRule type="containsText" dxfId="32" priority="33" operator="containsText" text="[Capex Item - Significant Project / Capital Program / Other Capex]">
      <formula>NOT(ISERROR(SEARCH("[Capex Item - Significant Project / Capital Program / Other Capex]",B25)))</formula>
    </cfRule>
  </conditionalFormatting>
  <conditionalFormatting sqref="B28">
    <cfRule type="containsText" dxfId="31" priority="32" operator="containsText" text="[Capex Item - Significant Project / Capital Program / Other Capex]">
      <formula>NOT(ISERROR(SEARCH("[Capex Item - Significant Project / Capital Program / Other Capex]",B28)))</formula>
    </cfRule>
  </conditionalFormatting>
  <conditionalFormatting sqref="B24">
    <cfRule type="containsText" dxfId="30" priority="31" operator="containsText" text="[Capex Item - Significant Project / Capital Program / Other Capex]">
      <formula>NOT(ISERROR(SEARCH("[Capex Item - Significant Project / Capital Program / Other Capex]",B24)))</formula>
    </cfRule>
  </conditionalFormatting>
  <conditionalFormatting sqref="B20">
    <cfRule type="containsText" dxfId="29" priority="30" operator="containsText" text="[Capex Item - Significant Project / Capital Program / Other Capex]">
      <formula>NOT(ISERROR(SEARCH("[Capex Item - Significant Project / Capital Program / Other Capex]",B20)))</formula>
    </cfRule>
  </conditionalFormatting>
  <conditionalFormatting sqref="B22">
    <cfRule type="containsText" dxfId="28" priority="29" operator="containsText" text="[Capex Item - Significant Project / Capital Program / Other Capex]">
      <formula>NOT(ISERROR(SEARCH("[Capex Item - Significant Project / Capital Program / Other Capex]",B22)))</formula>
    </cfRule>
  </conditionalFormatting>
  <conditionalFormatting sqref="B21:B22">
    <cfRule type="containsText" dxfId="27" priority="28" operator="containsText" text="[Capex Item - Significant Project / Capital Program / Other Capex]">
      <formula>NOT(ISERROR(SEARCH("[Capex Item - Significant Project / Capital Program / Other Capex]",B21)))</formula>
    </cfRule>
  </conditionalFormatting>
  <conditionalFormatting sqref="B23">
    <cfRule type="containsText" dxfId="26" priority="27" operator="containsText" text="[Capex Item - Significant Project / Capital Program / Other Capex]">
      <formula>NOT(ISERROR(SEARCH("[Capex Item - Significant Project / Capital Program / Other Capex]",B23)))</formula>
    </cfRule>
  </conditionalFormatting>
  <conditionalFormatting sqref="B26">
    <cfRule type="containsText" dxfId="25" priority="26" operator="containsText" text="[Capex Item - Significant Project / Capital Program / Other Capex]">
      <formula>NOT(ISERROR(SEARCH("[Capex Item - Significant Project / Capital Program / Other Capex]",B26)))</formula>
    </cfRule>
  </conditionalFormatting>
  <conditionalFormatting sqref="B27">
    <cfRule type="containsText" dxfId="24" priority="25" operator="containsText" text="[Capex Item - Significant Project / Capital Program / Other Capex]">
      <formula>NOT(ISERROR(SEARCH("[Capex Item - Significant Project / Capital Program / Other Capex]",B27)))</formula>
    </cfRule>
  </conditionalFormatting>
  <conditionalFormatting sqref="B27">
    <cfRule type="containsText" dxfId="23" priority="24" operator="containsText" text="[Capex Item - Significant Project / Capital Program / Other Capex]">
      <formula>NOT(ISERROR(SEARCH("[Capex Item - Significant Project / Capital Program / Other Capex]",B27)))</formula>
    </cfRule>
  </conditionalFormatting>
  <conditionalFormatting sqref="B29">
    <cfRule type="containsText" dxfId="22" priority="23" operator="containsText" text="[Capex Item - Significant Project / Capital Program / Other Capex]">
      <formula>NOT(ISERROR(SEARCH("[Capex Item - Significant Project / Capital Program / Other Capex]",B29)))</formula>
    </cfRule>
  </conditionalFormatting>
  <conditionalFormatting sqref="B29">
    <cfRule type="containsText" dxfId="21" priority="22" operator="containsText" text="[Capex Item - Significant Project / Capital Program / Other Capex]">
      <formula>NOT(ISERROR(SEARCH("[Capex Item - Significant Project / Capital Program / Other Capex]",B29)))</formula>
    </cfRule>
  </conditionalFormatting>
  <conditionalFormatting sqref="B32">
    <cfRule type="containsText" dxfId="20" priority="21" operator="containsText" text="[Capex Item - Significant Project / Capital Program / Other Capex]">
      <formula>NOT(ISERROR(SEARCH("[Capex Item - Significant Project / Capital Program / Other Capex]",B32)))</formula>
    </cfRule>
  </conditionalFormatting>
  <conditionalFormatting sqref="B33">
    <cfRule type="containsText" dxfId="19" priority="20" operator="containsText" text="[Capex Item - Significant Project / Capital Program / Other Capex]">
      <formula>NOT(ISERROR(SEARCH("[Capex Item - Significant Project / Capital Program / Other Capex]",B33)))</formula>
    </cfRule>
  </conditionalFormatting>
  <conditionalFormatting sqref="B34">
    <cfRule type="containsText" dxfId="18" priority="19" operator="containsText" text="[Capex Item - Significant Project / Capital Program / Other Capex]">
      <formula>NOT(ISERROR(SEARCH("[Capex Item - Significant Project / Capital Program / Other Capex]",B34)))</formula>
    </cfRule>
  </conditionalFormatting>
  <conditionalFormatting sqref="B35">
    <cfRule type="containsText" dxfId="17" priority="18" operator="containsText" text="[Capex Item - Significant Project / Capital Program / Other Capex]">
      <formula>NOT(ISERROR(SEARCH("[Capex Item - Significant Project / Capital Program / Other Capex]",B35)))</formula>
    </cfRule>
  </conditionalFormatting>
  <conditionalFormatting sqref="B36">
    <cfRule type="containsText" dxfId="16" priority="17" operator="containsText" text="[Capex Item - Significant Project / Capital Program / Other Capex]">
      <formula>NOT(ISERROR(SEARCH("[Capex Item - Significant Project / Capital Program / Other Capex]",B36)))</formula>
    </cfRule>
  </conditionalFormatting>
  <conditionalFormatting sqref="B37">
    <cfRule type="containsText" dxfId="15" priority="16" operator="containsText" text="[Capex Item - Significant Project / Capital Program / Other Capex]">
      <formula>NOT(ISERROR(SEARCH("[Capex Item - Significant Project / Capital Program / Other Capex]",B37)))</formula>
    </cfRule>
  </conditionalFormatting>
  <conditionalFormatting sqref="B38">
    <cfRule type="containsText" dxfId="14" priority="15" operator="containsText" text="[Capex Item - Significant Project / Capital Program / Other Capex]">
      <formula>NOT(ISERROR(SEARCH("[Capex Item - Significant Project / Capital Program / Other Capex]",B38)))</formula>
    </cfRule>
  </conditionalFormatting>
  <conditionalFormatting sqref="B39">
    <cfRule type="containsText" dxfId="13" priority="14" operator="containsText" text="[Capex Item - Significant Project / Capital Program / Other Capex]">
      <formula>NOT(ISERROR(SEARCH("[Capex Item - Significant Project / Capital Program / Other Capex]",B39)))</formula>
    </cfRule>
  </conditionalFormatting>
  <conditionalFormatting sqref="B40">
    <cfRule type="containsText" dxfId="12" priority="13" operator="containsText" text="[Capex Item - Significant Project / Capital Program / Other Capex]">
      <formula>NOT(ISERROR(SEARCH("[Capex Item - Significant Project / Capital Program / Other Capex]",B40)))</formula>
    </cfRule>
  </conditionalFormatting>
  <conditionalFormatting sqref="B45">
    <cfRule type="containsText" dxfId="11" priority="12" operator="containsText" text="[Capex Item - Significant Project / Capital Program / Other Capex]">
      <formula>NOT(ISERROR(SEARCH("[Capex Item - Significant Project / Capital Program / Other Capex]",B45)))</formula>
    </cfRule>
  </conditionalFormatting>
  <conditionalFormatting sqref="B45">
    <cfRule type="containsText" dxfId="10" priority="11" operator="containsText" text="[Capex Item - Significant Project / Capital Program / Other Capex]">
      <formula>NOT(ISERROR(SEARCH("[Capex Item - Significant Project / Capital Program / Other Capex]",B45)))</formula>
    </cfRule>
  </conditionalFormatting>
  <conditionalFormatting sqref="B47">
    <cfRule type="containsText" dxfId="9" priority="10" operator="containsText" text="[Capex Item - Significant Project / Capital Program / Other Capex]">
      <formula>NOT(ISERROR(SEARCH("[Capex Item - Significant Project / Capital Program / Other Capex]",B47)))</formula>
    </cfRule>
  </conditionalFormatting>
  <conditionalFormatting sqref="B47">
    <cfRule type="containsText" dxfId="8" priority="9" operator="containsText" text="[Capex Item - Significant Project / Capital Program / Other Capex]">
      <formula>NOT(ISERROR(SEARCH("[Capex Item - Significant Project / Capital Program / Other Capex]",B47)))</formula>
    </cfRule>
  </conditionalFormatting>
  <conditionalFormatting sqref="B55">
    <cfRule type="containsText" dxfId="7" priority="8" operator="containsText" text="[Capex Item - Significant Project / Capital Program / Other Capex]">
      <formula>NOT(ISERROR(SEARCH("[Capex Item - Significant Project / Capital Program / Other Capex]",B55)))</formula>
    </cfRule>
  </conditionalFormatting>
  <conditionalFormatting sqref="B56:B57">
    <cfRule type="containsText" dxfId="6" priority="7" operator="containsText" text="[Capex Item - Significant Project / Capital Program / Other Capex]">
      <formula>NOT(ISERROR(SEARCH("[Capex Item - Significant Project / Capital Program / Other Capex]",B56)))</formula>
    </cfRule>
  </conditionalFormatting>
  <conditionalFormatting sqref="B46">
    <cfRule type="containsText" dxfId="5" priority="6" operator="containsText" text="[Capex Item - Significant Project / Capital Program / Other Capex]">
      <formula>NOT(ISERROR(SEARCH("[Capex Item - Significant Project / Capital Program / Other Capex]",B46)))</formula>
    </cfRule>
  </conditionalFormatting>
  <conditionalFormatting sqref="B49:B50">
    <cfRule type="containsText" dxfId="4" priority="5" operator="containsText" text="[Capex Item - Significant Project / Capital Program / Other Capex]">
      <formula>NOT(ISERROR(SEARCH("[Capex Item - Significant Project / Capital Program / Other Capex]",B49)))</formula>
    </cfRule>
  </conditionalFormatting>
  <conditionalFormatting sqref="B49:B50">
    <cfRule type="containsText" dxfId="3" priority="4" operator="containsText" text="[Capex Item - Significant Project / Capital Program / Other Capex]">
      <formula>NOT(ISERROR(SEARCH("[Capex Item - Significant Project / Capital Program / Other Capex]",B49)))</formula>
    </cfRule>
  </conditionalFormatting>
  <conditionalFormatting sqref="B48">
    <cfRule type="containsText" dxfId="2" priority="3" operator="containsText" text="[Capex Item - Significant Project / Capital Program / Other Capex]">
      <formula>NOT(ISERROR(SEARCH("[Capex Item - Significant Project / Capital Program / Other Capex]",B48)))</formula>
    </cfRule>
  </conditionalFormatting>
  <conditionalFormatting sqref="B48">
    <cfRule type="containsText" dxfId="1" priority="2" operator="containsText" text="[Capex Item - Significant Project / Capital Program / Other Capex]">
      <formula>NOT(ISERROR(SEARCH("[Capex Item - Significant Project / Capital Program / Other Capex]",B48)))</formula>
    </cfRule>
  </conditionalFormatting>
  <conditionalFormatting sqref="B13">
    <cfRule type="containsText" dxfId="0" priority="1" operator="containsText" text="[Capex Item - Significant Project / Capital Program / Other Capex]">
      <formula>NOT(ISERROR(SEARCH("[Capex Item - Significant Project / Capital Program / Other Capex]",B13)))</formula>
    </cfRule>
  </conditionalFormatting>
  <hyperlinks>
    <hyperlink ref="C57" location="'YVW Delivered Temp Assets'!A1" display="Developer Funded YVW Delivered Temporary Assets" xr:uid="{50761297-B196-469C-B95F-B5E6D69EE3D0}"/>
  </hyperlink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132F5E-72A3-41DA-8E7B-02D6936CF259}">
  <dimension ref="A1:AH64"/>
  <sheetViews>
    <sheetView workbookViewId="0">
      <selection activeCell="R22" sqref="R22"/>
    </sheetView>
  </sheetViews>
  <sheetFormatPr defaultRowHeight="15.75" x14ac:dyDescent="0.25"/>
  <cols>
    <col min="2" max="2" width="35.125" bestFit="1" customWidth="1"/>
    <col min="3" max="3" width="15.75" bestFit="1" customWidth="1"/>
    <col min="4" max="6" width="13.75" bestFit="1" customWidth="1"/>
    <col min="7" max="7" width="13.25" customWidth="1"/>
    <col min="8" max="8" width="14.75" bestFit="1" customWidth="1"/>
    <col min="9" max="27" width="13" customWidth="1"/>
  </cols>
  <sheetData>
    <row r="1" spans="1:27" ht="16.5" thickBot="1" x14ac:dyDescent="0.3">
      <c r="B1" s="228" t="str">
        <f>'[12]Summary_17th Nov'!A1</f>
        <v>Service-Purpose</v>
      </c>
      <c r="C1" s="353" t="s">
        <v>364</v>
      </c>
      <c r="D1" s="354"/>
      <c r="E1" s="354"/>
      <c r="F1" s="354"/>
      <c r="G1" s="354"/>
      <c r="H1" s="354"/>
      <c r="I1" s="355"/>
      <c r="J1" s="356"/>
      <c r="K1" s="357"/>
      <c r="L1" s="357"/>
      <c r="M1" s="357"/>
      <c r="N1" s="358"/>
      <c r="O1" s="229"/>
      <c r="P1" s="229"/>
      <c r="Q1" s="229"/>
    </row>
    <row r="2" spans="1:27" ht="16.5" thickBot="1" x14ac:dyDescent="0.3">
      <c r="B2" s="230"/>
      <c r="C2" s="359" t="str">
        <f>'[12]Summary_17th Nov'!B2</f>
        <v>PD4</v>
      </c>
      <c r="D2" s="360"/>
      <c r="E2" s="360"/>
      <c r="F2" s="360"/>
      <c r="G2" s="361"/>
      <c r="H2" s="362" t="str">
        <f>'[12]Summary_17th Nov'!G2</f>
        <v>PS5</v>
      </c>
      <c r="I2" s="363"/>
      <c r="J2" s="363"/>
      <c r="K2" s="363"/>
      <c r="L2" s="364"/>
      <c r="M2" s="365" t="str">
        <f>'[12]Summary_17th Nov'!L2</f>
        <v>PS6</v>
      </c>
      <c r="N2" s="366"/>
      <c r="O2" s="366"/>
      <c r="P2" s="366"/>
      <c r="Q2" s="367"/>
    </row>
    <row r="3" spans="1:27" ht="24.75" thickBot="1" x14ac:dyDescent="0.3">
      <c r="B3" s="230" t="s">
        <v>351</v>
      </c>
      <c r="C3" s="231" t="str">
        <f>'[12]Summary_17th Nov'!B3</f>
        <v>18/19</v>
      </c>
      <c r="D3" s="231" t="str">
        <f>'[12]Summary_17th Nov'!C3</f>
        <v>19/20</v>
      </c>
      <c r="E3" s="231" t="str">
        <f>'[12]Summary_17th Nov'!D3</f>
        <v>20/21</v>
      </c>
      <c r="F3" s="232" t="str">
        <f>'[12]Summary_17th Nov'!E3</f>
        <v>21/22</v>
      </c>
      <c r="G3" s="231" t="str">
        <f>'[12]Summary_17th Nov'!F3</f>
        <v>22/23</v>
      </c>
      <c r="H3" s="233" t="str">
        <f>'[12]Summary_17th Nov'!G3</f>
        <v>23/24</v>
      </c>
      <c r="I3" s="233" t="str">
        <f>'[12]Summary_17th Nov'!H3</f>
        <v>24/25</v>
      </c>
      <c r="J3" s="233" t="str">
        <f>'[12]Summary_17th Nov'!I3</f>
        <v>25/26</v>
      </c>
      <c r="K3" s="233" t="str">
        <f>'[12]Summary_17th Nov'!J3</f>
        <v>26/27</v>
      </c>
      <c r="L3" s="233" t="str">
        <f>'[12]Summary_17th Nov'!K3</f>
        <v>27/28</v>
      </c>
      <c r="M3" s="234" t="str">
        <f>'[12]Summary_17th Nov'!L3</f>
        <v>28/29</v>
      </c>
      <c r="N3" s="234" t="str">
        <f>'[12]Summary_17th Nov'!M3</f>
        <v>29/30</v>
      </c>
      <c r="O3" s="234" t="str">
        <f>'[12]Summary_17th Nov'!N3</f>
        <v>30/31</v>
      </c>
      <c r="P3" s="234" t="str">
        <f>'[12]Summary_17th Nov'!O3</f>
        <v>31/32</v>
      </c>
      <c r="Q3" s="234" t="str">
        <f>'[12]Summary_17th Nov'!P3</f>
        <v>32/33</v>
      </c>
      <c r="R3" s="26">
        <v>2034</v>
      </c>
      <c r="S3" s="26">
        <v>2035</v>
      </c>
      <c r="T3" s="26">
        <v>2036</v>
      </c>
      <c r="U3" s="26">
        <v>2037</v>
      </c>
      <c r="V3" s="26">
        <v>2038</v>
      </c>
      <c r="W3" s="26">
        <v>2039</v>
      </c>
      <c r="X3" s="26">
        <v>2040</v>
      </c>
      <c r="Y3" s="26">
        <v>2041</v>
      </c>
      <c r="Z3" s="26">
        <v>2042</v>
      </c>
      <c r="AA3" s="26">
        <v>2043</v>
      </c>
    </row>
    <row r="4" spans="1:27" x14ac:dyDescent="0.25">
      <c r="B4" s="230"/>
      <c r="C4" s="351" t="str">
        <f>'[12]Summary_17th Nov'!B4</f>
        <v>Actual</v>
      </c>
      <c r="D4" s="351" t="str">
        <f>'[12]Summary_17th Nov'!C4</f>
        <v>Actual</v>
      </c>
      <c r="E4" s="351" t="str">
        <f>'[12]Summary_17th Nov'!D4</f>
        <v>Actual</v>
      </c>
      <c r="F4" s="351" t="str">
        <f>'[12]Summary_17th Nov'!E4</f>
        <v>BUDGET</v>
      </c>
      <c r="G4" s="351" t="str">
        <f>'[12]Summary_17th Nov'!F4</f>
        <v>Forecast</v>
      </c>
      <c r="H4" s="349" t="str">
        <f>'[12]Summary_17th Nov'!G4</f>
        <v>Forecast</v>
      </c>
      <c r="I4" s="349" t="str">
        <f>'[12]Summary_17th Nov'!H4</f>
        <v>Forecast</v>
      </c>
      <c r="J4" s="349" t="str">
        <f>'[12]Summary_17th Nov'!I4</f>
        <v>Forecast</v>
      </c>
      <c r="K4" s="349" t="str">
        <f>'[12]Summary_17th Nov'!J4</f>
        <v>Forecast</v>
      </c>
      <c r="L4" s="349" t="str">
        <f>'[12]Summary_17th Nov'!K4</f>
        <v>Forecast</v>
      </c>
      <c r="M4" s="350" t="str">
        <f>'[12]Summary_17th Nov'!L4</f>
        <v>Forecast</v>
      </c>
      <c r="N4" s="350" t="str">
        <f>'[12]Summary_17th Nov'!M4</f>
        <v>Forecast</v>
      </c>
      <c r="O4" s="350" t="str">
        <f>'[12]Summary_17th Nov'!N4</f>
        <v>Forecast</v>
      </c>
      <c r="P4" s="350" t="str">
        <f>'[12]Summary_17th Nov'!O4</f>
        <v>Forecast</v>
      </c>
      <c r="Q4" s="350" t="str">
        <f>'[12]Summary_17th Nov'!P4</f>
        <v>Forecast</v>
      </c>
    </row>
    <row r="5" spans="1:27" ht="16.5" thickBot="1" x14ac:dyDescent="0.3">
      <c r="B5" s="235"/>
      <c r="C5" s="352"/>
      <c r="D5" s="352"/>
      <c r="E5" s="352"/>
      <c r="F5" s="352"/>
      <c r="G5" s="352"/>
      <c r="H5" s="349"/>
      <c r="I5" s="349"/>
      <c r="J5" s="349"/>
      <c r="K5" s="349"/>
      <c r="L5" s="349"/>
      <c r="M5" s="350"/>
      <c r="N5" s="350"/>
      <c r="O5" s="350"/>
      <c r="P5" s="350"/>
      <c r="Q5" s="350"/>
    </row>
    <row r="6" spans="1:27" ht="17.25" thickBot="1" x14ac:dyDescent="0.3">
      <c r="B6" s="236" t="str">
        <f>'[12]Summary_17th Nov'!A6</f>
        <v>Customers</v>
      </c>
      <c r="C6" s="333"/>
      <c r="D6" s="333"/>
      <c r="E6" s="333"/>
      <c r="F6" s="333"/>
      <c r="G6" s="334"/>
      <c r="H6" s="337"/>
      <c r="I6" s="338"/>
      <c r="J6" s="338"/>
      <c r="K6" s="338"/>
      <c r="L6" s="339"/>
      <c r="M6" s="343"/>
      <c r="N6" s="344"/>
      <c r="O6" s="344"/>
      <c r="P6" s="344"/>
      <c r="Q6" s="345"/>
    </row>
    <row r="7" spans="1:27" ht="16.5" thickBot="1" x14ac:dyDescent="0.3">
      <c r="B7" s="237" t="str">
        <f>'[12]Summary_17th Nov'!A7</f>
        <v>Regulated Water Services</v>
      </c>
      <c r="C7" s="335"/>
      <c r="D7" s="335"/>
      <c r="E7" s="335"/>
      <c r="F7" s="335"/>
      <c r="G7" s="336"/>
      <c r="H7" s="340"/>
      <c r="I7" s="341"/>
      <c r="J7" s="341"/>
      <c r="K7" s="341"/>
      <c r="L7" s="342"/>
      <c r="M7" s="346"/>
      <c r="N7" s="347"/>
      <c r="O7" s="347"/>
      <c r="P7" s="347"/>
      <c r="Q7" s="348"/>
    </row>
    <row r="8" spans="1:27" ht="16.5" thickBot="1" x14ac:dyDescent="0.3">
      <c r="A8" t="s">
        <v>352</v>
      </c>
      <c r="B8" s="238" t="str">
        <f>'[12]Summary_17th Nov'!A8</f>
        <v>Improved Water Quality</v>
      </c>
      <c r="C8" s="239">
        <f>'Forecast capex'!E19</f>
        <v>7745.1984216676401</v>
      </c>
      <c r="D8" s="239">
        <f>'Forecast capex'!F19</f>
        <v>4440.8640631750286</v>
      </c>
      <c r="E8" s="239">
        <f>'Forecast capex'!G19</f>
        <v>8665.6839992626064</v>
      </c>
      <c r="F8" s="239">
        <f>'Forecast capex'!H19</f>
        <v>11598.31581266805</v>
      </c>
      <c r="G8" s="239">
        <f>'Forecast capex'!I19</f>
        <v>7946.5670303829675</v>
      </c>
      <c r="H8" s="239">
        <f>'Forecast capex'!J19</f>
        <v>8536.777539646142</v>
      </c>
      <c r="I8" s="239">
        <f>'Forecast capex'!K19</f>
        <v>9168.8691613531737</v>
      </c>
      <c r="J8" s="239">
        <f>'Forecast capex'!L19</f>
        <v>9790.4691996041274</v>
      </c>
      <c r="K8" s="239">
        <f>'Forecast capex'!M19</f>
        <v>10651.788253435196</v>
      </c>
      <c r="L8" s="239">
        <f>'Forecast capex'!N19</f>
        <v>11102.095845961359</v>
      </c>
      <c r="M8" s="239">
        <f>'Forecast capex'!O19</f>
        <v>11520</v>
      </c>
      <c r="N8" s="239">
        <f>'Forecast capex'!P19</f>
        <v>11520</v>
      </c>
      <c r="O8" s="239">
        <f>'Forecast capex'!Q19</f>
        <v>11520</v>
      </c>
      <c r="P8" s="239">
        <f>'Forecast capex'!R19</f>
        <v>11520</v>
      </c>
      <c r="Q8" s="239">
        <f>'Forecast capex'!S19</f>
        <v>11520</v>
      </c>
      <c r="R8" s="25">
        <f>AVERAGE(M8:Q8)</f>
        <v>11520</v>
      </c>
      <c r="S8" s="25">
        <f>R8</f>
        <v>11520</v>
      </c>
      <c r="T8" s="25">
        <f t="shared" ref="T8:AA8" si="0">S8</f>
        <v>11520</v>
      </c>
      <c r="U8" s="25">
        <f t="shared" si="0"/>
        <v>11520</v>
      </c>
      <c r="V8" s="25">
        <f t="shared" si="0"/>
        <v>11520</v>
      </c>
      <c r="W8" s="25">
        <f t="shared" si="0"/>
        <v>11520</v>
      </c>
      <c r="X8" s="25">
        <f t="shared" si="0"/>
        <v>11520</v>
      </c>
      <c r="Y8" s="25">
        <f t="shared" si="0"/>
        <v>11520</v>
      </c>
      <c r="Z8" s="25">
        <f t="shared" si="0"/>
        <v>11520</v>
      </c>
      <c r="AA8" s="25">
        <f t="shared" si="0"/>
        <v>11520</v>
      </c>
    </row>
    <row r="9" spans="1:27" ht="16.5" thickBot="1" x14ac:dyDescent="0.3">
      <c r="B9" s="242" t="str">
        <f>'[12]Summary_17th Nov'!A9</f>
        <v>Water Main to Meter Renewals</v>
      </c>
      <c r="C9" s="239">
        <f>'Forecast capex'!E20</f>
        <v>0</v>
      </c>
      <c r="D9" s="239">
        <f>'Forecast capex'!F20</f>
        <v>0</v>
      </c>
      <c r="E9" s="239">
        <f>'Forecast capex'!G20</f>
        <v>0</v>
      </c>
      <c r="F9" s="239">
        <f>'Forecast capex'!H20</f>
        <v>3633.9148938329386</v>
      </c>
      <c r="G9" s="239">
        <f>'Forecast capex'!I20</f>
        <v>0</v>
      </c>
      <c r="H9" s="239">
        <f>'Forecast capex'!J20</f>
        <v>0</v>
      </c>
      <c r="I9" s="239">
        <f>'Forecast capex'!K20</f>
        <v>0</v>
      </c>
      <c r="J9" s="239">
        <f>'Forecast capex'!L20</f>
        <v>0</v>
      </c>
      <c r="K9" s="239">
        <f>'Forecast capex'!M20</f>
        <v>0</v>
      </c>
      <c r="L9" s="239">
        <f>'Forecast capex'!N20</f>
        <v>0</v>
      </c>
      <c r="M9" s="239">
        <f>'Forecast capex'!O20</f>
        <v>0</v>
      </c>
      <c r="N9" s="239">
        <f>'Forecast capex'!P20</f>
        <v>0</v>
      </c>
      <c r="O9" s="239">
        <f>'Forecast capex'!Q20</f>
        <v>0</v>
      </c>
      <c r="P9" s="239">
        <f>'Forecast capex'!R20</f>
        <v>0</v>
      </c>
      <c r="Q9" s="239">
        <f>'Forecast capex'!S20</f>
        <v>0</v>
      </c>
      <c r="R9" s="25">
        <f t="shared" ref="R9:AA18" si="1">AVERAGE(M9:Q9)</f>
        <v>0</v>
      </c>
      <c r="S9" s="25">
        <f t="shared" si="1"/>
        <v>0</v>
      </c>
      <c r="T9" s="25">
        <f t="shared" si="1"/>
        <v>0</v>
      </c>
      <c r="U9" s="25">
        <f t="shared" si="1"/>
        <v>0</v>
      </c>
      <c r="V9" s="25">
        <f t="shared" si="1"/>
        <v>0</v>
      </c>
      <c r="W9" s="25">
        <f t="shared" si="1"/>
        <v>0</v>
      </c>
      <c r="X9" s="25">
        <f t="shared" si="1"/>
        <v>0</v>
      </c>
      <c r="Y9" s="25">
        <f t="shared" si="1"/>
        <v>0</v>
      </c>
      <c r="Z9" s="25">
        <f t="shared" si="1"/>
        <v>0</v>
      </c>
      <c r="AA9" s="25">
        <f t="shared" si="1"/>
        <v>0</v>
      </c>
    </row>
    <row r="10" spans="1:27" ht="16.5" thickBot="1" x14ac:dyDescent="0.3">
      <c r="A10" t="s">
        <v>352</v>
      </c>
      <c r="B10" s="243" t="str">
        <f>'[12]Summary_17th Nov'!A10</f>
        <v>Water Reliability Civil</v>
      </c>
      <c r="C10" s="239">
        <f>'Forecast capex'!E21</f>
        <v>5170.062460540682</v>
      </c>
      <c r="D10" s="239">
        <f>'Forecast capex'!F21</f>
        <v>8474.9588864714624</v>
      </c>
      <c r="E10" s="239">
        <f>'Forecast capex'!G21</f>
        <v>8771.7351527616574</v>
      </c>
      <c r="F10" s="239">
        <f>'Forecast capex'!H21</f>
        <v>6679.844543425962</v>
      </c>
      <c r="G10" s="239">
        <f>'Forecast capex'!I21</f>
        <v>6333.7723987329246</v>
      </c>
      <c r="H10" s="239">
        <f>'Forecast capex'!J21</f>
        <v>9421.8598718052472</v>
      </c>
      <c r="I10" s="239">
        <f>'Forecast capex'!K21</f>
        <v>11521.482539834969</v>
      </c>
      <c r="J10" s="239">
        <f>'Forecast capex'!L21</f>
        <v>13168.613585257042</v>
      </c>
      <c r="K10" s="239">
        <f>'Forecast capex'!M21</f>
        <v>12748.221505897654</v>
      </c>
      <c r="L10" s="239">
        <f>'Forecast capex'!N21</f>
        <v>12639.822497205088</v>
      </c>
      <c r="M10" s="239">
        <f>'Forecast capex'!O21</f>
        <v>12800.000000000002</v>
      </c>
      <c r="N10" s="239">
        <f>'Forecast capex'!P21</f>
        <v>12800.000000000002</v>
      </c>
      <c r="O10" s="239">
        <f>'Forecast capex'!Q21</f>
        <v>12800.000000000002</v>
      </c>
      <c r="P10" s="239">
        <f>'Forecast capex'!R21</f>
        <v>12800.000000000002</v>
      </c>
      <c r="Q10" s="239">
        <f>'Forecast capex'!S21</f>
        <v>12800.000000000002</v>
      </c>
      <c r="R10" s="25">
        <f t="shared" si="1"/>
        <v>12800.000000000002</v>
      </c>
      <c r="S10" s="25">
        <f t="shared" ref="S10:AA11" si="2">R10</f>
        <v>12800.000000000002</v>
      </c>
      <c r="T10" s="25">
        <f t="shared" si="2"/>
        <v>12800.000000000002</v>
      </c>
      <c r="U10" s="25">
        <f t="shared" si="2"/>
        <v>12800.000000000002</v>
      </c>
      <c r="V10" s="25">
        <f t="shared" si="2"/>
        <v>12800.000000000002</v>
      </c>
      <c r="W10" s="25">
        <f t="shared" si="2"/>
        <v>12800.000000000002</v>
      </c>
      <c r="X10" s="25">
        <f t="shared" si="2"/>
        <v>12800.000000000002</v>
      </c>
      <c r="Y10" s="25">
        <f t="shared" si="2"/>
        <v>12800.000000000002</v>
      </c>
      <c r="Z10" s="25">
        <f t="shared" si="2"/>
        <v>12800.000000000002</v>
      </c>
      <c r="AA10" s="25">
        <f t="shared" si="2"/>
        <v>12800.000000000002</v>
      </c>
    </row>
    <row r="11" spans="1:27" ht="16.5" thickBot="1" x14ac:dyDescent="0.3">
      <c r="A11" t="s">
        <v>352</v>
      </c>
      <c r="B11" s="238" t="str">
        <f>'[12]Summary_17th Nov'!A11</f>
        <v>Water Reliability M&amp;E</v>
      </c>
      <c r="C11" s="239">
        <f>'Forecast capex'!E22</f>
        <v>1744.1340578794072</v>
      </c>
      <c r="D11" s="239">
        <f>'Forecast capex'!F22</f>
        <v>2744.4123442667646</v>
      </c>
      <c r="E11" s="239">
        <f>'Forecast capex'!G22</f>
        <v>4523.6012829693018</v>
      </c>
      <c r="F11" s="239">
        <f>'Forecast capex'!H22</f>
        <v>4363.078850187916</v>
      </c>
      <c r="G11" s="239">
        <f>'Forecast capex'!I22</f>
        <v>9783.9898227307458</v>
      </c>
      <c r="H11" s="239">
        <f>'Forecast capex'!J22</f>
        <v>11842.764019624068</v>
      </c>
      <c r="I11" s="239">
        <f>'Forecast capex'!K22</f>
        <v>12917.932358704995</v>
      </c>
      <c r="J11" s="239">
        <f>'Forecast capex'!L22</f>
        <v>11878.448033358773</v>
      </c>
      <c r="K11" s="239">
        <f>'Forecast capex'!M22</f>
        <v>12547.70834291479</v>
      </c>
      <c r="L11" s="239">
        <f>'Forecast capex'!N22</f>
        <v>12313.147245397386</v>
      </c>
      <c r="M11" s="239">
        <f>'Forecast capex'!O22</f>
        <v>9168.208158918962</v>
      </c>
      <c r="N11" s="239">
        <f>'Forecast capex'!P22</f>
        <v>9318.697537507227</v>
      </c>
      <c r="O11" s="239">
        <f>'Forecast capex'!Q22</f>
        <v>9382.4657233696398</v>
      </c>
      <c r="P11" s="239">
        <f>'Forecast capex'!R22</f>
        <v>9390.2272890921486</v>
      </c>
      <c r="Q11" s="239">
        <f>'Forecast capex'!S22</f>
        <v>9240.4012911120444</v>
      </c>
      <c r="R11" s="25">
        <f t="shared" si="1"/>
        <v>9300.0000000000036</v>
      </c>
      <c r="S11" s="25">
        <f t="shared" si="2"/>
        <v>9300.0000000000036</v>
      </c>
      <c r="T11" s="25">
        <f t="shared" si="2"/>
        <v>9300.0000000000036</v>
      </c>
      <c r="U11" s="25">
        <f t="shared" si="2"/>
        <v>9300.0000000000036</v>
      </c>
      <c r="V11" s="25">
        <f t="shared" si="2"/>
        <v>9300.0000000000036</v>
      </c>
      <c r="W11" s="25">
        <f t="shared" si="2"/>
        <v>9300.0000000000036</v>
      </c>
      <c r="X11" s="25">
        <f t="shared" si="2"/>
        <v>9300.0000000000036</v>
      </c>
      <c r="Y11" s="25">
        <f t="shared" si="2"/>
        <v>9300.0000000000036</v>
      </c>
      <c r="Z11" s="25">
        <f t="shared" si="2"/>
        <v>9300.0000000000036</v>
      </c>
      <c r="AA11" s="25">
        <f t="shared" si="2"/>
        <v>9300.0000000000036</v>
      </c>
    </row>
    <row r="12" spans="1:27" ht="16.5" thickBot="1" x14ac:dyDescent="0.3">
      <c r="B12" s="242" t="str">
        <f>'[12]Summary_17th Nov'!A12</f>
        <v>Recycled Water Growth Works</v>
      </c>
      <c r="C12" s="239">
        <f>'Forecast capex'!E23</f>
        <v>10216.655170424621</v>
      </c>
      <c r="D12" s="239">
        <f>'Forecast capex'!F23</f>
        <v>6171.0275931561819</v>
      </c>
      <c r="E12" s="239">
        <f>'Forecast capex'!G23</f>
        <v>6390.9930609957464</v>
      </c>
      <c r="F12" s="239">
        <f>'Forecast capex'!H23</f>
        <v>7100.4370616662181</v>
      </c>
      <c r="G12" s="239">
        <f>'Forecast capex'!I23</f>
        <v>21577.252706119507</v>
      </c>
      <c r="H12" s="239">
        <f>'Forecast capex'!J23</f>
        <v>11062.566495651343</v>
      </c>
      <c r="I12" s="239">
        <f>'Forecast capex'!K23</f>
        <v>21545.845747744104</v>
      </c>
      <c r="J12" s="239">
        <f>'Forecast capex'!L23</f>
        <v>16236.680730282271</v>
      </c>
      <c r="K12" s="239">
        <f>'Forecast capex'!M23</f>
        <v>14449.316853810902</v>
      </c>
      <c r="L12" s="239">
        <f>'Forecast capex'!N23</f>
        <v>21007.948000975182</v>
      </c>
      <c r="M12" s="239">
        <f>'Forecast capex'!O23</f>
        <v>35789.685671127248</v>
      </c>
      <c r="N12" s="239">
        <f>'Forecast capex'!P23</f>
        <v>60026.934099518199</v>
      </c>
      <c r="O12" s="239">
        <f>'Forecast capex'!Q23</f>
        <v>91312.116662810993</v>
      </c>
      <c r="P12" s="239">
        <f>'Forecast capex'!R23</f>
        <v>57801.613091869418</v>
      </c>
      <c r="Q12" s="239">
        <f>'Forecast capex'!S23</f>
        <v>22270.862212798304</v>
      </c>
      <c r="R12" s="25">
        <f t="shared" si="1"/>
        <v>53440.242347624837</v>
      </c>
      <c r="S12" s="25">
        <f t="shared" si="1"/>
        <v>56970.353682924353</v>
      </c>
      <c r="T12" s="25">
        <f t="shared" si="1"/>
        <v>56359.037599605581</v>
      </c>
      <c r="U12" s="25">
        <f t="shared" si="1"/>
        <v>49368.4217869645</v>
      </c>
      <c r="V12" s="25">
        <f t="shared" si="1"/>
        <v>47681.783525983519</v>
      </c>
      <c r="W12" s="25">
        <f t="shared" si="1"/>
        <v>52763.967788620561</v>
      </c>
      <c r="X12" s="25">
        <f t="shared" si="1"/>
        <v>52628.7128768197</v>
      </c>
      <c r="Y12" s="25">
        <f t="shared" si="1"/>
        <v>51760.384715598775</v>
      </c>
      <c r="Z12" s="25">
        <f t="shared" si="1"/>
        <v>50840.654138797414</v>
      </c>
      <c r="AA12" s="25">
        <f t="shared" si="1"/>
        <v>51135.100609164001</v>
      </c>
    </row>
    <row r="13" spans="1:27" ht="16.5" thickBot="1" x14ac:dyDescent="0.3">
      <c r="A13" t="s">
        <v>352</v>
      </c>
      <c r="B13" s="238" t="str">
        <f>'[12]Summary_17th Nov'!A13</f>
        <v>Water Reticulation Main Renewals</v>
      </c>
      <c r="C13" s="239">
        <f>'Forecast capex'!E24</f>
        <v>38883.993669435476</v>
      </c>
      <c r="D13" s="239">
        <f>'Forecast capex'!F24</f>
        <v>36860.794935979728</v>
      </c>
      <c r="E13" s="239">
        <f>'Forecast capex'!G24</f>
        <v>43551.808010077482</v>
      </c>
      <c r="F13" s="239">
        <f>'Forecast capex'!H24</f>
        <v>38981.129076500518</v>
      </c>
      <c r="G13" s="239">
        <f>'Forecast capex'!I24</f>
        <v>30917.503498356287</v>
      </c>
      <c r="H13" s="239">
        <f>'Forecast capex'!J24</f>
        <v>36988.32579645345</v>
      </c>
      <c r="I13" s="239">
        <f>'Forecast capex'!K24</f>
        <v>40040.000000000007</v>
      </c>
      <c r="J13" s="239">
        <f>'Forecast capex'!L24</f>
        <v>41057.224734515534</v>
      </c>
      <c r="K13" s="239">
        <f>'Forecast capex'!M24</f>
        <v>41057.224734515534</v>
      </c>
      <c r="L13" s="239">
        <f>'Forecast capex'!N24</f>
        <v>41057.224734515534</v>
      </c>
      <c r="M13" s="239">
        <f>'Forecast capex'!O24</f>
        <v>40040.000000000007</v>
      </c>
      <c r="N13" s="239">
        <f>'Forecast capex'!P24</f>
        <v>40040.000000000007</v>
      </c>
      <c r="O13" s="239">
        <f>'Forecast capex'!Q24</f>
        <v>40040.000000000007</v>
      </c>
      <c r="P13" s="239">
        <f>'Forecast capex'!R24</f>
        <v>40040.000000000007</v>
      </c>
      <c r="Q13" s="239">
        <f>'Forecast capex'!S24</f>
        <v>40040.000000000007</v>
      </c>
      <c r="R13" s="25">
        <f t="shared" si="1"/>
        <v>40040.000000000007</v>
      </c>
      <c r="S13" s="25">
        <f>R13</f>
        <v>40040.000000000007</v>
      </c>
      <c r="T13" s="25">
        <f t="shared" ref="T13:AA13" si="3">S13</f>
        <v>40040.000000000007</v>
      </c>
      <c r="U13" s="25">
        <f t="shared" si="3"/>
        <v>40040.000000000007</v>
      </c>
      <c r="V13" s="25">
        <f t="shared" si="3"/>
        <v>40040.000000000007</v>
      </c>
      <c r="W13" s="25">
        <f t="shared" si="3"/>
        <v>40040.000000000007</v>
      </c>
      <c r="X13" s="25">
        <f t="shared" si="3"/>
        <v>40040.000000000007</v>
      </c>
      <c r="Y13" s="25">
        <f t="shared" si="3"/>
        <v>40040.000000000007</v>
      </c>
      <c r="Z13" s="25">
        <f t="shared" si="3"/>
        <v>40040.000000000007</v>
      </c>
      <c r="AA13" s="25">
        <f t="shared" si="3"/>
        <v>40040.000000000007</v>
      </c>
    </row>
    <row r="14" spans="1:27" ht="16.5" thickBot="1" x14ac:dyDescent="0.3">
      <c r="B14" s="244" t="str">
        <f>'[12]Summary_17th Nov'!A14</f>
        <v>Water Growth Works</v>
      </c>
      <c r="C14" s="239">
        <f>'Forecast capex'!E25</f>
        <v>21491.288704431783</v>
      </c>
      <c r="D14" s="239">
        <f>'Forecast capex'!F25</f>
        <v>21908.670992389252</v>
      </c>
      <c r="E14" s="239">
        <f>'Forecast capex'!G25</f>
        <v>11763.429634943943</v>
      </c>
      <c r="F14" s="239">
        <f>'Forecast capex'!H25</f>
        <v>6653.2181916005638</v>
      </c>
      <c r="G14" s="239">
        <f>'Forecast capex'!I25</f>
        <v>15234.062191968264</v>
      </c>
      <c r="H14" s="239">
        <f>'Forecast capex'!J25</f>
        <v>10551.405469149253</v>
      </c>
      <c r="I14" s="239">
        <f>'Forecast capex'!K25</f>
        <v>17153.697495636552</v>
      </c>
      <c r="J14" s="239">
        <f>'Forecast capex'!L25</f>
        <v>19791.805760744013</v>
      </c>
      <c r="K14" s="239">
        <f>'Forecast capex'!M25</f>
        <v>22908.367904075611</v>
      </c>
      <c r="L14" s="239">
        <f>'Forecast capex'!N25</f>
        <v>28165.838597278282</v>
      </c>
      <c r="M14" s="239">
        <f>'Forecast capex'!O25</f>
        <v>42759.256367560709</v>
      </c>
      <c r="N14" s="239">
        <f>'Forecast capex'!P25</f>
        <v>41542.179451081531</v>
      </c>
      <c r="O14" s="239">
        <f>'Forecast capex'!Q25</f>
        <v>29992.183311784374</v>
      </c>
      <c r="P14" s="239">
        <f>'Forecast capex'!R25</f>
        <v>20571.038171259523</v>
      </c>
      <c r="Q14" s="239">
        <f>'Forecast capex'!S25</f>
        <v>29155.246257710183</v>
      </c>
      <c r="R14" s="25">
        <f t="shared" si="1"/>
        <v>32803.98071187926</v>
      </c>
      <c r="S14" s="25">
        <f t="shared" si="1"/>
        <v>30812.925580742973</v>
      </c>
      <c r="T14" s="25">
        <f t="shared" si="1"/>
        <v>28667.074806675264</v>
      </c>
      <c r="U14" s="25">
        <f t="shared" si="1"/>
        <v>28402.053105653438</v>
      </c>
      <c r="V14" s="25">
        <f t="shared" si="1"/>
        <v>29968.256092532225</v>
      </c>
      <c r="W14" s="25">
        <f t="shared" si="1"/>
        <v>30130.85805949663</v>
      </c>
      <c r="X14" s="25">
        <f t="shared" si="1"/>
        <v>29596.233529020101</v>
      </c>
      <c r="Y14" s="25">
        <f t="shared" si="1"/>
        <v>29352.895118675533</v>
      </c>
      <c r="Z14" s="25">
        <f t="shared" si="1"/>
        <v>29490.059181075583</v>
      </c>
      <c r="AA14" s="25">
        <f t="shared" si="1"/>
        <v>29707.660396160012</v>
      </c>
    </row>
    <row r="15" spans="1:27" ht="16.5" thickBot="1" x14ac:dyDescent="0.3">
      <c r="A15" t="s">
        <v>352</v>
      </c>
      <c r="B15" s="245" t="str">
        <f>'[12]Summary_17th Nov'!A15</f>
        <v>Water Distribution Main Renewals</v>
      </c>
      <c r="C15" s="239">
        <f>'Forecast capex'!E26</f>
        <v>7903.6105913280653</v>
      </c>
      <c r="D15" s="239">
        <f>'Forecast capex'!F26</f>
        <v>4839.8808876197518</v>
      </c>
      <c r="E15" s="239">
        <f>'Forecast capex'!G26</f>
        <v>3985.2257831302486</v>
      </c>
      <c r="F15" s="239">
        <f>'Forecast capex'!H26</f>
        <v>692.44494588337511</v>
      </c>
      <c r="G15" s="239">
        <f>'Forecast capex'!I26</f>
        <v>2510.4601024079202</v>
      </c>
      <c r="H15" s="239">
        <f>'Forecast capex'!J26</f>
        <v>2107.5436278682118</v>
      </c>
      <c r="I15" s="239">
        <f>'Forecast capex'!K26</f>
        <v>10910.973574786478</v>
      </c>
      <c r="J15" s="239">
        <f>'Forecast capex'!L26</f>
        <v>8965.9319497233319</v>
      </c>
      <c r="K15" s="239">
        <f>'Forecast capex'!M26</f>
        <v>8480.0007751238572</v>
      </c>
      <c r="L15" s="239">
        <f>'Forecast capex'!N26</f>
        <v>12629.413204813629</v>
      </c>
      <c r="M15" s="239">
        <f>'Forecast capex'!O26</f>
        <v>19225.277273670545</v>
      </c>
      <c r="N15" s="239">
        <f>'Forecast capex'!P26</f>
        <v>20182.230581763753</v>
      </c>
      <c r="O15" s="239">
        <f>'Forecast capex'!Q26</f>
        <v>20658.716340299088</v>
      </c>
      <c r="P15" s="239">
        <f>'Forecast capex'!R26</f>
        <v>20437.064193608825</v>
      </c>
      <c r="Q15" s="239">
        <f>'Forecast capex'!S26</f>
        <v>21096.711610657807</v>
      </c>
      <c r="R15" s="25">
        <f t="shared" si="1"/>
        <v>20320.000000000004</v>
      </c>
      <c r="S15" s="25">
        <f>R15</f>
        <v>20320.000000000004</v>
      </c>
      <c r="T15" s="25">
        <f t="shared" ref="T15:AA15" si="4">S15</f>
        <v>20320.000000000004</v>
      </c>
      <c r="U15" s="25">
        <f t="shared" si="4"/>
        <v>20320.000000000004</v>
      </c>
      <c r="V15" s="25">
        <f t="shared" si="4"/>
        <v>20320.000000000004</v>
      </c>
      <c r="W15" s="25">
        <f t="shared" si="4"/>
        <v>20320.000000000004</v>
      </c>
      <c r="X15" s="25">
        <f t="shared" si="4"/>
        <v>20320.000000000004</v>
      </c>
      <c r="Y15" s="25">
        <f t="shared" si="4"/>
        <v>20320.000000000004</v>
      </c>
      <c r="Z15" s="25">
        <f t="shared" si="4"/>
        <v>20320.000000000004</v>
      </c>
      <c r="AA15" s="25">
        <f t="shared" si="4"/>
        <v>20320.000000000004</v>
      </c>
    </row>
    <row r="16" spans="1:27" ht="16.5" thickBot="1" x14ac:dyDescent="0.3">
      <c r="B16" s="244" t="str">
        <f>'[12]Summary_17th Nov'!A16</f>
        <v>Customer Meter Replacements</v>
      </c>
      <c r="C16" s="239">
        <f>'Forecast capex'!E27</f>
        <v>5004.6768945122649</v>
      </c>
      <c r="D16" s="239">
        <f>'Forecast capex'!F27</f>
        <v>6040.4899187398978</v>
      </c>
      <c r="E16" s="239">
        <f>'Forecast capex'!G27</f>
        <v>5328.4699901177373</v>
      </c>
      <c r="F16" s="239">
        <f>'Forecast capex'!H27</f>
        <v>5067.7681637094274</v>
      </c>
      <c r="G16" s="239">
        <f>'Forecast capex'!I27</f>
        <v>11934.76</v>
      </c>
      <c r="H16" s="239">
        <f>'Forecast capex'!J27</f>
        <v>5422.5954443999999</v>
      </c>
      <c r="I16" s="239">
        <f>'Forecast capex'!K27</f>
        <v>11833.028043400001</v>
      </c>
      <c r="J16" s="239">
        <f>'Forecast capex'!L27</f>
        <v>21154.4275767</v>
      </c>
      <c r="K16" s="239">
        <f>'Forecast capex'!M27</f>
        <v>20807.633682</v>
      </c>
      <c r="L16" s="239">
        <f>'Forecast capex'!N27</f>
        <v>20450.330881400001</v>
      </c>
      <c r="M16" s="239">
        <f>'Forecast capex'!O27</f>
        <v>9069.1857916999998</v>
      </c>
      <c r="N16" s="239">
        <f>'Forecast capex'!P27</f>
        <v>8690.8651793000008</v>
      </c>
      <c r="O16" s="239">
        <f>'Forecast capex'!Q27</f>
        <v>8554.2494026000004</v>
      </c>
      <c r="P16" s="239">
        <f>'Forecast capex'!R27</f>
        <v>8564.7583085000006</v>
      </c>
      <c r="Q16" s="239">
        <f>'Forecast capex'!S27</f>
        <v>8585.7761203000009</v>
      </c>
      <c r="R16" s="25">
        <f t="shared" si="1"/>
        <v>8692.9669604800001</v>
      </c>
      <c r="S16" s="25">
        <f t="shared" si="1"/>
        <v>8617.7231942359995</v>
      </c>
      <c r="T16" s="25">
        <f t="shared" si="1"/>
        <v>8603.0947972231988</v>
      </c>
      <c r="U16" s="25">
        <f t="shared" si="1"/>
        <v>8612.8638761478396</v>
      </c>
      <c r="V16" s="25">
        <f t="shared" si="1"/>
        <v>8622.4849896774067</v>
      </c>
      <c r="W16" s="25">
        <f t="shared" si="1"/>
        <v>8629.82676355289</v>
      </c>
      <c r="X16" s="25">
        <f t="shared" si="1"/>
        <v>8617.1987241674669</v>
      </c>
      <c r="Y16" s="25">
        <f t="shared" si="1"/>
        <v>8617.093830153759</v>
      </c>
      <c r="Z16" s="25">
        <f t="shared" si="1"/>
        <v>8619.8936367398728</v>
      </c>
      <c r="AA16" s="25">
        <f t="shared" si="1"/>
        <v>8621.2995888582791</v>
      </c>
    </row>
    <row r="17" spans="1:27" ht="16.5" thickBot="1" x14ac:dyDescent="0.3">
      <c r="B17" s="244" t="str">
        <f>'[12]Summary_17th Nov'!A17</f>
        <v>Water and Recycled Water Developer Reimbursement</v>
      </c>
      <c r="C17" s="239">
        <f>'Forecast capex'!E28</f>
        <v>7677.4502094603549</v>
      </c>
      <c r="D17" s="239">
        <f>'Forecast capex'!F28</f>
        <v>10451.704125483206</v>
      </c>
      <c r="E17" s="239">
        <f>'Forecast capex'!G28</f>
        <v>8727.9881133954786</v>
      </c>
      <c r="F17" s="239">
        <f>'Forecast capex'!H28</f>
        <v>6110.6597003144307</v>
      </c>
      <c r="G17" s="239">
        <f>'Forecast capex'!I28</f>
        <v>0</v>
      </c>
      <c r="H17" s="239">
        <f>'Forecast capex'!J28</f>
        <v>0</v>
      </c>
      <c r="I17" s="239">
        <f>'Forecast capex'!K28</f>
        <v>0</v>
      </c>
      <c r="J17" s="239">
        <f>'Forecast capex'!L28</f>
        <v>0</v>
      </c>
      <c r="K17" s="239">
        <f>'Forecast capex'!M28</f>
        <v>0</v>
      </c>
      <c r="L17" s="239">
        <f>'Forecast capex'!N28</f>
        <v>0</v>
      </c>
      <c r="M17" s="239">
        <f>'Forecast capex'!O28</f>
        <v>0</v>
      </c>
      <c r="N17" s="239">
        <f>'Forecast capex'!P28</f>
        <v>0</v>
      </c>
      <c r="O17" s="239">
        <f>'Forecast capex'!Q28</f>
        <v>0</v>
      </c>
      <c r="P17" s="239">
        <f>'Forecast capex'!R28</f>
        <v>0</v>
      </c>
      <c r="Q17" s="239">
        <f>'Forecast capex'!S28</f>
        <v>0</v>
      </c>
      <c r="R17" s="25">
        <f t="shared" si="1"/>
        <v>0</v>
      </c>
      <c r="S17" s="25">
        <f t="shared" si="1"/>
        <v>0</v>
      </c>
      <c r="T17" s="25">
        <f t="shared" si="1"/>
        <v>0</v>
      </c>
      <c r="U17" s="25">
        <f t="shared" si="1"/>
        <v>0</v>
      </c>
      <c r="V17" s="25">
        <f t="shared" si="1"/>
        <v>0</v>
      </c>
      <c r="W17" s="25">
        <f t="shared" si="1"/>
        <v>0</v>
      </c>
      <c r="X17" s="25">
        <f t="shared" si="1"/>
        <v>0</v>
      </c>
      <c r="Y17" s="25">
        <f t="shared" si="1"/>
        <v>0</v>
      </c>
      <c r="Z17" s="25">
        <f t="shared" si="1"/>
        <v>0</v>
      </c>
      <c r="AA17" s="25">
        <f t="shared" si="1"/>
        <v>0</v>
      </c>
    </row>
    <row r="18" spans="1:27" ht="16.5" thickBot="1" x14ac:dyDescent="0.3">
      <c r="A18" t="s">
        <v>352</v>
      </c>
      <c r="B18" s="245" t="str">
        <f>'[12]Summary_17th Nov'!A18</f>
        <v xml:space="preserve">Water Conservation </v>
      </c>
      <c r="C18" s="239">
        <f>'Forecast capex'!E29</f>
        <v>3556.7570431026693</v>
      </c>
      <c r="D18" s="239">
        <f>'Forecast capex'!F29</f>
        <v>4459.1176714785388</v>
      </c>
      <c r="E18" s="239">
        <f>'Forecast capex'!G29</f>
        <v>4290.9317140170106</v>
      </c>
      <c r="F18" s="239">
        <f>'Forecast capex'!H29</f>
        <v>5187.9462460856366</v>
      </c>
      <c r="G18" s="239">
        <f>'Forecast capex'!I29</f>
        <v>2452.5264077369661</v>
      </c>
      <c r="H18" s="239">
        <f>'Forecast capex'!J29</f>
        <v>7429.7964713000001</v>
      </c>
      <c r="I18" s="239">
        <f>'Forecast capex'!K29</f>
        <v>7324.7074123000002</v>
      </c>
      <c r="J18" s="239">
        <f>'Forecast capex'!L29</f>
        <v>7293.1806946000006</v>
      </c>
      <c r="K18" s="239">
        <f>'Forecast capex'!M29</f>
        <v>1646.7455545300002</v>
      </c>
      <c r="L18" s="239">
        <f>'Forecast capex'!N29</f>
        <v>672.56997760000002</v>
      </c>
      <c r="M18" s="239">
        <f>'Forecast capex'!O29</f>
        <v>593.75546784242567</v>
      </c>
      <c r="N18" s="239">
        <f>'Forecast capex'!P29</f>
        <v>598.13204377246814</v>
      </c>
      <c r="O18" s="239">
        <f>'Forecast capex'!Q29</f>
        <v>598.13204377246814</v>
      </c>
      <c r="P18" s="239">
        <f>'Forecast capex'!R29</f>
        <v>598.13204377246814</v>
      </c>
      <c r="Q18" s="239">
        <f>'Forecast capex'!S29</f>
        <v>598.13204377246814</v>
      </c>
      <c r="R18" s="25">
        <f t="shared" si="1"/>
        <v>597.25672858645953</v>
      </c>
      <c r="S18" s="25">
        <f>R18</f>
        <v>597.25672858645953</v>
      </c>
      <c r="T18" s="25">
        <f t="shared" ref="T18:AA18" si="5">S18</f>
        <v>597.25672858645953</v>
      </c>
      <c r="U18" s="25">
        <f t="shared" si="5"/>
        <v>597.25672858645953</v>
      </c>
      <c r="V18" s="25">
        <f t="shared" si="5"/>
        <v>597.25672858645953</v>
      </c>
      <c r="W18" s="25">
        <f t="shared" si="5"/>
        <v>597.25672858645953</v>
      </c>
      <c r="X18" s="25">
        <f t="shared" si="5"/>
        <v>597.25672858645953</v>
      </c>
      <c r="Y18" s="25">
        <f t="shared" si="5"/>
        <v>597.25672858645953</v>
      </c>
      <c r="Z18" s="25">
        <f t="shared" si="5"/>
        <v>597.25672858645953</v>
      </c>
      <c r="AA18" s="25">
        <f t="shared" si="5"/>
        <v>597.25672858645953</v>
      </c>
    </row>
    <row r="19" spans="1:27" ht="16.5" thickBot="1" x14ac:dyDescent="0.3">
      <c r="B19" s="246" t="str">
        <f>'[12]Summary_17th Nov'!A19</f>
        <v>Total</v>
      </c>
      <c r="C19" s="247">
        <f>SUM(C8:C18)</f>
        <v>109393.82722278296</v>
      </c>
      <c r="D19" s="247">
        <f t="shared" ref="D19:Q19" si="6">SUM(D8:D18)</f>
        <v>106391.92141875981</v>
      </c>
      <c r="E19" s="247">
        <f t="shared" si="6"/>
        <v>105999.86674167123</v>
      </c>
      <c r="F19" s="247">
        <f t="shared" si="6"/>
        <v>96068.757485875016</v>
      </c>
      <c r="G19" s="247">
        <f t="shared" si="6"/>
        <v>108690.89415843558</v>
      </c>
      <c r="H19" s="247">
        <f t="shared" si="6"/>
        <v>103363.63473589771</v>
      </c>
      <c r="I19" s="247">
        <f t="shared" si="6"/>
        <v>142416.53633376028</v>
      </c>
      <c r="J19" s="247">
        <f t="shared" si="6"/>
        <v>149336.78226478511</v>
      </c>
      <c r="K19" s="247">
        <f t="shared" si="6"/>
        <v>145297.00760630355</v>
      </c>
      <c r="L19" s="247">
        <f t="shared" si="6"/>
        <v>160038.39098514649</v>
      </c>
      <c r="M19" s="247">
        <f t="shared" si="6"/>
        <v>180965.36873081987</v>
      </c>
      <c r="N19" s="247">
        <f t="shared" si="6"/>
        <v>204719.03889294315</v>
      </c>
      <c r="O19" s="247">
        <f t="shared" si="6"/>
        <v>224857.86348463656</v>
      </c>
      <c r="P19" s="247">
        <f t="shared" si="6"/>
        <v>181722.83309810236</v>
      </c>
      <c r="Q19" s="247">
        <f t="shared" si="6"/>
        <v>155307.12953635081</v>
      </c>
      <c r="R19" s="248">
        <f>SUM(R8:R18)</f>
        <v>189514.44674857057</v>
      </c>
      <c r="S19" s="248">
        <f t="shared" ref="S19:AA19" si="7">SUM(S8:S18)</f>
        <v>190978.25918648977</v>
      </c>
      <c r="T19" s="248">
        <f t="shared" si="7"/>
        <v>188206.4639320905</v>
      </c>
      <c r="U19" s="248">
        <f t="shared" si="7"/>
        <v>180960.59549735222</v>
      </c>
      <c r="V19" s="248">
        <f t="shared" si="7"/>
        <v>180849.78133677959</v>
      </c>
      <c r="W19" s="248">
        <f t="shared" si="7"/>
        <v>186101.90934025653</v>
      </c>
      <c r="X19" s="248">
        <f t="shared" si="7"/>
        <v>185419.40185859374</v>
      </c>
      <c r="Y19" s="248">
        <f t="shared" si="7"/>
        <v>184307.63039301452</v>
      </c>
      <c r="Z19" s="248">
        <f t="shared" si="7"/>
        <v>183527.86368519932</v>
      </c>
      <c r="AA19" s="248">
        <f t="shared" si="7"/>
        <v>184041.31732276874</v>
      </c>
    </row>
    <row r="20" spans="1:27" ht="16.5" thickBot="1" x14ac:dyDescent="0.3">
      <c r="B20" s="249" t="str">
        <f>'[12]Summary_17th Nov'!A20</f>
        <v>Regulated Sewerage Services</v>
      </c>
      <c r="C20" s="250"/>
      <c r="D20" s="250"/>
      <c r="E20" s="250"/>
      <c r="F20" s="251"/>
      <c r="G20" s="252"/>
      <c r="H20" s="240"/>
      <c r="I20" s="240"/>
      <c r="J20" s="240"/>
      <c r="K20" s="240"/>
      <c r="L20" s="240"/>
      <c r="M20" s="241"/>
      <c r="N20" s="241"/>
      <c r="O20" s="253"/>
      <c r="P20" s="253"/>
      <c r="Q20" s="253"/>
    </row>
    <row r="21" spans="1:27" ht="16.5" thickBot="1" x14ac:dyDescent="0.3">
      <c r="A21" t="s">
        <v>352</v>
      </c>
      <c r="B21" s="254" t="str">
        <f>'[12]Summary_17th Nov'!A21</f>
        <v>Sewer Reliability M&amp;E</v>
      </c>
      <c r="C21" s="239">
        <f>'Forecast capex'!E32</f>
        <v>3887.93535153825</v>
      </c>
      <c r="D21" s="239">
        <f>'Forecast capex'!F32</f>
        <v>1906.9562561804148</v>
      </c>
      <c r="E21" s="239">
        <f>'Forecast capex'!G32</f>
        <v>2720.2867385949103</v>
      </c>
      <c r="F21" s="239">
        <f>'Forecast capex'!H32</f>
        <v>4084.8229048058774</v>
      </c>
      <c r="G21" s="239">
        <f>'Forecast capex'!I32</f>
        <v>6982.5522357762884</v>
      </c>
      <c r="H21" s="239">
        <f>'Forecast capex'!J32</f>
        <v>7303.8892697121</v>
      </c>
      <c r="I21" s="239">
        <f>'Forecast capex'!K32</f>
        <v>6659.6933380420996</v>
      </c>
      <c r="J21" s="239">
        <f>'Forecast capex'!L32</f>
        <v>5889.2749376072006</v>
      </c>
      <c r="K21" s="239">
        <f>'Forecast capex'!M32</f>
        <v>5909.2418588172004</v>
      </c>
      <c r="L21" s="239">
        <f>'Forecast capex'!N32</f>
        <v>5930.2596706172008</v>
      </c>
      <c r="M21" s="239">
        <f>'Forecast capex'!O32</f>
        <v>3536.2468353500003</v>
      </c>
      <c r="N21" s="239">
        <f>'Forecast capex'!P32</f>
        <v>3536.2468353500003</v>
      </c>
      <c r="O21" s="239">
        <f>'Forecast capex'!Q32</f>
        <v>3536.2468353500003</v>
      </c>
      <c r="P21" s="239">
        <f>'Forecast capex'!R32</f>
        <v>3536.2468353500003</v>
      </c>
      <c r="Q21" s="239">
        <f>'Forecast capex'!S32</f>
        <v>3536.2468353500003</v>
      </c>
      <c r="R21" s="25">
        <f t="shared" ref="R21:AA29" si="8">AVERAGE(M21:Q21)</f>
        <v>3536.2468353499999</v>
      </c>
      <c r="S21" s="25">
        <f t="shared" ref="S21:AA22" si="9">R21</f>
        <v>3536.2468353499999</v>
      </c>
      <c r="T21" s="25">
        <f t="shared" si="9"/>
        <v>3536.2468353499999</v>
      </c>
      <c r="U21" s="25">
        <f t="shared" si="9"/>
        <v>3536.2468353499999</v>
      </c>
      <c r="V21" s="25">
        <f t="shared" si="9"/>
        <v>3536.2468353499999</v>
      </c>
      <c r="W21" s="25">
        <f t="shared" si="9"/>
        <v>3536.2468353499999</v>
      </c>
      <c r="X21" s="25">
        <f t="shared" si="9"/>
        <v>3536.2468353499999</v>
      </c>
      <c r="Y21" s="25">
        <f t="shared" si="9"/>
        <v>3536.2468353499999</v>
      </c>
      <c r="Z21" s="25">
        <f t="shared" si="9"/>
        <v>3536.2468353499999</v>
      </c>
      <c r="AA21" s="25">
        <f t="shared" si="9"/>
        <v>3536.2468353499999</v>
      </c>
    </row>
    <row r="22" spans="1:27" ht="16.5" thickBot="1" x14ac:dyDescent="0.3">
      <c r="A22" t="s">
        <v>352</v>
      </c>
      <c r="B22" s="254" t="str">
        <f>'[12]Summary_17th Nov'!A22</f>
        <v>Sewer Reliability Civil</v>
      </c>
      <c r="C22" s="239">
        <f>'Forecast capex'!E33</f>
        <v>7267.0506808081655</v>
      </c>
      <c r="D22" s="239">
        <f>'Forecast capex'!F33</f>
        <v>6526.3523257466331</v>
      </c>
      <c r="E22" s="239">
        <f>'Forecast capex'!G33</f>
        <v>6931.8616604944573</v>
      </c>
      <c r="F22" s="239">
        <f>'Forecast capex'!H33</f>
        <v>7987.1022993959132</v>
      </c>
      <c r="G22" s="239">
        <f>'Forecast capex'!I33</f>
        <v>7300.1932647267586</v>
      </c>
      <c r="H22" s="239">
        <f>'Forecast capex'!J33</f>
        <v>9346.6471797247505</v>
      </c>
      <c r="I22" s="239">
        <f>'Forecast capex'!K33</f>
        <v>9134.9883568834412</v>
      </c>
      <c r="J22" s="239">
        <f>'Forecast capex'!L33</f>
        <v>9445.811317578331</v>
      </c>
      <c r="K22" s="239">
        <f>'Forecast capex'!M33</f>
        <v>9102.7302193328014</v>
      </c>
      <c r="L22" s="239">
        <f>'Forecast capex'!N33</f>
        <v>9233.7447491881012</v>
      </c>
      <c r="M22" s="239">
        <f>'Forecast capex'!O33</f>
        <v>8110.4583064430008</v>
      </c>
      <c r="N22" s="239">
        <f>'Forecast capex'!P33</f>
        <v>8110.4583064430008</v>
      </c>
      <c r="O22" s="239">
        <f>'Forecast capex'!Q33</f>
        <v>8110.4583064430008</v>
      </c>
      <c r="P22" s="239">
        <f>'Forecast capex'!R33</f>
        <v>8110.4583064430008</v>
      </c>
      <c r="Q22" s="239">
        <f>'Forecast capex'!S33</f>
        <v>8110.4583064430008</v>
      </c>
      <c r="R22" s="25">
        <f t="shared" si="8"/>
        <v>8110.4583064430017</v>
      </c>
      <c r="S22" s="25">
        <f t="shared" si="9"/>
        <v>8110.4583064430017</v>
      </c>
      <c r="T22" s="25">
        <f t="shared" si="9"/>
        <v>8110.4583064430017</v>
      </c>
      <c r="U22" s="25">
        <f t="shared" si="9"/>
        <v>8110.4583064430017</v>
      </c>
      <c r="V22" s="25">
        <f t="shared" si="9"/>
        <v>8110.4583064430017</v>
      </c>
      <c r="W22" s="25">
        <f t="shared" si="9"/>
        <v>8110.4583064430017</v>
      </c>
      <c r="X22" s="25">
        <f t="shared" si="9"/>
        <v>8110.4583064430017</v>
      </c>
      <c r="Y22" s="25">
        <f t="shared" si="9"/>
        <v>8110.4583064430017</v>
      </c>
      <c r="Z22" s="25">
        <f t="shared" si="9"/>
        <v>8110.4583064430017</v>
      </c>
      <c r="AA22" s="25">
        <f t="shared" si="9"/>
        <v>8110.4583064430017</v>
      </c>
    </row>
    <row r="23" spans="1:27" ht="16.5" thickBot="1" x14ac:dyDescent="0.3">
      <c r="B23" s="255" t="str">
        <f>'[12]Summary_17th Nov'!A23</f>
        <v>Community Sewerage</v>
      </c>
      <c r="C23" s="239">
        <f>'Forecast capex'!E34</f>
        <v>25735.179283523135</v>
      </c>
      <c r="D23" s="239">
        <f>'Forecast capex'!F34</f>
        <v>28344.11511870586</v>
      </c>
      <c r="E23" s="239">
        <f>'Forecast capex'!G34</f>
        <v>21737.390359306904</v>
      </c>
      <c r="F23" s="239">
        <f>'Forecast capex'!H34</f>
        <v>26157.314480497342</v>
      </c>
      <c r="G23" s="239">
        <f>'Forecast capex'!I34</f>
        <v>20363.689999999999</v>
      </c>
      <c r="H23" s="239">
        <f>'Forecast capex'!J34</f>
        <v>19966.92122903308</v>
      </c>
      <c r="I23" s="239">
        <f>'Forecast capex'!K34</f>
        <v>17865.140058549619</v>
      </c>
      <c r="J23" s="239">
        <f>'Forecast capex'!L34</f>
        <v>10508.905961857507</v>
      </c>
      <c r="K23" s="239">
        <f>'Forecast capex'!M34</f>
        <v>9458.0153766157764</v>
      </c>
      <c r="L23" s="239">
        <f>'Forecast capex'!N34</f>
        <v>19966.92122903308</v>
      </c>
      <c r="M23" s="239">
        <f>'Forecast capex'!O34</f>
        <v>24170.48357</v>
      </c>
      <c r="N23" s="239">
        <f>'Forecast capex'!P34</f>
        <v>24170.48357</v>
      </c>
      <c r="O23" s="239">
        <f>'Forecast capex'!Q34</f>
        <v>24170.48357</v>
      </c>
      <c r="P23" s="239">
        <f>'Forecast capex'!R34</f>
        <v>24170.48357</v>
      </c>
      <c r="Q23" s="239">
        <f>'Forecast capex'!S34</f>
        <v>24170.48357</v>
      </c>
      <c r="R23" s="25">
        <f t="shared" si="8"/>
        <v>24170.48357</v>
      </c>
      <c r="S23" s="25">
        <f t="shared" si="8"/>
        <v>24170.48357</v>
      </c>
      <c r="T23" s="25">
        <f t="shared" si="8"/>
        <v>24170.48357</v>
      </c>
      <c r="U23" s="25">
        <f t="shared" si="8"/>
        <v>24170.48357</v>
      </c>
      <c r="V23" s="25">
        <f t="shared" si="8"/>
        <v>24170.48357</v>
      </c>
      <c r="W23" s="25">
        <f t="shared" si="8"/>
        <v>24170.48357</v>
      </c>
      <c r="X23" s="25">
        <f t="shared" si="8"/>
        <v>24170.48357</v>
      </c>
      <c r="Y23" s="25">
        <f t="shared" si="8"/>
        <v>24170.48357</v>
      </c>
      <c r="Z23" s="25">
        <f t="shared" si="8"/>
        <v>24170.48357</v>
      </c>
      <c r="AA23" s="25">
        <f t="shared" si="8"/>
        <v>24170.48357</v>
      </c>
    </row>
    <row r="24" spans="1:27" ht="16.5" thickBot="1" x14ac:dyDescent="0.3">
      <c r="A24" t="s">
        <v>352</v>
      </c>
      <c r="B24" s="256" t="str">
        <f>'[12]Summary_17th Nov'!A24</f>
        <v>Sewer Treatment and Recycling</v>
      </c>
      <c r="C24" s="239">
        <f>'Forecast capex'!E35</f>
        <v>10883.584225486999</v>
      </c>
      <c r="D24" s="239">
        <f>'Forecast capex'!F35</f>
        <v>9468.3714886995422</v>
      </c>
      <c r="E24" s="239">
        <f>'Forecast capex'!G35</f>
        <v>12985.046597988105</v>
      </c>
      <c r="F24" s="239">
        <f>'Forecast capex'!H35</f>
        <v>18346.394230219757</v>
      </c>
      <c r="G24" s="239">
        <f>'Forecast capex'!I35</f>
        <v>23290.556662281022</v>
      </c>
      <c r="H24" s="239">
        <f>'Forecast capex'!J35</f>
        <v>21616.136264817862</v>
      </c>
      <c r="I24" s="239">
        <f>'Forecast capex'!K35</f>
        <v>16085.658023132422</v>
      </c>
      <c r="J24" s="239">
        <f>'Forecast capex'!L35</f>
        <v>17113.901059251788</v>
      </c>
      <c r="K24" s="239">
        <f>'Forecast capex'!M35</f>
        <v>16540.627666546912</v>
      </c>
      <c r="L24" s="239">
        <f>'Forecast capex'!N35</f>
        <v>13814.754580112307</v>
      </c>
      <c r="M24" s="239">
        <f>'Forecast capex'!O35</f>
        <v>8001.9958886491004</v>
      </c>
      <c r="N24" s="239">
        <f>'Forecast capex'!P35</f>
        <v>10755.371270072699</v>
      </c>
      <c r="O24" s="239">
        <f>'Forecast capex'!Q35</f>
        <v>9696.2206800353033</v>
      </c>
      <c r="P24" s="239">
        <f>'Forecast capex'!R35</f>
        <v>6300.1416315795004</v>
      </c>
      <c r="Q24" s="239">
        <f>'Forecast capex'!S35</f>
        <v>7381.1927815124991</v>
      </c>
      <c r="R24" s="25">
        <f t="shared" si="8"/>
        <v>8426.9844503698205</v>
      </c>
      <c r="S24" s="25">
        <f t="shared" si="8"/>
        <v>8511.9821627139645</v>
      </c>
      <c r="T24" s="25">
        <f t="shared" si="8"/>
        <v>8063.3043412422176</v>
      </c>
      <c r="U24" s="25">
        <f t="shared" si="8"/>
        <v>7736.7210734835999</v>
      </c>
      <c r="V24" s="25">
        <f t="shared" si="8"/>
        <v>8024.0369618644199</v>
      </c>
      <c r="W24" s="25">
        <f t="shared" si="8"/>
        <v>8152.6057979348061</v>
      </c>
      <c r="X24" s="25">
        <f t="shared" si="8"/>
        <v>8097.730067447801</v>
      </c>
      <c r="Y24" s="25">
        <f t="shared" si="8"/>
        <v>8014.879648394568</v>
      </c>
      <c r="Z24" s="25">
        <f t="shared" si="8"/>
        <v>8005.1947098250403</v>
      </c>
      <c r="AA24" s="25">
        <f t="shared" si="8"/>
        <v>8058.8894370933267</v>
      </c>
    </row>
    <row r="25" spans="1:27" ht="16.5" thickBot="1" x14ac:dyDescent="0.3">
      <c r="B25" s="255" t="str">
        <f>'[12]Summary_17th Nov'!A25</f>
        <v>Sewer Growth Works</v>
      </c>
      <c r="C25" s="239">
        <f>'Forecast capex'!E36</f>
        <v>87836.565261218348</v>
      </c>
      <c r="D25" s="239">
        <f>'Forecast capex'!F36</f>
        <v>96646.746839196567</v>
      </c>
      <c r="E25" s="239">
        <f>'Forecast capex'!G36</f>
        <v>95284.256807272817</v>
      </c>
      <c r="F25" s="239">
        <f>'Forecast capex'!H36</f>
        <v>45809.710978208066</v>
      </c>
      <c r="G25" s="239">
        <f>'Forecast capex'!I36</f>
        <v>34410.134077590992</v>
      </c>
      <c r="H25" s="239">
        <f>'Forecast capex'!J36</f>
        <v>22209.149364102723</v>
      </c>
      <c r="I25" s="239">
        <f>'Forecast capex'!K36</f>
        <v>21719.628474288795</v>
      </c>
      <c r="J25" s="239">
        <f>'Forecast capex'!L36</f>
        <v>31819.557499094299</v>
      </c>
      <c r="K25" s="239">
        <f>'Forecast capex'!M36</f>
        <v>27910.55926181934</v>
      </c>
      <c r="L25" s="239">
        <f>'Forecast capex'!N36</f>
        <v>13215.831111993819</v>
      </c>
      <c r="M25" s="239">
        <f>'Forecast capex'!O36</f>
        <v>31479.824547740413</v>
      </c>
      <c r="N25" s="239">
        <f>'Forecast capex'!P36</f>
        <v>35646.540155107185</v>
      </c>
      <c r="O25" s="239">
        <f>'Forecast capex'!Q36</f>
        <v>74974.57799214503</v>
      </c>
      <c r="P25" s="239">
        <f>'Forecast capex'!R36</f>
        <v>95824.449646838621</v>
      </c>
      <c r="Q25" s="239">
        <f>'Forecast capex'!S36</f>
        <v>42291.508890598816</v>
      </c>
      <c r="R25" s="25">
        <f t="shared" si="8"/>
        <v>56043.380246486013</v>
      </c>
      <c r="S25" s="25">
        <f t="shared" si="8"/>
        <v>60956.09138623513</v>
      </c>
      <c r="T25" s="25">
        <f t="shared" si="8"/>
        <v>66018.001632460713</v>
      </c>
      <c r="U25" s="25">
        <f t="shared" si="8"/>
        <v>64226.686360523847</v>
      </c>
      <c r="V25" s="25">
        <f t="shared" si="8"/>
        <v>57907.133703260901</v>
      </c>
      <c r="W25" s="25">
        <f t="shared" si="8"/>
        <v>61030.258665793321</v>
      </c>
      <c r="X25" s="25">
        <f t="shared" si="8"/>
        <v>62027.634349654792</v>
      </c>
      <c r="Y25" s="25">
        <f t="shared" si="8"/>
        <v>62241.942942338719</v>
      </c>
      <c r="Z25" s="25">
        <f t="shared" si="8"/>
        <v>61486.73120431431</v>
      </c>
      <c r="AA25" s="25">
        <f t="shared" si="8"/>
        <v>60938.740173072416</v>
      </c>
    </row>
    <row r="26" spans="1:27" ht="16.5" thickBot="1" x14ac:dyDescent="0.3">
      <c r="A26" t="s">
        <v>352</v>
      </c>
      <c r="B26" s="254" t="str">
        <f>'[12]Summary_17th Nov'!A26</f>
        <v>Sewer Main Renewals</v>
      </c>
      <c r="C26" s="239">
        <f>'Forecast capex'!E37</f>
        <v>30841.615027501106</v>
      </c>
      <c r="D26" s="239">
        <f>'Forecast capex'!F37</f>
        <v>27711.20943997211</v>
      </c>
      <c r="E26" s="239">
        <f>'Forecast capex'!G37</f>
        <v>28198.878917572296</v>
      </c>
      <c r="F26" s="239">
        <f>'Forecast capex'!H37</f>
        <v>29200.160796081487</v>
      </c>
      <c r="G26" s="239">
        <f>'Forecast capex'!I37</f>
        <v>24718.508659456238</v>
      </c>
      <c r="H26" s="239">
        <f>'Forecast capex'!J37</f>
        <v>27571.72</v>
      </c>
      <c r="I26" s="239">
        <f>'Forecast capex'!K37</f>
        <v>27571.72</v>
      </c>
      <c r="J26" s="239">
        <f>'Forecast capex'!L37</f>
        <v>27571.72000475827</v>
      </c>
      <c r="K26" s="239">
        <f>'Forecast capex'!M37</f>
        <v>27571.720035972528</v>
      </c>
      <c r="L26" s="239">
        <f>'Forecast capex'!N37</f>
        <v>27571.72</v>
      </c>
      <c r="M26" s="239">
        <f>'Forecast capex'!O37</f>
        <v>27571.720000000005</v>
      </c>
      <c r="N26" s="239">
        <f>'Forecast capex'!P37</f>
        <v>27571.720046012473</v>
      </c>
      <c r="O26" s="239">
        <f>'Forecast capex'!Q37</f>
        <v>27571.720000000005</v>
      </c>
      <c r="P26" s="239">
        <f>'Forecast capex'!R37</f>
        <v>27571.720047582705</v>
      </c>
      <c r="Q26" s="239">
        <f>'Forecast capex'!S37</f>
        <v>27571.720000000005</v>
      </c>
      <c r="R26" s="25">
        <f t="shared" si="8"/>
        <v>27571.720018719039</v>
      </c>
      <c r="S26" s="25">
        <f>R26</f>
        <v>27571.720018719039</v>
      </c>
      <c r="T26" s="25">
        <f t="shared" ref="T26:AA26" si="10">S26</f>
        <v>27571.720018719039</v>
      </c>
      <c r="U26" s="25">
        <f t="shared" si="10"/>
        <v>27571.720018719039</v>
      </c>
      <c r="V26" s="25">
        <f t="shared" si="10"/>
        <v>27571.720018719039</v>
      </c>
      <c r="W26" s="25">
        <f t="shared" si="10"/>
        <v>27571.720018719039</v>
      </c>
      <c r="X26" s="25">
        <f t="shared" si="10"/>
        <v>27571.720018719039</v>
      </c>
      <c r="Y26" s="25">
        <f t="shared" si="10"/>
        <v>27571.720018719039</v>
      </c>
      <c r="Z26" s="25">
        <f t="shared" si="10"/>
        <v>27571.720018719039</v>
      </c>
      <c r="AA26" s="25">
        <f t="shared" si="10"/>
        <v>27571.720018719039</v>
      </c>
    </row>
    <row r="27" spans="1:27" ht="16.5" thickBot="1" x14ac:dyDescent="0.3">
      <c r="B27" s="255" t="str">
        <f>'[12]Summary_17th Nov'!A27</f>
        <v>Sewer HCB Renewals</v>
      </c>
      <c r="C27" s="239">
        <f>'Forecast capex'!E38</f>
        <v>10466.708820126987</v>
      </c>
      <c r="D27" s="239">
        <f>'Forecast capex'!F38</f>
        <v>11491.849038904478</v>
      </c>
      <c r="E27" s="239">
        <f>'Forecast capex'!G38</f>
        <v>9738.4319875675283</v>
      </c>
      <c r="F27" s="239">
        <f>'Forecast capex'!H38</f>
        <v>9413.8454116829562</v>
      </c>
      <c r="G27" s="239">
        <f>'Forecast capex'!I38</f>
        <v>9081.7634888924822</v>
      </c>
      <c r="H27" s="239">
        <f>'Forecast capex'!J38</f>
        <v>13714.122199500001</v>
      </c>
      <c r="I27" s="239">
        <f>'Forecast capex'!K38</f>
        <v>13714.122199500001</v>
      </c>
      <c r="J27" s="239">
        <f>'Forecast capex'!L38</f>
        <v>13714.122199500001</v>
      </c>
      <c r="K27" s="239">
        <f>'Forecast capex'!M38</f>
        <v>13714.122199500001</v>
      </c>
      <c r="L27" s="239">
        <f>'Forecast capex'!N38</f>
        <v>13714.122199500001</v>
      </c>
      <c r="M27" s="239">
        <f>'Forecast capex'!O38</f>
        <v>13714.122199500001</v>
      </c>
      <c r="N27" s="239">
        <f>'Forecast capex'!P38</f>
        <v>13714.122199500001</v>
      </c>
      <c r="O27" s="239">
        <f>'Forecast capex'!Q38</f>
        <v>13714.122199500001</v>
      </c>
      <c r="P27" s="239">
        <f>'Forecast capex'!R38</f>
        <v>13714.122199500001</v>
      </c>
      <c r="Q27" s="239">
        <f>'Forecast capex'!S38</f>
        <v>13714.122199500001</v>
      </c>
      <c r="R27" s="25">
        <f t="shared" si="8"/>
        <v>13714.122199500003</v>
      </c>
      <c r="S27" s="25">
        <f t="shared" si="8"/>
        <v>13714.122199500003</v>
      </c>
      <c r="T27" s="25">
        <f t="shared" si="8"/>
        <v>13714.122199500003</v>
      </c>
      <c r="U27" s="25">
        <f t="shared" si="8"/>
        <v>13714.122199500003</v>
      </c>
      <c r="V27" s="25">
        <f t="shared" si="8"/>
        <v>13714.122199500003</v>
      </c>
      <c r="W27" s="25">
        <f t="shared" si="8"/>
        <v>13714.122199500003</v>
      </c>
      <c r="X27" s="25">
        <f t="shared" si="8"/>
        <v>13714.122199500003</v>
      </c>
      <c r="Y27" s="25">
        <f t="shared" si="8"/>
        <v>13714.122199500003</v>
      </c>
      <c r="Z27" s="25">
        <f t="shared" si="8"/>
        <v>13714.122199500003</v>
      </c>
      <c r="AA27" s="25">
        <f t="shared" si="8"/>
        <v>13714.122199500003</v>
      </c>
    </row>
    <row r="28" spans="1:27" ht="16.5" thickBot="1" x14ac:dyDescent="0.3">
      <c r="A28" t="s">
        <v>352</v>
      </c>
      <c r="B28" s="254" t="str">
        <f>'[12]Summary_17th Nov'!A28</f>
        <v>Sewer Improvement System Capacity</v>
      </c>
      <c r="C28" s="239">
        <f>'Forecast capex'!E39</f>
        <v>841.09051030921592</v>
      </c>
      <c r="D28" s="239">
        <f>'Forecast capex'!F39</f>
        <v>1093.1168872807525</v>
      </c>
      <c r="E28" s="239">
        <f>'Forecast capex'!G39</f>
        <v>1399.7026417750292</v>
      </c>
      <c r="F28" s="239">
        <f>'Forecast capex'!H39</f>
        <v>2422.7302281707648</v>
      </c>
      <c r="G28" s="239">
        <f>'Forecast capex'!I39</f>
        <v>2506.6944655410675</v>
      </c>
      <c r="H28" s="239">
        <f>'Forecast capex'!J39</f>
        <v>2929.5887155548003</v>
      </c>
      <c r="I28" s="239">
        <f>'Forecast capex'!K39</f>
        <v>3307.8567834253004</v>
      </c>
      <c r="J28" s="239">
        <f>'Forecast capex'!L39</f>
        <v>3425.7561987174008</v>
      </c>
      <c r="K28" s="239">
        <f>'Forecast capex'!M39</f>
        <v>5929.0301286269005</v>
      </c>
      <c r="L28" s="239">
        <f>'Forecast capex'!N39</f>
        <v>4914.6054420998998</v>
      </c>
      <c r="M28" s="239">
        <f>'Forecast capex'!O39</f>
        <v>3537.4343417167001</v>
      </c>
      <c r="N28" s="239">
        <f>'Forecast capex'!P39</f>
        <v>4138.9956421504003</v>
      </c>
      <c r="O28" s="239">
        <f>'Forecast capex'!Q39</f>
        <v>3973.7956414024002</v>
      </c>
      <c r="P28" s="239">
        <f>'Forecast capex'!R39</f>
        <v>4401.7182896504</v>
      </c>
      <c r="Q28" s="239">
        <f>'Forecast capex'!S39</f>
        <v>4131.4292299024</v>
      </c>
      <c r="R28" s="25">
        <f t="shared" si="8"/>
        <v>4036.6746289644602</v>
      </c>
      <c r="S28" s="25">
        <f>R28</f>
        <v>4036.6746289644602</v>
      </c>
      <c r="T28" s="25">
        <f t="shared" ref="T28:AA28" si="11">S28</f>
        <v>4036.6746289644602</v>
      </c>
      <c r="U28" s="25">
        <f t="shared" si="11"/>
        <v>4036.6746289644602</v>
      </c>
      <c r="V28" s="25">
        <f t="shared" si="11"/>
        <v>4036.6746289644602</v>
      </c>
      <c r="W28" s="25">
        <f t="shared" si="11"/>
        <v>4036.6746289644602</v>
      </c>
      <c r="X28" s="25">
        <f t="shared" si="11"/>
        <v>4036.6746289644602</v>
      </c>
      <c r="Y28" s="25">
        <f t="shared" si="11"/>
        <v>4036.6746289644602</v>
      </c>
      <c r="Z28" s="25">
        <f t="shared" si="11"/>
        <v>4036.6746289644602</v>
      </c>
      <c r="AA28" s="25">
        <f t="shared" si="11"/>
        <v>4036.6746289644602</v>
      </c>
    </row>
    <row r="29" spans="1:27" ht="16.5" thickBot="1" x14ac:dyDescent="0.3">
      <c r="B29" s="257" t="str">
        <f>'[12]Summary_17th Nov'!A29</f>
        <v>Sewer Developer Reimbursements</v>
      </c>
      <c r="C29" s="239">
        <f>'Forecast capex'!E40</f>
        <v>10382.894915182655</v>
      </c>
      <c r="D29" s="239">
        <f>'Forecast capex'!F40</f>
        <v>18452.53713845821</v>
      </c>
      <c r="E29" s="239">
        <f>'Forecast capex'!G40</f>
        <v>7776.3953049701749</v>
      </c>
      <c r="F29" s="239">
        <f>'Forecast capex'!H40</f>
        <v>8473.6827494107783</v>
      </c>
      <c r="G29" s="239">
        <f>'Forecast capex'!I40</f>
        <v>0</v>
      </c>
      <c r="H29" s="239">
        <f>'Forecast capex'!J40</f>
        <v>0</v>
      </c>
      <c r="I29" s="239">
        <f>'Forecast capex'!K40</f>
        <v>0</v>
      </c>
      <c r="J29" s="239">
        <f>'Forecast capex'!L40</f>
        <v>0</v>
      </c>
      <c r="K29" s="239">
        <f>'Forecast capex'!M40</f>
        <v>0</v>
      </c>
      <c r="L29" s="239">
        <f>'Forecast capex'!N40</f>
        <v>0</v>
      </c>
      <c r="M29" s="239">
        <f>'Forecast capex'!O40</f>
        <v>0</v>
      </c>
      <c r="N29" s="239">
        <f>'Forecast capex'!P40</f>
        <v>0</v>
      </c>
      <c r="O29" s="239">
        <f>'Forecast capex'!Q40</f>
        <v>0</v>
      </c>
      <c r="P29" s="239">
        <f>'Forecast capex'!R40</f>
        <v>0</v>
      </c>
      <c r="Q29" s="239">
        <f>'Forecast capex'!S40</f>
        <v>0</v>
      </c>
      <c r="R29" s="25">
        <f t="shared" si="8"/>
        <v>0</v>
      </c>
      <c r="S29" s="25">
        <f t="shared" si="8"/>
        <v>0</v>
      </c>
      <c r="T29" s="25">
        <f t="shared" si="8"/>
        <v>0</v>
      </c>
      <c r="U29" s="25">
        <f t="shared" si="8"/>
        <v>0</v>
      </c>
      <c r="V29" s="25">
        <f t="shared" si="8"/>
        <v>0</v>
      </c>
      <c r="W29" s="25">
        <f t="shared" si="8"/>
        <v>0</v>
      </c>
      <c r="X29" s="25">
        <f t="shared" si="8"/>
        <v>0</v>
      </c>
      <c r="Y29" s="25">
        <f t="shared" si="8"/>
        <v>0</v>
      </c>
      <c r="Z29" s="25">
        <f t="shared" si="8"/>
        <v>0</v>
      </c>
      <c r="AA29" s="25">
        <f t="shared" si="8"/>
        <v>0</v>
      </c>
    </row>
    <row r="30" spans="1:27" ht="16.5" thickBot="1" x14ac:dyDescent="0.3">
      <c r="B30" s="258" t="str">
        <f>'[12]Summary_17th Nov'!A30</f>
        <v>Total</v>
      </c>
      <c r="C30" s="247">
        <f>SUM(C21:C29)</f>
        <v>188142.62407569485</v>
      </c>
      <c r="D30" s="247">
        <f t="shared" ref="D30:Q30" si="12">SUM(D21:D29)</f>
        <v>201641.25453314453</v>
      </c>
      <c r="E30" s="247">
        <f t="shared" si="12"/>
        <v>186772.25101554222</v>
      </c>
      <c r="F30" s="247">
        <f t="shared" si="12"/>
        <v>151895.76407847294</v>
      </c>
      <c r="G30" s="247">
        <f t="shared" si="12"/>
        <v>128654.09285426483</v>
      </c>
      <c r="H30" s="247">
        <f>SUM(H21:H29)</f>
        <v>124658.17422244532</v>
      </c>
      <c r="I30" s="247">
        <f t="shared" si="12"/>
        <v>116058.80723382167</v>
      </c>
      <c r="J30" s="247">
        <f t="shared" si="12"/>
        <v>119489.0491783648</v>
      </c>
      <c r="K30" s="247">
        <f t="shared" si="12"/>
        <v>116136.04674723143</v>
      </c>
      <c r="L30" s="247">
        <f t="shared" si="12"/>
        <v>108361.95898254441</v>
      </c>
      <c r="M30" s="247">
        <f t="shared" si="12"/>
        <v>120122.28568939923</v>
      </c>
      <c r="N30" s="247">
        <f t="shared" si="12"/>
        <v>127643.93802463575</v>
      </c>
      <c r="O30" s="247">
        <f t="shared" si="12"/>
        <v>165747.62522487575</v>
      </c>
      <c r="P30" s="247">
        <f t="shared" si="12"/>
        <v>183629.34052694423</v>
      </c>
      <c r="Q30" s="247">
        <f t="shared" si="12"/>
        <v>130907.16181330671</v>
      </c>
      <c r="R30" s="248">
        <f>SUM(R19:R29)</f>
        <v>335124.51700440288</v>
      </c>
      <c r="S30" s="248">
        <f t="shared" ref="S30:AA30" si="13">SUM(S19:S29)</f>
        <v>341586.03829441534</v>
      </c>
      <c r="T30" s="248">
        <f t="shared" si="13"/>
        <v>343427.47546476987</v>
      </c>
      <c r="U30" s="248">
        <f t="shared" si="13"/>
        <v>334063.70849033614</v>
      </c>
      <c r="V30" s="248">
        <f t="shared" si="13"/>
        <v>327920.6575608814</v>
      </c>
      <c r="W30" s="248">
        <f t="shared" si="13"/>
        <v>336424.47936296114</v>
      </c>
      <c r="X30" s="248">
        <f t="shared" si="13"/>
        <v>336684.47183467279</v>
      </c>
      <c r="Y30" s="248">
        <f t="shared" si="13"/>
        <v>335704.15854272427</v>
      </c>
      <c r="Z30" s="248">
        <f t="shared" si="13"/>
        <v>334159.49515831517</v>
      </c>
      <c r="AA30" s="248">
        <f t="shared" si="13"/>
        <v>334178.65249191097</v>
      </c>
    </row>
    <row r="31" spans="1:27" ht="16.5" thickBot="1" x14ac:dyDescent="0.3">
      <c r="B31" s="249" t="str">
        <f>'[12]Summary_17th Nov'!A31</f>
        <v>Regulated Other</v>
      </c>
      <c r="C31" s="259">
        <f>'[12]Summary_17th Nov'!B31</f>
        <v>0</v>
      </c>
      <c r="D31" s="259">
        <f>'[12]Summary_17th Nov'!C31</f>
        <v>0</v>
      </c>
      <c r="E31" s="259">
        <f>'[12]Summary_17th Nov'!D31</f>
        <v>0</v>
      </c>
      <c r="F31" s="260"/>
      <c r="G31" s="261"/>
      <c r="H31" s="262"/>
      <c r="I31" s="262"/>
      <c r="J31" s="262"/>
      <c r="K31" s="262"/>
      <c r="L31" s="263"/>
      <c r="M31" s="241"/>
      <c r="N31" s="241"/>
      <c r="O31" s="253"/>
      <c r="P31" s="253"/>
      <c r="Q31" s="253"/>
    </row>
    <row r="32" spans="1:27" ht="16.5" thickBot="1" x14ac:dyDescent="0.3">
      <c r="B32" s="255" t="str">
        <f>'[12]Summary_17th Nov'!A32</f>
        <v>Motor Vehicles</v>
      </c>
      <c r="C32" s="239">
        <f>'Forecast capex'!E45</f>
        <v>3161.8923518032375</v>
      </c>
      <c r="D32" s="239">
        <f>'Forecast capex'!F45</f>
        <v>2455.7774873770491</v>
      </c>
      <c r="E32" s="239">
        <f>'Forecast capex'!G45</f>
        <v>444.47393151508203</v>
      </c>
      <c r="F32" s="239">
        <f>'Forecast capex'!H45</f>
        <v>2318.4968568336726</v>
      </c>
      <c r="G32" s="239">
        <f>'Forecast capex'!I45</f>
        <v>2692.2382647436166</v>
      </c>
      <c r="H32" s="239">
        <f>'Forecast capex'!J45</f>
        <v>2784.8600635000003</v>
      </c>
      <c r="I32" s="239">
        <f>'Forecast capex'!K45</f>
        <v>3226.2341113000002</v>
      </c>
      <c r="J32" s="239">
        <f>'Forecast capex'!L45</f>
        <v>2953.0025579000003</v>
      </c>
      <c r="K32" s="239">
        <f>'Forecast capex'!M45</f>
        <v>3951.3486184000003</v>
      </c>
      <c r="L32" s="239">
        <f>'Forecast capex'!N45</f>
        <v>2175.3435213000002</v>
      </c>
      <c r="M32" s="239">
        <f>'Forecast capex'!O45</f>
        <v>2616.7175691000002</v>
      </c>
      <c r="N32" s="239">
        <f>'Forecast capex'!P45</f>
        <v>3678.1170650000004</v>
      </c>
      <c r="O32" s="239">
        <f>'Forecast capex'!Q45</f>
        <v>2784.8600635000003</v>
      </c>
      <c r="P32" s="239">
        <f>'Forecast capex'!R45</f>
        <v>2784.8600635000003</v>
      </c>
      <c r="Q32" s="239">
        <f>'Forecast capex'!S45</f>
        <v>2564.1730396000003</v>
      </c>
      <c r="R32" s="25">
        <f t="shared" ref="R32:AA37" si="14">AVERAGE(M32:Q32)</f>
        <v>2885.7455601400002</v>
      </c>
      <c r="S32" s="25">
        <f t="shared" si="14"/>
        <v>2939.5511583480002</v>
      </c>
      <c r="T32" s="25">
        <f t="shared" si="14"/>
        <v>2791.8379770176002</v>
      </c>
      <c r="U32" s="25">
        <f t="shared" si="14"/>
        <v>2793.2335597211199</v>
      </c>
      <c r="V32" s="25">
        <f t="shared" si="14"/>
        <v>2794.908258965344</v>
      </c>
      <c r="W32" s="25">
        <f t="shared" si="14"/>
        <v>2841.0553028384129</v>
      </c>
      <c r="X32" s="25">
        <f t="shared" si="14"/>
        <v>2832.1172513780957</v>
      </c>
      <c r="Y32" s="25">
        <f t="shared" si="14"/>
        <v>2810.6304699841144</v>
      </c>
      <c r="Z32" s="25">
        <f t="shared" si="14"/>
        <v>2814.3889685774175</v>
      </c>
      <c r="AA32" s="25">
        <f t="shared" si="14"/>
        <v>2818.6200503486771</v>
      </c>
    </row>
    <row r="33" spans="1:34" ht="16.5" thickBot="1" x14ac:dyDescent="0.3">
      <c r="A33" t="s">
        <v>352</v>
      </c>
      <c r="B33" s="254" t="str">
        <f>'[12]Summary_17th Nov'!A33</f>
        <v>Digital Enablement</v>
      </c>
      <c r="C33" s="239">
        <f>'Forecast capex'!E46</f>
        <v>21591.211524067174</v>
      </c>
      <c r="D33" s="239">
        <f>'Forecast capex'!F46</f>
        <v>30351.878532827381</v>
      </c>
      <c r="E33" s="239">
        <f>'Forecast capex'!G46</f>
        <v>33356.724208589796</v>
      </c>
      <c r="F33" s="239">
        <f>'Forecast capex'!H46</f>
        <v>22743.237974377345</v>
      </c>
      <c r="G33" s="239">
        <f>'Forecast capex'!I46</f>
        <v>20123.599999999999</v>
      </c>
      <c r="H33" s="239">
        <f>'Forecast capex'!J46</f>
        <v>33139.834755650001</v>
      </c>
      <c r="I33" s="239">
        <f>'Forecast capex'!K46</f>
        <v>27792.903433730004</v>
      </c>
      <c r="J33" s="239">
        <f>'Forecast capex'!L46</f>
        <v>22698.185853410003</v>
      </c>
      <c r="K33" s="239">
        <f>'Forecast capex'!M46</f>
        <v>17997.55224434</v>
      </c>
      <c r="L33" s="239">
        <f>'Forecast capex'!N46</f>
        <v>12140.938986270001</v>
      </c>
      <c r="M33" s="239">
        <f>'Forecast capex'!O46</f>
        <v>22753.883054680002</v>
      </c>
      <c r="N33" s="239">
        <f>'Forecast capex'!P46</f>
        <v>22753.883054680002</v>
      </c>
      <c r="O33" s="239">
        <f>'Forecast capex'!Q46</f>
        <v>22753.883054680002</v>
      </c>
      <c r="P33" s="239">
        <f>'Forecast capex'!R46</f>
        <v>22753.883054680002</v>
      </c>
      <c r="Q33" s="239">
        <f>'Forecast capex'!S46</f>
        <v>22753.883054680002</v>
      </c>
      <c r="R33" s="25">
        <f t="shared" si="14"/>
        <v>22753.883054680002</v>
      </c>
      <c r="S33" s="25">
        <f t="shared" ref="S33:AA34" si="15">R33</f>
        <v>22753.883054680002</v>
      </c>
      <c r="T33" s="25">
        <f t="shared" si="15"/>
        <v>22753.883054680002</v>
      </c>
      <c r="U33" s="25">
        <f t="shared" si="15"/>
        <v>22753.883054680002</v>
      </c>
      <c r="V33" s="25">
        <f t="shared" si="15"/>
        <v>22753.883054680002</v>
      </c>
      <c r="W33" s="25">
        <f t="shared" si="15"/>
        <v>22753.883054680002</v>
      </c>
      <c r="X33" s="25">
        <f t="shared" si="15"/>
        <v>22753.883054680002</v>
      </c>
      <c r="Y33" s="25">
        <f t="shared" si="15"/>
        <v>22753.883054680002</v>
      </c>
      <c r="Z33" s="25">
        <f t="shared" si="15"/>
        <v>22753.883054680002</v>
      </c>
      <c r="AA33" s="25">
        <f t="shared" si="15"/>
        <v>22753.883054680002</v>
      </c>
    </row>
    <row r="34" spans="1:34" ht="16.5" thickBot="1" x14ac:dyDescent="0.3">
      <c r="A34" t="s">
        <v>352</v>
      </c>
      <c r="B34" s="254" t="str">
        <f>'[12]Summary_17th Nov'!A34</f>
        <v>Facilities</v>
      </c>
      <c r="C34" s="239">
        <f>'Forecast capex'!E47</f>
        <v>980.31737007815684</v>
      </c>
      <c r="D34" s="239">
        <f>'Forecast capex'!F47</f>
        <v>1063.8860321177249</v>
      </c>
      <c r="E34" s="239">
        <f>'Forecast capex'!G47</f>
        <v>1109.3875987109568</v>
      </c>
      <c r="F34" s="239">
        <f>'Forecast capex'!H47</f>
        <v>590.74001730582256</v>
      </c>
      <c r="G34" s="239">
        <f>'Forecast capex'!I47</f>
        <v>1141.0411993177051</v>
      </c>
      <c r="H34" s="239">
        <f>'Forecast capex'!J47</f>
        <v>1155.9796490000001</v>
      </c>
      <c r="I34" s="239">
        <f>'Forecast capex'!K47</f>
        <v>1155.9796490000001</v>
      </c>
      <c r="J34" s="239">
        <f>'Forecast capex'!L47</f>
        <v>1155.9796490000001</v>
      </c>
      <c r="K34" s="239">
        <f>'Forecast capex'!M47</f>
        <v>1155.9796490000001</v>
      </c>
      <c r="L34" s="239">
        <f>'Forecast capex'!N47</f>
        <v>1155.9796490000001</v>
      </c>
      <c r="M34" s="239">
        <f>'Forecast capex'!O47</f>
        <v>1155.9796490000001</v>
      </c>
      <c r="N34" s="239">
        <f>'Forecast capex'!P47</f>
        <v>1155.9796490000001</v>
      </c>
      <c r="O34" s="239">
        <f>'Forecast capex'!Q47</f>
        <v>1155.9796490000001</v>
      </c>
      <c r="P34" s="239">
        <f>'Forecast capex'!R47</f>
        <v>1155.9796490000001</v>
      </c>
      <c r="Q34" s="239">
        <f>'Forecast capex'!S47</f>
        <v>1155.9796490000001</v>
      </c>
      <c r="R34" s="25">
        <f t="shared" si="14"/>
        <v>1155.9796490000001</v>
      </c>
      <c r="S34" s="25">
        <f t="shared" si="15"/>
        <v>1155.9796490000001</v>
      </c>
      <c r="T34" s="25">
        <f t="shared" si="15"/>
        <v>1155.9796490000001</v>
      </c>
      <c r="U34" s="25">
        <f t="shared" si="15"/>
        <v>1155.9796490000001</v>
      </c>
      <c r="V34" s="25">
        <f t="shared" si="15"/>
        <v>1155.9796490000001</v>
      </c>
      <c r="W34" s="25">
        <f t="shared" si="15"/>
        <v>1155.9796490000001</v>
      </c>
      <c r="X34" s="25">
        <f t="shared" si="15"/>
        <v>1155.9796490000001</v>
      </c>
      <c r="Y34" s="25">
        <f t="shared" si="15"/>
        <v>1155.9796490000001</v>
      </c>
      <c r="Z34" s="25">
        <f t="shared" si="15"/>
        <v>1155.9796490000001</v>
      </c>
      <c r="AA34" s="25">
        <f t="shared" si="15"/>
        <v>1155.9796490000001</v>
      </c>
    </row>
    <row r="35" spans="1:34" ht="16.5" thickBot="1" x14ac:dyDescent="0.3">
      <c r="B35" s="255" t="str">
        <f>'[12]Summary_17th Nov'!A35</f>
        <v>Hazelwynde</v>
      </c>
      <c r="C35" s="239">
        <f>'Forecast capex'!E48</f>
        <v>0</v>
      </c>
      <c r="D35" s="239">
        <f>'Forecast capex'!F48</f>
        <v>0</v>
      </c>
      <c r="E35" s="239">
        <f>'Forecast capex'!G48</f>
        <v>0</v>
      </c>
      <c r="F35" s="239">
        <f>'Forecast capex'!H48</f>
        <v>2912.3954519146109</v>
      </c>
      <c r="G35" s="239">
        <f>'Forecast capex'!I48</f>
        <v>877.03102358396893</v>
      </c>
      <c r="H35" s="239">
        <f>'Forecast capex'!J48</f>
        <v>0</v>
      </c>
      <c r="I35" s="239">
        <f>'Forecast capex'!K48</f>
        <v>0</v>
      </c>
      <c r="J35" s="239">
        <f>'Forecast capex'!L48</f>
        <v>0</v>
      </c>
      <c r="K35" s="239">
        <f>'Forecast capex'!M48</f>
        <v>0</v>
      </c>
      <c r="L35" s="239">
        <f>'Forecast capex'!N48</f>
        <v>0</v>
      </c>
      <c r="M35" s="239">
        <f>'Forecast capex'!O48</f>
        <v>0</v>
      </c>
      <c r="N35" s="239">
        <f>'Forecast capex'!P48</f>
        <v>0</v>
      </c>
      <c r="O35" s="239">
        <f>'Forecast capex'!Q48</f>
        <v>0</v>
      </c>
      <c r="P35" s="239">
        <f>'Forecast capex'!R48</f>
        <v>0</v>
      </c>
      <c r="Q35" s="239">
        <f>'Forecast capex'!S48</f>
        <v>0</v>
      </c>
      <c r="R35" s="25">
        <f t="shared" si="14"/>
        <v>0</v>
      </c>
      <c r="S35" s="25">
        <f t="shared" si="14"/>
        <v>0</v>
      </c>
      <c r="T35" s="25">
        <f t="shared" si="14"/>
        <v>0</v>
      </c>
      <c r="U35" s="25">
        <f t="shared" si="14"/>
        <v>0</v>
      </c>
      <c r="V35" s="25">
        <f t="shared" si="14"/>
        <v>0</v>
      </c>
      <c r="W35" s="25">
        <f t="shared" si="14"/>
        <v>0</v>
      </c>
      <c r="X35" s="25">
        <f t="shared" si="14"/>
        <v>0</v>
      </c>
      <c r="Y35" s="25">
        <f t="shared" si="14"/>
        <v>0</v>
      </c>
      <c r="Z35" s="25">
        <f t="shared" si="14"/>
        <v>0</v>
      </c>
      <c r="AA35" s="25">
        <f t="shared" si="14"/>
        <v>0</v>
      </c>
    </row>
    <row r="36" spans="1:34" ht="16.5" thickBot="1" x14ac:dyDescent="0.3">
      <c r="A36" t="s">
        <v>352</v>
      </c>
      <c r="B36" s="254" t="str">
        <f>'[12]Summary_17th Nov'!A36</f>
        <v>Energy generation and emissions</v>
      </c>
      <c r="C36" s="239">
        <f>'Forecast capex'!E49</f>
        <v>3397.3248881445506</v>
      </c>
      <c r="D36" s="239">
        <f>'Forecast capex'!F49</f>
        <v>328.05031381664941</v>
      </c>
      <c r="E36" s="239">
        <f>'Forecast capex'!G49</f>
        <v>292.58492082735211</v>
      </c>
      <c r="F36" s="239">
        <f>'Forecast capex'!H49</f>
        <v>722.52911657938796</v>
      </c>
      <c r="G36" s="239">
        <f>'Forecast capex'!I49</f>
        <v>2317.7953703477756</v>
      </c>
      <c r="H36" s="239">
        <f>'Forecast capex'!J49</f>
        <v>2375.0127334000003</v>
      </c>
      <c r="I36" s="239">
        <f>'Forecast capex'!K49</f>
        <v>264.82442868000004</v>
      </c>
      <c r="J36" s="239">
        <f>'Forecast capex'!L49</f>
        <v>559.07379388000004</v>
      </c>
      <c r="K36" s="239">
        <f>'Forecast capex'!M49</f>
        <v>0</v>
      </c>
      <c r="L36" s="239">
        <f>'Forecast capex'!N49</f>
        <v>105.08905900000001</v>
      </c>
      <c r="M36" s="239">
        <f>'Forecast capex'!O49</f>
        <v>0</v>
      </c>
      <c r="N36" s="239">
        <f>'Forecast capex'!P49</f>
        <v>0</v>
      </c>
      <c r="O36" s="239">
        <f>'Forecast capex'!Q49</f>
        <v>0</v>
      </c>
      <c r="P36" s="239">
        <f>'Forecast capex'!R49</f>
        <v>0</v>
      </c>
      <c r="Q36" s="239">
        <f>'Forecast capex'!S49</f>
        <v>0</v>
      </c>
      <c r="R36" s="25">
        <f t="shared" si="14"/>
        <v>0</v>
      </c>
      <c r="S36" s="25">
        <f>R36</f>
        <v>0</v>
      </c>
      <c r="T36" s="25">
        <f t="shared" ref="T36:AA36" si="16">S36</f>
        <v>0</v>
      </c>
      <c r="U36" s="25">
        <f t="shared" si="16"/>
        <v>0</v>
      </c>
      <c r="V36" s="25">
        <f t="shared" si="16"/>
        <v>0</v>
      </c>
      <c r="W36" s="25">
        <f t="shared" si="16"/>
        <v>0</v>
      </c>
      <c r="X36" s="25">
        <f t="shared" si="16"/>
        <v>0</v>
      </c>
      <c r="Y36" s="25">
        <f t="shared" si="16"/>
        <v>0</v>
      </c>
      <c r="Z36" s="25">
        <f t="shared" si="16"/>
        <v>0</v>
      </c>
      <c r="AA36" s="25">
        <f t="shared" si="16"/>
        <v>0</v>
      </c>
    </row>
    <row r="37" spans="1:34" ht="16.5" thickBot="1" x14ac:dyDescent="0.3">
      <c r="B37" s="255" t="str">
        <f>'[12]Summary_17th Nov'!A37</f>
        <v>other</v>
      </c>
      <c r="C37" s="239">
        <f>'Forecast capex'!E50</f>
        <v>439.17490765459064</v>
      </c>
      <c r="D37" s="239">
        <f>'Forecast capex'!F50</f>
        <v>207.01842995575234</v>
      </c>
      <c r="E37" s="239">
        <f>'Forecast capex'!G50</f>
        <v>2858.3613136369004</v>
      </c>
      <c r="F37" s="239">
        <f>'Forecast capex'!H50</f>
        <v>-22.290618955890302</v>
      </c>
      <c r="G37" s="239">
        <f>'Forecast capex'!I50</f>
        <v>0</v>
      </c>
      <c r="H37" s="239">
        <f>'Forecast capex'!J50</f>
        <v>0</v>
      </c>
      <c r="I37" s="239">
        <f>'Forecast capex'!K50</f>
        <v>0</v>
      </c>
      <c r="J37" s="239">
        <f>'Forecast capex'!L50</f>
        <v>0</v>
      </c>
      <c r="K37" s="239">
        <f>'Forecast capex'!M50</f>
        <v>0</v>
      </c>
      <c r="L37" s="239">
        <f>'Forecast capex'!N50</f>
        <v>0</v>
      </c>
      <c r="M37" s="239">
        <f>'Forecast capex'!O50</f>
        <v>0</v>
      </c>
      <c r="N37" s="239">
        <f>'Forecast capex'!P50</f>
        <v>0</v>
      </c>
      <c r="O37" s="239">
        <f>'Forecast capex'!Q50</f>
        <v>0</v>
      </c>
      <c r="P37" s="239">
        <f>'Forecast capex'!R50</f>
        <v>0</v>
      </c>
      <c r="Q37" s="239">
        <f>'Forecast capex'!S50</f>
        <v>0</v>
      </c>
      <c r="R37" s="25">
        <f t="shared" si="14"/>
        <v>0</v>
      </c>
      <c r="S37" s="25">
        <f t="shared" si="14"/>
        <v>0</v>
      </c>
      <c r="T37" s="25">
        <f t="shared" si="14"/>
        <v>0</v>
      </c>
      <c r="U37" s="25">
        <f t="shared" si="14"/>
        <v>0</v>
      </c>
      <c r="V37" s="25">
        <f t="shared" si="14"/>
        <v>0</v>
      </c>
      <c r="W37" s="25">
        <f t="shared" si="14"/>
        <v>0</v>
      </c>
      <c r="X37" s="25">
        <f t="shared" si="14"/>
        <v>0</v>
      </c>
      <c r="Y37" s="25">
        <f t="shared" si="14"/>
        <v>0</v>
      </c>
      <c r="Z37" s="25">
        <f t="shared" si="14"/>
        <v>0</v>
      </c>
      <c r="AA37" s="25">
        <f t="shared" si="14"/>
        <v>0</v>
      </c>
    </row>
    <row r="38" spans="1:34" ht="16.5" thickBot="1" x14ac:dyDescent="0.3">
      <c r="B38" s="264" t="str">
        <f>'[12]Summary_17th Nov'!A38</f>
        <v>Total</v>
      </c>
      <c r="C38" s="247">
        <f>SUM(C32:C37)</f>
        <v>29569.921041747708</v>
      </c>
      <c r="D38" s="247">
        <f t="shared" ref="D38:Q38" si="17">SUM(D32:D37)</f>
        <v>34406.610796094552</v>
      </c>
      <c r="E38" s="247">
        <f t="shared" si="17"/>
        <v>38061.531973280085</v>
      </c>
      <c r="F38" s="247">
        <f t="shared" si="17"/>
        <v>29265.108798054953</v>
      </c>
      <c r="G38" s="247">
        <f t="shared" si="17"/>
        <v>27151.705857993064</v>
      </c>
      <c r="H38" s="247">
        <f t="shared" si="17"/>
        <v>39455.687201549998</v>
      </c>
      <c r="I38" s="247">
        <f t="shared" si="17"/>
        <v>32439.941622710005</v>
      </c>
      <c r="J38" s="247">
        <f t="shared" si="17"/>
        <v>27366.241854190004</v>
      </c>
      <c r="K38" s="247">
        <f t="shared" si="17"/>
        <v>23104.880511740001</v>
      </c>
      <c r="L38" s="247">
        <f t="shared" si="17"/>
        <v>15577.351215570003</v>
      </c>
      <c r="M38" s="247">
        <f t="shared" si="17"/>
        <v>26526.580272780004</v>
      </c>
      <c r="N38" s="247">
        <f t="shared" si="17"/>
        <v>27587.979768680001</v>
      </c>
      <c r="O38" s="247">
        <f t="shared" si="17"/>
        <v>26694.722767180003</v>
      </c>
      <c r="P38" s="247">
        <f t="shared" si="17"/>
        <v>26694.722767180003</v>
      </c>
      <c r="Q38" s="247">
        <f t="shared" si="17"/>
        <v>26474.035743280001</v>
      </c>
      <c r="R38" s="248">
        <f>SUM(R27:R37)</f>
        <v>379670.92209668737</v>
      </c>
      <c r="S38" s="248">
        <f t="shared" ref="S38:AA38" si="18">SUM(S27:S37)</f>
        <v>386186.24898490781</v>
      </c>
      <c r="T38" s="248">
        <f t="shared" si="18"/>
        <v>387879.97297393199</v>
      </c>
      <c r="U38" s="248">
        <f t="shared" si="18"/>
        <v>378517.60158220172</v>
      </c>
      <c r="V38" s="248">
        <f t="shared" si="18"/>
        <v>372376.22535199125</v>
      </c>
      <c r="W38" s="248">
        <f t="shared" si="18"/>
        <v>380926.19419794402</v>
      </c>
      <c r="X38" s="248">
        <f t="shared" si="18"/>
        <v>381177.24861819536</v>
      </c>
      <c r="Y38" s="248">
        <f t="shared" si="18"/>
        <v>380175.4485448529</v>
      </c>
      <c r="Z38" s="248">
        <f t="shared" si="18"/>
        <v>378634.5436590371</v>
      </c>
      <c r="AA38" s="248">
        <f t="shared" si="18"/>
        <v>378657.93207440415</v>
      </c>
    </row>
    <row r="39" spans="1:34" ht="16.5" thickBot="1" x14ac:dyDescent="0.3">
      <c r="B39" s="265" t="str">
        <f>'[12]Summary_17th Nov'!A39</f>
        <v>Customers TOTAL</v>
      </c>
      <c r="C39" s="266">
        <f>SUM(C19,C30,C38)</f>
        <v>327106.37234022556</v>
      </c>
      <c r="D39" s="266">
        <f t="shared" ref="D39:Q39" si="19">SUM(D19,D30,D38)</f>
        <v>342439.78674799891</v>
      </c>
      <c r="E39" s="266">
        <f t="shared" si="19"/>
        <v>330833.64973049349</v>
      </c>
      <c r="F39" s="266">
        <f t="shared" si="19"/>
        <v>277229.63036240294</v>
      </c>
      <c r="G39" s="266">
        <f t="shared" si="19"/>
        <v>264496.69287069346</v>
      </c>
      <c r="H39" s="266">
        <f t="shared" si="19"/>
        <v>267477.49615989299</v>
      </c>
      <c r="I39" s="266">
        <f t="shared" si="19"/>
        <v>290915.28519029199</v>
      </c>
      <c r="J39" s="266">
        <f t="shared" si="19"/>
        <v>296192.07329733996</v>
      </c>
      <c r="K39" s="266">
        <f t="shared" si="19"/>
        <v>284537.93486527499</v>
      </c>
      <c r="L39" s="266">
        <f t="shared" si="19"/>
        <v>283977.70118326088</v>
      </c>
      <c r="M39" s="266">
        <f t="shared" si="19"/>
        <v>327614.23469299916</v>
      </c>
      <c r="N39" s="266">
        <f t="shared" si="19"/>
        <v>359950.9566862589</v>
      </c>
      <c r="O39" s="266">
        <f t="shared" si="19"/>
        <v>417300.21147669229</v>
      </c>
      <c r="P39" s="266">
        <f t="shared" si="19"/>
        <v>392046.89639222663</v>
      </c>
      <c r="Q39" s="266">
        <f t="shared" si="19"/>
        <v>312688.32709293754</v>
      </c>
    </row>
    <row r="41" spans="1:34" x14ac:dyDescent="0.25">
      <c r="B41" t="s">
        <v>176</v>
      </c>
      <c r="C41" s="39">
        <f>SUMIF($A$8:$A$18,"A",C8:C18)</f>
        <v>65003.75624395394</v>
      </c>
      <c r="D41" s="39">
        <f t="shared" ref="D41:G41" si="20">SUMIF($A$8:$A$18,"A",D8:D18)</f>
        <v>61820.028788991272</v>
      </c>
      <c r="E41" s="39">
        <f t="shared" si="20"/>
        <v>73788.985942218322</v>
      </c>
      <c r="F41" s="39">
        <f t="shared" si="20"/>
        <v>67502.759474751452</v>
      </c>
      <c r="G41" s="39">
        <f t="shared" si="20"/>
        <v>59944.819260347809</v>
      </c>
      <c r="H41" s="39">
        <f>SUMIF($A$8:$A$18,"A",H8:H18)</f>
        <v>76327.067326697113</v>
      </c>
      <c r="I41" s="39">
        <f t="shared" ref="I41:AA41" ca="1" si="21">SUMIF($A$8:$A$38,"A",I8:I18)</f>
        <v>183857.58905987287</v>
      </c>
      <c r="J41" s="39">
        <f t="shared" ca="1" si="21"/>
        <v>180013.57101126178</v>
      </c>
      <c r="K41" s="39">
        <f t="shared" ca="1" si="21"/>
        <v>171338.5709690534</v>
      </c>
      <c r="L41" s="39">
        <f t="shared" ca="1" si="21"/>
        <v>165281.36564178046</v>
      </c>
      <c r="M41" s="39">
        <f t="shared" ca="1" si="21"/>
        <v>168014.95897627075</v>
      </c>
      <c r="N41" s="39">
        <f t="shared" ca="1" si="21"/>
        <v>172481.71496675204</v>
      </c>
      <c r="O41" s="39">
        <f t="shared" ca="1" si="21"/>
        <v>171797.61827435187</v>
      </c>
      <c r="P41" s="39">
        <f t="shared" ca="1" si="21"/>
        <v>168615.57134075905</v>
      </c>
      <c r="Q41" s="39">
        <f t="shared" ca="1" si="21"/>
        <v>169936.15480243019</v>
      </c>
      <c r="R41" s="39">
        <f t="shared" ca="1" si="21"/>
        <v>170169.20367211278</v>
      </c>
      <c r="S41" s="39">
        <f t="shared" ca="1" si="21"/>
        <v>170254.20138445689</v>
      </c>
      <c r="T41" s="39">
        <f t="shared" ca="1" si="21"/>
        <v>169805.52356298518</v>
      </c>
      <c r="U41" s="39">
        <f t="shared" ca="1" si="21"/>
        <v>169478.94029522652</v>
      </c>
      <c r="V41" s="39">
        <f t="shared" ca="1" si="21"/>
        <v>169766.25618360739</v>
      </c>
      <c r="W41" s="39">
        <f t="shared" ca="1" si="21"/>
        <v>169894.82501967775</v>
      </c>
      <c r="X41" s="39">
        <f t="shared" ca="1" si="21"/>
        <v>169839.94928919076</v>
      </c>
      <c r="Y41" s="39">
        <f t="shared" ca="1" si="21"/>
        <v>169757.09887013753</v>
      </c>
      <c r="Z41" s="39">
        <f t="shared" ca="1" si="21"/>
        <v>169747.41393156798</v>
      </c>
      <c r="AA41" s="39">
        <f t="shared" ca="1" si="21"/>
        <v>169801.10865883628</v>
      </c>
      <c r="AB41" s="39"/>
      <c r="AC41" s="39"/>
      <c r="AD41" s="39"/>
      <c r="AE41" s="39"/>
      <c r="AF41" s="39"/>
      <c r="AG41" s="39"/>
      <c r="AH41" s="39"/>
    </row>
    <row r="42" spans="1:34" x14ac:dyDescent="0.25">
      <c r="B42" t="s">
        <v>308</v>
      </c>
      <c r="C42" s="39">
        <f t="shared" ref="C42:F42" si="22">SUMIF($A$21:$A$29,"A",C21:C29)+C24</f>
        <v>64604.860021130735</v>
      </c>
      <c r="D42" s="39">
        <f t="shared" si="22"/>
        <v>56174.377886579001</v>
      </c>
      <c r="E42" s="39">
        <f t="shared" si="22"/>
        <v>65220.823154412901</v>
      </c>
      <c r="F42" s="39">
        <f t="shared" si="22"/>
        <v>80387.604688893553</v>
      </c>
      <c r="G42" s="39">
        <f>SUMIF($A$21:$A$29,"A",G21:G29)+G24</f>
        <v>88089.061950062402</v>
      </c>
      <c r="H42" s="39">
        <f>SUMIF($A$21:$A$29,"A",H21:H29)+H24</f>
        <v>90384.117694627377</v>
      </c>
      <c r="I42" s="39">
        <f>SUMIF($A$21:$A$29,"A",I21:I29)</f>
        <v>62759.916501483262</v>
      </c>
      <c r="J42" s="39">
        <f t="shared" ref="J42:AA42" si="23">SUMIF($A$21:$A$29,"A",J21:J29)</f>
        <v>63446.463517912984</v>
      </c>
      <c r="K42" s="39">
        <f t="shared" si="23"/>
        <v>65053.349909296339</v>
      </c>
      <c r="L42" s="39">
        <f t="shared" si="23"/>
        <v>61465.084442017513</v>
      </c>
      <c r="M42" s="39">
        <f t="shared" si="23"/>
        <v>50757.85537215881</v>
      </c>
      <c r="N42" s="39">
        <f t="shared" si="23"/>
        <v>54112.792100028579</v>
      </c>
      <c r="O42" s="39">
        <f t="shared" si="23"/>
        <v>52888.441463230709</v>
      </c>
      <c r="P42" s="39">
        <f t="shared" si="23"/>
        <v>49920.285110605611</v>
      </c>
      <c r="Q42" s="39">
        <f t="shared" si="23"/>
        <v>50731.047153207903</v>
      </c>
      <c r="R42" s="39">
        <f t="shared" si="23"/>
        <v>51682.084239846321</v>
      </c>
      <c r="S42" s="39">
        <f t="shared" si="23"/>
        <v>51767.081952190463</v>
      </c>
      <c r="T42" s="39">
        <f t="shared" si="23"/>
        <v>51318.404130718714</v>
      </c>
      <c r="U42" s="39">
        <f t="shared" si="23"/>
        <v>50991.820862960099</v>
      </c>
      <c r="V42" s="39">
        <f t="shared" si="23"/>
        <v>51279.13675134092</v>
      </c>
      <c r="W42" s="39">
        <f t="shared" si="23"/>
        <v>51407.705587411307</v>
      </c>
      <c r="X42" s="39">
        <f t="shared" si="23"/>
        <v>51352.829856924298</v>
      </c>
      <c r="Y42" s="39">
        <f t="shared" si="23"/>
        <v>51269.979437871065</v>
      </c>
      <c r="Z42" s="39">
        <f t="shared" si="23"/>
        <v>51260.294499301541</v>
      </c>
      <c r="AA42" s="39">
        <f t="shared" si="23"/>
        <v>51313.989226569822</v>
      </c>
    </row>
    <row r="43" spans="1:34" x14ac:dyDescent="0.25">
      <c r="B43" t="s">
        <v>222</v>
      </c>
      <c r="C43" s="39">
        <f>SUMIF($A$32:$A$37,"A",C32:C37)</f>
        <v>25968.85378228988</v>
      </c>
      <c r="D43" s="39">
        <f t="shared" ref="D43:G43" si="24">SUMIF($A$32:$A$37,"A",D32:D37)</f>
        <v>31743.814878761754</v>
      </c>
      <c r="E43" s="39">
        <f t="shared" si="24"/>
        <v>34758.696728128103</v>
      </c>
      <c r="F43" s="39">
        <f t="shared" si="24"/>
        <v>24056.507108262558</v>
      </c>
      <c r="G43" s="39">
        <f t="shared" si="24"/>
        <v>23582.436569665479</v>
      </c>
      <c r="H43" s="39">
        <f>SUMIF($A$32:$A$37,"A",H32:H37)</f>
        <v>36670.827138050001</v>
      </c>
      <c r="I43" s="39">
        <f t="shared" ref="I43:AA43" si="25">SUMIF($A$32:$A$37,"A",I32:I37)</f>
        <v>29213.707511410004</v>
      </c>
      <c r="J43" s="39">
        <f t="shared" si="25"/>
        <v>24413.239296290005</v>
      </c>
      <c r="K43" s="39">
        <f t="shared" si="25"/>
        <v>19153.531893340001</v>
      </c>
      <c r="L43" s="39">
        <f t="shared" si="25"/>
        <v>13402.007694270002</v>
      </c>
      <c r="M43" s="39">
        <f t="shared" si="25"/>
        <v>23909.862703680003</v>
      </c>
      <c r="N43" s="39">
        <f t="shared" si="25"/>
        <v>23909.862703680003</v>
      </c>
      <c r="O43" s="39">
        <f t="shared" si="25"/>
        <v>23909.862703680003</v>
      </c>
      <c r="P43" s="39">
        <f t="shared" si="25"/>
        <v>23909.862703680003</v>
      </c>
      <c r="Q43" s="39">
        <f t="shared" si="25"/>
        <v>23909.862703680003</v>
      </c>
      <c r="R43" s="39">
        <f t="shared" si="25"/>
        <v>23909.862703680003</v>
      </c>
      <c r="S43" s="39">
        <f t="shared" si="25"/>
        <v>23909.862703680003</v>
      </c>
      <c r="T43" s="39">
        <f t="shared" si="25"/>
        <v>23909.862703680003</v>
      </c>
      <c r="U43" s="39">
        <f t="shared" si="25"/>
        <v>23909.862703680003</v>
      </c>
      <c r="V43" s="39">
        <f t="shared" si="25"/>
        <v>23909.862703680003</v>
      </c>
      <c r="W43" s="39">
        <f t="shared" si="25"/>
        <v>23909.862703680003</v>
      </c>
      <c r="X43" s="39">
        <f t="shared" si="25"/>
        <v>23909.862703680003</v>
      </c>
      <c r="Y43" s="39">
        <f t="shared" si="25"/>
        <v>23909.862703680003</v>
      </c>
      <c r="Z43" s="39">
        <f t="shared" si="25"/>
        <v>23909.862703680003</v>
      </c>
      <c r="AA43" s="39">
        <f t="shared" si="25"/>
        <v>23909.862703680003</v>
      </c>
    </row>
    <row r="45" spans="1:34" x14ac:dyDescent="0.25">
      <c r="B45" t="s">
        <v>353</v>
      </c>
      <c r="C45" s="40">
        <f>C41+0.5*C$43</f>
        <v>77988.18313509888</v>
      </c>
      <c r="D45" s="40">
        <f t="shared" ref="D45:G45" si="26">D41+0.5*D$43</f>
        <v>77691.936228372157</v>
      </c>
      <c r="E45" s="40">
        <f t="shared" si="26"/>
        <v>91168.33430628237</v>
      </c>
      <c r="F45" s="40">
        <f t="shared" si="26"/>
        <v>79531.013028882735</v>
      </c>
      <c r="G45" s="40">
        <f t="shared" si="26"/>
        <v>71736.037545180545</v>
      </c>
      <c r="H45" s="40">
        <f>H41+0.5*H$43</f>
        <v>94662.48089572211</v>
      </c>
      <c r="I45" s="40">
        <f t="shared" ref="I45:AA45" ca="1" si="27">I41+0.5*I$43</f>
        <v>198464.44281557787</v>
      </c>
      <c r="J45" s="40">
        <f t="shared" ca="1" si="27"/>
        <v>192220.19065940677</v>
      </c>
      <c r="K45" s="40">
        <f t="shared" ca="1" si="27"/>
        <v>180915.3369157234</v>
      </c>
      <c r="L45" s="40">
        <f t="shared" ca="1" si="27"/>
        <v>171982.36948891546</v>
      </c>
      <c r="M45" s="40">
        <f t="shared" ca="1" si="27"/>
        <v>179969.89032811075</v>
      </c>
      <c r="N45" s="40">
        <f t="shared" ca="1" si="27"/>
        <v>184436.64631859204</v>
      </c>
      <c r="O45" s="40">
        <f t="shared" ca="1" si="27"/>
        <v>183752.54962619187</v>
      </c>
      <c r="P45" s="40">
        <f t="shared" ca="1" si="27"/>
        <v>180570.50269259905</v>
      </c>
      <c r="Q45" s="40">
        <f t="shared" ca="1" si="27"/>
        <v>181891.08615427019</v>
      </c>
      <c r="R45" s="40">
        <f t="shared" ca="1" si="27"/>
        <v>182124.13502395278</v>
      </c>
      <c r="S45" s="40">
        <f t="shared" ca="1" si="27"/>
        <v>182209.13273629689</v>
      </c>
      <c r="T45" s="40">
        <f t="shared" ca="1" si="27"/>
        <v>181760.45491482518</v>
      </c>
      <c r="U45" s="40">
        <f t="shared" ca="1" si="27"/>
        <v>181433.87164706652</v>
      </c>
      <c r="V45" s="40">
        <f t="shared" ca="1" si="27"/>
        <v>181721.18753544739</v>
      </c>
      <c r="W45" s="40">
        <f t="shared" ca="1" si="27"/>
        <v>181849.75637151775</v>
      </c>
      <c r="X45" s="40">
        <f t="shared" ca="1" si="27"/>
        <v>181794.88064103076</v>
      </c>
      <c r="Y45" s="40">
        <f t="shared" ca="1" si="27"/>
        <v>181712.03022197753</v>
      </c>
      <c r="Z45" s="40">
        <f t="shared" ca="1" si="27"/>
        <v>181702.34528340798</v>
      </c>
      <c r="AA45" s="40">
        <f t="shared" ca="1" si="27"/>
        <v>181756.04001067628</v>
      </c>
    </row>
    <row r="46" spans="1:34" x14ac:dyDescent="0.25">
      <c r="B46" t="s">
        <v>308</v>
      </c>
      <c r="C46" s="40">
        <f t="shared" ref="C46:G46" si="28">C42+0.5*C$43</f>
        <v>77589.286912275682</v>
      </c>
      <c r="D46" s="40">
        <f t="shared" si="28"/>
        <v>72046.285325959878</v>
      </c>
      <c r="E46" s="40">
        <f t="shared" si="28"/>
        <v>82600.171518476956</v>
      </c>
      <c r="F46" s="40">
        <f t="shared" si="28"/>
        <v>92415.858243024835</v>
      </c>
      <c r="G46" s="40">
        <f t="shared" si="28"/>
        <v>99880.280234895137</v>
      </c>
      <c r="H46" s="40">
        <f>H42+0.5*H$43</f>
        <v>108719.53126365237</v>
      </c>
      <c r="I46" s="40">
        <f t="shared" ref="I46:AA46" si="29">I42+0.5*I$43</f>
        <v>77366.770257188269</v>
      </c>
      <c r="J46" s="40">
        <f t="shared" si="29"/>
        <v>75653.083166057986</v>
      </c>
      <c r="K46" s="40">
        <f t="shared" si="29"/>
        <v>74630.115855966345</v>
      </c>
      <c r="L46" s="40">
        <f t="shared" si="29"/>
        <v>68166.088289152511</v>
      </c>
      <c r="M46" s="40">
        <f t="shared" si="29"/>
        <v>62712.786723998812</v>
      </c>
      <c r="N46" s="40">
        <f t="shared" si="29"/>
        <v>66067.723451868573</v>
      </c>
      <c r="O46" s="40">
        <f t="shared" si="29"/>
        <v>64843.37281507071</v>
      </c>
      <c r="P46" s="40">
        <f t="shared" si="29"/>
        <v>61875.216462445613</v>
      </c>
      <c r="Q46" s="40">
        <f t="shared" si="29"/>
        <v>62685.978505047904</v>
      </c>
      <c r="R46" s="40">
        <f t="shared" si="29"/>
        <v>63637.015591686322</v>
      </c>
      <c r="S46" s="40">
        <f t="shared" si="29"/>
        <v>63722.013304030464</v>
      </c>
      <c r="T46" s="40">
        <f t="shared" si="29"/>
        <v>63273.335482558716</v>
      </c>
      <c r="U46" s="40">
        <f t="shared" si="29"/>
        <v>62946.752214800101</v>
      </c>
      <c r="V46" s="40">
        <f t="shared" si="29"/>
        <v>63234.068103180922</v>
      </c>
      <c r="W46" s="40">
        <f t="shared" si="29"/>
        <v>63362.636939251308</v>
      </c>
      <c r="X46" s="40">
        <f t="shared" si="29"/>
        <v>63307.761208764299</v>
      </c>
      <c r="Y46" s="40">
        <f t="shared" si="29"/>
        <v>63224.910789711066</v>
      </c>
      <c r="Z46" s="40">
        <f t="shared" si="29"/>
        <v>63215.225851141542</v>
      </c>
      <c r="AA46" s="40">
        <f t="shared" si="29"/>
        <v>63268.920578409823</v>
      </c>
    </row>
    <row r="48" spans="1:34" x14ac:dyDescent="0.25">
      <c r="B48" t="s">
        <v>354</v>
      </c>
    </row>
    <row r="49" spans="2:28" x14ac:dyDescent="0.25">
      <c r="B49" t="s">
        <v>353</v>
      </c>
      <c r="C49" s="39">
        <f>C45*1000</f>
        <v>77988183.135098875</v>
      </c>
      <c r="D49" s="39">
        <f t="shared" ref="D49:F49" si="30">D45*1000</f>
        <v>77691936.228372157</v>
      </c>
      <c r="E49" s="39">
        <f t="shared" si="30"/>
        <v>91168334.306282371</v>
      </c>
      <c r="F49" s="39">
        <f t="shared" si="30"/>
        <v>79531013.028882742</v>
      </c>
      <c r="G49" s="39">
        <f>G45*1000</f>
        <v>71736037.545180544</v>
      </c>
      <c r="H49" s="40">
        <f>H45*(1+'Key assumptions'!$B$9)^'Infill sewerage - renewals 0506'!H2*1000</f>
        <v>96650392.994532257</v>
      </c>
      <c r="I49" s="40">
        <f ca="1">I45*(1+'Key assumptions'!$B$9)^'Infill sewerage - renewals 0506'!I2*1000</f>
        <v>206887472.23311374</v>
      </c>
      <c r="J49" s="40">
        <f ca="1">J45*(1+'Key assumptions'!$B$9)^'Infill sewerage - renewals 0506'!J2*1000</f>
        <v>204586150.13437742</v>
      </c>
      <c r="K49" s="40">
        <f ca="1">K45*(1+'Key assumptions'!$B$9)^'Infill sewerage - renewals 0506'!K2*1000</f>
        <v>196597664.21045941</v>
      </c>
      <c r="L49" s="40">
        <f ca="1">L45*(1+'Key assumptions'!$B$9)^'Infill sewerage - renewals 0506'!L2*1000</f>
        <v>190815055.7608453</v>
      </c>
      <c r="M49" s="40">
        <f ca="1">M45*(1+'Key assumptions'!$B$9)^'Infill sewerage - renewals 0506'!M2*1000</f>
        <v>203870460.79344979</v>
      </c>
      <c r="N49" s="40">
        <f ca="1">N45*(1+'Key assumptions'!$B$9)^'Infill sewerage - renewals 0506'!N2*1000</f>
        <v>213317954.84063214</v>
      </c>
      <c r="O49" s="40">
        <f ca="1">O45*(1+'Key assumptions'!$B$9)^'Infill sewerage - renewals 0506'!O2*1000</f>
        <v>216989795.47493514</v>
      </c>
      <c r="P49" s="40">
        <f ca="1">P45*(1+'Key assumptions'!$B$9)^'Infill sewerage - renewals 0506'!P2*1000</f>
        <v>217710054.17266107</v>
      </c>
      <c r="Q49" s="40">
        <f ca="1">Q45*(1+'Key assumptions'!$B$9)^'Infill sewerage - renewals 0506'!Q2*1000</f>
        <v>223907601.18568924</v>
      </c>
      <c r="R49" s="40">
        <f ca="1">R45*(1+'Key assumptions'!$B$9)^'Infill sewerage - renewals 0506'!R2*1000</f>
        <v>228902568.08920735</v>
      </c>
      <c r="S49" s="40">
        <f ca="1">S45*(1+'Key assumptions'!$B$9)^'Infill sewerage - renewals 0506'!S2*1000</f>
        <v>233818594.7387509</v>
      </c>
      <c r="T49" s="40">
        <f ca="1">T45*(1+'Key assumptions'!$B$9)^'Infill sewerage - renewals 0506'!T2*1000</f>
        <v>238140931.53690314</v>
      </c>
      <c r="U49" s="40">
        <f ca="1">U45*(1+'Key assumptions'!$B$9)^'Infill sewerage - renewals 0506'!U2*1000</f>
        <v>242705018.98988789</v>
      </c>
      <c r="V49" s="40">
        <f ca="1">V45*(1+'Key assumptions'!$B$9)^'Infill sewerage - renewals 0506'!V2*1000</f>
        <v>248194239.54616672</v>
      </c>
      <c r="W49" s="40">
        <f ca="1">W45*(1+'Key assumptions'!$B$9)^'Infill sewerage - renewals 0506'!W2*1000</f>
        <v>253585605.07522309</v>
      </c>
      <c r="X49" s="40">
        <f ca="1">X45*(1+'Key assumptions'!$B$9)^'Infill sewerage - renewals 0506'!X2*1000</f>
        <v>258832772.76279864</v>
      </c>
      <c r="Y49" s="40">
        <f ca="1">Y45*(1+'Key assumptions'!$B$9)^'Infill sewerage - renewals 0506'!Y2*1000</f>
        <v>264147824.50719166</v>
      </c>
      <c r="Z49" s="40">
        <f ca="1">Z45*(1+'Key assumptions'!$B$9)^'Infill sewerage - renewals 0506'!Z2*1000</f>
        <v>269680554.54615515</v>
      </c>
      <c r="AA49" s="40">
        <f ca="1">AA45*(1+'Key assumptions'!$B$9)^'Infill sewerage - renewals 0506'!AA2*1000</f>
        <v>275425212.85039365</v>
      </c>
      <c r="AB49" s="40"/>
    </row>
    <row r="50" spans="2:28" x14ac:dyDescent="0.25">
      <c r="B50" t="s">
        <v>308</v>
      </c>
      <c r="C50" s="39">
        <f t="shared" ref="C50:F50" si="31">C46*1000</f>
        <v>77589286.912275687</v>
      </c>
      <c r="D50" s="39">
        <f t="shared" si="31"/>
        <v>72046285.325959876</v>
      </c>
      <c r="E50" s="39">
        <f t="shared" si="31"/>
        <v>82600171.518476963</v>
      </c>
      <c r="F50" s="39">
        <f t="shared" si="31"/>
        <v>92415858.243024841</v>
      </c>
      <c r="G50" s="39">
        <f>G46*1000</f>
        <v>99880280.23489514</v>
      </c>
      <c r="H50" s="40">
        <f>H46*(1+'Key assumptions'!$B$9)*1000</f>
        <v>111002641.42018905</v>
      </c>
      <c r="I50" s="40">
        <f>I46*(1+'Key assumptions'!$B$9)^'Infill water with renewal 05-06'!I2*1000</f>
        <v>80650293.353673577</v>
      </c>
      <c r="J50" s="40">
        <f>J46*(1+'Key assumptions'!$B$9)^'Infill water with renewal 05-06'!J2*1000</f>
        <v>80520017.057751507</v>
      </c>
      <c r="K50" s="40">
        <f>K46*(1+'Key assumptions'!$B$9)^'Infill water with renewal 05-06'!K2*1000</f>
        <v>81099295.986573696</v>
      </c>
      <c r="L50" s="40">
        <f>L46*(1+'Key assumptions'!$B$9)^'Infill water with renewal 05-06'!L2*1000</f>
        <v>75630519.433747366</v>
      </c>
      <c r="M50" s="40">
        <f>M46*(1+'Key assumptions'!$B$9)^'Infill water with renewal 05-06'!M2*1000</f>
        <v>71041243.086571783</v>
      </c>
      <c r="N50" s="40">
        <f>N46*(1+'Key assumptions'!$B$9)^'Infill water with renewal 05-06'!N2*1000</f>
        <v>76413402.265970349</v>
      </c>
      <c r="O50" s="40">
        <f>O46*(1+'Key assumptions'!$B$9)^'Infill water with renewal 05-06'!O2*1000</f>
        <v>76572271.969398513</v>
      </c>
      <c r="P50" s="40">
        <f>P46*(1+'Key assumptions'!$B$9)^'Infill water with renewal 05-06'!P2*1000</f>
        <v>74601646.044685274</v>
      </c>
      <c r="Q50" s="40">
        <f>Q46*(1+'Key assumptions'!$B$9)^'Infill water with renewal 05-06'!Q2*1000</f>
        <v>77166327.233531892</v>
      </c>
      <c r="R50" s="40">
        <f>R46*(1+'Key assumptions'!$B$9)^'Infill water with renewal 05-06'!R2*1000</f>
        <v>79982130.279186398</v>
      </c>
      <c r="S50" s="40">
        <f>S46*(1+'Key assumptions'!$B$9)^'Infill water with renewal 05-06'!S2*1000</f>
        <v>81770827.734719604</v>
      </c>
      <c r="T50" s="40">
        <f>T46*(1+'Key assumptions'!$B$9)^'Infill water with renewal 05-06'!T2*1000</f>
        <v>82900161.425787166</v>
      </c>
      <c r="U50" s="40">
        <f>U46*(1+'Key assumptions'!$B$9)^'Infill water with renewal 05-06'!U2*1000</f>
        <v>84204192.706438556</v>
      </c>
      <c r="V50" s="40">
        <f>V46*(1+'Key assumptions'!$B$9)^'Infill water with renewal 05-06'!V2*1000</f>
        <v>86364895.910764933</v>
      </c>
      <c r="W50" s="40">
        <f>W46*(1+'Key assumptions'!$B$9)^'Infill water with renewal 05-06'!W2*1000</f>
        <v>88357845.22347787</v>
      </c>
      <c r="X50" s="40">
        <f>X46*(1+'Key assumptions'!$B$9)^'Infill water with renewal 05-06'!X2*1000</f>
        <v>90135229.95416677</v>
      </c>
      <c r="Y50" s="40">
        <f>Y46*(1+'Key assumptions'!$B$9)^'Infill water with renewal 05-06'!Y2*1000</f>
        <v>91907633.299578562</v>
      </c>
      <c r="Z50" s="40">
        <f>Z46*(1+'Key assumptions'!$B$9)^'Infill water with renewal 05-06'!Z2*1000</f>
        <v>93823319.323182181</v>
      </c>
      <c r="AA50" s="40">
        <f>AA46*(1+'Key assumptions'!$B$9)^'Infill water with renewal 05-06'!AA2*1000</f>
        <v>95874975.687738299</v>
      </c>
    </row>
    <row r="51" spans="2:28" x14ac:dyDescent="0.25">
      <c r="H51" s="50"/>
    </row>
    <row r="52" spans="2:28" x14ac:dyDescent="0.25">
      <c r="C52" s="40">
        <f>SUM(C49:G49)*H53</f>
        <v>50865347.860982329</v>
      </c>
      <c r="F52" t="s">
        <v>355</v>
      </c>
    </row>
    <row r="53" spans="2:28" x14ac:dyDescent="0.25">
      <c r="G53" t="s">
        <v>176</v>
      </c>
      <c r="H53" s="70">
        <f>'Customer numbers'!AL13</f>
        <v>0.12776530257869839</v>
      </c>
      <c r="I53" s="70"/>
      <c r="J53" s="70"/>
      <c r="K53" s="70"/>
      <c r="L53" s="70"/>
      <c r="M53" s="70"/>
      <c r="N53" s="70"/>
      <c r="O53" s="70"/>
      <c r="P53" s="70"/>
      <c r="Q53" s="70"/>
      <c r="R53" s="70"/>
      <c r="S53" s="70"/>
      <c r="T53" s="70"/>
      <c r="U53" s="70"/>
      <c r="V53" s="70"/>
      <c r="W53" s="70"/>
      <c r="X53" s="70"/>
      <c r="Y53" s="70"/>
      <c r="Z53" s="70"/>
      <c r="AA53" s="70"/>
    </row>
    <row r="54" spans="2:28" x14ac:dyDescent="0.25">
      <c r="G54" t="s">
        <v>308</v>
      </c>
      <c r="H54" s="70">
        <f>'Customer numbers'!AM13</f>
        <v>0.13885657442885288</v>
      </c>
      <c r="I54" s="70"/>
      <c r="J54" s="70"/>
      <c r="K54" s="70"/>
      <c r="L54" s="70"/>
      <c r="M54" s="70"/>
      <c r="N54" s="70"/>
      <c r="O54" s="70"/>
      <c r="P54" s="70"/>
      <c r="Q54" s="70"/>
      <c r="R54" s="70"/>
      <c r="S54" s="70"/>
      <c r="T54" s="70"/>
      <c r="U54" s="70"/>
      <c r="V54" s="70"/>
      <c r="W54" s="70"/>
      <c r="X54" s="70"/>
      <c r="Y54" s="70"/>
      <c r="Z54" s="70"/>
      <c r="AA54" s="70"/>
    </row>
    <row r="56" spans="2:28" x14ac:dyDescent="0.25">
      <c r="B56" t="s">
        <v>348</v>
      </c>
    </row>
    <row r="57" spans="2:28" x14ac:dyDescent="0.25">
      <c r="B57" t="s">
        <v>176</v>
      </c>
      <c r="C57" s="40">
        <f>$H53*C49</f>
        <v>9964183.81581885</v>
      </c>
      <c r="D57" s="40">
        <f>$H53*D49</f>
        <v>9926333.7401429079</v>
      </c>
      <c r="E57" s="40">
        <f t="shared" ref="E57:G57" si="32">$H53*E49</f>
        <v>11648149.818238096</v>
      </c>
      <c r="F57" s="40">
        <f t="shared" si="32"/>
        <v>10161303.944025608</v>
      </c>
      <c r="G57" s="40">
        <f t="shared" si="32"/>
        <v>9165376.5427568611</v>
      </c>
      <c r="H57" s="40">
        <f>$H53*H49</f>
        <v>12348566.705296526</v>
      </c>
      <c r="I57" s="40">
        <f ca="1">$H53*I49</f>
        <v>26433040.489605837</v>
      </c>
      <c r="J57" s="40">
        <f t="shared" ref="J57:AA57" ca="1" si="33">$H53*J49</f>
        <v>26139011.375329748</v>
      </c>
      <c r="K57" s="40">
        <f t="shared" ca="1" si="33"/>
        <v>25118360.054114692</v>
      </c>
      <c r="L57" s="40">
        <f t="shared" ca="1" si="33"/>
        <v>24379543.335855607</v>
      </c>
      <c r="M57" s="40">
        <f t="shared" ca="1" si="33"/>
        <v>26047571.110133778</v>
      </c>
      <c r="N57" s="40">
        <f t="shared" ca="1" si="33"/>
        <v>27254633.045682486</v>
      </c>
      <c r="O57" s="40">
        <f t="shared" ca="1" si="33"/>
        <v>27723766.875344969</v>
      </c>
      <c r="P57" s="40">
        <f t="shared" ca="1" si="33"/>
        <v>27815790.945794858</v>
      </c>
      <c r="Q57" s="40">
        <f t="shared" ca="1" si="33"/>
        <v>28607622.415160112</v>
      </c>
      <c r="R57" s="40">
        <f t="shared" ca="1" si="33"/>
        <v>29245805.87295869</v>
      </c>
      <c r="S57" s="40">
        <f t="shared" ca="1" si="33"/>
        <v>29873903.505322564</v>
      </c>
      <c r="T57" s="40">
        <f t="shared" ca="1" si="33"/>
        <v>30426148.174185529</v>
      </c>
      <c r="U57" s="40">
        <f t="shared" ca="1" si="33"/>
        <v>31009280.188611764</v>
      </c>
      <c r="V57" s="40">
        <f t="shared" ca="1" si="33"/>
        <v>31710612.11390594</v>
      </c>
      <c r="W57" s="40">
        <f t="shared" ca="1" si="33"/>
        <v>32399441.562038191</v>
      </c>
      <c r="X57" s="40">
        <f t="shared" ca="1" si="33"/>
        <v>33069847.529322453</v>
      </c>
      <c r="Y57" s="40">
        <f t="shared" ca="1" si="33"/>
        <v>33748926.723666266</v>
      </c>
      <c r="Z57" s="40">
        <f t="shared" ca="1" si="33"/>
        <v>34455817.651180692</v>
      </c>
      <c r="AA57" s="40">
        <f t="shared" ca="1" si="33"/>
        <v>35189785.657632954</v>
      </c>
    </row>
    <row r="58" spans="2:28" x14ac:dyDescent="0.25">
      <c r="B58" t="s">
        <v>308</v>
      </c>
      <c r="C58" s="40">
        <f>$H54*C50</f>
        <v>10773782.59301603</v>
      </c>
      <c r="D58" s="40">
        <f t="shared" ref="D58:G58" si="34">$H54*D50</f>
        <v>10004100.380686518</v>
      </c>
      <c r="E58" s="40">
        <f t="shared" si="34"/>
        <v>11469576.864291411</v>
      </c>
      <c r="F58" s="40">
        <f t="shared" si="34"/>
        <v>12832549.498528896</v>
      </c>
      <c r="G58" s="40">
        <f t="shared" si="34"/>
        <v>13869033.5664114</v>
      </c>
      <c r="H58" s="40">
        <f>$H54*H50</f>
        <v>15413446.540161749</v>
      </c>
      <c r="I58" s="40">
        <f t="shared" ref="I58:AA58" si="35">$H54*I50</f>
        <v>11198823.461773194</v>
      </c>
      <c r="J58" s="40">
        <f t="shared" si="35"/>
        <v>11180733.741592176</v>
      </c>
      <c r="K58" s="40">
        <f t="shared" si="35"/>
        <v>11261170.42928724</v>
      </c>
      <c r="L58" s="40">
        <f t="shared" si="35"/>
        <v>10501794.850844946</v>
      </c>
      <c r="M58" s="40">
        <f t="shared" si="35"/>
        <v>9864543.6581687853</v>
      </c>
      <c r="N58" s="40">
        <f t="shared" si="35"/>
        <v>10610503.279106587</v>
      </c>
      <c r="O58" s="40">
        <f t="shared" si="35"/>
        <v>10632563.38190515</v>
      </c>
      <c r="P58" s="40">
        <f t="shared" si="35"/>
        <v>10358929.016518779</v>
      </c>
      <c r="Q58" s="40">
        <f t="shared" si="35"/>
        <v>10715051.860904139</v>
      </c>
      <c r="R58" s="40">
        <f t="shared" si="35"/>
        <v>11106044.626090053</v>
      </c>
      <c r="S58" s="40">
        <f t="shared" si="35"/>
        <v>11354417.027455</v>
      </c>
      <c r="T58" s="40">
        <f t="shared" si="35"/>
        <v>11511232.435183734</v>
      </c>
      <c r="U58" s="40">
        <f t="shared" si="35"/>
        <v>11692305.751763057</v>
      </c>
      <c r="V58" s="40">
        <f t="shared" si="35"/>
        <v>11992333.597073263</v>
      </c>
      <c r="W58" s="40">
        <f t="shared" si="35"/>
        <v>12269067.711646918</v>
      </c>
      <c r="X58" s="40">
        <f t="shared" si="35"/>
        <v>12515869.266792528</v>
      </c>
      <c r="Y58" s="40">
        <f t="shared" si="35"/>
        <v>12761979.123842647</v>
      </c>
      <c r="Z58" s="40">
        <f t="shared" si="35"/>
        <v>13027984.722761476</v>
      </c>
      <c r="AA58" s="40">
        <f t="shared" si="35"/>
        <v>13312870.697448894</v>
      </c>
    </row>
    <row r="59" spans="2:28" x14ac:dyDescent="0.25">
      <c r="B59" t="s">
        <v>364</v>
      </c>
      <c r="C59" t="s">
        <v>363</v>
      </c>
      <c r="D59" t="s">
        <v>362</v>
      </c>
      <c r="E59" t="s">
        <v>361</v>
      </c>
    </row>
    <row r="60" spans="2:28" x14ac:dyDescent="0.25">
      <c r="B60" t="s">
        <v>176</v>
      </c>
      <c r="C60" s="40">
        <f>([13]CAPEX!$D48*1000000/'Historical growth capex'!L$77)*H53</f>
        <v>53007183.768197611</v>
      </c>
      <c r="D60" s="39">
        <f>(('[14]Summary CAPEX $1718'!$K$58*H53+0.5*'[14]Summary CAPEX $1718'!$K$60*H53)*1000000)/'Historical growth capex'!Q77</f>
        <v>36308330.084531315</v>
      </c>
      <c r="E60" s="39">
        <f>SUM(C57:G57)</f>
        <v>50865347.860982321</v>
      </c>
      <c r="H60" s="70"/>
      <c r="I60" s="70"/>
      <c r="J60" s="70"/>
      <c r="K60" s="70"/>
      <c r="L60" s="70"/>
      <c r="M60" s="70"/>
      <c r="N60" s="70"/>
      <c r="O60" s="70"/>
      <c r="P60" s="70"/>
      <c r="Q60" s="70"/>
      <c r="R60" s="70"/>
      <c r="S60" s="70"/>
      <c r="T60" s="70"/>
      <c r="U60" s="70"/>
      <c r="V60" s="70"/>
      <c r="W60" s="70"/>
      <c r="X60" s="70"/>
      <c r="Y60" s="70"/>
      <c r="Z60" s="70"/>
      <c r="AA60" s="70"/>
    </row>
    <row r="61" spans="2:28" x14ac:dyDescent="0.25">
      <c r="B61" t="s">
        <v>308</v>
      </c>
      <c r="C61" s="40">
        <f>([13]CAPEX!$D49*1000000/'Historical growth capex'!L$77)*H54</f>
        <v>78322505.040225342</v>
      </c>
      <c r="D61" s="39">
        <f>(('[14]Summary CAPEX $1718'!$K$59*H54+0.5*'[14]Summary CAPEX $1718'!$K$60*H54)*1000000)/'Historical growth capex'!Q77</f>
        <v>44917549.427572705</v>
      </c>
      <c r="E61" s="39">
        <f>SUM(C58:G58)</f>
        <v>58949042.902934253</v>
      </c>
      <c r="H61" s="70"/>
      <c r="I61" s="70"/>
      <c r="J61" s="70"/>
      <c r="K61" s="70"/>
      <c r="L61" s="70"/>
      <c r="M61" s="70"/>
      <c r="N61" s="70"/>
      <c r="O61" s="70"/>
      <c r="P61" s="70"/>
      <c r="Q61" s="70"/>
      <c r="R61" s="70"/>
      <c r="S61" s="70"/>
      <c r="T61" s="70"/>
      <c r="U61" s="70"/>
      <c r="V61" s="70"/>
      <c r="W61" s="70"/>
      <c r="X61" s="70"/>
      <c r="Y61" s="70"/>
      <c r="Z61" s="70"/>
      <c r="AA61" s="70"/>
    </row>
    <row r="63" spans="2:28" x14ac:dyDescent="0.25">
      <c r="H63" s="40"/>
      <c r="I63" s="40"/>
      <c r="J63" s="40"/>
      <c r="K63" s="40"/>
      <c r="L63" s="40"/>
      <c r="M63" s="40"/>
      <c r="N63" s="40"/>
      <c r="O63" s="40"/>
      <c r="P63" s="40"/>
      <c r="Q63" s="40"/>
      <c r="R63" s="40"/>
      <c r="S63" s="40"/>
      <c r="T63" s="40"/>
      <c r="U63" s="40"/>
      <c r="V63" s="40"/>
      <c r="W63" s="40"/>
      <c r="X63" s="40"/>
      <c r="Y63" s="40"/>
      <c r="Z63" s="40"/>
      <c r="AA63" s="40"/>
    </row>
    <row r="64" spans="2:28" x14ac:dyDescent="0.25">
      <c r="H64" s="40"/>
      <c r="I64" s="40"/>
      <c r="J64" s="40"/>
      <c r="K64" s="40"/>
      <c r="L64" s="40"/>
      <c r="M64" s="40"/>
      <c r="N64" s="40"/>
      <c r="O64" s="40"/>
      <c r="P64" s="40"/>
      <c r="Q64" s="40"/>
      <c r="R64" s="40"/>
      <c r="S64" s="40"/>
      <c r="T64" s="40"/>
      <c r="U64" s="40"/>
      <c r="V64" s="40"/>
      <c r="W64" s="40"/>
      <c r="X64" s="40"/>
      <c r="Y64" s="40"/>
      <c r="Z64" s="40"/>
      <c r="AA64" s="40"/>
    </row>
  </sheetData>
  <mergeCells count="23">
    <mergeCell ref="P4:P5"/>
    <mergeCell ref="Q4:Q5"/>
    <mergeCell ref="C1:I1"/>
    <mergeCell ref="J1:N1"/>
    <mergeCell ref="C2:G2"/>
    <mergeCell ref="H2:L2"/>
    <mergeCell ref="M2:Q2"/>
    <mergeCell ref="C6:G7"/>
    <mergeCell ref="H6:L7"/>
    <mergeCell ref="M6:Q7"/>
    <mergeCell ref="H4:H5"/>
    <mergeCell ref="I4:I5"/>
    <mergeCell ref="J4:J5"/>
    <mergeCell ref="K4:K5"/>
    <mergeCell ref="L4:L5"/>
    <mergeCell ref="M4:M5"/>
    <mergeCell ref="C4:C5"/>
    <mergeCell ref="D4:D5"/>
    <mergeCell ref="E4:E5"/>
    <mergeCell ref="F4:F5"/>
    <mergeCell ref="G4:G5"/>
    <mergeCell ref="N4:N5"/>
    <mergeCell ref="O4:O5"/>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0C32BF-80AB-46E6-A958-4D219A9D7CDC}">
  <dimension ref="C2:AT70"/>
  <sheetViews>
    <sheetView workbookViewId="0">
      <selection activeCell="M16" sqref="M16"/>
    </sheetView>
  </sheetViews>
  <sheetFormatPr defaultColWidth="7.5" defaultRowHeight="12.75" x14ac:dyDescent="0.2"/>
  <cols>
    <col min="1" max="2" width="7.5" style="33"/>
    <col min="3" max="3" width="33.25" style="33" bestFit="1" customWidth="1"/>
    <col min="4" max="4" width="7.25" style="33" customWidth="1"/>
    <col min="5" max="5" width="7.875" style="33" bestFit="1" customWidth="1"/>
    <col min="6" max="16" width="7.5" style="33"/>
    <col min="17" max="17" width="9.5" style="33" bestFit="1" customWidth="1"/>
    <col min="18" max="18" width="10.875" style="33" bestFit="1" customWidth="1"/>
    <col min="19" max="20" width="9.25" style="33" bestFit="1" customWidth="1"/>
    <col min="21" max="21" width="11.25" style="33" bestFit="1" customWidth="1"/>
    <col min="22" max="22" width="11.75" style="33" bestFit="1" customWidth="1"/>
    <col min="23" max="16384" width="7.5" style="33"/>
  </cols>
  <sheetData>
    <row r="2" spans="3:46" x14ac:dyDescent="0.2">
      <c r="C2" s="33" t="s">
        <v>369</v>
      </c>
    </row>
    <row r="3" spans="3:46" x14ac:dyDescent="0.2">
      <c r="D3" s="35"/>
      <c r="E3" s="31" t="s">
        <v>177</v>
      </c>
      <c r="F3" s="31" t="s">
        <v>178</v>
      </c>
      <c r="G3" s="31" t="s">
        <v>179</v>
      </c>
      <c r="H3" s="31" t="s">
        <v>180</v>
      </c>
      <c r="I3" s="31" t="s">
        <v>181</v>
      </c>
      <c r="J3" s="31" t="s">
        <v>182</v>
      </c>
      <c r="K3" s="31" t="s">
        <v>189</v>
      </c>
      <c r="L3" s="31" t="s">
        <v>190</v>
      </c>
      <c r="M3" s="31" t="s">
        <v>191</v>
      </c>
      <c r="N3" s="31" t="s">
        <v>192</v>
      </c>
      <c r="O3" s="31" t="s">
        <v>193</v>
      </c>
      <c r="P3" s="31" t="s">
        <v>194</v>
      </c>
      <c r="Q3" s="31" t="s">
        <v>195</v>
      </c>
      <c r="R3" s="31" t="s">
        <v>183</v>
      </c>
      <c r="S3" s="37" t="s">
        <v>196</v>
      </c>
      <c r="T3" s="37" t="s">
        <v>197</v>
      </c>
      <c r="U3" s="37" t="s">
        <v>198</v>
      </c>
      <c r="V3" s="37" t="s">
        <v>199</v>
      </c>
    </row>
    <row r="4" spans="3:46" x14ac:dyDescent="0.2">
      <c r="C4" s="33" t="s">
        <v>372</v>
      </c>
      <c r="D4" s="35"/>
      <c r="E4" s="31">
        <f>'Historical growth capex'!E82/1000000</f>
        <v>9.8314887910873878</v>
      </c>
      <c r="F4" s="31">
        <f>'Historical growth capex'!F82/1000000</f>
        <v>6.7181655616963187</v>
      </c>
      <c r="G4" s="31">
        <f>'Historical growth capex'!G82/1000000</f>
        <v>5.0079544672850016</v>
      </c>
      <c r="H4" s="31">
        <f>'Historical growth capex'!H82/1000000</f>
        <v>5.2640326768679238</v>
      </c>
      <c r="I4" s="31">
        <f>'Historical growth capex'!I82/1000000</f>
        <v>5.7885335591936879</v>
      </c>
      <c r="J4" s="31">
        <f>'Historical growth capex'!J82/1000000</f>
        <v>3.5118349966701081</v>
      </c>
      <c r="K4" s="31">
        <f>'Historical growth capex'!K82/1000000</f>
        <v>5.8890918928609688</v>
      </c>
      <c r="L4" s="31">
        <f>'Historical growth capex'!L82/1000000</f>
        <v>5.0753330611640148</v>
      </c>
      <c r="M4" s="31">
        <f>'Historical growth capex'!M82/1000000</f>
        <v>7.3181001228151263</v>
      </c>
      <c r="N4" s="31">
        <f>'Historical growth capex'!N82/1000000</f>
        <v>1.8592661402102006</v>
      </c>
      <c r="O4" s="31">
        <f>'Historical growth capex'!O82/1000000</f>
        <v>7.1010090361805176</v>
      </c>
      <c r="P4" s="31">
        <f>'Historical growth capex'!P82/1000000</f>
        <v>2.9374702403394881</v>
      </c>
      <c r="Q4" s="31">
        <f>'Historical growth capex'!Q82/1000000</f>
        <v>2.0525905356485539</v>
      </c>
      <c r="R4" s="31">
        <f>'Historical growth capex'!R82/1000000</f>
        <v>7.1276089152656423</v>
      </c>
      <c r="S4" s="31">
        <f>'Historical growth capex'!S82/1000000</f>
        <v>9.2304677426647608</v>
      </c>
      <c r="T4" s="31">
        <f>'Historical growth capex'!T82/1000000</f>
        <v>4.2343357615217911</v>
      </c>
      <c r="U4" s="31">
        <f>'Historical growth capex'!U82/1000000</f>
        <v>1.6183504003868701</v>
      </c>
      <c r="V4" s="31">
        <f>'Historical growth capex'!V82/1000000</f>
        <v>1.5895273832542962</v>
      </c>
    </row>
    <row r="5" spans="3:46" x14ac:dyDescent="0.2">
      <c r="C5" s="33" t="s">
        <v>371</v>
      </c>
      <c r="E5" s="36">
        <f>SUM([15]CAPEX!D$44,0.5*[15]CAPEX!D$46)/'Historical growth capex'!E77*'Renewal capex'!$H53</f>
        <v>6.1011873216085988</v>
      </c>
      <c r="F5" s="36">
        <f>SUM([15]CAPEX!E$44,0.5*[15]CAPEX!E$46)/'Historical growth capex'!F77*'Renewal capex'!$H53</f>
        <v>6.7337108812000386</v>
      </c>
      <c r="G5" s="36">
        <f>SUM([15]CAPEX!F$44,0.5*[15]CAPEX!F$46)/'Historical growth capex'!G77*'Renewal capex'!$H53</f>
        <v>5.3708887458946952</v>
      </c>
      <c r="H5" s="36">
        <f>SUM([15]CAPEX!G$44,0.5*[15]CAPEX!G$46)/'Historical growth capex'!H77*'Renewal capex'!$H53</f>
        <v>4.205014474198169</v>
      </c>
      <c r="I5" s="36">
        <f>SUM([15]CAPEX!H$44,0.5*[15]CAPEX!H$46)/'Historical growth capex'!I77*'Renewal capex'!$H53</f>
        <v>5.1359729775887981</v>
      </c>
      <c r="J5" s="36">
        <f>SUM([15]CAPEX!I$44,0.5*[15]CAPEX!I$46)/'Historical growth capex'!J77*'Renewal capex'!$H53</f>
        <v>5.4209771852424709</v>
      </c>
      <c r="K5" s="36">
        <f>SUM([15]CAPEX!J$44,0.5*[15]CAPEX!J$46)/'Historical growth capex'!K77*'Renewal capex'!$H53</f>
        <v>7.6576029256350058</v>
      </c>
      <c r="L5" s="36">
        <f>SUM([15]CAPEX!K$44,0.5*[15]CAPEX!K$46)/'Historical growth capex'!L77*'Renewal capex'!$H53</f>
        <v>8.8751356224459723</v>
      </c>
      <c r="M5" s="36">
        <f>SUM('[16]Summary CAPEX $1718'!F$58,0.5*'[16]Summary CAPEX $1718'!F$60)/'Historical growth capex'!M77*'Renewal capex'!$H53</f>
        <v>8.6272038730141922</v>
      </c>
      <c r="N5" s="36">
        <f>SUM('[16]Summary CAPEX $1718'!G$58,0.5*'[16]Summary CAPEX $1718'!G$60)/'Historical growth capex'!N77*'Renewal capex'!$H53</f>
        <v>7.0568266804011035</v>
      </c>
      <c r="O5" s="36">
        <f>SUM('[16]Summary CAPEX $1718'!H$58,0.5*'[16]Summary CAPEX $1718'!H$60)/'Historical growth capex'!O77*'Renewal capex'!$H53</f>
        <v>6.3583059419502241</v>
      </c>
      <c r="P5" s="36">
        <f>SUM('[16]Summary CAPEX $1718'!I$58,0.5*'[16]Summary CAPEX $1718'!I$60)/'Historical growth capex'!P77*'Renewal capex'!$H53</f>
        <v>7.5646516891541848</v>
      </c>
      <c r="Q5" s="36">
        <f>SUM('[16]Summary CAPEX $1718'!J$58,0.5*'[16]Summary CAPEX $1718'!J$60)/'Historical growth capex'!Q77*'Renewal capex'!$H53</f>
        <v>8.0297998032851989</v>
      </c>
      <c r="R5" s="36">
        <f>'Renewal capex'!C57/'Historical growth capex'!R77/1000000</f>
        <v>10.652287696222277</v>
      </c>
      <c r="S5" s="36">
        <f>'Renewal capex'!D57/'Historical growth capex'!S77/1000000</f>
        <v>10.472316894566772</v>
      </c>
      <c r="T5" s="36">
        <f>'Renewal capex'!E57/'Historical growth capex'!T77/1000000</f>
        <v>12.02535606951327</v>
      </c>
      <c r="U5" s="36">
        <f>'Renewal capex'!F57/'Historical growth capex'!U77/1000000</f>
        <v>10.374691326850146</v>
      </c>
      <c r="V5" s="36">
        <f>'Renewal capex'!G57/'Historical growth capex'!V77/1000000</f>
        <v>9.1653765427568619</v>
      </c>
      <c r="W5" s="36"/>
      <c r="X5" s="36"/>
      <c r="Y5" s="36"/>
      <c r="Z5" s="36"/>
      <c r="AA5" s="36"/>
      <c r="AB5" s="36"/>
      <c r="AC5" s="36"/>
      <c r="AD5" s="36"/>
      <c r="AE5" s="36"/>
      <c r="AF5" s="36"/>
      <c r="AG5" s="36"/>
      <c r="AH5" s="36"/>
      <c r="AI5" s="36"/>
      <c r="AJ5" s="36"/>
      <c r="AK5" s="36"/>
      <c r="AL5" s="36"/>
      <c r="AM5" s="36"/>
      <c r="AN5" s="36"/>
      <c r="AO5" s="36"/>
      <c r="AP5" s="36"/>
      <c r="AQ5" s="36"/>
      <c r="AR5" s="36"/>
      <c r="AS5" s="36"/>
      <c r="AT5" s="36"/>
    </row>
    <row r="6" spans="3:46" x14ac:dyDescent="0.2">
      <c r="C6" s="33" t="s">
        <v>368</v>
      </c>
      <c r="E6" s="34">
        <f>D69/1000</f>
        <v>7.954966087499999</v>
      </c>
      <c r="F6" s="34">
        <f t="shared" ref="F6:V6" si="0">E69/1000</f>
        <v>1.74121413375</v>
      </c>
      <c r="G6" s="34">
        <f t="shared" si="0"/>
        <v>1.39822426125</v>
      </c>
      <c r="H6" s="34">
        <f t="shared" si="0"/>
        <v>3.4187451037499996</v>
      </c>
      <c r="I6" s="34">
        <f t="shared" si="0"/>
        <v>2.7695143687499999</v>
      </c>
      <c r="J6" s="34">
        <f t="shared" si="0"/>
        <v>4.8525547424999997</v>
      </c>
      <c r="K6" s="34">
        <f t="shared" si="0"/>
        <v>7.4517382087499993</v>
      </c>
      <c r="L6" s="34">
        <f t="shared" si="0"/>
        <v>8.310047141250001</v>
      </c>
      <c r="M6" s="34">
        <f t="shared" si="0"/>
        <v>5.8766309737499993</v>
      </c>
      <c r="N6" s="34">
        <f t="shared" si="0"/>
        <v>5.2735196662500003</v>
      </c>
      <c r="O6" s="34">
        <f t="shared" si="0"/>
        <v>5.6684111137500004</v>
      </c>
      <c r="P6" s="34">
        <f t="shared" si="0"/>
        <v>7.4683219237500005</v>
      </c>
      <c r="Q6" s="34">
        <f t="shared" si="0"/>
        <v>8.1732875287500022</v>
      </c>
      <c r="R6" s="34">
        <f t="shared" si="0"/>
        <v>7.5000609000000003</v>
      </c>
      <c r="S6" s="34">
        <f t="shared" si="0"/>
        <v>8.9361234824999993</v>
      </c>
      <c r="T6" s="34">
        <f t="shared" si="0"/>
        <v>10.61305864875</v>
      </c>
      <c r="U6" s="34">
        <f t="shared" si="0"/>
        <v>11.578030713750001</v>
      </c>
      <c r="V6" s="34">
        <f t="shared" si="0"/>
        <v>10.25273713875</v>
      </c>
    </row>
    <row r="7" spans="3:46" x14ac:dyDescent="0.2">
      <c r="C7" s="33" t="s">
        <v>370</v>
      </c>
      <c r="E7" s="36">
        <f>E5+E4-E6</f>
        <v>7.9777100251959876</v>
      </c>
      <c r="F7" s="36">
        <f t="shared" ref="F7:V7" si="1">F5+F4-F6</f>
        <v>11.710662309146356</v>
      </c>
      <c r="G7" s="36">
        <f t="shared" si="1"/>
        <v>8.9806189519296957</v>
      </c>
      <c r="H7" s="36">
        <f t="shared" si="1"/>
        <v>6.0503020473160927</v>
      </c>
      <c r="I7" s="36">
        <f t="shared" si="1"/>
        <v>8.1549921680324857</v>
      </c>
      <c r="J7" s="36">
        <f t="shared" si="1"/>
        <v>4.0802574394125797</v>
      </c>
      <c r="K7" s="36">
        <f t="shared" si="1"/>
        <v>6.0949566097459762</v>
      </c>
      <c r="L7" s="36">
        <f t="shared" si="1"/>
        <v>5.6404215423599862</v>
      </c>
      <c r="M7" s="36">
        <f t="shared" si="1"/>
        <v>10.06867302207932</v>
      </c>
      <c r="N7" s="36">
        <f t="shared" si="1"/>
        <v>3.6425731543613038</v>
      </c>
      <c r="O7" s="36">
        <f t="shared" si="1"/>
        <v>7.7909038643807413</v>
      </c>
      <c r="P7" s="36">
        <f t="shared" si="1"/>
        <v>3.0338000057436716</v>
      </c>
      <c r="Q7" s="36">
        <f t="shared" si="1"/>
        <v>1.9091028101837502</v>
      </c>
      <c r="R7" s="36">
        <f t="shared" si="1"/>
        <v>10.27983571148792</v>
      </c>
      <c r="S7" s="36">
        <f t="shared" si="1"/>
        <v>10.766661154731532</v>
      </c>
      <c r="T7" s="36">
        <f t="shared" si="1"/>
        <v>5.6466331822850631</v>
      </c>
      <c r="U7" s="36">
        <f t="shared" si="1"/>
        <v>0.41501101348701397</v>
      </c>
      <c r="V7" s="36">
        <f t="shared" si="1"/>
        <v>0.50216678726115838</v>
      </c>
      <c r="W7" s="36">
        <f>SUM(E7:V7)</f>
        <v>112.74528179914064</v>
      </c>
    </row>
    <row r="8" spans="3:46" x14ac:dyDescent="0.2">
      <c r="W8" s="36"/>
    </row>
    <row r="9" spans="3:46" x14ac:dyDescent="0.2">
      <c r="E9" s="36"/>
      <c r="F9" s="36"/>
      <c r="G9" s="36"/>
      <c r="H9" s="36"/>
      <c r="I9" s="36"/>
      <c r="J9" s="36"/>
      <c r="K9" s="36"/>
      <c r="L9" s="36"/>
      <c r="M9" s="36"/>
      <c r="N9" s="36"/>
      <c r="O9" s="36"/>
      <c r="P9" s="36"/>
      <c r="Q9" s="36"/>
      <c r="R9" s="36"/>
      <c r="S9" s="36"/>
      <c r="T9" s="36"/>
      <c r="U9" s="36"/>
    </row>
    <row r="10" spans="3:46" x14ac:dyDescent="0.2">
      <c r="E10" s="36"/>
      <c r="F10" s="36"/>
      <c r="G10" s="36"/>
      <c r="H10" s="36"/>
      <c r="I10" s="36"/>
      <c r="J10" s="36"/>
      <c r="K10" s="36"/>
      <c r="L10" s="36"/>
      <c r="M10" s="36"/>
      <c r="N10" s="36"/>
      <c r="O10" s="36"/>
      <c r="P10" s="36"/>
      <c r="Q10" s="36"/>
      <c r="R10" s="36"/>
      <c r="S10" s="36"/>
      <c r="T10" s="36"/>
      <c r="U10" s="36"/>
    </row>
    <row r="12" spans="3:46" ht="15.75" x14ac:dyDescent="0.25">
      <c r="Q12"/>
      <c r="R12"/>
      <c r="S12"/>
      <c r="T12"/>
      <c r="U12"/>
      <c r="V12"/>
    </row>
    <row r="13" spans="3:46" s="31" customFormat="1" x14ac:dyDescent="0.2">
      <c r="C13" s="31" t="s">
        <v>220</v>
      </c>
      <c r="D13" s="31" t="s">
        <v>221</v>
      </c>
      <c r="E13" s="31" t="s">
        <v>177</v>
      </c>
      <c r="F13" s="31" t="s">
        <v>178</v>
      </c>
      <c r="G13" s="31" t="s">
        <v>179</v>
      </c>
      <c r="H13" s="31" t="s">
        <v>180</v>
      </c>
      <c r="I13" s="31" t="s">
        <v>181</v>
      </c>
      <c r="J13" s="31" t="s">
        <v>182</v>
      </c>
      <c r="K13" s="31" t="s">
        <v>189</v>
      </c>
      <c r="L13" s="31" t="s">
        <v>190</v>
      </c>
      <c r="M13" s="31" t="s">
        <v>191</v>
      </c>
      <c r="N13" s="31" t="s">
        <v>192</v>
      </c>
      <c r="O13" s="31" t="s">
        <v>193</v>
      </c>
      <c r="P13" s="31" t="s">
        <v>194</v>
      </c>
      <c r="Q13" s="31" t="s">
        <v>195</v>
      </c>
      <c r="R13" s="31" t="s">
        <v>183</v>
      </c>
      <c r="S13" s="37" t="s">
        <v>196</v>
      </c>
      <c r="T13" s="37" t="s">
        <v>197</v>
      </c>
      <c r="U13" s="37" t="s">
        <v>198</v>
      </c>
      <c r="V13" s="37" t="s">
        <v>199</v>
      </c>
      <c r="W13" s="31" t="s">
        <v>365</v>
      </c>
      <c r="X13" s="37"/>
    </row>
    <row r="14" spans="3:46" x14ac:dyDescent="0.2">
      <c r="C14" s="33" t="s">
        <v>177</v>
      </c>
      <c r="D14" s="33">
        <v>80</v>
      </c>
      <c r="E14" s="36">
        <f>$E$7/$D$14/2</f>
        <v>4.9860687657474922E-2</v>
      </c>
      <c r="F14" s="36">
        <f t="shared" ref="F14:V14" si="2">$E$7/$D$14</f>
        <v>9.9721375314949845E-2</v>
      </c>
      <c r="G14" s="36">
        <f t="shared" si="2"/>
        <v>9.9721375314949845E-2</v>
      </c>
      <c r="H14" s="36">
        <f t="shared" si="2"/>
        <v>9.9721375314949845E-2</v>
      </c>
      <c r="I14" s="36">
        <f t="shared" si="2"/>
        <v>9.9721375314949845E-2</v>
      </c>
      <c r="J14" s="36">
        <f t="shared" si="2"/>
        <v>9.9721375314949845E-2</v>
      </c>
      <c r="K14" s="36">
        <f t="shared" si="2"/>
        <v>9.9721375314949845E-2</v>
      </c>
      <c r="L14" s="36">
        <f t="shared" si="2"/>
        <v>9.9721375314949845E-2</v>
      </c>
      <c r="M14" s="36">
        <f t="shared" si="2"/>
        <v>9.9721375314949845E-2</v>
      </c>
      <c r="N14" s="36">
        <f t="shared" si="2"/>
        <v>9.9721375314949845E-2</v>
      </c>
      <c r="O14" s="36">
        <f t="shared" si="2"/>
        <v>9.9721375314949845E-2</v>
      </c>
      <c r="P14" s="36">
        <f t="shared" si="2"/>
        <v>9.9721375314949845E-2</v>
      </c>
      <c r="Q14" s="36">
        <f t="shared" si="2"/>
        <v>9.9721375314949845E-2</v>
      </c>
      <c r="R14" s="36">
        <f t="shared" si="2"/>
        <v>9.9721375314949845E-2</v>
      </c>
      <c r="S14" s="36">
        <f t="shared" si="2"/>
        <v>9.9721375314949845E-2</v>
      </c>
      <c r="T14" s="36">
        <f t="shared" si="2"/>
        <v>9.9721375314949845E-2</v>
      </c>
      <c r="U14" s="36">
        <f t="shared" si="2"/>
        <v>9.9721375314949845E-2</v>
      </c>
      <c r="V14" s="36">
        <f t="shared" si="2"/>
        <v>9.9721375314949845E-2</v>
      </c>
      <c r="W14" s="36"/>
    </row>
    <row r="15" spans="3:46" x14ac:dyDescent="0.2">
      <c r="C15" s="33" t="s">
        <v>178</v>
      </c>
      <c r="D15" s="33">
        <v>80</v>
      </c>
      <c r="E15" s="36"/>
      <c r="F15" s="36">
        <f>$F$7/$D$15/2</f>
        <v>7.3191639432164723E-2</v>
      </c>
      <c r="G15" s="36">
        <f t="shared" ref="G15:V15" si="3">$F$7/$D$15</f>
        <v>0.14638327886432945</v>
      </c>
      <c r="H15" s="36">
        <f t="shared" si="3"/>
        <v>0.14638327886432945</v>
      </c>
      <c r="I15" s="36">
        <f t="shared" si="3"/>
        <v>0.14638327886432945</v>
      </c>
      <c r="J15" s="36">
        <f t="shared" si="3"/>
        <v>0.14638327886432945</v>
      </c>
      <c r="K15" s="36">
        <f t="shared" si="3"/>
        <v>0.14638327886432945</v>
      </c>
      <c r="L15" s="36">
        <f t="shared" si="3"/>
        <v>0.14638327886432945</v>
      </c>
      <c r="M15" s="36">
        <f t="shared" si="3"/>
        <v>0.14638327886432945</v>
      </c>
      <c r="N15" s="36">
        <f t="shared" si="3"/>
        <v>0.14638327886432945</v>
      </c>
      <c r="O15" s="36">
        <f t="shared" si="3"/>
        <v>0.14638327886432945</v>
      </c>
      <c r="P15" s="36">
        <f t="shared" si="3"/>
        <v>0.14638327886432945</v>
      </c>
      <c r="Q15" s="36">
        <f t="shared" si="3"/>
        <v>0.14638327886432945</v>
      </c>
      <c r="R15" s="36">
        <f t="shared" si="3"/>
        <v>0.14638327886432945</v>
      </c>
      <c r="S15" s="36">
        <f t="shared" si="3"/>
        <v>0.14638327886432945</v>
      </c>
      <c r="T15" s="36">
        <f t="shared" si="3"/>
        <v>0.14638327886432945</v>
      </c>
      <c r="U15" s="36">
        <f t="shared" si="3"/>
        <v>0.14638327886432945</v>
      </c>
      <c r="V15" s="36">
        <f t="shared" si="3"/>
        <v>0.14638327886432945</v>
      </c>
      <c r="W15" s="36"/>
    </row>
    <row r="16" spans="3:46" x14ac:dyDescent="0.2">
      <c r="C16" s="33" t="s">
        <v>179</v>
      </c>
      <c r="D16" s="33">
        <v>80</v>
      </c>
      <c r="E16" s="36"/>
      <c r="F16" s="36"/>
      <c r="G16" s="36">
        <f>$G$7/$D$16/2</f>
        <v>5.6128868449560596E-2</v>
      </c>
      <c r="H16" s="36">
        <f t="shared" ref="H16:V16" si="4">$G$7/$D$16</f>
        <v>0.11225773689912119</v>
      </c>
      <c r="I16" s="36">
        <f t="shared" si="4"/>
        <v>0.11225773689912119</v>
      </c>
      <c r="J16" s="36">
        <f t="shared" si="4"/>
        <v>0.11225773689912119</v>
      </c>
      <c r="K16" s="36">
        <f t="shared" si="4"/>
        <v>0.11225773689912119</v>
      </c>
      <c r="L16" s="36">
        <f t="shared" si="4"/>
        <v>0.11225773689912119</v>
      </c>
      <c r="M16" s="36">
        <f t="shared" si="4"/>
        <v>0.11225773689912119</v>
      </c>
      <c r="N16" s="36">
        <f t="shared" si="4"/>
        <v>0.11225773689912119</v>
      </c>
      <c r="O16" s="36">
        <f t="shared" si="4"/>
        <v>0.11225773689912119</v>
      </c>
      <c r="P16" s="36">
        <f t="shared" si="4"/>
        <v>0.11225773689912119</v>
      </c>
      <c r="Q16" s="36">
        <f t="shared" si="4"/>
        <v>0.11225773689912119</v>
      </c>
      <c r="R16" s="36">
        <f t="shared" si="4"/>
        <v>0.11225773689912119</v>
      </c>
      <c r="S16" s="36">
        <f t="shared" si="4"/>
        <v>0.11225773689912119</v>
      </c>
      <c r="T16" s="36">
        <f t="shared" si="4"/>
        <v>0.11225773689912119</v>
      </c>
      <c r="U16" s="36">
        <f t="shared" si="4"/>
        <v>0.11225773689912119</v>
      </c>
      <c r="V16" s="36">
        <f t="shared" si="4"/>
        <v>0.11225773689912119</v>
      </c>
      <c r="W16" s="36"/>
    </row>
    <row r="17" spans="3:24" x14ac:dyDescent="0.2">
      <c r="C17" s="33" t="s">
        <v>180</v>
      </c>
      <c r="D17" s="33">
        <v>80</v>
      </c>
      <c r="E17" s="36"/>
      <c r="F17" s="36"/>
      <c r="G17" s="36"/>
      <c r="H17" s="36">
        <f>$H$7/$D$17/2</f>
        <v>3.7814387795725581E-2</v>
      </c>
      <c r="I17" s="36">
        <f t="shared" ref="I17:V17" si="5">$H$7/$D$17</f>
        <v>7.5628775591451161E-2</v>
      </c>
      <c r="J17" s="36">
        <f t="shared" si="5"/>
        <v>7.5628775591451161E-2</v>
      </c>
      <c r="K17" s="36">
        <f t="shared" si="5"/>
        <v>7.5628775591451161E-2</v>
      </c>
      <c r="L17" s="36">
        <f t="shared" si="5"/>
        <v>7.5628775591451161E-2</v>
      </c>
      <c r="M17" s="36">
        <f t="shared" si="5"/>
        <v>7.5628775591451161E-2</v>
      </c>
      <c r="N17" s="36">
        <f t="shared" si="5"/>
        <v>7.5628775591451161E-2</v>
      </c>
      <c r="O17" s="36">
        <f t="shared" si="5"/>
        <v>7.5628775591451161E-2</v>
      </c>
      <c r="P17" s="36">
        <f t="shared" si="5"/>
        <v>7.5628775591451161E-2</v>
      </c>
      <c r="Q17" s="36">
        <f t="shared" si="5"/>
        <v>7.5628775591451161E-2</v>
      </c>
      <c r="R17" s="36">
        <f t="shared" si="5"/>
        <v>7.5628775591451161E-2</v>
      </c>
      <c r="S17" s="36">
        <f t="shared" si="5"/>
        <v>7.5628775591451161E-2</v>
      </c>
      <c r="T17" s="36">
        <f t="shared" si="5"/>
        <v>7.5628775591451161E-2</v>
      </c>
      <c r="U17" s="36">
        <f t="shared" si="5"/>
        <v>7.5628775591451161E-2</v>
      </c>
      <c r="V17" s="36">
        <f t="shared" si="5"/>
        <v>7.5628775591451161E-2</v>
      </c>
      <c r="W17" s="36"/>
    </row>
    <row r="18" spans="3:24" x14ac:dyDescent="0.2">
      <c r="C18" s="33" t="s">
        <v>181</v>
      </c>
      <c r="D18" s="33">
        <v>80</v>
      </c>
      <c r="E18" s="36"/>
      <c r="F18" s="36"/>
      <c r="G18" s="36"/>
      <c r="H18" s="36"/>
      <c r="I18" s="36">
        <f>$I$7/$D$18/2</f>
        <v>5.0968701050203034E-2</v>
      </c>
      <c r="J18" s="36">
        <f t="shared" ref="J18:V18" si="6">$I$7/$D$18</f>
        <v>0.10193740210040607</v>
      </c>
      <c r="K18" s="36">
        <f t="shared" si="6"/>
        <v>0.10193740210040607</v>
      </c>
      <c r="L18" s="36">
        <f t="shared" si="6"/>
        <v>0.10193740210040607</v>
      </c>
      <c r="M18" s="36">
        <f t="shared" si="6"/>
        <v>0.10193740210040607</v>
      </c>
      <c r="N18" s="36">
        <f t="shared" si="6"/>
        <v>0.10193740210040607</v>
      </c>
      <c r="O18" s="36">
        <f t="shared" si="6"/>
        <v>0.10193740210040607</v>
      </c>
      <c r="P18" s="36">
        <f t="shared" si="6"/>
        <v>0.10193740210040607</v>
      </c>
      <c r="Q18" s="36">
        <f t="shared" si="6"/>
        <v>0.10193740210040607</v>
      </c>
      <c r="R18" s="36">
        <f t="shared" si="6"/>
        <v>0.10193740210040607</v>
      </c>
      <c r="S18" s="36">
        <f t="shared" si="6"/>
        <v>0.10193740210040607</v>
      </c>
      <c r="T18" s="36">
        <f t="shared" si="6"/>
        <v>0.10193740210040607</v>
      </c>
      <c r="U18" s="36">
        <f t="shared" si="6"/>
        <v>0.10193740210040607</v>
      </c>
      <c r="V18" s="36">
        <f t="shared" si="6"/>
        <v>0.10193740210040607</v>
      </c>
      <c r="W18" s="36"/>
    </row>
    <row r="19" spans="3:24" x14ac:dyDescent="0.2">
      <c r="C19" s="33" t="s">
        <v>182</v>
      </c>
      <c r="D19" s="33">
        <v>80</v>
      </c>
      <c r="E19" s="36"/>
      <c r="F19" s="36"/>
      <c r="G19" s="36"/>
      <c r="H19" s="36"/>
      <c r="I19" s="36"/>
      <c r="J19" s="36">
        <f t="shared" ref="J19:V19" si="7">$J$7/$D$19/2</f>
        <v>2.5501608996328622E-2</v>
      </c>
      <c r="K19" s="36">
        <f t="shared" si="7"/>
        <v>2.5501608996328622E-2</v>
      </c>
      <c r="L19" s="36">
        <f t="shared" si="7"/>
        <v>2.5501608996328622E-2</v>
      </c>
      <c r="M19" s="36">
        <f t="shared" si="7"/>
        <v>2.5501608996328622E-2</v>
      </c>
      <c r="N19" s="36">
        <f t="shared" si="7"/>
        <v>2.5501608996328622E-2</v>
      </c>
      <c r="O19" s="36">
        <f t="shared" si="7"/>
        <v>2.5501608996328622E-2</v>
      </c>
      <c r="P19" s="36">
        <f t="shared" si="7"/>
        <v>2.5501608996328622E-2</v>
      </c>
      <c r="Q19" s="36">
        <f t="shared" si="7"/>
        <v>2.5501608996328622E-2</v>
      </c>
      <c r="R19" s="36">
        <f t="shared" si="7"/>
        <v>2.5501608996328622E-2</v>
      </c>
      <c r="S19" s="36">
        <f t="shared" si="7"/>
        <v>2.5501608996328622E-2</v>
      </c>
      <c r="T19" s="36">
        <f t="shared" si="7"/>
        <v>2.5501608996328622E-2</v>
      </c>
      <c r="U19" s="36">
        <f t="shared" si="7"/>
        <v>2.5501608996328622E-2</v>
      </c>
      <c r="V19" s="36">
        <f t="shared" si="7"/>
        <v>2.5501608996328622E-2</v>
      </c>
      <c r="W19" s="36"/>
    </row>
    <row r="20" spans="3:24" x14ac:dyDescent="0.2">
      <c r="C20" s="33" t="s">
        <v>189</v>
      </c>
      <c r="D20" s="33">
        <v>80</v>
      </c>
      <c r="E20" s="36"/>
      <c r="F20" s="36"/>
      <c r="G20" s="36"/>
      <c r="H20" s="36"/>
      <c r="I20" s="36"/>
      <c r="J20" s="36"/>
      <c r="K20" s="36">
        <f>$K$7/$D$20/2</f>
        <v>3.8093478810912351E-2</v>
      </c>
      <c r="L20" s="36">
        <f t="shared" ref="L20:V20" si="8">$K$7/$D$20</f>
        <v>7.6186957621824702E-2</v>
      </c>
      <c r="M20" s="36">
        <f t="shared" si="8"/>
        <v>7.6186957621824702E-2</v>
      </c>
      <c r="N20" s="36">
        <f t="shared" si="8"/>
        <v>7.6186957621824702E-2</v>
      </c>
      <c r="O20" s="36">
        <f t="shared" si="8"/>
        <v>7.6186957621824702E-2</v>
      </c>
      <c r="P20" s="36">
        <f t="shared" si="8"/>
        <v>7.6186957621824702E-2</v>
      </c>
      <c r="Q20" s="36">
        <f t="shared" si="8"/>
        <v>7.6186957621824702E-2</v>
      </c>
      <c r="R20" s="36">
        <f t="shared" si="8"/>
        <v>7.6186957621824702E-2</v>
      </c>
      <c r="S20" s="36">
        <f t="shared" si="8"/>
        <v>7.6186957621824702E-2</v>
      </c>
      <c r="T20" s="36">
        <f t="shared" si="8"/>
        <v>7.6186957621824702E-2</v>
      </c>
      <c r="U20" s="36">
        <f t="shared" si="8"/>
        <v>7.6186957621824702E-2</v>
      </c>
      <c r="V20" s="36">
        <f t="shared" si="8"/>
        <v>7.6186957621824702E-2</v>
      </c>
      <c r="W20" s="36"/>
    </row>
    <row r="21" spans="3:24" x14ac:dyDescent="0.2">
      <c r="C21" s="33" t="s">
        <v>190</v>
      </c>
      <c r="D21" s="33">
        <v>80</v>
      </c>
      <c r="E21" s="36"/>
      <c r="F21" s="36"/>
      <c r="G21" s="36"/>
      <c r="H21" s="36"/>
      <c r="I21" s="36"/>
      <c r="J21" s="36"/>
      <c r="K21" s="36"/>
      <c r="L21" s="36">
        <f>$L$7/$D$21/2</f>
        <v>3.5252634639749911E-2</v>
      </c>
      <c r="M21" s="36">
        <f t="shared" ref="M21:V21" si="9">$L$7/$D$21</f>
        <v>7.0505269279499821E-2</v>
      </c>
      <c r="N21" s="36">
        <f t="shared" si="9"/>
        <v>7.0505269279499821E-2</v>
      </c>
      <c r="O21" s="36">
        <f t="shared" si="9"/>
        <v>7.0505269279499821E-2</v>
      </c>
      <c r="P21" s="36">
        <f t="shared" si="9"/>
        <v>7.0505269279499821E-2</v>
      </c>
      <c r="Q21" s="36">
        <f t="shared" si="9"/>
        <v>7.0505269279499821E-2</v>
      </c>
      <c r="R21" s="36">
        <f t="shared" si="9"/>
        <v>7.0505269279499821E-2</v>
      </c>
      <c r="S21" s="36">
        <f t="shared" si="9"/>
        <v>7.0505269279499821E-2</v>
      </c>
      <c r="T21" s="36">
        <f t="shared" si="9"/>
        <v>7.0505269279499821E-2</v>
      </c>
      <c r="U21" s="36">
        <f t="shared" si="9"/>
        <v>7.0505269279499821E-2</v>
      </c>
      <c r="V21" s="36">
        <f t="shared" si="9"/>
        <v>7.0505269279499821E-2</v>
      </c>
      <c r="W21" s="36"/>
    </row>
    <row r="22" spans="3:24" x14ac:dyDescent="0.2">
      <c r="C22" s="33" t="s">
        <v>191</v>
      </c>
      <c r="D22" s="33">
        <v>80</v>
      </c>
      <c r="E22" s="36"/>
      <c r="F22" s="36"/>
      <c r="G22" s="36"/>
      <c r="H22" s="36"/>
      <c r="I22" s="36"/>
      <c r="J22" s="36"/>
      <c r="K22" s="36"/>
      <c r="L22" s="36"/>
      <c r="M22" s="36">
        <f>$M$7/$D$22/2</f>
        <v>6.2929206387995748E-2</v>
      </c>
      <c r="N22" s="36">
        <f t="shared" ref="N22:V22" si="10">$M$7/$D$22</f>
        <v>0.1258584127759915</v>
      </c>
      <c r="O22" s="36">
        <f t="shared" si="10"/>
        <v>0.1258584127759915</v>
      </c>
      <c r="P22" s="36">
        <f t="shared" si="10"/>
        <v>0.1258584127759915</v>
      </c>
      <c r="Q22" s="36">
        <f t="shared" si="10"/>
        <v>0.1258584127759915</v>
      </c>
      <c r="R22" s="36">
        <f t="shared" si="10"/>
        <v>0.1258584127759915</v>
      </c>
      <c r="S22" s="36">
        <f t="shared" si="10"/>
        <v>0.1258584127759915</v>
      </c>
      <c r="T22" s="36">
        <f t="shared" si="10"/>
        <v>0.1258584127759915</v>
      </c>
      <c r="U22" s="36">
        <f t="shared" si="10"/>
        <v>0.1258584127759915</v>
      </c>
      <c r="V22" s="36">
        <f t="shared" si="10"/>
        <v>0.1258584127759915</v>
      </c>
      <c r="W22" s="36"/>
    </row>
    <row r="23" spans="3:24" x14ac:dyDescent="0.2">
      <c r="C23" s="33" t="s">
        <v>192</v>
      </c>
      <c r="D23" s="33">
        <v>80</v>
      </c>
      <c r="E23" s="36"/>
      <c r="F23" s="36"/>
      <c r="G23" s="36"/>
      <c r="H23" s="36"/>
      <c r="I23" s="36"/>
      <c r="J23" s="36"/>
      <c r="K23" s="36"/>
      <c r="L23" s="36"/>
      <c r="M23" s="36"/>
      <c r="N23" s="36">
        <f>$N$7/$D$23</f>
        <v>4.5532164429516297E-2</v>
      </c>
      <c r="O23" s="36">
        <f t="shared" ref="O23:V23" si="11">$N$7/$D$23/2</f>
        <v>2.2766082214758149E-2</v>
      </c>
      <c r="P23" s="36">
        <f t="shared" si="11"/>
        <v>2.2766082214758149E-2</v>
      </c>
      <c r="Q23" s="36">
        <f t="shared" si="11"/>
        <v>2.2766082214758149E-2</v>
      </c>
      <c r="R23" s="36">
        <f t="shared" si="11"/>
        <v>2.2766082214758149E-2</v>
      </c>
      <c r="S23" s="36">
        <f t="shared" si="11"/>
        <v>2.2766082214758149E-2</v>
      </c>
      <c r="T23" s="36">
        <f t="shared" si="11"/>
        <v>2.2766082214758149E-2</v>
      </c>
      <c r="U23" s="36">
        <f t="shared" si="11"/>
        <v>2.2766082214758149E-2</v>
      </c>
      <c r="V23" s="36">
        <f t="shared" si="11"/>
        <v>2.2766082214758149E-2</v>
      </c>
      <c r="W23" s="36"/>
    </row>
    <row r="24" spans="3:24" x14ac:dyDescent="0.2">
      <c r="C24" s="33" t="s">
        <v>193</v>
      </c>
      <c r="D24" s="33">
        <v>80</v>
      </c>
      <c r="E24" s="36"/>
      <c r="F24" s="36"/>
      <c r="G24" s="36"/>
      <c r="H24" s="36"/>
      <c r="I24" s="36"/>
      <c r="J24" s="36"/>
      <c r="K24" s="36"/>
      <c r="L24" s="36"/>
      <c r="M24" s="36"/>
      <c r="O24" s="36">
        <f>$O$7/$D$23/2</f>
        <v>4.8693149152379635E-2</v>
      </c>
      <c r="P24" s="36">
        <f t="shared" ref="P24:V24" si="12">$O$7/$D$23</f>
        <v>9.738629830475927E-2</v>
      </c>
      <c r="Q24" s="36">
        <f t="shared" si="12"/>
        <v>9.738629830475927E-2</v>
      </c>
      <c r="R24" s="36">
        <f t="shared" si="12"/>
        <v>9.738629830475927E-2</v>
      </c>
      <c r="S24" s="36">
        <f t="shared" si="12"/>
        <v>9.738629830475927E-2</v>
      </c>
      <c r="T24" s="36">
        <f t="shared" si="12"/>
        <v>9.738629830475927E-2</v>
      </c>
      <c r="U24" s="36">
        <f t="shared" si="12"/>
        <v>9.738629830475927E-2</v>
      </c>
      <c r="V24" s="36">
        <f t="shared" si="12"/>
        <v>9.738629830475927E-2</v>
      </c>
      <c r="W24" s="36"/>
    </row>
    <row r="25" spans="3:24" x14ac:dyDescent="0.2">
      <c r="C25" s="33" t="s">
        <v>194</v>
      </c>
      <c r="D25" s="33">
        <v>80</v>
      </c>
      <c r="E25" s="36"/>
      <c r="F25" s="36"/>
      <c r="G25" s="36"/>
      <c r="H25" s="36"/>
      <c r="I25" s="36"/>
      <c r="J25" s="36"/>
      <c r="K25" s="36"/>
      <c r="L25" s="36"/>
      <c r="M25" s="36"/>
      <c r="P25" s="36">
        <f>$P$7/$D$25/2</f>
        <v>1.8961250035897947E-2</v>
      </c>
      <c r="Q25" s="36">
        <f t="shared" ref="Q25:V25" si="13">$P$7/$D$25</f>
        <v>3.7922500071795893E-2</v>
      </c>
      <c r="R25" s="36">
        <f t="shared" si="13"/>
        <v>3.7922500071795893E-2</v>
      </c>
      <c r="S25" s="36">
        <f t="shared" si="13"/>
        <v>3.7922500071795893E-2</v>
      </c>
      <c r="T25" s="36">
        <f t="shared" si="13"/>
        <v>3.7922500071795893E-2</v>
      </c>
      <c r="U25" s="36">
        <f t="shared" si="13"/>
        <v>3.7922500071795893E-2</v>
      </c>
      <c r="V25" s="36">
        <f t="shared" si="13"/>
        <v>3.7922500071795893E-2</v>
      </c>
      <c r="W25" s="36"/>
    </row>
    <row r="26" spans="3:24" x14ac:dyDescent="0.2">
      <c r="C26" s="33" t="s">
        <v>195</v>
      </c>
      <c r="D26" s="33">
        <v>80</v>
      </c>
      <c r="E26" s="36"/>
      <c r="F26" s="36"/>
      <c r="G26" s="36"/>
      <c r="H26" s="36"/>
      <c r="I26" s="36"/>
      <c r="J26" s="36"/>
      <c r="K26" s="36"/>
      <c r="L26" s="36"/>
      <c r="M26" s="36"/>
      <c r="Q26" s="36">
        <f>$Q$7/$D$26/2</f>
        <v>1.1931892563648438E-2</v>
      </c>
      <c r="R26" s="36">
        <f>$Q$7/$D$26/2</f>
        <v>1.1931892563648438E-2</v>
      </c>
      <c r="S26" s="36">
        <f>$Q$7/$D$26</f>
        <v>2.3863785127296876E-2</v>
      </c>
      <c r="T26" s="36">
        <f>$Q$7/$D$26</f>
        <v>2.3863785127296876E-2</v>
      </c>
      <c r="U26" s="36">
        <f>$Q$7/$D$26</f>
        <v>2.3863785127296876E-2</v>
      </c>
      <c r="V26" s="36">
        <f>$Q$7/$D$26</f>
        <v>2.3863785127296876E-2</v>
      </c>
      <c r="W26" s="36"/>
    </row>
    <row r="27" spans="3:24" x14ac:dyDescent="0.2">
      <c r="C27" s="33" t="s">
        <v>183</v>
      </c>
      <c r="D27" s="33">
        <v>80</v>
      </c>
      <c r="E27" s="36"/>
      <c r="F27" s="36"/>
      <c r="G27" s="36"/>
      <c r="H27" s="36"/>
      <c r="I27" s="36"/>
      <c r="J27" s="36"/>
      <c r="K27" s="36"/>
      <c r="L27" s="36"/>
      <c r="M27" s="36"/>
      <c r="Q27" s="36"/>
      <c r="R27" s="36">
        <f>$R$7/$D$27/2</f>
        <v>6.4248973196799494E-2</v>
      </c>
      <c r="S27" s="36">
        <f>$R$7/$D$27</f>
        <v>0.12849794639359899</v>
      </c>
      <c r="T27" s="36">
        <f>$R$7/$D$27</f>
        <v>0.12849794639359899</v>
      </c>
      <c r="U27" s="36">
        <f>$R$7/$D$27</f>
        <v>0.12849794639359899</v>
      </c>
      <c r="V27" s="36">
        <f>$R$7/$D$27</f>
        <v>0.12849794639359899</v>
      </c>
      <c r="W27" s="36"/>
    </row>
    <row r="28" spans="3:24" x14ac:dyDescent="0.2">
      <c r="C28" s="33" t="s">
        <v>196</v>
      </c>
      <c r="D28" s="33">
        <v>80</v>
      </c>
      <c r="S28" s="36">
        <f>$S$7/$D$28/2</f>
        <v>6.7291632217072073E-2</v>
      </c>
      <c r="T28" s="36">
        <f>$S$7/$D$28</f>
        <v>0.13458326443414415</v>
      </c>
      <c r="U28" s="36">
        <f t="shared" ref="U28:V28" si="14">$S$7/$D$28</f>
        <v>0.13458326443414415</v>
      </c>
      <c r="V28" s="36">
        <f t="shared" si="14"/>
        <v>0.13458326443414415</v>
      </c>
      <c r="W28" s="36"/>
    </row>
    <row r="29" spans="3:24" x14ac:dyDescent="0.2">
      <c r="C29" s="33" t="s">
        <v>197</v>
      </c>
      <c r="D29" s="33">
        <v>80</v>
      </c>
      <c r="S29" s="38"/>
      <c r="T29" s="36">
        <f>$T$7/$D$29/2</f>
        <v>3.5291457389281647E-2</v>
      </c>
      <c r="U29" s="36">
        <f>$T$7/$D$29</f>
        <v>7.0582914778563294E-2</v>
      </c>
      <c r="V29" s="36">
        <f>$T$7/$D$29</f>
        <v>7.0582914778563294E-2</v>
      </c>
      <c r="W29" s="36"/>
      <c r="X29" s="38"/>
    </row>
    <row r="30" spans="3:24" x14ac:dyDescent="0.2">
      <c r="C30" s="33" t="s">
        <v>198</v>
      </c>
      <c r="D30" s="33">
        <v>80</v>
      </c>
      <c r="U30" s="36">
        <f>$U$7/$D$30/2</f>
        <v>2.5938188342938375E-3</v>
      </c>
      <c r="V30" s="36">
        <f>$U$7/$D$30</f>
        <v>5.187637668587675E-3</v>
      </c>
      <c r="W30" s="36"/>
    </row>
    <row r="31" spans="3:24" x14ac:dyDescent="0.2">
      <c r="C31" s="33" t="s">
        <v>199</v>
      </c>
      <c r="D31" s="33">
        <v>80</v>
      </c>
      <c r="V31" s="36">
        <f>$V$7/$D$31/2</f>
        <v>3.1385424203822397E-3</v>
      </c>
      <c r="W31" s="36"/>
    </row>
    <row r="32" spans="3:24" x14ac:dyDescent="0.2">
      <c r="D32" s="31" t="s">
        <v>221</v>
      </c>
      <c r="E32" s="32">
        <f t="shared" ref="E32:V32" si="15">SUM(E14:E31)</f>
        <v>4.9860687657474922E-2</v>
      </c>
      <c r="F32" s="32">
        <f t="shared" si="15"/>
        <v>0.17291301474711457</v>
      </c>
      <c r="G32" s="32">
        <f t="shared" si="15"/>
        <v>0.3022335226288399</v>
      </c>
      <c r="H32" s="32">
        <f t="shared" si="15"/>
        <v>0.39617677887412611</v>
      </c>
      <c r="I32" s="32">
        <f t="shared" si="15"/>
        <v>0.48495986772005467</v>
      </c>
      <c r="J32" s="32">
        <f t="shared" si="15"/>
        <v>0.56143017776658632</v>
      </c>
      <c r="K32" s="32">
        <f t="shared" si="15"/>
        <v>0.59952365657749862</v>
      </c>
      <c r="L32" s="32">
        <f t="shared" si="15"/>
        <v>0.67286977002816095</v>
      </c>
      <c r="M32" s="32">
        <f t="shared" si="15"/>
        <v>0.77105161105590658</v>
      </c>
      <c r="N32" s="32">
        <f t="shared" si="15"/>
        <v>0.87951298187341864</v>
      </c>
      <c r="O32" s="32">
        <f t="shared" si="15"/>
        <v>0.90544004881104023</v>
      </c>
      <c r="P32" s="32">
        <f t="shared" si="15"/>
        <v>0.97309444799931788</v>
      </c>
      <c r="Q32" s="32">
        <f t="shared" si="15"/>
        <v>1.0039875905988642</v>
      </c>
      <c r="R32" s="32">
        <f t="shared" si="15"/>
        <v>1.0682365637956637</v>
      </c>
      <c r="S32" s="32">
        <f t="shared" si="15"/>
        <v>1.2117090617731836</v>
      </c>
      <c r="T32" s="32">
        <f t="shared" si="15"/>
        <v>1.3142921513795376</v>
      </c>
      <c r="U32" s="32">
        <f t="shared" si="15"/>
        <v>1.3521774276031129</v>
      </c>
      <c r="V32" s="32">
        <f t="shared" si="15"/>
        <v>1.3579097888577891</v>
      </c>
      <c r="W32" s="32">
        <f>SUM(E32:V32)</f>
        <v>14.07737914974769</v>
      </c>
    </row>
    <row r="33" spans="3:23" x14ac:dyDescent="0.2">
      <c r="D33" s="31"/>
      <c r="E33" s="31"/>
      <c r="F33" s="31"/>
      <c r="G33" s="31"/>
      <c r="H33" s="31"/>
      <c r="I33" s="31"/>
      <c r="J33" s="31"/>
      <c r="K33" s="31"/>
      <c r="L33" s="31"/>
      <c r="M33" s="31"/>
      <c r="Q33" s="37"/>
      <c r="R33" s="37"/>
      <c r="S33" s="37"/>
      <c r="T33" s="37"/>
      <c r="U33" s="37"/>
      <c r="V33" s="37" t="s">
        <v>373</v>
      </c>
      <c r="W33" s="36">
        <f>W7-W32</f>
        <v>98.667902649392957</v>
      </c>
    </row>
    <row r="34" spans="3:23" x14ac:dyDescent="0.2">
      <c r="E34" s="36"/>
      <c r="F34" s="36"/>
      <c r="G34" s="36"/>
      <c r="H34" s="36"/>
      <c r="I34" s="36"/>
      <c r="J34" s="36"/>
      <c r="K34" s="36"/>
      <c r="L34" s="36"/>
      <c r="M34" s="36"/>
      <c r="V34" s="277"/>
    </row>
    <row r="35" spans="3:23" x14ac:dyDescent="0.2">
      <c r="E35" s="36"/>
      <c r="F35" s="36"/>
      <c r="G35" s="36"/>
      <c r="H35" s="36"/>
      <c r="I35" s="36"/>
      <c r="J35" s="36"/>
      <c r="K35" s="36"/>
      <c r="L35" s="36"/>
      <c r="M35" s="36"/>
    </row>
    <row r="36" spans="3:23" x14ac:dyDescent="0.2">
      <c r="E36" s="36"/>
      <c r="F36" s="36"/>
      <c r="G36" s="36"/>
      <c r="H36" s="36"/>
      <c r="I36" s="36"/>
      <c r="J36" s="36"/>
      <c r="K36" s="36"/>
      <c r="L36" s="36"/>
      <c r="M36" s="36"/>
    </row>
    <row r="37" spans="3:23" x14ac:dyDescent="0.2">
      <c r="E37" s="36"/>
      <c r="F37" s="36"/>
      <c r="G37" s="36"/>
      <c r="H37" s="36"/>
      <c r="I37" s="36"/>
      <c r="J37" s="36"/>
      <c r="K37" s="36"/>
      <c r="L37" s="36"/>
      <c r="M37" s="36"/>
    </row>
    <row r="38" spans="3:23" x14ac:dyDescent="0.2">
      <c r="E38" s="36"/>
      <c r="F38" s="36"/>
      <c r="G38" s="36"/>
      <c r="H38" s="36"/>
      <c r="I38" s="36"/>
      <c r="J38" s="36"/>
      <c r="K38" s="36"/>
      <c r="L38" s="36"/>
      <c r="M38" s="36"/>
    </row>
    <row r="39" spans="3:23" x14ac:dyDescent="0.2">
      <c r="E39" s="36"/>
      <c r="F39" s="36"/>
      <c r="G39" s="36"/>
      <c r="H39" s="36"/>
      <c r="I39" s="36"/>
      <c r="J39" s="36"/>
      <c r="K39" s="36"/>
      <c r="L39" s="36"/>
      <c r="M39" s="36"/>
    </row>
    <row r="40" spans="3:23" x14ac:dyDescent="0.2">
      <c r="E40" s="36"/>
      <c r="F40" s="36"/>
      <c r="G40" s="36"/>
      <c r="H40" s="36"/>
      <c r="I40" s="36"/>
      <c r="J40" s="36"/>
      <c r="K40" s="36"/>
      <c r="L40" s="36"/>
      <c r="M40" s="36"/>
    </row>
    <row r="41" spans="3:23" x14ac:dyDescent="0.2">
      <c r="E41" s="36"/>
      <c r="F41" s="36"/>
      <c r="G41" s="36"/>
      <c r="H41" s="36"/>
      <c r="I41" s="36"/>
      <c r="J41" s="36"/>
      <c r="K41" s="36"/>
      <c r="L41" s="36"/>
      <c r="M41" s="36"/>
    </row>
    <row r="42" spans="3:23" x14ac:dyDescent="0.2">
      <c r="M42" s="32"/>
    </row>
    <row r="43" spans="3:23" x14ac:dyDescent="0.2">
      <c r="M43" s="32"/>
      <c r="Q43" s="38"/>
      <c r="R43" s="38"/>
      <c r="S43" s="38"/>
      <c r="T43" s="38"/>
      <c r="U43" s="38"/>
      <c r="V43" s="38"/>
    </row>
    <row r="45" spans="3:23" x14ac:dyDescent="0.2">
      <c r="C45" s="31"/>
      <c r="D45" s="31"/>
      <c r="E45" s="31"/>
      <c r="F45" s="31"/>
      <c r="G45" s="31"/>
      <c r="H45" s="31"/>
      <c r="I45" s="31"/>
      <c r="J45" s="31"/>
      <c r="K45" s="31"/>
      <c r="L45" s="31"/>
      <c r="M45" s="31"/>
      <c r="Q45" s="37"/>
      <c r="R45" s="37"/>
      <c r="S45" s="37"/>
      <c r="T45" s="37"/>
      <c r="U45" s="37"/>
      <c r="V45" s="37"/>
    </row>
    <row r="46" spans="3:23" x14ac:dyDescent="0.2">
      <c r="E46" s="36"/>
      <c r="F46" s="36"/>
      <c r="G46" s="36"/>
      <c r="H46" s="36"/>
      <c r="I46" s="36"/>
      <c r="J46" s="36"/>
      <c r="K46" s="36"/>
      <c r="L46" s="36"/>
      <c r="M46" s="36"/>
    </row>
    <row r="47" spans="3:23" x14ac:dyDescent="0.2">
      <c r="E47" s="36"/>
      <c r="F47" s="36"/>
      <c r="G47" s="36"/>
      <c r="H47" s="36"/>
      <c r="I47" s="36"/>
      <c r="J47" s="36"/>
      <c r="K47" s="36"/>
      <c r="L47" s="36"/>
      <c r="M47" s="36"/>
    </row>
    <row r="48" spans="3:23" x14ac:dyDescent="0.2">
      <c r="E48" s="36"/>
      <c r="F48" s="36"/>
      <c r="G48" s="36"/>
      <c r="H48" s="36"/>
      <c r="I48" s="36"/>
      <c r="J48" s="36"/>
      <c r="K48" s="36"/>
      <c r="L48" s="36"/>
      <c r="M48" s="36"/>
    </row>
    <row r="49" spans="3:22" x14ac:dyDescent="0.2">
      <c r="E49" s="36"/>
      <c r="F49" s="36"/>
      <c r="G49" s="36"/>
      <c r="H49" s="36"/>
      <c r="I49" s="36"/>
      <c r="J49" s="36"/>
      <c r="K49" s="36"/>
      <c r="L49" s="36"/>
      <c r="M49" s="36"/>
    </row>
    <row r="50" spans="3:22" x14ac:dyDescent="0.2">
      <c r="E50" s="36"/>
      <c r="F50" s="36"/>
      <c r="G50" s="36"/>
      <c r="H50" s="36"/>
      <c r="I50" s="36"/>
      <c r="J50" s="36"/>
      <c r="K50" s="36"/>
      <c r="L50" s="36"/>
      <c r="M50" s="36"/>
    </row>
    <row r="51" spans="3:22" x14ac:dyDescent="0.2">
      <c r="E51" s="36"/>
      <c r="F51" s="36"/>
      <c r="G51" s="36"/>
      <c r="H51" s="36"/>
      <c r="I51" s="36"/>
      <c r="J51" s="36"/>
      <c r="K51" s="36"/>
      <c r="L51" s="36"/>
      <c r="M51" s="36"/>
    </row>
    <row r="52" spans="3:22" x14ac:dyDescent="0.2">
      <c r="E52" s="36"/>
      <c r="F52" s="36"/>
      <c r="G52" s="36"/>
      <c r="H52" s="36"/>
      <c r="I52" s="36"/>
      <c r="J52" s="36"/>
      <c r="K52" s="36"/>
      <c r="L52" s="36"/>
      <c r="M52" s="36"/>
    </row>
    <row r="53" spans="3:22" x14ac:dyDescent="0.2">
      <c r="E53" s="36"/>
      <c r="F53" s="36"/>
      <c r="G53" s="36"/>
      <c r="H53" s="36"/>
      <c r="I53" s="36"/>
      <c r="J53" s="36"/>
      <c r="K53" s="36"/>
      <c r="L53" s="36"/>
      <c r="M53" s="36"/>
    </row>
    <row r="54" spans="3:22" x14ac:dyDescent="0.2">
      <c r="M54" s="32"/>
      <c r="Q54" s="38"/>
      <c r="R54" s="38"/>
      <c r="S54" s="38"/>
      <c r="T54" s="38"/>
    </row>
    <row r="55" spans="3:22" x14ac:dyDescent="0.2">
      <c r="M55" s="32"/>
      <c r="Q55" s="38"/>
      <c r="R55" s="38"/>
      <c r="S55" s="38"/>
      <c r="T55" s="38"/>
      <c r="U55" s="38"/>
      <c r="V55" s="38"/>
    </row>
    <row r="63" spans="3:22" ht="15" x14ac:dyDescent="0.25">
      <c r="C63" s="82" t="s">
        <v>366</v>
      </c>
      <c r="D63" s="272">
        <v>2005</v>
      </c>
      <c r="E63" s="272">
        <v>2006</v>
      </c>
      <c r="F63" s="272">
        <v>2007</v>
      </c>
      <c r="G63" s="272">
        <v>2008</v>
      </c>
      <c r="H63" s="272">
        <v>2009</v>
      </c>
      <c r="I63" s="272">
        <v>2010</v>
      </c>
      <c r="J63" s="272">
        <v>2011</v>
      </c>
      <c r="K63" s="272">
        <v>2012</v>
      </c>
      <c r="L63" s="272">
        <v>2013</v>
      </c>
      <c r="M63" s="272">
        <v>2014</v>
      </c>
      <c r="N63" s="272">
        <v>2015</v>
      </c>
      <c r="O63" s="272">
        <v>2016</v>
      </c>
      <c r="P63" s="272">
        <v>2017</v>
      </c>
      <c r="Q63" s="272">
        <v>2018</v>
      </c>
      <c r="R63" s="272">
        <v>2019</v>
      </c>
      <c r="S63" s="272">
        <v>2020</v>
      </c>
      <c r="T63" s="272">
        <v>2021</v>
      </c>
      <c r="U63" s="272">
        <v>2022</v>
      </c>
    </row>
    <row r="64" spans="3:22" x14ac:dyDescent="0.2">
      <c r="C64" s="273" t="s">
        <v>113</v>
      </c>
      <c r="D64" s="274">
        <v>246.95</v>
      </c>
      <c r="E64" s="274">
        <v>0</v>
      </c>
      <c r="F64" s="274">
        <v>0</v>
      </c>
      <c r="G64" s="274">
        <v>192.92746</v>
      </c>
      <c r="H64" s="274">
        <v>192.92240000000001</v>
      </c>
      <c r="I64" s="274">
        <v>599.30989999999997</v>
      </c>
      <c r="J64" s="274">
        <v>0</v>
      </c>
      <c r="K64" s="274">
        <v>0</v>
      </c>
      <c r="L64" s="274">
        <v>110.16424000000001</v>
      </c>
      <c r="M64" s="274">
        <v>6723.5544600000003</v>
      </c>
      <c r="N64" s="274">
        <v>10870.617249999999</v>
      </c>
      <c r="O64" s="274">
        <v>15371.69522</v>
      </c>
      <c r="P64" s="274">
        <v>12093.44147</v>
      </c>
      <c r="Q64" s="274">
        <v>12100.69436</v>
      </c>
      <c r="R64" s="274">
        <v>8373.5663999999997</v>
      </c>
      <c r="S64" s="274">
        <v>8203.9765900000002</v>
      </c>
      <c r="T64" s="274">
        <v>4201.4417299999996</v>
      </c>
      <c r="U64" s="274">
        <v>3012.6699199999998</v>
      </c>
    </row>
    <row r="65" spans="3:21" x14ac:dyDescent="0.2">
      <c r="C65" s="273" t="s">
        <v>188</v>
      </c>
      <c r="D65" s="274">
        <v>21213.242899999997</v>
      </c>
      <c r="E65" s="274">
        <v>4643.2376899999999</v>
      </c>
      <c r="F65" s="274">
        <v>3728.5980300000001</v>
      </c>
      <c r="G65" s="274">
        <v>9116.6536099999994</v>
      </c>
      <c r="H65" s="274">
        <v>7385.37165</v>
      </c>
      <c r="I65" s="274">
        <v>12940.145979999999</v>
      </c>
      <c r="J65" s="274">
        <v>19871.301889999999</v>
      </c>
      <c r="K65" s="274">
        <v>22160.12571</v>
      </c>
      <c r="L65" s="274">
        <v>15671.01593</v>
      </c>
      <c r="M65" s="274">
        <v>14062.719110000002</v>
      </c>
      <c r="N65" s="274">
        <v>15115.76297</v>
      </c>
      <c r="O65" s="274">
        <v>19915.525130000002</v>
      </c>
      <c r="P65" s="274">
        <v>21795.433410000005</v>
      </c>
      <c r="Q65" s="274">
        <v>20000.162400000001</v>
      </c>
      <c r="R65" s="274">
        <v>23829.662619999999</v>
      </c>
      <c r="S65" s="274">
        <v>28301.489730000001</v>
      </c>
      <c r="T65" s="274">
        <v>30874.748570000003</v>
      </c>
      <c r="U65" s="274">
        <v>27340.632369999999</v>
      </c>
    </row>
    <row r="66" spans="3:21" ht="15.75" x14ac:dyDescent="0.25">
      <c r="C66"/>
      <c r="D66" s="275">
        <v>21460.192899999998</v>
      </c>
      <c r="E66" s="275">
        <v>4643.2376899999999</v>
      </c>
      <c r="F66" s="275">
        <v>3728.5980300000001</v>
      </c>
      <c r="G66" s="275">
        <v>9309.5810700000002</v>
      </c>
      <c r="H66" s="275">
        <v>7578.2940500000004</v>
      </c>
      <c r="I66" s="275">
        <v>13539.45588</v>
      </c>
      <c r="J66" s="275">
        <v>19871.301889999999</v>
      </c>
      <c r="K66" s="275">
        <v>22160.12571</v>
      </c>
      <c r="L66" s="275">
        <v>15781.18017</v>
      </c>
      <c r="M66" s="275">
        <v>20786.273570000001</v>
      </c>
      <c r="N66" s="275">
        <v>25986.380219999999</v>
      </c>
      <c r="O66" s="275">
        <v>35287.220350000003</v>
      </c>
      <c r="P66" s="275">
        <v>33888.874880000003</v>
      </c>
      <c r="Q66" s="275">
        <v>32100.856760000002</v>
      </c>
      <c r="R66" s="275">
        <v>32203.229019999999</v>
      </c>
      <c r="S66" s="275">
        <v>36505.46632</v>
      </c>
      <c r="T66" s="275">
        <v>35076.190300000002</v>
      </c>
      <c r="U66" s="275">
        <v>30353.30229</v>
      </c>
    </row>
    <row r="68" spans="3:21" x14ac:dyDescent="0.2">
      <c r="C68" s="33" t="s">
        <v>367</v>
      </c>
      <c r="D68" s="33">
        <v>0.75</v>
      </c>
    </row>
    <row r="69" spans="3:21" x14ac:dyDescent="0.2">
      <c r="C69" s="33" t="s">
        <v>176</v>
      </c>
      <c r="D69" s="276">
        <f>0.5*D$65*$D$68</f>
        <v>7954.966087499999</v>
      </c>
      <c r="E69" s="276">
        <f t="shared" ref="E69:U70" si="16">0.5*E$65*$D$68</f>
        <v>1741.21413375</v>
      </c>
      <c r="F69" s="276">
        <f t="shared" si="16"/>
        <v>1398.2242612499999</v>
      </c>
      <c r="G69" s="276">
        <f t="shared" si="16"/>
        <v>3418.7451037499995</v>
      </c>
      <c r="H69" s="276">
        <f t="shared" si="16"/>
        <v>2769.5143687499999</v>
      </c>
      <c r="I69" s="276">
        <f t="shared" si="16"/>
        <v>4852.5547424999995</v>
      </c>
      <c r="J69" s="276">
        <f t="shared" si="16"/>
        <v>7451.7382087499991</v>
      </c>
      <c r="K69" s="276">
        <f t="shared" si="16"/>
        <v>8310.047141250001</v>
      </c>
      <c r="L69" s="276">
        <f t="shared" si="16"/>
        <v>5876.6309737499996</v>
      </c>
      <c r="M69" s="276">
        <f t="shared" si="16"/>
        <v>5273.5196662500002</v>
      </c>
      <c r="N69" s="276">
        <f t="shared" si="16"/>
        <v>5668.4111137500004</v>
      </c>
      <c r="O69" s="276">
        <f t="shared" si="16"/>
        <v>7468.3219237500007</v>
      </c>
      <c r="P69" s="276">
        <f t="shared" si="16"/>
        <v>8173.2875287500019</v>
      </c>
      <c r="Q69" s="276">
        <f t="shared" si="16"/>
        <v>7500.0609000000004</v>
      </c>
      <c r="R69" s="276">
        <f t="shared" si="16"/>
        <v>8936.1234824999992</v>
      </c>
      <c r="S69" s="276">
        <f t="shared" si="16"/>
        <v>10613.05864875</v>
      </c>
      <c r="T69" s="276">
        <f t="shared" si="16"/>
        <v>11578.030713750002</v>
      </c>
      <c r="U69" s="276">
        <f>0.5*U$65*$D$68</f>
        <v>10252.737138749999</v>
      </c>
    </row>
    <row r="70" spans="3:21" x14ac:dyDescent="0.2">
      <c r="C70" s="33" t="s">
        <v>308</v>
      </c>
      <c r="D70" s="276">
        <f>0.5*D$65*$D$68</f>
        <v>7954.966087499999</v>
      </c>
      <c r="E70" s="276">
        <f t="shared" si="16"/>
        <v>1741.21413375</v>
      </c>
      <c r="F70" s="276">
        <f t="shared" si="16"/>
        <v>1398.2242612499999</v>
      </c>
      <c r="G70" s="276">
        <f t="shared" si="16"/>
        <v>3418.7451037499995</v>
      </c>
      <c r="H70" s="276">
        <f t="shared" si="16"/>
        <v>2769.5143687499999</v>
      </c>
      <c r="I70" s="276">
        <f t="shared" si="16"/>
        <v>4852.5547424999995</v>
      </c>
      <c r="J70" s="276">
        <f t="shared" si="16"/>
        <v>7451.7382087499991</v>
      </c>
      <c r="K70" s="276">
        <f t="shared" si="16"/>
        <v>8310.047141250001</v>
      </c>
      <c r="L70" s="276">
        <f t="shared" si="16"/>
        <v>5876.6309737499996</v>
      </c>
      <c r="M70" s="276">
        <f t="shared" si="16"/>
        <v>5273.5196662500002</v>
      </c>
      <c r="N70" s="276">
        <f t="shared" si="16"/>
        <v>5668.4111137500004</v>
      </c>
      <c r="O70" s="276">
        <f t="shared" si="16"/>
        <v>7468.3219237500007</v>
      </c>
      <c r="P70" s="276">
        <f t="shared" si="16"/>
        <v>8173.2875287500019</v>
      </c>
      <c r="Q70" s="276">
        <f t="shared" si="16"/>
        <v>7500.0609000000004</v>
      </c>
      <c r="R70" s="276">
        <f t="shared" si="16"/>
        <v>8936.1234824999992</v>
      </c>
      <c r="S70" s="276">
        <f t="shared" si="16"/>
        <v>10613.05864875</v>
      </c>
      <c r="T70" s="276">
        <f t="shared" si="16"/>
        <v>11578.030713750002</v>
      </c>
      <c r="U70" s="276">
        <f t="shared" si="16"/>
        <v>10252.737138749999</v>
      </c>
    </row>
  </sheetData>
  <phoneticPr fontId="45" type="noConversion"/>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7E96B9-B606-49CA-98B7-77DF90DD92A8}">
  <dimension ref="C2:AT70"/>
  <sheetViews>
    <sheetView workbookViewId="0">
      <selection activeCell="E4" sqref="E4:L4"/>
    </sheetView>
  </sheetViews>
  <sheetFormatPr defaultColWidth="7.5" defaultRowHeight="12.75" x14ac:dyDescent="0.2"/>
  <cols>
    <col min="1" max="2" width="7.5" style="33"/>
    <col min="3" max="3" width="33.25" style="33" bestFit="1" customWidth="1"/>
    <col min="4" max="4" width="7.25" style="33" customWidth="1"/>
    <col min="5" max="5" width="7.875" style="33" bestFit="1" customWidth="1"/>
    <col min="6" max="16" width="7.5" style="33"/>
    <col min="17" max="17" width="9.5" style="33" bestFit="1" customWidth="1"/>
    <col min="18" max="18" width="10.875" style="33" bestFit="1" customWidth="1"/>
    <col min="19" max="20" width="9.25" style="33" bestFit="1" customWidth="1"/>
    <col min="21" max="21" width="11.25" style="33" bestFit="1" customWidth="1"/>
    <col min="22" max="22" width="11.75" style="33" bestFit="1" customWidth="1"/>
    <col min="23" max="16384" width="7.5" style="33"/>
  </cols>
  <sheetData>
    <row r="2" spans="3:46" x14ac:dyDescent="0.2">
      <c r="C2" s="33" t="s">
        <v>369</v>
      </c>
    </row>
    <row r="3" spans="3:46" x14ac:dyDescent="0.2">
      <c r="D3" s="35"/>
      <c r="E3" s="31" t="s">
        <v>177</v>
      </c>
      <c r="F3" s="31" t="s">
        <v>178</v>
      </c>
      <c r="G3" s="31" t="s">
        <v>179</v>
      </c>
      <c r="H3" s="31" t="s">
        <v>180</v>
      </c>
      <c r="I3" s="31" t="s">
        <v>181</v>
      </c>
      <c r="J3" s="31" t="s">
        <v>182</v>
      </c>
      <c r="K3" s="31" t="s">
        <v>189</v>
      </c>
      <c r="L3" s="31" t="s">
        <v>190</v>
      </c>
      <c r="M3" s="31" t="s">
        <v>191</v>
      </c>
      <c r="N3" s="31" t="s">
        <v>192</v>
      </c>
      <c r="O3" s="31" t="s">
        <v>193</v>
      </c>
      <c r="P3" s="31" t="s">
        <v>194</v>
      </c>
      <c r="Q3" s="31" t="s">
        <v>195</v>
      </c>
      <c r="R3" s="31" t="s">
        <v>183</v>
      </c>
      <c r="S3" s="37" t="s">
        <v>196</v>
      </c>
      <c r="T3" s="37" t="s">
        <v>197</v>
      </c>
      <c r="U3" s="37" t="s">
        <v>198</v>
      </c>
      <c r="V3" s="37" t="s">
        <v>199</v>
      </c>
    </row>
    <row r="4" spans="3:46" x14ac:dyDescent="0.2">
      <c r="C4" s="33" t="s">
        <v>372</v>
      </c>
      <c r="D4" s="35"/>
      <c r="E4" s="31"/>
      <c r="F4" s="31"/>
      <c r="G4" s="31"/>
      <c r="H4" s="31"/>
      <c r="I4" s="31"/>
      <c r="J4" s="31"/>
      <c r="K4" s="31"/>
      <c r="L4" s="31"/>
      <c r="M4" s="31">
        <f>'Historical growth capex'!M82/1000000</f>
        <v>7.3181001228151263</v>
      </c>
      <c r="N4" s="31">
        <f>'Historical growth capex'!N82/1000000</f>
        <v>1.8592661402102006</v>
      </c>
      <c r="O4" s="31">
        <f>'Historical growth capex'!O82/1000000</f>
        <v>7.1010090361805176</v>
      </c>
      <c r="P4" s="31">
        <f>'Historical growth capex'!P82/1000000</f>
        <v>2.9374702403394881</v>
      </c>
      <c r="Q4" s="31">
        <f>'Historical growth capex'!Q82/1000000</f>
        <v>2.0525905356485539</v>
      </c>
      <c r="R4" s="31">
        <f>'Historical growth capex'!R82/1000000</f>
        <v>7.1276089152656423</v>
      </c>
      <c r="S4" s="31">
        <f>'Historical growth capex'!S82/1000000</f>
        <v>9.2304677426647608</v>
      </c>
      <c r="T4" s="31">
        <f>'Historical growth capex'!T82/1000000</f>
        <v>4.2343357615217911</v>
      </c>
      <c r="U4" s="31">
        <f>'Historical growth capex'!U82/1000000</f>
        <v>1.6183504003868701</v>
      </c>
      <c r="V4" s="31">
        <f>'Historical growth capex'!V82/1000000</f>
        <v>1.5895273832542962</v>
      </c>
    </row>
    <row r="5" spans="3:46" x14ac:dyDescent="0.2">
      <c r="C5" s="33" t="s">
        <v>371</v>
      </c>
      <c r="E5" s="36"/>
      <c r="F5" s="36"/>
      <c r="G5" s="36"/>
      <c r="H5" s="36"/>
      <c r="I5" s="36"/>
      <c r="J5" s="36"/>
      <c r="K5" s="36"/>
      <c r="L5" s="36"/>
      <c r="M5" s="36">
        <f>SUM('[16]Summary CAPEX $1718'!F$58,0.5*'[16]Summary CAPEX $1718'!F$60)/'Historical growth capex'!M77*'Renewal capex'!$H53</f>
        <v>8.6272038730141922</v>
      </c>
      <c r="N5" s="36">
        <f>SUM('[16]Summary CAPEX $1718'!G$58,0.5*'[16]Summary CAPEX $1718'!G$60)/'Historical growth capex'!N77*'Renewal capex'!$H53</f>
        <v>7.0568266804011035</v>
      </c>
      <c r="O5" s="36">
        <f>SUM('[16]Summary CAPEX $1718'!H$58,0.5*'[16]Summary CAPEX $1718'!H$60)/'Historical growth capex'!O77*'Renewal capex'!$H53</f>
        <v>6.3583059419502241</v>
      </c>
      <c r="P5" s="36">
        <f>SUM('[16]Summary CAPEX $1718'!I$58,0.5*'[16]Summary CAPEX $1718'!I$60)/'Historical growth capex'!P77*'Renewal capex'!$H53</f>
        <v>7.5646516891541848</v>
      </c>
      <c r="Q5" s="36">
        <f>SUM('[16]Summary CAPEX $1718'!J$58,0.5*'[16]Summary CAPEX $1718'!J$60)/'Historical growth capex'!Q77*'Renewal capex'!$H53</f>
        <v>8.0297998032851989</v>
      </c>
      <c r="R5" s="36">
        <f>'Renewal capex'!C57/'Historical growth capex'!R77/1000000</f>
        <v>10.652287696222277</v>
      </c>
      <c r="S5" s="36">
        <f>'Renewal capex'!D57/'Historical growth capex'!S77/1000000</f>
        <v>10.472316894566772</v>
      </c>
      <c r="T5" s="36">
        <f>'Renewal capex'!E57/'Historical growth capex'!T77/1000000</f>
        <v>12.02535606951327</v>
      </c>
      <c r="U5" s="36">
        <f>'Renewal capex'!F57/'Historical growth capex'!U77/1000000</f>
        <v>10.374691326850146</v>
      </c>
      <c r="V5" s="36">
        <f>'Renewal capex'!G57/'Historical growth capex'!V77/1000000</f>
        <v>9.1653765427568619</v>
      </c>
      <c r="W5" s="36"/>
      <c r="X5" s="36"/>
      <c r="Y5" s="36"/>
      <c r="Z5" s="36"/>
      <c r="AA5" s="36"/>
      <c r="AB5" s="36"/>
      <c r="AC5" s="36"/>
      <c r="AD5" s="36"/>
      <c r="AE5" s="36"/>
      <c r="AF5" s="36"/>
      <c r="AG5" s="36"/>
      <c r="AH5" s="36"/>
      <c r="AI5" s="36"/>
      <c r="AJ5" s="36"/>
      <c r="AK5" s="36"/>
      <c r="AL5" s="36"/>
      <c r="AM5" s="36"/>
      <c r="AN5" s="36"/>
      <c r="AO5" s="36"/>
      <c r="AP5" s="36"/>
      <c r="AQ5" s="36"/>
      <c r="AR5" s="36"/>
      <c r="AS5" s="36"/>
      <c r="AT5" s="36"/>
    </row>
    <row r="6" spans="3:46" x14ac:dyDescent="0.2">
      <c r="C6" s="33" t="s">
        <v>368</v>
      </c>
      <c r="E6" s="34"/>
      <c r="F6" s="34"/>
      <c r="G6" s="34"/>
      <c r="H6" s="34"/>
      <c r="I6" s="34"/>
      <c r="J6" s="34"/>
      <c r="K6" s="34"/>
      <c r="L6" s="34"/>
      <c r="M6" s="34">
        <f>L69/1000</f>
        <v>5.8766309737499993</v>
      </c>
      <c r="N6" s="34">
        <f t="shared" ref="N6:V6" si="0">M69/1000</f>
        <v>5.2735196662500003</v>
      </c>
      <c r="O6" s="34">
        <f t="shared" si="0"/>
        <v>5.6684111137500004</v>
      </c>
      <c r="P6" s="34">
        <f t="shared" si="0"/>
        <v>7.4683219237500005</v>
      </c>
      <c r="Q6" s="34">
        <f t="shared" si="0"/>
        <v>8.1732875287500022</v>
      </c>
      <c r="R6" s="34">
        <f t="shared" si="0"/>
        <v>7.5000609000000003</v>
      </c>
      <c r="S6" s="34">
        <f t="shared" si="0"/>
        <v>8.9361234824999993</v>
      </c>
      <c r="T6" s="34">
        <f t="shared" si="0"/>
        <v>10.61305864875</v>
      </c>
      <c r="U6" s="34">
        <f t="shared" si="0"/>
        <v>11.578030713750001</v>
      </c>
      <c r="V6" s="34">
        <f t="shared" si="0"/>
        <v>10.25273713875</v>
      </c>
    </row>
    <row r="7" spans="3:46" x14ac:dyDescent="0.2">
      <c r="C7" s="33" t="s">
        <v>370</v>
      </c>
      <c r="E7" s="36"/>
      <c r="F7" s="36"/>
      <c r="G7" s="36"/>
      <c r="H7" s="36"/>
      <c r="I7" s="36"/>
      <c r="J7" s="36"/>
      <c r="K7" s="36"/>
      <c r="L7" s="36"/>
      <c r="M7" s="36">
        <f t="shared" ref="M7:V7" si="1">M5+M4-M6</f>
        <v>10.06867302207932</v>
      </c>
      <c r="N7" s="36">
        <f t="shared" si="1"/>
        <v>3.6425731543613038</v>
      </c>
      <c r="O7" s="36">
        <f t="shared" si="1"/>
        <v>7.7909038643807413</v>
      </c>
      <c r="P7" s="36">
        <f t="shared" si="1"/>
        <v>3.0338000057436716</v>
      </c>
      <c r="Q7" s="36">
        <f t="shared" si="1"/>
        <v>1.9091028101837502</v>
      </c>
      <c r="R7" s="36">
        <f t="shared" si="1"/>
        <v>10.27983571148792</v>
      </c>
      <c r="S7" s="36">
        <f t="shared" si="1"/>
        <v>10.766661154731532</v>
      </c>
      <c r="T7" s="36">
        <f t="shared" si="1"/>
        <v>5.6466331822850631</v>
      </c>
      <c r="U7" s="36">
        <f t="shared" si="1"/>
        <v>0.41501101348701397</v>
      </c>
      <c r="V7" s="36">
        <f t="shared" si="1"/>
        <v>0.50216678726115838</v>
      </c>
      <c r="W7" s="36">
        <f>SUM(E7:V7)</f>
        <v>54.05536070600148</v>
      </c>
    </row>
    <row r="8" spans="3:46" x14ac:dyDescent="0.2">
      <c r="W8" s="36"/>
    </row>
    <row r="9" spans="3:46" x14ac:dyDescent="0.2">
      <c r="E9" s="36"/>
      <c r="F9" s="36"/>
      <c r="G9" s="36"/>
      <c r="H9" s="36"/>
      <c r="I9" s="36"/>
      <c r="J9" s="36"/>
      <c r="K9" s="36"/>
      <c r="L9" s="36"/>
      <c r="M9" s="36"/>
      <c r="N9" s="36"/>
      <c r="O9" s="36"/>
      <c r="P9" s="36"/>
      <c r="Q9" s="36"/>
      <c r="R9" s="36"/>
      <c r="S9" s="36"/>
      <c r="T9" s="36"/>
      <c r="U9" s="36"/>
    </row>
    <row r="10" spans="3:46" x14ac:dyDescent="0.2">
      <c r="E10" s="36"/>
      <c r="F10" s="36"/>
      <c r="G10" s="36"/>
      <c r="H10" s="36"/>
      <c r="I10" s="36"/>
      <c r="J10" s="36"/>
      <c r="K10" s="36"/>
      <c r="L10" s="36"/>
      <c r="M10" s="36"/>
      <c r="N10" s="36"/>
      <c r="O10" s="36"/>
      <c r="P10" s="36"/>
      <c r="Q10" s="36"/>
      <c r="R10" s="36"/>
      <c r="S10" s="36"/>
      <c r="T10" s="36"/>
      <c r="U10" s="36"/>
    </row>
    <row r="12" spans="3:46" ht="15.75" x14ac:dyDescent="0.25">
      <c r="Q12"/>
      <c r="R12"/>
      <c r="S12"/>
      <c r="T12"/>
      <c r="U12"/>
      <c r="V12"/>
    </row>
    <row r="13" spans="3:46" s="31" customFormat="1" x14ac:dyDescent="0.2">
      <c r="C13" s="31" t="s">
        <v>220</v>
      </c>
      <c r="D13" s="31" t="s">
        <v>221</v>
      </c>
      <c r="E13" s="31" t="s">
        <v>177</v>
      </c>
      <c r="F13" s="31" t="s">
        <v>178</v>
      </c>
      <c r="G13" s="31" t="s">
        <v>179</v>
      </c>
      <c r="H13" s="31" t="s">
        <v>180</v>
      </c>
      <c r="I13" s="31" t="s">
        <v>181</v>
      </c>
      <c r="J13" s="31" t="s">
        <v>182</v>
      </c>
      <c r="K13" s="31" t="s">
        <v>189</v>
      </c>
      <c r="L13" s="31" t="s">
        <v>190</v>
      </c>
      <c r="M13" s="31" t="s">
        <v>191</v>
      </c>
      <c r="N13" s="31" t="s">
        <v>192</v>
      </c>
      <c r="O13" s="31" t="s">
        <v>193</v>
      </c>
      <c r="P13" s="31" t="s">
        <v>194</v>
      </c>
      <c r="Q13" s="31" t="s">
        <v>195</v>
      </c>
      <c r="R13" s="31" t="s">
        <v>183</v>
      </c>
      <c r="S13" s="37" t="s">
        <v>196</v>
      </c>
      <c r="T13" s="37" t="s">
        <v>197</v>
      </c>
      <c r="U13" s="37" t="s">
        <v>198</v>
      </c>
      <c r="V13" s="37" t="s">
        <v>199</v>
      </c>
      <c r="W13" s="31" t="s">
        <v>365</v>
      </c>
      <c r="X13" s="37"/>
    </row>
    <row r="14" spans="3:46" x14ac:dyDescent="0.2">
      <c r="C14" s="33" t="s">
        <v>177</v>
      </c>
      <c r="D14" s="33">
        <v>80</v>
      </c>
      <c r="E14" s="36">
        <f>$E$7/$D$14/2</f>
        <v>0</v>
      </c>
      <c r="F14" s="36">
        <f t="shared" ref="F14:V14" si="2">$E$7/$D$14</f>
        <v>0</v>
      </c>
      <c r="G14" s="36">
        <f t="shared" si="2"/>
        <v>0</v>
      </c>
      <c r="H14" s="36">
        <f t="shared" si="2"/>
        <v>0</v>
      </c>
      <c r="I14" s="36">
        <f t="shared" si="2"/>
        <v>0</v>
      </c>
      <c r="J14" s="36">
        <f t="shared" si="2"/>
        <v>0</v>
      </c>
      <c r="K14" s="36">
        <f t="shared" si="2"/>
        <v>0</v>
      </c>
      <c r="L14" s="36">
        <f t="shared" si="2"/>
        <v>0</v>
      </c>
      <c r="M14" s="36">
        <f t="shared" si="2"/>
        <v>0</v>
      </c>
      <c r="N14" s="36">
        <f t="shared" si="2"/>
        <v>0</v>
      </c>
      <c r="O14" s="36">
        <f t="shared" si="2"/>
        <v>0</v>
      </c>
      <c r="P14" s="36">
        <f t="shared" si="2"/>
        <v>0</v>
      </c>
      <c r="Q14" s="36">
        <f t="shared" si="2"/>
        <v>0</v>
      </c>
      <c r="R14" s="36">
        <f t="shared" si="2"/>
        <v>0</v>
      </c>
      <c r="S14" s="36">
        <f t="shared" si="2"/>
        <v>0</v>
      </c>
      <c r="T14" s="36">
        <f t="shared" si="2"/>
        <v>0</v>
      </c>
      <c r="U14" s="36">
        <f t="shared" si="2"/>
        <v>0</v>
      </c>
      <c r="V14" s="36">
        <f t="shared" si="2"/>
        <v>0</v>
      </c>
      <c r="W14" s="36"/>
    </row>
    <row r="15" spans="3:46" x14ac:dyDescent="0.2">
      <c r="C15" s="33" t="s">
        <v>178</v>
      </c>
      <c r="D15" s="33">
        <v>80</v>
      </c>
      <c r="E15" s="36"/>
      <c r="F15" s="36">
        <f>$F$7/$D$15/2</f>
        <v>0</v>
      </c>
      <c r="G15" s="36">
        <f t="shared" ref="G15:V15" si="3">$F$7/$D$15</f>
        <v>0</v>
      </c>
      <c r="H15" s="36">
        <f t="shared" si="3"/>
        <v>0</v>
      </c>
      <c r="I15" s="36">
        <f t="shared" si="3"/>
        <v>0</v>
      </c>
      <c r="J15" s="36">
        <f t="shared" si="3"/>
        <v>0</v>
      </c>
      <c r="K15" s="36">
        <f t="shared" si="3"/>
        <v>0</v>
      </c>
      <c r="L15" s="36">
        <f t="shared" si="3"/>
        <v>0</v>
      </c>
      <c r="M15" s="36">
        <f t="shared" si="3"/>
        <v>0</v>
      </c>
      <c r="N15" s="36">
        <f t="shared" si="3"/>
        <v>0</v>
      </c>
      <c r="O15" s="36">
        <f t="shared" si="3"/>
        <v>0</v>
      </c>
      <c r="P15" s="36">
        <f t="shared" si="3"/>
        <v>0</v>
      </c>
      <c r="Q15" s="36">
        <f t="shared" si="3"/>
        <v>0</v>
      </c>
      <c r="R15" s="36">
        <f t="shared" si="3"/>
        <v>0</v>
      </c>
      <c r="S15" s="36">
        <f t="shared" si="3"/>
        <v>0</v>
      </c>
      <c r="T15" s="36">
        <f t="shared" si="3"/>
        <v>0</v>
      </c>
      <c r="U15" s="36">
        <f t="shared" si="3"/>
        <v>0</v>
      </c>
      <c r="V15" s="36">
        <f t="shared" si="3"/>
        <v>0</v>
      </c>
      <c r="W15" s="36"/>
    </row>
    <row r="16" spans="3:46" x14ac:dyDescent="0.2">
      <c r="C16" s="33" t="s">
        <v>179</v>
      </c>
      <c r="D16" s="33">
        <v>80</v>
      </c>
      <c r="E16" s="36"/>
      <c r="F16" s="36"/>
      <c r="G16" s="36">
        <f>$G$7/$D$16/2</f>
        <v>0</v>
      </c>
      <c r="H16" s="36">
        <f t="shared" ref="H16:V16" si="4">$G$7/$D$16</f>
        <v>0</v>
      </c>
      <c r="I16" s="36">
        <f t="shared" si="4"/>
        <v>0</v>
      </c>
      <c r="J16" s="36">
        <f t="shared" si="4"/>
        <v>0</v>
      </c>
      <c r="K16" s="36">
        <f t="shared" si="4"/>
        <v>0</v>
      </c>
      <c r="L16" s="36">
        <f t="shared" si="4"/>
        <v>0</v>
      </c>
      <c r="M16" s="36">
        <f t="shared" si="4"/>
        <v>0</v>
      </c>
      <c r="N16" s="36">
        <f t="shared" si="4"/>
        <v>0</v>
      </c>
      <c r="O16" s="36">
        <f t="shared" si="4"/>
        <v>0</v>
      </c>
      <c r="P16" s="36">
        <f t="shared" si="4"/>
        <v>0</v>
      </c>
      <c r="Q16" s="36">
        <f t="shared" si="4"/>
        <v>0</v>
      </c>
      <c r="R16" s="36">
        <f t="shared" si="4"/>
        <v>0</v>
      </c>
      <c r="S16" s="36">
        <f t="shared" si="4"/>
        <v>0</v>
      </c>
      <c r="T16" s="36">
        <f t="shared" si="4"/>
        <v>0</v>
      </c>
      <c r="U16" s="36">
        <f t="shared" si="4"/>
        <v>0</v>
      </c>
      <c r="V16" s="36">
        <f t="shared" si="4"/>
        <v>0</v>
      </c>
      <c r="W16" s="36"/>
    </row>
    <row r="17" spans="3:24" x14ac:dyDescent="0.2">
      <c r="C17" s="33" t="s">
        <v>180</v>
      </c>
      <c r="D17" s="33">
        <v>80</v>
      </c>
      <c r="E17" s="36"/>
      <c r="F17" s="36"/>
      <c r="G17" s="36"/>
      <c r="H17" s="36">
        <f>$H$7/$D$17/2</f>
        <v>0</v>
      </c>
      <c r="I17" s="36">
        <f t="shared" ref="I17:V17" si="5">$H$7/$D$17</f>
        <v>0</v>
      </c>
      <c r="J17" s="36">
        <f t="shared" si="5"/>
        <v>0</v>
      </c>
      <c r="K17" s="36">
        <f t="shared" si="5"/>
        <v>0</v>
      </c>
      <c r="L17" s="36">
        <f t="shared" si="5"/>
        <v>0</v>
      </c>
      <c r="M17" s="36">
        <f t="shared" si="5"/>
        <v>0</v>
      </c>
      <c r="N17" s="36">
        <f t="shared" si="5"/>
        <v>0</v>
      </c>
      <c r="O17" s="36">
        <f t="shared" si="5"/>
        <v>0</v>
      </c>
      <c r="P17" s="36">
        <f t="shared" si="5"/>
        <v>0</v>
      </c>
      <c r="Q17" s="36">
        <f t="shared" si="5"/>
        <v>0</v>
      </c>
      <c r="R17" s="36">
        <f t="shared" si="5"/>
        <v>0</v>
      </c>
      <c r="S17" s="36">
        <f t="shared" si="5"/>
        <v>0</v>
      </c>
      <c r="T17" s="36">
        <f t="shared" si="5"/>
        <v>0</v>
      </c>
      <c r="U17" s="36">
        <f t="shared" si="5"/>
        <v>0</v>
      </c>
      <c r="V17" s="36">
        <f t="shared" si="5"/>
        <v>0</v>
      </c>
      <c r="W17" s="36"/>
    </row>
    <row r="18" spans="3:24" x14ac:dyDescent="0.2">
      <c r="C18" s="33" t="s">
        <v>181</v>
      </c>
      <c r="D18" s="33">
        <v>80</v>
      </c>
      <c r="E18" s="36"/>
      <c r="F18" s="36"/>
      <c r="G18" s="36"/>
      <c r="H18" s="36"/>
      <c r="I18" s="36">
        <f>$I$7/$D$18/2</f>
        <v>0</v>
      </c>
      <c r="J18" s="36">
        <f t="shared" ref="J18:V18" si="6">$I$7/$D$18</f>
        <v>0</v>
      </c>
      <c r="K18" s="36">
        <f t="shared" si="6"/>
        <v>0</v>
      </c>
      <c r="L18" s="36">
        <f t="shared" si="6"/>
        <v>0</v>
      </c>
      <c r="M18" s="36">
        <f t="shared" si="6"/>
        <v>0</v>
      </c>
      <c r="N18" s="36">
        <f t="shared" si="6"/>
        <v>0</v>
      </c>
      <c r="O18" s="36">
        <f t="shared" si="6"/>
        <v>0</v>
      </c>
      <c r="P18" s="36">
        <f t="shared" si="6"/>
        <v>0</v>
      </c>
      <c r="Q18" s="36">
        <f t="shared" si="6"/>
        <v>0</v>
      </c>
      <c r="R18" s="36">
        <f t="shared" si="6"/>
        <v>0</v>
      </c>
      <c r="S18" s="36">
        <f t="shared" si="6"/>
        <v>0</v>
      </c>
      <c r="T18" s="36">
        <f t="shared" si="6"/>
        <v>0</v>
      </c>
      <c r="U18" s="36">
        <f t="shared" si="6"/>
        <v>0</v>
      </c>
      <c r="V18" s="36">
        <f t="shared" si="6"/>
        <v>0</v>
      </c>
      <c r="W18" s="36"/>
    </row>
    <row r="19" spans="3:24" x14ac:dyDescent="0.2">
      <c r="C19" s="33" t="s">
        <v>182</v>
      </c>
      <c r="D19" s="33">
        <v>80</v>
      </c>
      <c r="E19" s="36"/>
      <c r="F19" s="36"/>
      <c r="G19" s="36"/>
      <c r="H19" s="36"/>
      <c r="I19" s="36"/>
      <c r="J19" s="36">
        <f t="shared" ref="J19:V19" si="7">$J$7/$D$19/2</f>
        <v>0</v>
      </c>
      <c r="K19" s="36">
        <f t="shared" si="7"/>
        <v>0</v>
      </c>
      <c r="L19" s="36">
        <f t="shared" si="7"/>
        <v>0</v>
      </c>
      <c r="M19" s="36">
        <f t="shared" si="7"/>
        <v>0</v>
      </c>
      <c r="N19" s="36">
        <f t="shared" si="7"/>
        <v>0</v>
      </c>
      <c r="O19" s="36">
        <f t="shared" si="7"/>
        <v>0</v>
      </c>
      <c r="P19" s="36">
        <f t="shared" si="7"/>
        <v>0</v>
      </c>
      <c r="Q19" s="36">
        <f t="shared" si="7"/>
        <v>0</v>
      </c>
      <c r="R19" s="36">
        <f t="shared" si="7"/>
        <v>0</v>
      </c>
      <c r="S19" s="36">
        <f t="shared" si="7"/>
        <v>0</v>
      </c>
      <c r="T19" s="36">
        <f t="shared" si="7"/>
        <v>0</v>
      </c>
      <c r="U19" s="36">
        <f t="shared" si="7"/>
        <v>0</v>
      </c>
      <c r="V19" s="36">
        <f t="shared" si="7"/>
        <v>0</v>
      </c>
      <c r="W19" s="36"/>
    </row>
    <row r="20" spans="3:24" x14ac:dyDescent="0.2">
      <c r="C20" s="33" t="s">
        <v>189</v>
      </c>
      <c r="D20" s="33">
        <v>80</v>
      </c>
      <c r="E20" s="36"/>
      <c r="F20" s="36"/>
      <c r="G20" s="36"/>
      <c r="H20" s="36"/>
      <c r="I20" s="36"/>
      <c r="J20" s="36"/>
      <c r="K20" s="36">
        <f>$K$7/$D$20/2</f>
        <v>0</v>
      </c>
      <c r="L20" s="36">
        <f t="shared" ref="L20:V20" si="8">$K$7/$D$20</f>
        <v>0</v>
      </c>
      <c r="M20" s="36">
        <f t="shared" si="8"/>
        <v>0</v>
      </c>
      <c r="N20" s="36">
        <f t="shared" si="8"/>
        <v>0</v>
      </c>
      <c r="O20" s="36">
        <f t="shared" si="8"/>
        <v>0</v>
      </c>
      <c r="P20" s="36">
        <f t="shared" si="8"/>
        <v>0</v>
      </c>
      <c r="Q20" s="36">
        <f t="shared" si="8"/>
        <v>0</v>
      </c>
      <c r="R20" s="36">
        <f t="shared" si="8"/>
        <v>0</v>
      </c>
      <c r="S20" s="36">
        <f t="shared" si="8"/>
        <v>0</v>
      </c>
      <c r="T20" s="36">
        <f t="shared" si="8"/>
        <v>0</v>
      </c>
      <c r="U20" s="36">
        <f t="shared" si="8"/>
        <v>0</v>
      </c>
      <c r="V20" s="36">
        <f t="shared" si="8"/>
        <v>0</v>
      </c>
      <c r="W20" s="36"/>
    </row>
    <row r="21" spans="3:24" x14ac:dyDescent="0.2">
      <c r="C21" s="33" t="s">
        <v>190</v>
      </c>
      <c r="D21" s="33">
        <v>80</v>
      </c>
      <c r="E21" s="36"/>
      <c r="F21" s="36"/>
      <c r="G21" s="36"/>
      <c r="H21" s="36"/>
      <c r="I21" s="36"/>
      <c r="J21" s="36"/>
      <c r="K21" s="36"/>
      <c r="L21" s="36">
        <f>$L$7/$D$21/2</f>
        <v>0</v>
      </c>
      <c r="M21" s="36">
        <f t="shared" ref="M21:V21" si="9">$L$7/$D$21</f>
        <v>0</v>
      </c>
      <c r="N21" s="36">
        <f t="shared" si="9"/>
        <v>0</v>
      </c>
      <c r="O21" s="36">
        <f t="shared" si="9"/>
        <v>0</v>
      </c>
      <c r="P21" s="36">
        <f t="shared" si="9"/>
        <v>0</v>
      </c>
      <c r="Q21" s="36">
        <f t="shared" si="9"/>
        <v>0</v>
      </c>
      <c r="R21" s="36">
        <f t="shared" si="9"/>
        <v>0</v>
      </c>
      <c r="S21" s="36">
        <f t="shared" si="9"/>
        <v>0</v>
      </c>
      <c r="T21" s="36">
        <f t="shared" si="9"/>
        <v>0</v>
      </c>
      <c r="U21" s="36">
        <f t="shared" si="9"/>
        <v>0</v>
      </c>
      <c r="V21" s="36">
        <f t="shared" si="9"/>
        <v>0</v>
      </c>
      <c r="W21" s="36"/>
    </row>
    <row r="22" spans="3:24" x14ac:dyDescent="0.2">
      <c r="C22" s="33" t="s">
        <v>191</v>
      </c>
      <c r="D22" s="33">
        <v>80</v>
      </c>
      <c r="E22" s="36"/>
      <c r="F22" s="36"/>
      <c r="G22" s="36"/>
      <c r="H22" s="36"/>
      <c r="I22" s="36"/>
      <c r="J22" s="36"/>
      <c r="K22" s="36"/>
      <c r="L22" s="36"/>
      <c r="M22" s="36">
        <f>$M$7/$D$22/2</f>
        <v>6.2929206387995748E-2</v>
      </c>
      <c r="N22" s="36">
        <f t="shared" ref="N22:V22" si="10">$M$7/$D$22</f>
        <v>0.1258584127759915</v>
      </c>
      <c r="O22" s="36">
        <f t="shared" si="10"/>
        <v>0.1258584127759915</v>
      </c>
      <c r="P22" s="36">
        <f t="shared" si="10"/>
        <v>0.1258584127759915</v>
      </c>
      <c r="Q22" s="36">
        <f t="shared" si="10"/>
        <v>0.1258584127759915</v>
      </c>
      <c r="R22" s="36">
        <f t="shared" si="10"/>
        <v>0.1258584127759915</v>
      </c>
      <c r="S22" s="36">
        <f t="shared" si="10"/>
        <v>0.1258584127759915</v>
      </c>
      <c r="T22" s="36">
        <f t="shared" si="10"/>
        <v>0.1258584127759915</v>
      </c>
      <c r="U22" s="36">
        <f t="shared" si="10"/>
        <v>0.1258584127759915</v>
      </c>
      <c r="V22" s="36">
        <f t="shared" si="10"/>
        <v>0.1258584127759915</v>
      </c>
      <c r="W22" s="36"/>
    </row>
    <row r="23" spans="3:24" x14ac:dyDescent="0.2">
      <c r="C23" s="33" t="s">
        <v>192</v>
      </c>
      <c r="D23" s="33">
        <v>80</v>
      </c>
      <c r="E23" s="36"/>
      <c r="F23" s="36"/>
      <c r="G23" s="36"/>
      <c r="H23" s="36"/>
      <c r="I23" s="36"/>
      <c r="J23" s="36"/>
      <c r="K23" s="36"/>
      <c r="L23" s="36"/>
      <c r="M23" s="36"/>
      <c r="N23" s="36">
        <f>$N$7/$D$23</f>
        <v>4.5532164429516297E-2</v>
      </c>
      <c r="O23" s="36">
        <f t="shared" ref="O23:V23" si="11">$N$7/$D$23/2</f>
        <v>2.2766082214758149E-2</v>
      </c>
      <c r="P23" s="36">
        <f t="shared" si="11"/>
        <v>2.2766082214758149E-2</v>
      </c>
      <c r="Q23" s="36">
        <f t="shared" si="11"/>
        <v>2.2766082214758149E-2</v>
      </c>
      <c r="R23" s="36">
        <f t="shared" si="11"/>
        <v>2.2766082214758149E-2</v>
      </c>
      <c r="S23" s="36">
        <f t="shared" si="11"/>
        <v>2.2766082214758149E-2</v>
      </c>
      <c r="T23" s="36">
        <f t="shared" si="11"/>
        <v>2.2766082214758149E-2</v>
      </c>
      <c r="U23" s="36">
        <f t="shared" si="11"/>
        <v>2.2766082214758149E-2</v>
      </c>
      <c r="V23" s="36">
        <f t="shared" si="11"/>
        <v>2.2766082214758149E-2</v>
      </c>
      <c r="W23" s="36"/>
    </row>
    <row r="24" spans="3:24" x14ac:dyDescent="0.2">
      <c r="C24" s="33" t="s">
        <v>193</v>
      </c>
      <c r="D24" s="33">
        <v>80</v>
      </c>
      <c r="E24" s="36"/>
      <c r="F24" s="36"/>
      <c r="G24" s="36"/>
      <c r="H24" s="36"/>
      <c r="I24" s="36"/>
      <c r="J24" s="36"/>
      <c r="K24" s="36"/>
      <c r="L24" s="36"/>
      <c r="M24" s="36"/>
      <c r="O24" s="36">
        <f>$O$7/$D$23/2</f>
        <v>4.8693149152379635E-2</v>
      </c>
      <c r="P24" s="36">
        <f t="shared" ref="P24:V24" si="12">$O$7/$D$23</f>
        <v>9.738629830475927E-2</v>
      </c>
      <c r="Q24" s="36">
        <f t="shared" si="12"/>
        <v>9.738629830475927E-2</v>
      </c>
      <c r="R24" s="36">
        <f t="shared" si="12"/>
        <v>9.738629830475927E-2</v>
      </c>
      <c r="S24" s="36">
        <f t="shared" si="12"/>
        <v>9.738629830475927E-2</v>
      </c>
      <c r="T24" s="36">
        <f t="shared" si="12"/>
        <v>9.738629830475927E-2</v>
      </c>
      <c r="U24" s="36">
        <f t="shared" si="12"/>
        <v>9.738629830475927E-2</v>
      </c>
      <c r="V24" s="36">
        <f t="shared" si="12"/>
        <v>9.738629830475927E-2</v>
      </c>
      <c r="W24" s="36"/>
    </row>
    <row r="25" spans="3:24" x14ac:dyDescent="0.2">
      <c r="C25" s="33" t="s">
        <v>194</v>
      </c>
      <c r="D25" s="33">
        <v>80</v>
      </c>
      <c r="E25" s="36"/>
      <c r="F25" s="36"/>
      <c r="G25" s="36"/>
      <c r="H25" s="36"/>
      <c r="I25" s="36"/>
      <c r="J25" s="36"/>
      <c r="K25" s="36"/>
      <c r="L25" s="36"/>
      <c r="M25" s="36"/>
      <c r="P25" s="36">
        <f>$P$7/$D$25/2</f>
        <v>1.8961250035897947E-2</v>
      </c>
      <c r="Q25" s="36">
        <f t="shared" ref="Q25:V25" si="13">$P$7/$D$25</f>
        <v>3.7922500071795893E-2</v>
      </c>
      <c r="R25" s="36">
        <f t="shared" si="13"/>
        <v>3.7922500071795893E-2</v>
      </c>
      <c r="S25" s="36">
        <f t="shared" si="13"/>
        <v>3.7922500071795893E-2</v>
      </c>
      <c r="T25" s="36">
        <f t="shared" si="13"/>
        <v>3.7922500071795893E-2</v>
      </c>
      <c r="U25" s="36">
        <f t="shared" si="13"/>
        <v>3.7922500071795893E-2</v>
      </c>
      <c r="V25" s="36">
        <f t="shared" si="13"/>
        <v>3.7922500071795893E-2</v>
      </c>
      <c r="W25" s="36"/>
    </row>
    <row r="26" spans="3:24" x14ac:dyDescent="0.2">
      <c r="C26" s="33" t="s">
        <v>195</v>
      </c>
      <c r="D26" s="33">
        <v>80</v>
      </c>
      <c r="E26" s="36"/>
      <c r="F26" s="36"/>
      <c r="G26" s="36"/>
      <c r="H26" s="36"/>
      <c r="I26" s="36"/>
      <c r="J26" s="36"/>
      <c r="K26" s="36"/>
      <c r="L26" s="36"/>
      <c r="M26" s="36"/>
      <c r="Q26" s="36">
        <f>$Q$7/$D$26/2</f>
        <v>1.1931892563648438E-2</v>
      </c>
      <c r="R26" s="36">
        <f>$Q$7/$D$26/2</f>
        <v>1.1931892563648438E-2</v>
      </c>
      <c r="S26" s="36">
        <f>$Q$7/$D$26</f>
        <v>2.3863785127296876E-2</v>
      </c>
      <c r="T26" s="36">
        <f>$Q$7/$D$26</f>
        <v>2.3863785127296876E-2</v>
      </c>
      <c r="U26" s="36">
        <f>$Q$7/$D$26</f>
        <v>2.3863785127296876E-2</v>
      </c>
      <c r="V26" s="36">
        <f>$Q$7/$D$26</f>
        <v>2.3863785127296876E-2</v>
      </c>
      <c r="W26" s="36"/>
    </row>
    <row r="27" spans="3:24" x14ac:dyDescent="0.2">
      <c r="C27" s="33" t="s">
        <v>183</v>
      </c>
      <c r="D27" s="33">
        <v>80</v>
      </c>
      <c r="E27" s="36"/>
      <c r="F27" s="36"/>
      <c r="G27" s="36"/>
      <c r="H27" s="36"/>
      <c r="I27" s="36"/>
      <c r="J27" s="36"/>
      <c r="K27" s="36"/>
      <c r="L27" s="36"/>
      <c r="M27" s="36"/>
      <c r="Q27" s="36"/>
      <c r="R27" s="36">
        <f>$R$7/$D$27/2</f>
        <v>6.4248973196799494E-2</v>
      </c>
      <c r="S27" s="36">
        <f>$R$7/$D$27</f>
        <v>0.12849794639359899</v>
      </c>
      <c r="T27" s="36">
        <f>$R$7/$D$27</f>
        <v>0.12849794639359899</v>
      </c>
      <c r="U27" s="36">
        <f>$R$7/$D$27</f>
        <v>0.12849794639359899</v>
      </c>
      <c r="V27" s="36">
        <f>$R$7/$D$27</f>
        <v>0.12849794639359899</v>
      </c>
      <c r="W27" s="36"/>
    </row>
    <row r="28" spans="3:24" x14ac:dyDescent="0.2">
      <c r="C28" s="33" t="s">
        <v>196</v>
      </c>
      <c r="D28" s="33">
        <v>80</v>
      </c>
      <c r="S28" s="36">
        <f>$S$7/$D$28/2</f>
        <v>6.7291632217072073E-2</v>
      </c>
      <c r="T28" s="36">
        <f>$S$7/$D$28</f>
        <v>0.13458326443414415</v>
      </c>
      <c r="U28" s="36">
        <f t="shared" ref="U28:V28" si="14">$S$7/$D$28</f>
        <v>0.13458326443414415</v>
      </c>
      <c r="V28" s="36">
        <f t="shared" si="14"/>
        <v>0.13458326443414415</v>
      </c>
      <c r="W28" s="36"/>
    </row>
    <row r="29" spans="3:24" x14ac:dyDescent="0.2">
      <c r="C29" s="33" t="s">
        <v>197</v>
      </c>
      <c r="D29" s="33">
        <v>80</v>
      </c>
      <c r="S29" s="38"/>
      <c r="T29" s="36">
        <f>$T$7/$D$29/2</f>
        <v>3.5291457389281647E-2</v>
      </c>
      <c r="U29" s="36">
        <f>$T$7/$D$29</f>
        <v>7.0582914778563294E-2</v>
      </c>
      <c r="V29" s="36">
        <f>$T$7/$D$29</f>
        <v>7.0582914778563294E-2</v>
      </c>
      <c r="W29" s="36"/>
      <c r="X29" s="38"/>
    </row>
    <row r="30" spans="3:24" x14ac:dyDescent="0.2">
      <c r="C30" s="33" t="s">
        <v>198</v>
      </c>
      <c r="D30" s="33">
        <v>80</v>
      </c>
      <c r="U30" s="36">
        <f>$U$7/$D$30/2</f>
        <v>2.5938188342938375E-3</v>
      </c>
      <c r="V30" s="36">
        <f>$U$7/$D$30</f>
        <v>5.187637668587675E-3</v>
      </c>
      <c r="W30" s="36"/>
    </row>
    <row r="31" spans="3:24" x14ac:dyDescent="0.2">
      <c r="C31" s="33" t="s">
        <v>199</v>
      </c>
      <c r="D31" s="33">
        <v>80</v>
      </c>
      <c r="V31" s="36">
        <f>$V$7/$D$31/2</f>
        <v>3.1385424203822397E-3</v>
      </c>
      <c r="W31" s="36"/>
    </row>
    <row r="32" spans="3:24" x14ac:dyDescent="0.2">
      <c r="D32" s="31" t="s">
        <v>221</v>
      </c>
      <c r="E32" s="32">
        <f t="shared" ref="E32:V32" si="15">SUM(E14:E31)</f>
        <v>0</v>
      </c>
      <c r="F32" s="32">
        <f t="shared" si="15"/>
        <v>0</v>
      </c>
      <c r="G32" s="32">
        <f t="shared" si="15"/>
        <v>0</v>
      </c>
      <c r="H32" s="32">
        <f t="shared" si="15"/>
        <v>0</v>
      </c>
      <c r="I32" s="32">
        <f t="shared" si="15"/>
        <v>0</v>
      </c>
      <c r="J32" s="32">
        <f t="shared" si="15"/>
        <v>0</v>
      </c>
      <c r="K32" s="32">
        <f t="shared" si="15"/>
        <v>0</v>
      </c>
      <c r="L32" s="32">
        <f t="shared" si="15"/>
        <v>0</v>
      </c>
      <c r="M32" s="32">
        <f t="shared" si="15"/>
        <v>6.2929206387995748E-2</v>
      </c>
      <c r="N32" s="32">
        <f t="shared" si="15"/>
        <v>0.17139057720550779</v>
      </c>
      <c r="O32" s="32">
        <f t="shared" si="15"/>
        <v>0.19731764414312927</v>
      </c>
      <c r="P32" s="32">
        <f t="shared" si="15"/>
        <v>0.26497204333140684</v>
      </c>
      <c r="Q32" s="32">
        <f t="shared" si="15"/>
        <v>0.29586518593095323</v>
      </c>
      <c r="R32" s="32">
        <f t="shared" si="15"/>
        <v>0.36011415912775274</v>
      </c>
      <c r="S32" s="32">
        <f t="shared" si="15"/>
        <v>0.50358665710527273</v>
      </c>
      <c r="T32" s="32">
        <f t="shared" si="15"/>
        <v>0.60616974671162638</v>
      </c>
      <c r="U32" s="32">
        <f t="shared" si="15"/>
        <v>0.64405502293520189</v>
      </c>
      <c r="V32" s="32">
        <f t="shared" si="15"/>
        <v>0.64978738418987791</v>
      </c>
      <c r="W32" s="32">
        <f>SUM(E32:V32)</f>
        <v>3.7561876270687247</v>
      </c>
    </row>
    <row r="33" spans="3:23" x14ac:dyDescent="0.2">
      <c r="D33" s="31"/>
      <c r="E33" s="31"/>
      <c r="F33" s="31"/>
      <c r="G33" s="31"/>
      <c r="H33" s="31"/>
      <c r="I33" s="31"/>
      <c r="J33" s="31"/>
      <c r="K33" s="31"/>
      <c r="L33" s="31"/>
      <c r="M33" s="31"/>
      <c r="Q33" s="37"/>
      <c r="R33" s="37"/>
      <c r="S33" s="37"/>
      <c r="T33" s="37"/>
      <c r="U33" s="37"/>
      <c r="V33" s="37" t="s">
        <v>373</v>
      </c>
      <c r="W33" s="36">
        <f>W7-W32</f>
        <v>50.299173078932753</v>
      </c>
    </row>
    <row r="34" spans="3:23" x14ac:dyDescent="0.2">
      <c r="E34" s="36"/>
      <c r="F34" s="36"/>
      <c r="G34" s="36"/>
      <c r="H34" s="36"/>
      <c r="I34" s="36"/>
      <c r="J34" s="36"/>
      <c r="K34" s="36"/>
      <c r="L34" s="36"/>
      <c r="M34" s="36"/>
      <c r="V34" s="277"/>
    </row>
    <row r="35" spans="3:23" x14ac:dyDescent="0.2">
      <c r="E35" s="36"/>
      <c r="F35" s="36"/>
      <c r="G35" s="36"/>
      <c r="H35" s="36"/>
      <c r="I35" s="36"/>
      <c r="J35" s="36"/>
      <c r="K35" s="36"/>
      <c r="L35" s="36"/>
      <c r="M35" s="36"/>
    </row>
    <row r="36" spans="3:23" x14ac:dyDescent="0.2">
      <c r="E36" s="36"/>
      <c r="F36" s="36"/>
      <c r="G36" s="36"/>
      <c r="H36" s="36"/>
      <c r="I36" s="36"/>
      <c r="J36" s="36"/>
      <c r="K36" s="36"/>
      <c r="L36" s="36"/>
      <c r="M36" s="36"/>
    </row>
    <row r="37" spans="3:23" x14ac:dyDescent="0.2">
      <c r="E37" s="36"/>
      <c r="F37" s="36"/>
      <c r="G37" s="36"/>
      <c r="H37" s="36"/>
      <c r="I37" s="36"/>
      <c r="J37" s="36"/>
      <c r="K37" s="36"/>
      <c r="L37" s="36"/>
      <c r="M37" s="36"/>
    </row>
    <row r="38" spans="3:23" x14ac:dyDescent="0.2">
      <c r="E38" s="36"/>
      <c r="F38" s="36"/>
      <c r="G38" s="36"/>
      <c r="H38" s="36"/>
      <c r="I38" s="36"/>
      <c r="J38" s="36"/>
      <c r="K38" s="36"/>
      <c r="L38" s="36"/>
      <c r="M38" s="36"/>
    </row>
    <row r="39" spans="3:23" x14ac:dyDescent="0.2">
      <c r="E39" s="36"/>
      <c r="F39" s="36"/>
      <c r="G39" s="36"/>
      <c r="H39" s="36"/>
      <c r="I39" s="36"/>
      <c r="J39" s="36"/>
      <c r="K39" s="36"/>
      <c r="L39" s="36"/>
      <c r="M39" s="36"/>
    </row>
    <row r="40" spans="3:23" x14ac:dyDescent="0.2">
      <c r="E40" s="36"/>
      <c r="F40" s="36"/>
      <c r="G40" s="36"/>
      <c r="H40" s="36"/>
      <c r="I40" s="36"/>
      <c r="J40" s="36"/>
      <c r="K40" s="36"/>
      <c r="L40" s="36"/>
      <c r="M40" s="36"/>
    </row>
    <row r="41" spans="3:23" x14ac:dyDescent="0.2">
      <c r="E41" s="36"/>
      <c r="F41" s="36"/>
      <c r="G41" s="36"/>
      <c r="H41" s="36"/>
      <c r="I41" s="36"/>
      <c r="J41" s="36"/>
      <c r="K41" s="36"/>
      <c r="L41" s="36"/>
      <c r="M41" s="36"/>
    </row>
    <row r="42" spans="3:23" x14ac:dyDescent="0.2">
      <c r="M42" s="32"/>
    </row>
    <row r="43" spans="3:23" x14ac:dyDescent="0.2">
      <c r="M43" s="32"/>
      <c r="Q43" s="38"/>
      <c r="R43" s="38"/>
      <c r="S43" s="38"/>
      <c r="T43" s="38"/>
      <c r="U43" s="38"/>
      <c r="V43" s="38"/>
    </row>
    <row r="45" spans="3:23" x14ac:dyDescent="0.2">
      <c r="C45" s="31"/>
      <c r="D45" s="31"/>
      <c r="E45" s="31"/>
      <c r="F45" s="31"/>
      <c r="G45" s="31"/>
      <c r="H45" s="31"/>
      <c r="I45" s="31"/>
      <c r="J45" s="31"/>
      <c r="K45" s="31"/>
      <c r="L45" s="31"/>
      <c r="M45" s="31"/>
      <c r="Q45" s="37"/>
      <c r="R45" s="37"/>
      <c r="S45" s="37"/>
      <c r="T45" s="37"/>
      <c r="U45" s="37"/>
      <c r="V45" s="37"/>
    </row>
    <row r="46" spans="3:23" x14ac:dyDescent="0.2">
      <c r="E46" s="36"/>
      <c r="F46" s="36"/>
      <c r="G46" s="36"/>
      <c r="H46" s="36"/>
      <c r="I46" s="36"/>
      <c r="J46" s="36"/>
      <c r="K46" s="36"/>
      <c r="L46" s="36"/>
      <c r="M46" s="36"/>
    </row>
    <row r="47" spans="3:23" x14ac:dyDescent="0.2">
      <c r="E47" s="36"/>
      <c r="F47" s="36"/>
      <c r="G47" s="36"/>
      <c r="H47" s="36"/>
      <c r="I47" s="36"/>
      <c r="J47" s="36"/>
      <c r="K47" s="36"/>
      <c r="L47" s="36"/>
      <c r="M47" s="36"/>
    </row>
    <row r="48" spans="3:23" x14ac:dyDescent="0.2">
      <c r="E48" s="36"/>
      <c r="F48" s="36"/>
      <c r="G48" s="36"/>
      <c r="H48" s="36"/>
      <c r="I48" s="36"/>
      <c r="J48" s="36"/>
      <c r="K48" s="36"/>
      <c r="L48" s="36"/>
      <c r="M48" s="36"/>
    </row>
    <row r="49" spans="3:22" x14ac:dyDescent="0.2">
      <c r="E49" s="36"/>
      <c r="F49" s="36"/>
      <c r="G49" s="36"/>
      <c r="H49" s="36"/>
      <c r="I49" s="36"/>
      <c r="J49" s="36"/>
      <c r="K49" s="36"/>
      <c r="L49" s="36"/>
      <c r="M49" s="36"/>
    </row>
    <row r="50" spans="3:22" x14ac:dyDescent="0.2">
      <c r="E50" s="36"/>
      <c r="F50" s="36"/>
      <c r="G50" s="36"/>
      <c r="H50" s="36"/>
      <c r="I50" s="36"/>
      <c r="J50" s="36"/>
      <c r="K50" s="36"/>
      <c r="L50" s="36"/>
      <c r="M50" s="36"/>
    </row>
    <row r="51" spans="3:22" x14ac:dyDescent="0.2">
      <c r="E51" s="36"/>
      <c r="F51" s="36"/>
      <c r="G51" s="36"/>
      <c r="H51" s="36"/>
      <c r="I51" s="36"/>
      <c r="J51" s="36"/>
      <c r="K51" s="36"/>
      <c r="L51" s="36"/>
      <c r="M51" s="36"/>
    </row>
    <row r="52" spans="3:22" x14ac:dyDescent="0.2">
      <c r="E52" s="36"/>
      <c r="F52" s="36"/>
      <c r="G52" s="36"/>
      <c r="H52" s="36"/>
      <c r="I52" s="36"/>
      <c r="J52" s="36"/>
      <c r="K52" s="36"/>
      <c r="L52" s="36"/>
      <c r="M52" s="36"/>
    </row>
    <row r="53" spans="3:22" x14ac:dyDescent="0.2">
      <c r="E53" s="36"/>
      <c r="F53" s="36"/>
      <c r="G53" s="36"/>
      <c r="H53" s="36"/>
      <c r="I53" s="36"/>
      <c r="J53" s="36"/>
      <c r="K53" s="36"/>
      <c r="L53" s="36"/>
      <c r="M53" s="36"/>
    </row>
    <row r="54" spans="3:22" x14ac:dyDescent="0.2">
      <c r="M54" s="32"/>
      <c r="Q54" s="38"/>
      <c r="R54" s="38"/>
      <c r="S54" s="38"/>
      <c r="T54" s="38"/>
    </row>
    <row r="55" spans="3:22" x14ac:dyDescent="0.2">
      <c r="M55" s="32"/>
      <c r="Q55" s="38"/>
      <c r="R55" s="38"/>
      <c r="S55" s="38"/>
      <c r="T55" s="38"/>
      <c r="U55" s="38"/>
      <c r="V55" s="38"/>
    </row>
    <row r="63" spans="3:22" ht="15" x14ac:dyDescent="0.25">
      <c r="C63" s="82" t="s">
        <v>366</v>
      </c>
      <c r="D63" s="272">
        <v>2005</v>
      </c>
      <c r="E63" s="272">
        <v>2006</v>
      </c>
      <c r="F63" s="272">
        <v>2007</v>
      </c>
      <c r="G63" s="272">
        <v>2008</v>
      </c>
      <c r="H63" s="272">
        <v>2009</v>
      </c>
      <c r="I63" s="272">
        <v>2010</v>
      </c>
      <c r="J63" s="272">
        <v>2011</v>
      </c>
      <c r="K63" s="272">
        <v>2012</v>
      </c>
      <c r="L63" s="272">
        <v>2013</v>
      </c>
      <c r="M63" s="272">
        <v>2014</v>
      </c>
      <c r="N63" s="272">
        <v>2015</v>
      </c>
      <c r="O63" s="272">
        <v>2016</v>
      </c>
      <c r="P63" s="272">
        <v>2017</v>
      </c>
      <c r="Q63" s="272">
        <v>2018</v>
      </c>
      <c r="R63" s="272">
        <v>2019</v>
      </c>
      <c r="S63" s="272">
        <v>2020</v>
      </c>
      <c r="T63" s="272">
        <v>2021</v>
      </c>
      <c r="U63" s="272">
        <v>2022</v>
      </c>
    </row>
    <row r="64" spans="3:22" x14ac:dyDescent="0.2">
      <c r="C64" s="273" t="s">
        <v>113</v>
      </c>
      <c r="D64" s="274">
        <v>246.95</v>
      </c>
      <c r="E64" s="274">
        <v>0</v>
      </c>
      <c r="F64" s="274">
        <v>0</v>
      </c>
      <c r="G64" s="274">
        <v>192.92746</v>
      </c>
      <c r="H64" s="274">
        <v>192.92240000000001</v>
      </c>
      <c r="I64" s="274">
        <v>599.30989999999997</v>
      </c>
      <c r="J64" s="274">
        <v>0</v>
      </c>
      <c r="K64" s="274">
        <v>0</v>
      </c>
      <c r="L64" s="274">
        <v>110.16424000000001</v>
      </c>
      <c r="M64" s="274">
        <v>6723.5544600000003</v>
      </c>
      <c r="N64" s="274">
        <v>10870.617249999999</v>
      </c>
      <c r="O64" s="274">
        <v>15371.69522</v>
      </c>
      <c r="P64" s="274">
        <v>12093.44147</v>
      </c>
      <c r="Q64" s="274">
        <v>12100.69436</v>
      </c>
      <c r="R64" s="274">
        <v>8373.5663999999997</v>
      </c>
      <c r="S64" s="274">
        <v>8203.9765900000002</v>
      </c>
      <c r="T64" s="274">
        <v>4201.4417299999996</v>
      </c>
      <c r="U64" s="274">
        <v>3012.6699199999998</v>
      </c>
    </row>
    <row r="65" spans="3:21" x14ac:dyDescent="0.2">
      <c r="C65" s="273" t="s">
        <v>188</v>
      </c>
      <c r="D65" s="274">
        <v>21213.242899999997</v>
      </c>
      <c r="E65" s="274">
        <v>4643.2376899999999</v>
      </c>
      <c r="F65" s="274">
        <v>3728.5980300000001</v>
      </c>
      <c r="G65" s="274">
        <v>9116.6536099999994</v>
      </c>
      <c r="H65" s="274">
        <v>7385.37165</v>
      </c>
      <c r="I65" s="274">
        <v>12940.145979999999</v>
      </c>
      <c r="J65" s="274">
        <v>19871.301889999999</v>
      </c>
      <c r="K65" s="274">
        <v>22160.12571</v>
      </c>
      <c r="L65" s="274">
        <v>15671.01593</v>
      </c>
      <c r="M65" s="274">
        <v>14062.719110000002</v>
      </c>
      <c r="N65" s="274">
        <v>15115.76297</v>
      </c>
      <c r="O65" s="274">
        <v>19915.525130000002</v>
      </c>
      <c r="P65" s="274">
        <v>21795.433410000005</v>
      </c>
      <c r="Q65" s="274">
        <v>20000.162400000001</v>
      </c>
      <c r="R65" s="274">
        <v>23829.662619999999</v>
      </c>
      <c r="S65" s="274">
        <v>28301.489730000001</v>
      </c>
      <c r="T65" s="274">
        <v>30874.748570000003</v>
      </c>
      <c r="U65" s="274">
        <v>27340.632369999999</v>
      </c>
    </row>
    <row r="66" spans="3:21" ht="15.75" x14ac:dyDescent="0.25">
      <c r="C66"/>
      <c r="D66" s="275">
        <v>21460.192899999998</v>
      </c>
      <c r="E66" s="275">
        <v>4643.2376899999999</v>
      </c>
      <c r="F66" s="275">
        <v>3728.5980300000001</v>
      </c>
      <c r="G66" s="275">
        <v>9309.5810700000002</v>
      </c>
      <c r="H66" s="275">
        <v>7578.2940500000004</v>
      </c>
      <c r="I66" s="275">
        <v>13539.45588</v>
      </c>
      <c r="J66" s="275">
        <v>19871.301889999999</v>
      </c>
      <c r="K66" s="275">
        <v>22160.12571</v>
      </c>
      <c r="L66" s="275">
        <v>15781.18017</v>
      </c>
      <c r="M66" s="275">
        <v>20786.273570000001</v>
      </c>
      <c r="N66" s="275">
        <v>25986.380219999999</v>
      </c>
      <c r="O66" s="275">
        <v>35287.220350000003</v>
      </c>
      <c r="P66" s="275">
        <v>33888.874880000003</v>
      </c>
      <c r="Q66" s="275">
        <v>32100.856760000002</v>
      </c>
      <c r="R66" s="275">
        <v>32203.229019999999</v>
      </c>
      <c r="S66" s="275">
        <v>36505.46632</v>
      </c>
      <c r="T66" s="275">
        <v>35076.190300000002</v>
      </c>
      <c r="U66" s="275">
        <v>30353.30229</v>
      </c>
    </row>
    <row r="68" spans="3:21" x14ac:dyDescent="0.2">
      <c r="C68" s="33" t="s">
        <v>367</v>
      </c>
      <c r="D68" s="33">
        <f>'Net infill water capex 05-06'!D68</f>
        <v>0.75</v>
      </c>
    </row>
    <row r="69" spans="3:21" x14ac:dyDescent="0.2">
      <c r="C69" s="33" t="s">
        <v>176</v>
      </c>
      <c r="D69" s="276">
        <f>0.5*D$65*$D$68</f>
        <v>7954.966087499999</v>
      </c>
      <c r="E69" s="276">
        <f t="shared" ref="E69:U70" si="16">0.5*E$65*$D$68</f>
        <v>1741.21413375</v>
      </c>
      <c r="F69" s="276">
        <f t="shared" si="16"/>
        <v>1398.2242612499999</v>
      </c>
      <c r="G69" s="276">
        <f t="shared" si="16"/>
        <v>3418.7451037499995</v>
      </c>
      <c r="H69" s="276">
        <f t="shared" si="16"/>
        <v>2769.5143687499999</v>
      </c>
      <c r="I69" s="276">
        <f t="shared" si="16"/>
        <v>4852.5547424999995</v>
      </c>
      <c r="J69" s="276">
        <f t="shared" si="16"/>
        <v>7451.7382087499991</v>
      </c>
      <c r="K69" s="276">
        <f t="shared" si="16"/>
        <v>8310.047141250001</v>
      </c>
      <c r="L69" s="276">
        <f t="shared" si="16"/>
        <v>5876.6309737499996</v>
      </c>
      <c r="M69" s="276">
        <f t="shared" si="16"/>
        <v>5273.5196662500002</v>
      </c>
      <c r="N69" s="276">
        <f t="shared" si="16"/>
        <v>5668.4111137500004</v>
      </c>
      <c r="O69" s="276">
        <f t="shared" si="16"/>
        <v>7468.3219237500007</v>
      </c>
      <c r="P69" s="276">
        <f t="shared" si="16"/>
        <v>8173.2875287500019</v>
      </c>
      <c r="Q69" s="276">
        <f t="shared" si="16"/>
        <v>7500.0609000000004</v>
      </c>
      <c r="R69" s="276">
        <f t="shared" si="16"/>
        <v>8936.1234824999992</v>
      </c>
      <c r="S69" s="276">
        <f t="shared" si="16"/>
        <v>10613.05864875</v>
      </c>
      <c r="T69" s="276">
        <f t="shared" si="16"/>
        <v>11578.030713750002</v>
      </c>
      <c r="U69" s="276">
        <f t="shared" si="16"/>
        <v>10252.737138749999</v>
      </c>
    </row>
    <row r="70" spans="3:21" x14ac:dyDescent="0.2">
      <c r="C70" s="33" t="s">
        <v>308</v>
      </c>
      <c r="D70" s="276">
        <f>0.5*D$65*$D$68</f>
        <v>7954.966087499999</v>
      </c>
      <c r="E70" s="276">
        <f t="shared" si="16"/>
        <v>1741.21413375</v>
      </c>
      <c r="F70" s="276">
        <f t="shared" si="16"/>
        <v>1398.2242612499999</v>
      </c>
      <c r="G70" s="276">
        <f t="shared" si="16"/>
        <v>3418.7451037499995</v>
      </c>
      <c r="H70" s="276">
        <f t="shared" si="16"/>
        <v>2769.5143687499999</v>
      </c>
      <c r="I70" s="276">
        <f t="shared" si="16"/>
        <v>4852.5547424999995</v>
      </c>
      <c r="J70" s="276">
        <f t="shared" si="16"/>
        <v>7451.7382087499991</v>
      </c>
      <c r="K70" s="276">
        <f t="shared" si="16"/>
        <v>8310.047141250001</v>
      </c>
      <c r="L70" s="276">
        <f t="shared" si="16"/>
        <v>5876.6309737499996</v>
      </c>
      <c r="M70" s="276">
        <f t="shared" si="16"/>
        <v>5273.5196662500002</v>
      </c>
      <c r="N70" s="276">
        <f t="shared" si="16"/>
        <v>5668.4111137500004</v>
      </c>
      <c r="O70" s="276">
        <f t="shared" si="16"/>
        <v>7468.3219237500007</v>
      </c>
      <c r="P70" s="276">
        <f t="shared" si="16"/>
        <v>8173.2875287500019</v>
      </c>
      <c r="Q70" s="276">
        <f t="shared" si="16"/>
        <v>7500.0609000000004</v>
      </c>
      <c r="R70" s="276">
        <f t="shared" si="16"/>
        <v>8936.1234824999992</v>
      </c>
      <c r="S70" s="276">
        <f t="shared" si="16"/>
        <v>10613.05864875</v>
      </c>
      <c r="T70" s="276">
        <f t="shared" si="16"/>
        <v>11578.030713750002</v>
      </c>
      <c r="U70" s="276">
        <f t="shared" si="16"/>
        <v>10252.737138749999</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fb747140-f783-4f59-8614-018c6afd717d">
      <Terms xmlns="http://schemas.microsoft.com/office/infopath/2007/PartnerControls"/>
    </lcf76f155ced4ddcb4097134ff3c332f>
    <TaxCatchAll xmlns="9735b189-7d43-444d-8bb4-0cf2e8ea0f16"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A2716B8A2C91BC45ABDD92CEA8618734" ma:contentTypeVersion="14" ma:contentTypeDescription="Create a new document." ma:contentTypeScope="" ma:versionID="927416c30794a877d1c2650a734c5096">
  <xsd:schema xmlns:xsd="http://www.w3.org/2001/XMLSchema" xmlns:xs="http://www.w3.org/2001/XMLSchema" xmlns:p="http://schemas.microsoft.com/office/2006/metadata/properties" xmlns:ns2="fb747140-f783-4f59-8614-018c6afd717d" xmlns:ns3="9735b189-7d43-444d-8bb4-0cf2e8ea0f16" targetNamespace="http://schemas.microsoft.com/office/2006/metadata/properties" ma:root="true" ma:fieldsID="dc82c2e97be3ea8d77e23cc1c7751e68" ns2:_="" ns3:_="">
    <xsd:import namespace="fb747140-f783-4f59-8614-018c6afd717d"/>
    <xsd:import namespace="9735b189-7d43-444d-8bb4-0cf2e8ea0f1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LengthInSeconds" minOccurs="0"/>
                <xsd:element ref="ns3:SharedWithUsers" minOccurs="0"/>
                <xsd:element ref="ns3:SharedWithDetails" minOccurs="0"/>
                <xsd:element ref="ns2:lcf76f155ced4ddcb4097134ff3c332f" minOccurs="0"/>
                <xsd:element ref="ns3:TaxCatchAll"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b747140-f783-4f59-8614-018c6afd717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LengthInSeconds" ma:index="13"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Image Tags" ma:readOnly="false" ma:fieldId="{5cf76f15-5ced-4ddc-b409-7134ff3c332f}" ma:taxonomyMulti="true" ma:sspId="ef688115-0302-4e1f-a4da-adfe537ad005"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element name="MediaServiceGenerationTime" ma:index="20" nillable="true" ma:displayName="MediaServiceGenerationTime" ma:hidden="true" ma:internalName="MediaServiceGenerationTime" ma:readOnly="true">
      <xsd:simpleType>
        <xsd:restriction base="dms:Text"/>
      </xsd:simpleType>
    </xsd:element>
    <xsd:element name="MediaServiceEventHashCode" ma:index="21"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9735b189-7d43-444d-8bb4-0cf2e8ea0f16"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element name="TaxCatchAll" ma:index="18" nillable="true" ma:displayName="Taxonomy Catch All Column" ma:hidden="true" ma:list="{b175a91f-47c8-4324-9b6e-041578865764}" ma:internalName="TaxCatchAll" ma:showField="CatchAllData" ma:web="9735b189-7d43-444d-8bb4-0cf2e8ea0f1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5892382-0848-4C4B-A5D8-325FCCC2C065}">
  <ds:schemaRefs>
    <ds:schemaRef ds:uri="http://schemas.microsoft.com/sharepoint/v3/contenttype/forms"/>
  </ds:schemaRefs>
</ds:datastoreItem>
</file>

<file path=customXml/itemProps2.xml><?xml version="1.0" encoding="utf-8"?>
<ds:datastoreItem xmlns:ds="http://schemas.openxmlformats.org/officeDocument/2006/customXml" ds:itemID="{21671D90-DF72-46BF-B9BA-6EB63DF4355B}">
  <ds:schemaRefs>
    <ds:schemaRef ds:uri="http://schemas.microsoft.com/office/2006/documentManagement/types"/>
    <ds:schemaRef ds:uri="2165e97f-305c-45cd-81ac-7d9a3569b071"/>
    <ds:schemaRef ds:uri="http://schemas.openxmlformats.org/package/2006/metadata/core-properties"/>
    <ds:schemaRef ds:uri="http://purl.org/dc/elements/1.1/"/>
    <ds:schemaRef ds:uri="3d7a382b-7c69-4a94-9a74-b8dd69677e66"/>
    <ds:schemaRef ds:uri="http://schemas.microsoft.com/office/2006/metadata/properties"/>
    <ds:schemaRef ds:uri="http://www.w3.org/XML/1998/namespace"/>
    <ds:schemaRef ds:uri="http://schemas.microsoft.com/office/infopath/2007/PartnerControls"/>
    <ds:schemaRef ds:uri="http://purl.org/dc/dcmitype/"/>
    <ds:schemaRef ds:uri="http://purl.org/dc/terms/"/>
  </ds:schemaRefs>
</ds:datastoreItem>
</file>

<file path=customXml/itemProps3.xml><?xml version="1.0" encoding="utf-8"?>
<ds:datastoreItem xmlns:ds="http://schemas.openxmlformats.org/officeDocument/2006/customXml" ds:itemID="{26F1F04F-33A3-4622-A9E4-54062234D9B2}"/>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vt:i4>
      </vt:variant>
    </vt:vector>
  </HeadingPairs>
  <TitlesOfParts>
    <vt:vector size="34" baseType="lpstr">
      <vt:lpstr>Summary of NCCS - 20 year model</vt:lpstr>
      <vt:lpstr>Notes &amp; Assumptions</vt:lpstr>
      <vt:lpstr>Key assumptions</vt:lpstr>
      <vt:lpstr>Customer numbers</vt:lpstr>
      <vt:lpstr>Historical growth capex</vt:lpstr>
      <vt:lpstr>Forecast capex</vt:lpstr>
      <vt:lpstr>Renewal capex</vt:lpstr>
      <vt:lpstr>Net infill water capex 05-06</vt:lpstr>
      <vt:lpstr>Net infill capex water - 13-14</vt:lpstr>
      <vt:lpstr>Net infill sewerage capex 05-06</vt:lpstr>
      <vt:lpstr>Net infill sewerage capex 13-14</vt:lpstr>
      <vt:lpstr>Community Sewerage</vt:lpstr>
      <vt:lpstr>Bulk charges</vt:lpstr>
      <vt:lpstr>YVW tariffs</vt:lpstr>
      <vt:lpstr>20 Infill Water - base</vt:lpstr>
      <vt:lpstr>Infill water with renewal 05-06</vt:lpstr>
      <vt:lpstr>Infill water with renewal 13-14</vt:lpstr>
      <vt:lpstr>20 Infill Sewer - base</vt:lpstr>
      <vt:lpstr>Infill sewerage - renewals 0506</vt:lpstr>
      <vt:lpstr>Infill sewerage - renewals 1314</vt:lpstr>
      <vt:lpstr>Infill+EN+G - water</vt:lpstr>
      <vt:lpstr>Infill+EN+G - sewerage</vt:lpstr>
      <vt:lpstr>Infill+EN+G - recycled water</vt:lpstr>
      <vt:lpstr>20 New UGB Water</vt:lpstr>
      <vt:lpstr>20 Greenvale Water</vt:lpstr>
      <vt:lpstr>20 Epping North Water</vt:lpstr>
      <vt:lpstr>20 New UGB Sewer</vt:lpstr>
      <vt:lpstr>20 Greenvale Sewer</vt:lpstr>
      <vt:lpstr>20 Epping North Sewer</vt:lpstr>
      <vt:lpstr>20 New UGB RW</vt:lpstr>
      <vt:lpstr>20 Greenvale RW</vt:lpstr>
      <vt:lpstr>20 Epping North RW</vt:lpstr>
      <vt:lpstr>20 Infill recycled water</vt:lpstr>
      <vt:lpstr>'Summary of NCCS - 20 year model'!Print_Titles</vt:lpstr>
    </vt:vector>
  </TitlesOfParts>
  <Company>Wedgewood White Ltd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Paul Webber</dc:creator>
  <cp:lastModifiedBy>Radion, Andrew</cp:lastModifiedBy>
  <cp:lastPrinted>2013-05-08T00:27:58Z</cp:lastPrinted>
  <dcterms:created xsi:type="dcterms:W3CDTF">2012-07-17T23:28:04Z</dcterms:created>
  <dcterms:modified xsi:type="dcterms:W3CDTF">2022-09-30T01:19:01Z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0x010100A2716B8A2C91BC45ABDD92CEA8618734</vt:lpwstr>
  </property>
  <property fmtid="{D5CDD505-2E9C-101B-9397-08002B2CF9AE}" pid="3" name="MediaServiceImageTags">
    <vt:lpwstr/>
  </property>
</Properties>
</file>